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MasterList" sheetId="2" r:id="rId4"/>
    <sheet state="visible" name="HT" sheetId="3" r:id="rId5"/>
    <sheet state="visible" name="JB" sheetId="4" r:id="rId6"/>
    <sheet state="visible" name="RKT" sheetId="5" r:id="rId7"/>
    <sheet state="visible" name="US" sheetId="6" r:id="rId8"/>
    <sheet state="visible" name="MS" sheetId="7" r:id="rId9"/>
    <sheet state="visible" name="AA" sheetId="8" r:id="rId10"/>
    <sheet state="visible" name="YP" sheetId="9" r:id="rId11"/>
    <sheet state="visible" name="ND" sheetId="10" r:id="rId12"/>
    <sheet state="visible" name="KS" sheetId="11" r:id="rId13"/>
    <sheet state="visible" name="HM" sheetId="12" r:id="rId14"/>
    <sheet state="visible" name="TP" sheetId="13" r:id="rId15"/>
    <sheet state="visible" name="Fields" sheetId="14" r:id="rId16"/>
    <sheet state="visible" name="Final" sheetId="15" r:id="rId17"/>
    <sheet state="visible" name="CourseName" sheetId="16" r:id="rId18"/>
    <sheet state="visible" name="Keywords" sheetId="17" r:id="rId19"/>
    <sheet state="visible" name="Charter" sheetId="18" r:id="rId20"/>
  </sheets>
  <definedNames/>
  <calcPr/>
</workbook>
</file>

<file path=xl/comments1.xml><?xml version="1.0" encoding="utf-8"?>
<comments xmlns:r="http://schemas.openxmlformats.org/officeDocument/2006/relationships" xmlns="http://schemas.openxmlformats.org/spreadsheetml/2006/main">
  <authors>
    <author/>
  </authors>
  <commentList>
    <comment authorId="0" ref="X1">
      <text>
        <t xml:space="preserve">Hari Thapliyal:
When content is good but record quality is bad.</t>
      </text>
    </comment>
  </commentList>
</comments>
</file>

<file path=xl/comments10.xml><?xml version="1.0" encoding="utf-8"?>
<comments xmlns:r="http://schemas.openxmlformats.org/officeDocument/2006/relationships" xmlns="http://schemas.openxmlformats.org/spreadsheetml/2006/main">
  <authors>
    <author/>
  </authors>
  <commentList>
    <comment authorId="0" ref="X1">
      <text>
        <t xml:space="preserve">Hari Thapliyal:
When content is good but record quality is bad.</t>
      </text>
    </comment>
  </commentList>
</comments>
</file>

<file path=xl/comments11.xml><?xml version="1.0" encoding="utf-8"?>
<comments xmlns:r="http://schemas.openxmlformats.org/officeDocument/2006/relationships" xmlns="http://schemas.openxmlformats.org/spreadsheetml/2006/main">
  <authors>
    <author/>
  </authors>
  <commentList>
    <comment authorId="0" ref="X1">
      <text>
        <t xml:space="preserve">Hari Thapliyal:
When content is good but record quality is bad.</t>
      </text>
    </comment>
  </commentList>
</comments>
</file>

<file path=xl/comments12.xml><?xml version="1.0" encoding="utf-8"?>
<comments xmlns:r="http://schemas.openxmlformats.org/officeDocument/2006/relationships" xmlns="http://schemas.openxmlformats.org/spreadsheetml/2006/main">
  <authors>
    <author/>
  </authors>
  <commentList>
    <comment authorId="0" ref="X1">
      <text>
        <t xml:space="preserve">Hari Thapliyal:
When content is good but record quality is bad.</t>
      </text>
    </comment>
  </commentList>
</comments>
</file>

<file path=xl/comments13.xml><?xml version="1.0" encoding="utf-8"?>
<comments xmlns:r="http://schemas.openxmlformats.org/officeDocument/2006/relationships" xmlns="http://schemas.openxmlformats.org/spreadsheetml/2006/main">
  <authors>
    <author/>
  </authors>
  <commentList>
    <comment authorId="0" ref="X1">
      <text>
        <t xml:space="preserve">Hari Thapliyal:
When content is good but record quality is bad.</t>
      </text>
    </comment>
    <comment authorId="0" ref="K1">
      <text>
        <t xml:space="preserve">Total 315 Hours
	-Hari Thapliyal</t>
      </text>
    </comment>
  </commentList>
</comments>
</file>

<file path=xl/comments14.xml><?xml version="1.0" encoding="utf-8"?>
<comments xmlns:r="http://schemas.openxmlformats.org/officeDocument/2006/relationships" xmlns="http://schemas.openxmlformats.org/spreadsheetml/2006/main">
  <authors>
    <author/>
  </authors>
  <commentList>
    <comment authorId="0" ref="B1">
      <text>
        <t xml:space="preserve">In your worksheet, use these keywords for tagging purpose.
	-Hari Thapliyal</t>
      </text>
    </comment>
    <comment authorId="0" ref="C1">
      <text>
        <t xml:space="preserve">Write Parent Keyword only if it exists for Keyword else it it blank.
	-Hari Thapliyal</t>
      </text>
    </comment>
  </commentList>
</comments>
</file>

<file path=xl/comments2.xml><?xml version="1.0" encoding="utf-8"?>
<comments xmlns:r="http://schemas.openxmlformats.org/officeDocument/2006/relationships" xmlns="http://schemas.openxmlformats.org/spreadsheetml/2006/main">
  <authors>
    <author/>
  </authors>
  <commentList>
    <comment authorId="0" ref="X1">
      <text>
        <t xml:space="preserve">Hari Thapliyal:
When content is good but record quality is bad.</t>
      </text>
    </comment>
  </commentList>
</comments>
</file>

<file path=xl/comments3.xml><?xml version="1.0" encoding="utf-8"?>
<comments xmlns:r="http://schemas.openxmlformats.org/officeDocument/2006/relationships" xmlns="http://schemas.openxmlformats.org/spreadsheetml/2006/main">
  <authors>
    <author/>
  </authors>
  <commentList>
    <comment authorId="0" ref="X1">
      <text>
        <t xml:space="preserve">Hari Thapliyal:
When content is good but record quality is bad.</t>
      </text>
    </comment>
  </commentList>
</comments>
</file>

<file path=xl/comments4.xml><?xml version="1.0" encoding="utf-8"?>
<comments xmlns:r="http://schemas.openxmlformats.org/officeDocument/2006/relationships" xmlns="http://schemas.openxmlformats.org/spreadsheetml/2006/main">
  <authors>
    <author/>
  </authors>
  <commentList>
    <comment authorId="0" ref="X1">
      <text>
        <t xml:space="preserve">Hari Thapliyal:
When content is good but record quality is bad.</t>
      </text>
    </comment>
  </commentList>
</comments>
</file>

<file path=xl/comments5.xml><?xml version="1.0" encoding="utf-8"?>
<comments xmlns:r="http://schemas.openxmlformats.org/officeDocument/2006/relationships" xmlns="http://schemas.openxmlformats.org/spreadsheetml/2006/main">
  <authors>
    <author/>
  </authors>
  <commentList>
    <comment authorId="0" ref="X1">
      <text>
        <t xml:space="preserve">Hari Thapliyal:
When content is good but record quality is bad.</t>
      </text>
    </comment>
  </commentList>
</comments>
</file>

<file path=xl/comments6.xml><?xml version="1.0" encoding="utf-8"?>
<comments xmlns:r="http://schemas.openxmlformats.org/officeDocument/2006/relationships" xmlns="http://schemas.openxmlformats.org/spreadsheetml/2006/main">
  <authors>
    <author/>
  </authors>
  <commentList>
    <comment authorId="0" ref="X1">
      <text>
        <t xml:space="preserve">Hari Thapliyal:
When content is good but record quality is bad.</t>
      </text>
    </comment>
  </commentList>
</comments>
</file>

<file path=xl/comments7.xml><?xml version="1.0" encoding="utf-8"?>
<comments xmlns:r="http://schemas.openxmlformats.org/officeDocument/2006/relationships" xmlns="http://schemas.openxmlformats.org/spreadsheetml/2006/main">
  <authors>
    <author/>
  </authors>
  <commentList>
    <comment authorId="0" ref="X1">
      <text>
        <t xml:space="preserve">Hari Thapliyal:
When content is good but record quality is bad.</t>
      </text>
    </comment>
  </commentList>
</comments>
</file>

<file path=xl/comments8.xml><?xml version="1.0" encoding="utf-8"?>
<comments xmlns:r="http://schemas.openxmlformats.org/officeDocument/2006/relationships" xmlns="http://schemas.openxmlformats.org/spreadsheetml/2006/main">
  <authors>
    <author/>
  </authors>
  <commentList>
    <comment authorId="0" ref="X1">
      <text>
        <t xml:space="preserve">Hari Thapliyal:
When content is good but record quality is bad.</t>
      </text>
    </comment>
  </commentList>
</comments>
</file>

<file path=xl/comments9.xml><?xml version="1.0" encoding="utf-8"?>
<comments xmlns:r="http://schemas.openxmlformats.org/officeDocument/2006/relationships" xmlns="http://schemas.openxmlformats.org/spreadsheetml/2006/main">
  <authors>
    <author/>
  </authors>
  <commentList>
    <comment authorId="0" ref="X1">
      <text>
        <t xml:space="preserve">Hari Thapliyal:
When content is good but record quality is bad.</t>
      </text>
    </comment>
  </commentList>
</comments>
</file>

<file path=xl/sharedStrings.xml><?xml version="1.0" encoding="utf-8"?>
<sst xmlns="http://schemas.openxmlformats.org/spreadsheetml/2006/main" count="10668" uniqueCount="2432">
  <si>
    <t>#</t>
  </si>
  <si>
    <t>m</t>
  </si>
  <si>
    <t>Instructions</t>
  </si>
  <si>
    <t>DON'T Create copy of this file. Please do not be CREATIVE with this file. This is both project output and project report docment</t>
  </si>
  <si>
    <t>Final Status</t>
  </si>
  <si>
    <t>Video URL</t>
  </si>
  <si>
    <t>Video Title</t>
  </si>
  <si>
    <t>Clip Title</t>
  </si>
  <si>
    <t>Description</t>
  </si>
  <si>
    <t>Don't Download/ Upldate this file from/to here</t>
  </si>
  <si>
    <t>How to start the work on any video (All Team Members)</t>
  </si>
  <si>
    <t>Tags</t>
  </si>
  <si>
    <t>Search video in "MasterList" sheet</t>
  </si>
  <si>
    <t>Update "Content owner" column</t>
  </si>
  <si>
    <t>Update "Final status" = "Content-WIP"</t>
  </si>
  <si>
    <t>Views as on 10-Sep-17</t>
  </si>
  <si>
    <t>Duration (315 Hours)</t>
  </si>
  <si>
    <t>Update "Work Date"= Today's date in DD-MMM-YY format</t>
  </si>
  <si>
    <t>Copy entire row of that video into your sheet</t>
  </si>
  <si>
    <t>Do not modify ANY existing information of this copied row</t>
  </si>
  <si>
    <t>Create your own row under this if you want to create clip</t>
  </si>
  <si>
    <t>Enter time in hh:mm:ss format for example clip 0:3:40 to 0:5:20 mean 3 min 40 sec (start) to 5 min 20 sec (end)</t>
  </si>
  <si>
    <t>Posted Date</t>
  </si>
  <si>
    <t xml:space="preserve">Start </t>
  </si>
  <si>
    <t>"Clip Title" lenght should be in 5-10 words range. This is used for SEO purpose, therefore it should have Noun &amp; Verbs and Minimum usage of other kind of words.</t>
  </si>
  <si>
    <t>End</t>
  </si>
  <si>
    <t>Clip Duration</t>
  </si>
  <si>
    <t>Work Date</t>
  </si>
  <si>
    <t>Clip URL</t>
  </si>
  <si>
    <t>Video Quality</t>
  </si>
  <si>
    <t>Content team should update on the column of this color</t>
  </si>
  <si>
    <t>Audio Quality</t>
  </si>
  <si>
    <t>Content Quality</t>
  </si>
  <si>
    <t>Raw Footage Available</t>
  </si>
  <si>
    <t>Video team should update only the column of this color</t>
  </si>
  <si>
    <t>Market Logical Clip</t>
  </si>
  <si>
    <t>SEO/Marketing team should update only the column of this color</t>
  </si>
  <si>
    <t>Reuse of old content Team should USE this column to TAKE action</t>
  </si>
  <si>
    <t>Re-Record</t>
  </si>
  <si>
    <t>Editor's Note</t>
  </si>
  <si>
    <t>Remarks</t>
  </si>
  <si>
    <t>Update "Work Date"= Today's date in DD-MMM-YY format in your clip row</t>
  </si>
  <si>
    <t>For working, use the older video first. So follow the order of videos, do not jump much in sequence. Little bit based on the interest is ok.</t>
  </si>
  <si>
    <t>Do not create any new column or write anything in jargon in your worksheet. We use the information here to update "Final" sheet</t>
  </si>
  <si>
    <t>When clipping work is done, then go and update "Final-Status" = Content-Done in the "MasterList" worksheet also</t>
  </si>
  <si>
    <t>How to update the final sheet (by Hari)</t>
  </si>
  <si>
    <t>Once team member mention his/her logical video cliping work is done, Final Status="Done Content". After that Hari will copy that row of team-member's work into "Final" sheet</t>
  </si>
  <si>
    <t>Backup (by Hari)</t>
  </si>
  <si>
    <t>Everyday copy file with different date suffix.</t>
  </si>
  <si>
    <t>HT</t>
  </si>
  <si>
    <t>Offline Working</t>
  </si>
  <si>
    <t>Because of some reasons if you want to work offline then</t>
  </si>
  <si>
    <t>Download your copy on your machine</t>
  </si>
  <si>
    <t>Work only on your sheet.</t>
  </si>
  <si>
    <t>Copy and paste only those rows from local sheet to google sheet which you have worked/modified. DON'T over-write this file</t>
  </si>
  <si>
    <t>Done-Content</t>
  </si>
  <si>
    <t>https://www.youtube.com/watch?v=RD7JpM4UrUA</t>
  </si>
  <si>
    <t>"Breaking India" book launch - Swami Dayananda Saraswati - Part 1.wmv</t>
  </si>
  <si>
    <t>Swami Dayananda Saraswati Ji on the Theory of Invasion</t>
  </si>
  <si>
    <t>Swami Dayananda Saraswati Ji is talking about the book and huge efforts of Rajiv Malhotra in writing this book. He talks about how people madely talking about invasion theory and trying to create conflict in the Indian society. Also talks about Saraswati River.</t>
  </si>
  <si>
    <t>6 years ago</t>
  </si>
  <si>
    <t>Good</t>
  </si>
  <si>
    <t>Yes</t>
  </si>
  <si>
    <t>https://www.youtube.com/watch?v=jKuCWHsoXmQ</t>
  </si>
  <si>
    <t>Rajiv Malhotra's Book "Breaking India" Launch by Pujya Swami Dayananda Saraswati - Part 2</t>
  </si>
  <si>
    <t>Swami Dayananda Saraswati Ji on minority appeasement</t>
  </si>
  <si>
    <t>Majority feels prosecuted. Minority has previledges because of vote bank. Religion is transnational, so Hindus are minority in the world. Religious freedom leading to destruction of mind. Religious minority bluff has to be called. Dalit Samachart is invented recently. Destroying society in the name of religious freedom is not allowed.</t>
  </si>
  <si>
    <t>https://www.youtube.com/watch?v=21ZKFBL-Yc0</t>
  </si>
  <si>
    <t>"Breaking India" book launch - Admiral Nayyar.wmv</t>
  </si>
  <si>
    <t>Admiral Nayyar on Tolerance &amp; Partition of India</t>
  </si>
  <si>
    <t>Admiral Nayyar says we are product and prisoner of our time. In the name of tolerance we cannot afford to have another partition of this country as it happened in 1947</t>
  </si>
  <si>
    <t>Drop</t>
  </si>
  <si>
    <t>https://www.youtube.com/watch?v=FytdS2vMJfU</t>
  </si>
  <si>
    <t>Cho Ramaswamy - "Breaking India" Book Launch</t>
  </si>
  <si>
    <t>Cho Ramaswamy on Secularism</t>
  </si>
  <si>
    <t>No Msg</t>
  </si>
  <si>
    <t>No</t>
  </si>
  <si>
    <t>https://www.youtube.com/watch?v=7WsGnkGob7A</t>
  </si>
  <si>
    <t>"Breaking India" Launch Ritual</t>
  </si>
  <si>
    <t>NR</t>
  </si>
  <si>
    <t>https://www.youtube.com/watch?v=WU456HIXN5U</t>
  </si>
  <si>
    <t>S. Ramachandran - "Breaking India" Book Launch</t>
  </si>
  <si>
    <t>Msg in Tamil Language. I do not know title!</t>
  </si>
  <si>
    <t>Title required in English/Hindi</t>
  </si>
  <si>
    <t>https://www.youtube.com/watch?v=PcNDlU0LyJk</t>
  </si>
  <si>
    <t>S. Gurumurthy - Chennai Launch of "Breaking India"</t>
  </si>
  <si>
    <t>S Gurumurthy on Dharma, Secularism, dravidian movement, tiruvallur and Christianity</t>
  </si>
  <si>
    <t>https://www.youtube.com/watch?v=mjFek0gF97s</t>
  </si>
  <si>
    <t>The Authors Discuss Breaking India</t>
  </si>
  <si>
    <t xml:space="preserve">Aravindan Neelakandan &amp; Rajiv Malhotra on how "Breaking India" book was conceived. </t>
  </si>
  <si>
    <t>Three international nexuses 1- Bahabism vs Indian Islam, 2- China &amp; Maoism 3-Dalit &amp; Christianity are disucssed. Dravidian Christianity is also discussed. How can we be model of diversity is being discussed.</t>
  </si>
  <si>
    <t>Average</t>
  </si>
  <si>
    <t>Remove noise, if possible.</t>
  </si>
  <si>
    <t>Dravidian Christian Movement in Tamil Nadu</t>
  </si>
  <si>
    <t>https://www.youtube.com/watch?v=0_EJXPWJN4E</t>
  </si>
  <si>
    <t>"Breaking India" Panel #1</t>
  </si>
  <si>
    <t>Some unnecessary music in background. Phone sound.</t>
  </si>
  <si>
    <t>Focus of "Breaking India" Book as per various well known readers</t>
  </si>
  <si>
    <t xml:space="preserve">Book touches social, cultural narrative. It is not political. </t>
  </si>
  <si>
    <t>https://www.youtube.com/watch?v=Kxuiy8OL30w</t>
  </si>
  <si>
    <t>"Breaking India" Panel #6</t>
  </si>
  <si>
    <t>Title required in English/Hindi for Tamil testimony. Must play again.</t>
  </si>
  <si>
    <t>Impact of Saint Thomas on Tamil Classics</t>
  </si>
  <si>
    <t>Jesus, Vedic culture &amp; diversity</t>
  </si>
  <si>
    <t>https://www.youtube.com/watch?v=jMgGGixmfus</t>
  </si>
  <si>
    <t>"Breaking India" panel # 4</t>
  </si>
  <si>
    <t>If Jesus would have born in India</t>
  </si>
  <si>
    <t>JB</t>
  </si>
  <si>
    <t>https://www.youtube.com/watch?v=_IcfDP-ezpo</t>
  </si>
  <si>
    <t>Princeton University: Talk by Rajiv Malhotra - Part 1</t>
  </si>
  <si>
    <t>Why "Breaking India" book critisizes Dravidian Movement?</t>
  </si>
  <si>
    <t>https://www.youtube.com/watch?v=2UnJMns3fjs</t>
  </si>
  <si>
    <t>"Breaking India" panel #8</t>
  </si>
  <si>
    <t>Dravdian movement is racial idea of social reforms and does not deliver justice to the all section of society.</t>
  </si>
  <si>
    <t>https://www.youtube.com/watch?v=KVDRl_wLqdM</t>
  </si>
  <si>
    <t>"Breaking India" panel #5</t>
  </si>
  <si>
    <t>Tamil culture &amp; Vedic Sanskrit culture</t>
  </si>
  <si>
    <t>Digesting Hinduism into Dravidian Christianity</t>
  </si>
  <si>
    <t>Are dravidian black of India?</t>
  </si>
  <si>
    <t>How white vs black theory of racism being created in India.</t>
  </si>
  <si>
    <t>Nexus of Foreign NGOs and their role in BI</t>
  </si>
  <si>
    <t>RM reveals how foreign NGOs are systematically working towards breaking India.</t>
  </si>
  <si>
    <t>https://www.youtube.com/watch?v=Smd_3o5vtLo</t>
  </si>
  <si>
    <t>"Breaking India" Panel #2</t>
  </si>
  <si>
    <t>Bad</t>
  </si>
  <si>
    <t>Human right, conversion theory and Mahatma Gandhi</t>
  </si>
  <si>
    <t>The Christianity ambush on multiple fronts</t>
  </si>
  <si>
    <t>Aryan theory, Dravidian theory, Dravidian Christianity, Appropriation of Mahabharata etc into Christian frameworks</t>
  </si>
  <si>
    <t>https://www.youtube.com/watch?v=iBwpK4_JtEw</t>
  </si>
  <si>
    <t>"Breaking India" Panel #3</t>
  </si>
  <si>
    <t xml:space="preserve">Conspiracy theory and "Breaking India" book </t>
  </si>
  <si>
    <t>Human rights and its use for conversion</t>
  </si>
  <si>
    <t>How missionaries use religion and human rights as pretext to promote their conversion agenda</t>
  </si>
  <si>
    <t>https://www.youtube.com/watch?v=NCOKqHoIW7M</t>
  </si>
  <si>
    <t>"Breaking India" Panel #7</t>
  </si>
  <si>
    <t>Contribution of St Thomas to Indian Christianity. Temple vs Churches.</t>
  </si>
  <si>
    <t>St Thomas came to Pakistan area not South of India. Even after 200 years of death of Jesus Kerala has only 8 families. In 1816 Kerala had 35000 christians and 55 churches, 19600 temples. In 1876 Temples reduced to 962 Churches &gt; 1000. During freedom fight kerala churches was praying for British Govt. Churches are opportunists. In order to convert Brahmins into christianity a paadri from Italy came and settled in Madurai, learned sanskrit, translated bible into sanskrit and started church prayers in sanskrit.</t>
  </si>
  <si>
    <t>https://www.youtube.com/watch?v=Uq2PJjcHiqI</t>
  </si>
  <si>
    <t>Princeton University: Talk by Rajiv Malhotra - Part 2</t>
  </si>
  <si>
    <t>Get name of Italian Paadri for description.</t>
  </si>
  <si>
    <t>https://www.youtube.com/watch?v=ByaheAphduQ</t>
  </si>
  <si>
    <t>Hindu Unity Day: Dallas August, 2011</t>
  </si>
  <si>
    <t>MS</t>
  </si>
  <si>
    <t>What Rajiv Malhotra is try to do?</t>
  </si>
  <si>
    <t>Analyse how Hindu Sampradya, Parampara, Family system, festivals are being viewed, misintepreted and appropriated by west</t>
  </si>
  <si>
    <t>WIP-Content</t>
  </si>
  <si>
    <t>https://www.youtube.com/watch?v=tkF_3Ixn02I</t>
  </si>
  <si>
    <t>Ambedkar's views on conversion</t>
  </si>
  <si>
    <t>"Breaking India" Panel #9</t>
  </si>
  <si>
    <t>Ambedkar was opposed to conversion as he believed this would break up the unity of India owing to the foreign hands involved.</t>
  </si>
  <si>
    <t>https://www.youtube.com/watch?v=0Y3z-QStbk8</t>
  </si>
  <si>
    <t>"Breaking India" panel #11</t>
  </si>
  <si>
    <t>Conversion to Christianity and the demonization of Hinduism, ancient Indian culture</t>
  </si>
  <si>
    <t>When Indian convert to Christianity, irrespective of the reasons behind it they tend to distance themselves from the indigenous culture and practices slowly. Instead they develop their own clique encouraged by the perpetrators of conversion.</t>
  </si>
  <si>
    <t>What is Afro-Dalit project of missionaries in India?</t>
  </si>
  <si>
    <t>This project was the seed of writing book called "Breaking India"</t>
  </si>
  <si>
    <t>https://www.youtube.com/watch?v=Wpkt3HpzBTs</t>
  </si>
  <si>
    <t>"Breaking India" panel #10</t>
  </si>
  <si>
    <t>Improvement in conditions of Dalits is not connected to conversion</t>
  </si>
  <si>
    <t>The improvement in the conditions of Dalits was due to the excellent initiatives from the Government of India and not because of conversion as is wrongly believed.</t>
  </si>
  <si>
    <t>How churches creating dominance in India?</t>
  </si>
  <si>
    <t>Churches buy huge land in remote part of India to create dominance</t>
  </si>
  <si>
    <t>Conversion does not solve casteism problem - the sub topic can be this too</t>
  </si>
  <si>
    <t>Nexus of foreign NGOs and their role in human rights</t>
  </si>
  <si>
    <t>RM reveals how foreign NGOs are systematically working towards breaking India. He gives specific examples to illustrate his point.</t>
  </si>
  <si>
    <t>Churches and their human right arguments</t>
  </si>
  <si>
    <t>Churches using human right as a tool for conversion and spreading base</t>
  </si>
  <si>
    <t>Rajiv Malhotra on Christian media network</t>
  </si>
  <si>
    <t xml:space="preserve">Christian media worldwide orchestrate efforts to deliberately project India as a country where all sort of atrocities occur.  </t>
  </si>
  <si>
    <t>Is such a short clip ok?</t>
  </si>
  <si>
    <t>Defining who is a minority</t>
  </si>
  <si>
    <t xml:space="preserve">RM argues that we need to relook at the way we define minorities. It should be viewed in the light that certain minorities are governed by foreign players and hence definitely not be considered as a minority. </t>
  </si>
  <si>
    <t>https://www.youtube.com/watch?v=DMG2XD9_nTI</t>
  </si>
  <si>
    <t>Princeton University: Introduction by Vineet Chander</t>
  </si>
  <si>
    <t>Nexus of US Govt, Foundations and Churches from US</t>
  </si>
  <si>
    <t>What is US Commision on International Religious Freedom and their relation with US Political system</t>
  </si>
  <si>
    <t>https://www.youtube.com/watch?v=5LJPOCxc3E8</t>
  </si>
  <si>
    <t>Princeton University: Talk by Rajiv Malhotra - Part 3</t>
  </si>
  <si>
    <t>People behind religious freedom project of US Commision</t>
  </si>
  <si>
    <t>Who created Dravid Identify in India?</t>
  </si>
  <si>
    <t>Christian controlled media and literature</t>
  </si>
  <si>
    <t>There is a steady stream of Christian propaganda from foreign controlled sources with good credentials.</t>
  </si>
  <si>
    <t>21st Century methods to divide to rule the India</t>
  </si>
  <si>
    <t>Aryan-Dravinian Divide -&gt; Dalit-non-Dalit Divide, Majority-minority divide =&gt; Hindu vs Dravid + Dalit divide in society</t>
  </si>
  <si>
    <t xml:space="preserve">Radicalization of Christianity in India </t>
  </si>
  <si>
    <t>Christians in the West are more liberal in their thinking and open to many ideas. Whereas this kind of thinking will not sell the conversion agenda in India and instead a more radical approach is propagated.</t>
  </si>
  <si>
    <t>Who is responsible for asaulting indian culture</t>
  </si>
  <si>
    <t xml:space="preserve">A book on Chritian Media in India by Pradip N Thomas </t>
  </si>
  <si>
    <t>https://www.youtube.com/watch?v=LdrmgXtd_rs</t>
  </si>
  <si>
    <t>Princeton University: Talk by Reverend Thompson - Part 1</t>
  </si>
  <si>
    <t>Left-Right unity in India</t>
  </si>
  <si>
    <t>Role of US government, donors and NGOs in conversion</t>
  </si>
  <si>
    <t>Foreign policy makers in the US need to rethink the Christianity agenda in India. The earlier thinking of dividing India based on religion should be changed.</t>
  </si>
  <si>
    <t>What is minority community?</t>
  </si>
  <si>
    <t>https://www.youtube.com/watch?v=RdBz1kIwrqo</t>
  </si>
  <si>
    <t>Princeton University: Questions and Answers - Part 1</t>
  </si>
  <si>
    <t>https://www.youtube.com/watch?v=gbWoqwJKhbM</t>
  </si>
  <si>
    <t>Princeton University: Talk by Reverend Thompson - Part 2</t>
  </si>
  <si>
    <t>Human right in India vs China from the US lenses</t>
  </si>
  <si>
    <t xml:space="preserve">The systematic approach to converting people to Christianity in India is objectionable. </t>
  </si>
  <si>
    <t>In fighting of Hinduism, sufism and uniting Hindus strategy</t>
  </si>
  <si>
    <t>Principle of Karma, reincarnation, cosmic unity are non-negotiable. No-history is suprior, many path to the truth is the Hindu way. To unite Hindus we should compare how other traditions are different from Hindu tradition rather than how we are different within.</t>
  </si>
  <si>
    <t>How west was unified by Hegal in 17th Century</t>
  </si>
  <si>
    <t>Hegal is orignator of western sense of unity. Hindus need this same concept for unity.</t>
  </si>
  <si>
    <t>Can also be called Systematic approach to changing human behaviour</t>
  </si>
  <si>
    <t>Does Christianity respect other religions?</t>
  </si>
  <si>
    <t>Rev. Thompson's response is that not all churches aim to convert people. Only a narrow-minded set of Christians refuse to acknowledge other religions.</t>
  </si>
  <si>
    <t>https://www.youtube.com/watch?v=s3LVHHEe2vc</t>
  </si>
  <si>
    <t>Rajiv Malhotra: #2 Seminar in Houston, Book: Breaking India</t>
  </si>
  <si>
    <t>https://www.youtube.com/watch?v=WsjxXfklatk</t>
  </si>
  <si>
    <t>Princeton University: Questions and Answers Unfortunate Incident</t>
  </si>
  <si>
    <t>5 years ago</t>
  </si>
  <si>
    <t>Christian powered violence against Hindus</t>
  </si>
  <si>
    <t>In pockets of India which have a Christian majority, they have an issue in co-existing with Hindus and in fact turn violent against them.</t>
  </si>
  <si>
    <t>3 Naxus against India</t>
  </si>
  <si>
    <t>https://www.youtube.com/watch?v=N0PD3TuLvoo</t>
  </si>
  <si>
    <t>Princeton University: Questions and Answers - Part 2</t>
  </si>
  <si>
    <t>https://www.youtube.com/watch?v=C3_6Ub1GnfA</t>
  </si>
  <si>
    <t>Princeton University: Response by Rajiv Malhotra to Reverend Thompson</t>
  </si>
  <si>
    <t>What is being Broken &amp; Why?</t>
  </si>
  <si>
    <t>Sense of continuity, Teertha, Secrad Geography, Collective Destinity, Symbols, abusing some tradition, psychological sense of unity, sense of identify are being broken.</t>
  </si>
  <si>
    <t>Nothing of value to record here</t>
  </si>
  <si>
    <t>Dravidian Aryan Artificial Theory</t>
  </si>
  <si>
    <t>Stage of development of Drvaidian theory. Linguistic separation-&gt; culture different-&gt; race different-&gt; religion -&gt; now Dravidian is not secular but Christian Dravdian.</t>
  </si>
  <si>
    <t>https://www.youtube.com/watch?v=dp7l5qmLHJI</t>
  </si>
  <si>
    <t>Princeton University: Reactions After Event</t>
  </si>
  <si>
    <t>Expectations from the church in India</t>
  </si>
  <si>
    <t>Christianity practiced without an institutionalized approach to conversion is not a problem. It is only when it is thrust upon the people and Hindus protest that tension arises.</t>
  </si>
  <si>
    <t>Objective of DFN (Dalit Freedom Network)</t>
  </si>
  <si>
    <t>https://www.youtube.com/watch?v=elqL0Sr_sVU</t>
  </si>
  <si>
    <t>Atlanta April 23rd, 2011: Introduction by Krishna Kirti Das, President, The Samprajyna Institute</t>
  </si>
  <si>
    <t>Work of Lutherian Church of Northen Europe in India</t>
  </si>
  <si>
    <t>https://www.youtube.com/watch?v=ryQMb29oX3s</t>
  </si>
  <si>
    <t>Atlanta April 23rd, 2011: Introduction by Dr. Basant K. Tariyal</t>
  </si>
  <si>
    <t>Link between reservation, conversion and college admissions</t>
  </si>
  <si>
    <t>Rev. Thompson's views on whether reservation based college admissions influences conversions.</t>
  </si>
  <si>
    <t>US Govt Role as a Part of Nexus</t>
  </si>
  <si>
    <t>How Breaking India forces are studying India?</t>
  </si>
  <si>
    <t>Rev Thomas' responds to this question</t>
  </si>
  <si>
    <t>https://www.youtube.com/watch?v=BEz8X5SUwjY</t>
  </si>
  <si>
    <t>Why does Christianity promote conversions?</t>
  </si>
  <si>
    <t>Atlanta April 23rd, 2011: Talk by Rajiv Malhotra - Part 1</t>
  </si>
  <si>
    <t>Conversion implies that Christianity believes it is superior to other religions. Rev. Thompson responds to a question on that.</t>
  </si>
  <si>
    <t>https://www.youtube.com/watch?v=YFmL65VsWdk</t>
  </si>
  <si>
    <t>Rajiv Malhotra's Book "Being Different" Event with Swami Dayananda Saraswati</t>
  </si>
  <si>
    <t>Methodology behind BI research</t>
  </si>
  <si>
    <t xml:space="preserve">RM explains the methodology used to arrive at the conclusion that there is a large scale orchestration effort based in the US to promote the conversion agenda. </t>
  </si>
  <si>
    <t>https://www.youtube.com/watch?v=lzMEDrUFlpw</t>
  </si>
  <si>
    <t>Atlanta April 23rd, 2011: Talk by Rajiv Malhotra - Part 2</t>
  </si>
  <si>
    <t>Low</t>
  </si>
  <si>
    <t>Yagya is not equal to sacrfice</t>
  </si>
  <si>
    <t>8:47 - 10:05 - Rev. Thomas's addition to RM's points - don’t think it is needed - your call</t>
  </si>
  <si>
    <t>Ok</t>
  </si>
  <si>
    <t>https://www.youtube.com/watch?v=qCG2vqnaUx4</t>
  </si>
  <si>
    <t>Atlanta April 23rd, 2011: Talk by Rajiv Malhotra - Part 3</t>
  </si>
  <si>
    <t>Non Translatable Sanskrit Words</t>
  </si>
  <si>
    <t>Prophet is not Rishi, Energy in Shakti, Soul is not  Atman, Gym is not Yoga? Civilization and words for something which they have experienced. Prophet does not have experience of unity but rishi has. Prophet is non producable. Rishi potential is with everyone.</t>
  </si>
  <si>
    <t>What is digestion of civilization?</t>
  </si>
  <si>
    <t>https://www.youtube.com/watch?v=ycnvyB8pDEM</t>
  </si>
  <si>
    <t>Atlanta April 23rd, 2011: Questions and Answers - Part 1</t>
  </si>
  <si>
    <t>RM presents examples of books written by Western authors on the propagation of Christianity by the US.</t>
  </si>
  <si>
    <t>https://www.youtube.com/watch?v=xANxZaCCD70</t>
  </si>
  <si>
    <t>Atlanta April 23rd, 2011: Questions and Answers - Part 2</t>
  </si>
  <si>
    <t>How to avoid digestion of civilization?</t>
  </si>
  <si>
    <t>Karma, Reincarnation cannot be digested in Christianity.</t>
  </si>
  <si>
    <t>Christianity does not believe in pluralism unlike Hinduism and this therefore reduces diversity. Religious freedom is curtailed when you join a religion of exclusivity such as CHristianity.</t>
  </si>
  <si>
    <t>https://www.youtube.com/watch?v=VeR7IhIkDk0</t>
  </si>
  <si>
    <t>Why virgin birth so critical in Christianity?</t>
  </si>
  <si>
    <t>Atlanta April 23rd, 2011: Conclusion by Gokul Kunnath</t>
  </si>
  <si>
    <t>Conversion does not solve casteism problem</t>
  </si>
  <si>
    <t>Christianity in India has a thriving caste system built into it. It is a myth that Christianity has overcome the caste problem.</t>
  </si>
  <si>
    <t>People born before Jesus and original sin.</t>
  </si>
  <si>
    <t>Rajiv Malhotra on Buddhism in India</t>
  </si>
  <si>
    <t xml:space="preserve">Buddhism in India flourished for nearly 1000 years in India before its decline. </t>
  </si>
  <si>
    <t>RKT</t>
  </si>
  <si>
    <t>What is nicene creed?</t>
  </si>
  <si>
    <t>https://www.youtube.com/watch?v=iS7CE9mrtI4</t>
  </si>
  <si>
    <t>God and Identity: Rajiv Malhotra &amp; Joshua Stanton #1</t>
  </si>
  <si>
    <t>RM refutes Rev. Thompson's statement on the existence of Hindutva during St. Thomas' time.</t>
  </si>
  <si>
    <t>https://www.youtube.com/watch?v=G3NpQQMh8jQ</t>
  </si>
  <si>
    <t>What is history centrism?</t>
  </si>
  <si>
    <t>Breaking India book by Rajiv Malhotra: Talk by Dr Swamy Part 2</t>
  </si>
  <si>
    <t>https://www.youtube.com/watch?v=THua8SMPtK4</t>
  </si>
  <si>
    <t>Brahman and Karma: Rajiv Malhotra &amp; Joshua Stanton #2</t>
  </si>
  <si>
    <t>Status of Jesus in Islam</t>
  </si>
  <si>
    <t>Dr. Subramanian Swamy on Building an identity of India</t>
  </si>
  <si>
    <t>Defining who an Indian is</t>
  </si>
  <si>
    <t>https://www.youtube.com/watch?v=6_9IYK6ZlyY</t>
  </si>
  <si>
    <t>Why Reincarnation: Rajiv Malhotra &amp; Joshua Stanton #3</t>
  </si>
  <si>
    <t>Intergral Unity vs Synthetic Unity</t>
  </si>
  <si>
    <t>Dr. Subramanian Swamy on Breaking India forces at play</t>
  </si>
  <si>
    <t>The forces at play to break India over the years</t>
  </si>
  <si>
    <t>Sufism &amp; Islam and Ahmadiyya</t>
  </si>
  <si>
    <t>Unity consiousness is blasphamy</t>
  </si>
  <si>
    <t>https://www.youtube.com/watch?v=LXrKKz7Mld8</t>
  </si>
  <si>
    <t>Limits &amp; Possibilities of Self: Rajiv Malhotra &amp; Joshua Stanton #4</t>
  </si>
  <si>
    <t>Dr. Subramanian Swamy on the Aryan - Dravidian myth</t>
  </si>
  <si>
    <t>Debunking the Aryan Dravidian divide</t>
  </si>
  <si>
    <t>https://www.youtube.com/watch?v=NPNImjeRrF8</t>
  </si>
  <si>
    <t>https://www.youtube.com/watch?v=ufZ1BZcZzKI</t>
  </si>
  <si>
    <t>Rajiv Malhotra talk at Arsha Vidya</t>
  </si>
  <si>
    <t>This clip is longer than usual but Dr. Swamy is talking on the same topic for this length of time</t>
  </si>
  <si>
    <t>History &amp; Dharmic Traditions: Rajiv Malhotra &amp; Joshua Stanton #8</t>
  </si>
  <si>
    <t>Why Hindu Identify?</t>
  </si>
  <si>
    <t>Why we need Hindu Identify 
   Will it not create conflict?
                No Because we have concept of mutual respect. Other has concept of tolerance. We do not claim exclusivity.
   We all are American, why does it matter that we are Hindu, Chinese or Japanese?
                America is fine with hyphenated Identify - African American, Native American, British American etc.
                hyphenated is fine with Religious Identify - Catholic American, Jews American, American Muslim etc.
   As per Advaita Vedanta everything is Maya. So identify is useless. Identify only belongs to Dualistic. So why need Idenity?
                In Leela you have identity and you play your role as per Identify.</t>
  </si>
  <si>
    <t>Dr. Subramanian Swamy on how India has retained a Hindu majority</t>
  </si>
  <si>
    <t>How India has managed to maintain its Hindu majority</t>
  </si>
  <si>
    <t>Dr. Subramanian Swamy on developing a Hindu identity</t>
  </si>
  <si>
    <t>Creating a collective consciousness among Hindus</t>
  </si>
  <si>
    <t>https://www.youtube.com/watch?v=rNhQIKC2jPM</t>
  </si>
  <si>
    <t>Personal Motivations: Rajiv Malhotra &amp; Joshua Stanton #5</t>
  </si>
  <si>
    <t>Following questions raised but not answered in this Video. 
What is Hindu Identify? 
How to present Hindu identify in a respectable manner?</t>
  </si>
  <si>
    <t>Why Rajv Malhotra's arguments work for the Western audience?</t>
  </si>
  <si>
    <t>RM uses the same language and articulation style as the Western world</t>
  </si>
  <si>
    <t>https://www.youtube.com/watch?v=8RSu4ymCgp4</t>
  </si>
  <si>
    <t>Rajiv Malhotra's Lecture on U-Turn Theory, Lady Sri Ram College, Delhi</t>
  </si>
  <si>
    <t>Dr. Subramanian Swamy on reservation &amp; caste system in India</t>
  </si>
  <si>
    <t>Thoughts on reservation, varna and jati</t>
  </si>
  <si>
    <t>https://www.youtube.com/watch?v=FndfcBhZklU</t>
  </si>
  <si>
    <t>Dharma &amp; Modern India: Rajiv Malhotra &amp; Joshua Stanton #9</t>
  </si>
  <si>
    <t>Five stage of U-Turn Theory</t>
  </si>
  <si>
    <t>1- Understanding the Indian thought with great respect
2- Erase the Indian origin and consider it generic, because of various reasons
3- Behave like it is part of their own culture. Like christian, jews or scientific idea. 
4- Hate the India source
5- Final knowledge is imported into India as a new Idea</t>
  </si>
  <si>
    <t>Princeton University  discussion on "Breaking India" - speaker Reverend Thompson.</t>
  </si>
  <si>
    <t>https://www.youtube.com/watch?v=20u8yHim1tM</t>
  </si>
  <si>
    <t>Educating the Next Generation: Rajiv Malhotra &amp; Joshua Stanton #11</t>
  </si>
  <si>
    <t>Content is mediocre but retaining it as it shows the quality of the argument</t>
  </si>
  <si>
    <t>Rev. Thompson on forcible conversion to Christianity</t>
  </si>
  <si>
    <t>Rev. Thompson says conversion is a religious right and dismisses claims of forcible conversion</t>
  </si>
  <si>
    <t>https://www.youtube.com/watch?v=K9s433rQloA</t>
  </si>
  <si>
    <t>Dharmic Framework for Dialogue: Rajiv Malhotra &amp; Joshua Stanton #10</t>
  </si>
  <si>
    <t>U-Turn of Dr. Herb Benson</t>
  </si>
  <si>
    <t>Rev. Thompson's reasoning for conversion</t>
  </si>
  <si>
    <t>Rev. Thompson explains why his family converted to Christianity from being a Hindu; social oppression owing to belonging to a lower caste is his reasoning</t>
  </si>
  <si>
    <t>https://www.youtube.com/watch?v=QEUeYDEFtsE</t>
  </si>
  <si>
    <t>Language and Difference: Rajiv Malhotra &amp; Joshua Stanton #6</t>
  </si>
  <si>
    <t>Rev. Thompson explains why anti-Brahmin feelings rose</t>
  </si>
  <si>
    <t>Rev. Thompson gives the example of the Tamil movie Parashakti where Brahmins are cast in the worst light possible. This movie was a super hit and made Sivaji Ganesan a superstar</t>
  </si>
  <si>
    <t>U-Turn of Daniel Goleman</t>
  </si>
  <si>
    <t>https://www.youtube.com/watch?v=Yhp3rFuo5Cw</t>
  </si>
  <si>
    <t>History Centrism As the Problem: Rajiv Malhotra and Joshua Stanton #7</t>
  </si>
  <si>
    <t>Rev. Thompson speaks in support of the Aryan - Dravidian theory</t>
  </si>
  <si>
    <t>Rev. Thompson cites the work of a few historians to support the theory that Dravidians were the original inhabitants of the Indus valley civilization</t>
  </si>
  <si>
    <t>U-Turn of Dean Ornish</t>
  </si>
  <si>
    <t>https://www.youtube.com/watch?v=8qjQH_-WzyE</t>
  </si>
  <si>
    <t>Rajiv Malhotra California June 2011 - 1: Importance of Managing our Civilization Discourse</t>
  </si>
  <si>
    <t>U-Turn of John Kabat Zinn</t>
  </si>
  <si>
    <t>Foudar of Mindfull Mediation. Which is originally Vipasana</t>
  </si>
  <si>
    <t>https://www.youtube.com/watch?v=vHWsmGyjOk0</t>
  </si>
  <si>
    <t>Rajiv Malhotra California June 2011 - 2: Changing the Game through Non-Ignorable Interventions</t>
  </si>
  <si>
    <t>Content is mediocre but retaining it as it shows the low quality of the argument</t>
  </si>
  <si>
    <t>U-Turn of Stephen LaBerge</t>
  </si>
  <si>
    <t>Prominient Professor of Cognitive Sciences At Stanford University. Yoga Nidra, Lucid Dreaming expermentor.</t>
  </si>
  <si>
    <t>Rev. Thompson continues with his argument that Dravidians were the superior race and Aryans borrowed many of the original ideas of Dravidians. Aryans brought about the caste system.</t>
  </si>
  <si>
    <t>https://www.youtube.com/watch?v=-udb2VYB5uo</t>
  </si>
  <si>
    <t>Rajiv Malhotra California June 2011 - 3: Anti-India Nexuses</t>
  </si>
  <si>
    <t>U-Turn of Francisco Varela</t>
  </si>
  <si>
    <t>Late Professor, Cognitive Nerosciences and brain Imaging Laboratory, Paris</t>
  </si>
  <si>
    <t>https://www.youtube.com/watch?v=f-MLHIb4dFU</t>
  </si>
  <si>
    <t>Rajiv Malhotra California: #4 Exploiting India's Minorities</t>
  </si>
  <si>
    <t>U-Trun of Evan Thompson</t>
  </si>
  <si>
    <t>Student of Francisco Varela</t>
  </si>
  <si>
    <t>Using the Dalit cause as a Breaking India factor</t>
  </si>
  <si>
    <t>The Dalit identity and using the victimhood card are used as a divisive strategy. It is a well-thought through and funded campaign including from US based organizations.</t>
  </si>
  <si>
    <t xml:space="preserve">U-Trun of Roberto Assagioli </t>
  </si>
  <si>
    <t>https://www.youtube.com/watch?v=m3jwqSSyVkg</t>
  </si>
  <si>
    <t>Roberto Assagioli - Contemporary of Freud and the foundaer of psycho-synthesis. Transpersonal Psychology</t>
  </si>
  <si>
    <t>Rajiv Malhotra California June 2011 - 5: Q &amp; A (Los Angeles) 1</t>
  </si>
  <si>
    <t>U-Turn of Ken Welber</t>
  </si>
  <si>
    <t>Latest icon of Transpersonal Pschology in west</t>
  </si>
  <si>
    <t>https://www.youtube.com/watch?v=QWaXqmcxm94</t>
  </si>
  <si>
    <t>Rajiv Malhotra California June 2011 - 6: Q &amp; A (Los Angeles) 2</t>
  </si>
  <si>
    <t>In the initial part, the video jumps around quite a bit</t>
  </si>
  <si>
    <t>Institutional U-Turn- California Institute of Integral Studies</t>
  </si>
  <si>
    <t>Who is behind the Breaking India movement?</t>
  </si>
  <si>
    <t>RM has meticulously researched the forces behind the Dalit movement and exposes their hidden agenda. There are several organizations based mainly in the US which have targeted India for conversion.</t>
  </si>
  <si>
    <t>https://www.youtube.com/watch?v=JXjMYvGqqDE</t>
  </si>
  <si>
    <t>Rajiv Malhotra California June 2011 - 7: Q &amp; A (Los Angeles) 3</t>
  </si>
  <si>
    <t>Institutional U-Turn- Esalen - Original Influenced by JD Krishnamurthi</t>
  </si>
  <si>
    <t>https://www.youtube.com/watch?v=TGgYE0Ui0co</t>
  </si>
  <si>
    <t>Rajiv Malhotra California June 2011 - 8: Q &amp; A (Bay Area) 4</t>
  </si>
  <si>
    <t>The systematic campaign to tag India as a place where there is no religious freedom.</t>
  </si>
  <si>
    <t>Institutional U-Turn- Institute of Noetic Sciences - IONS</t>
  </si>
  <si>
    <t xml:space="preserve">Extensive research by RM has revealed how churches, governments, private think-tanks, foundations, academic institutions provide funding, ideology and manpower. Media also cooperates by painting a biased view of the happenings in India. </t>
  </si>
  <si>
    <t>https://www.youtube.com/watch?v=xtHzknvaS7s</t>
  </si>
  <si>
    <t>Rajiv Malhotra California June 2011 - 9: Q &amp; A (Bay Area) 5</t>
  </si>
  <si>
    <t>U-Turn of Karl Jung</t>
  </si>
  <si>
    <t>Some Liberal Christians who get involved unknowingly in the Breaking India movement</t>
  </si>
  <si>
    <t>Father of modern pyschology</t>
  </si>
  <si>
    <t xml:space="preserve">Some prestigious think tanks and liberal Christians in the US unknowingly get involved in the Breaking India activities without realizing the consequences of some of the actions they take. </t>
  </si>
  <si>
    <t xml:space="preserve">Understanding the campaign by vested interests for a Dravidian identity </t>
  </si>
  <si>
    <t>RM explains how the Dravidian narrative is carefully built by a well-executed campaign over several years involving even famous names.</t>
  </si>
  <si>
    <t>U-Turn of Poly Trout</t>
  </si>
  <si>
    <t>Using the minority card to create a divide</t>
  </si>
  <si>
    <t>U-Trun Eugene Taylor</t>
  </si>
  <si>
    <t>Minorities are being whitewashed into believing they are victims leading to divisiveness and even violent confrontations.</t>
  </si>
  <si>
    <t>Impact of Transcendental Meditation</t>
  </si>
  <si>
    <t>https://www.youtube.com/watch?v=sc4OOSLMiQQ</t>
  </si>
  <si>
    <t>Rajiv Malhotra: #1 Seminar in Houston, Book: Breaking India</t>
  </si>
  <si>
    <t>GoI intervention is needed to stem the Breaking India movement</t>
  </si>
  <si>
    <t>The Govt. of India has strangely remained quiet with regard to the Breaking India movement. In addition to private stakeholders, the government should also get involved and protest to the US government. The Chinese response to similar situations is interesting.</t>
  </si>
  <si>
    <t>Five stage of U-Turn Theory in Detail</t>
  </si>
  <si>
    <t>https://www.youtube.com/watch?v=QZxRsM9xvK4</t>
  </si>
  <si>
    <t>Rajiv Malhotra: #3 Seminar in Houston, Book: Breaking India</t>
  </si>
  <si>
    <t>Digestion of Ayurveda into Estee Lauder (Aveda)</t>
  </si>
  <si>
    <t>How to make more people aware of the Breaking India movement</t>
  </si>
  <si>
    <t>Steps need to be taken beyond publishing the book to spread the message from the book to a larger audience. Some measures include Tamil translation, debates, lobbying with the US government etc.</t>
  </si>
  <si>
    <t>How yoga could have benefited Indian Economy</t>
  </si>
  <si>
    <t>In the initial part, the video jumps around quite a bit and then settles down.</t>
  </si>
  <si>
    <t>Why are Indian leaders unable to take bold steps on anti-conversion?</t>
  </si>
  <si>
    <t>RM's view is that we need strong and clean leaders to initiate bold steps against conversion. Sadly, India lacks that and hence most leaders can be compromised.</t>
  </si>
  <si>
    <t>AA</t>
  </si>
  <si>
    <t>https://www.youtube.com/watch?v=Vf5BOYF0S3Y</t>
  </si>
  <si>
    <t>https://www.youtube.com/watch?v=-3rtVbNkNNQ</t>
  </si>
  <si>
    <t>Rajiv Malhotra: #4 Seminar in Houston, Book: Breaking India</t>
  </si>
  <si>
    <t>American Theory-Making on India: "Saving Indians from India" by Rajiv Malhotra 2005 at IIC Delhi</t>
  </si>
  <si>
    <t xml:space="preserve">The challenges in getting organized support against Breaking India forces in India </t>
  </si>
  <si>
    <t>Media, politicians, corporates cannot be relied on to support campaign against Breaking India forces as they have their own agendas to fulfill. However, the defence sector is cognizant of the challenges that India as a nation faces from such forces and are supportive.</t>
  </si>
  <si>
    <t>the audio quality when the question is being asked is not good</t>
  </si>
  <si>
    <t>The three external threats that India faces</t>
  </si>
  <si>
    <t>The West, Islam and China are always at work to convert the large Indian population to their agenda. The inaction of the Indian Government enables them to get away with such activities.</t>
  </si>
  <si>
    <t>Human Right Policing in India by USA</t>
  </si>
  <si>
    <t>https://www.youtube.com/watch?v=ytrFjytVgtk</t>
  </si>
  <si>
    <t>Seminar in Houston, Book: Breaking India #5</t>
  </si>
  <si>
    <t>Can India's inherent strengths not protect her from Breaking India forces?</t>
  </si>
  <si>
    <t>Over 2000 years ago, India extended from Afghanistan to Bali. The country has lost 80% of its land to the two new religions that have been expanding aggressively. The partition threat is alive even today in Kashmir, NE and Tamil Nadu.</t>
  </si>
  <si>
    <t>Does the west of superior human right records?</t>
  </si>
  <si>
    <t>https://www.youtube.com/watch?v=28dLjjiriJA</t>
  </si>
  <si>
    <t>Seminar in Houston, Book: Breaking India #6</t>
  </si>
  <si>
    <t>Dowry murders Delhi and Insurance Killing in New York a comparision</t>
  </si>
  <si>
    <t>Will truth not prevail over the Breaking India forces?</t>
  </si>
  <si>
    <t>Like in any competitive arena, the best team wins irrespective of whether they are speaking the truth or not.</t>
  </si>
  <si>
    <t>the audio quality when the question is being asked is not good; video jumps around initially</t>
  </si>
  <si>
    <t>https://www.youtube.com/watch?v=mhHQNrL_bkM</t>
  </si>
  <si>
    <t>India's Pluralism is Under-appreciated!</t>
  </si>
  <si>
    <t>Houston Seminar on Breaking India: September 11, 2011 - Audience Q &amp; A with Rajiv Malhotra Vid 7</t>
  </si>
  <si>
    <t>Willingness of people to contribute to Rajiv Malhotra's efforts</t>
  </si>
  <si>
    <t xml:space="preserve">RM describes the attitude of people when it comes to contributing to the anti - Breaking India efforts. Most Indians tend to be cheerleaders rather than active participants despite the gravity of the situation. </t>
  </si>
  <si>
    <t>Please see if this clip is required in terms of content.</t>
  </si>
  <si>
    <t>Academic studies about India are pre-judice</t>
  </si>
  <si>
    <t>https://www.youtube.com/watch?v=HZ6X5Xt1nS8</t>
  </si>
  <si>
    <t>Houston Seminar on Breaking India: September 11, 2011 - Jayakumar (Chief Organizer) Vid 8</t>
  </si>
  <si>
    <t>This can be dropped</t>
  </si>
  <si>
    <t>Biased linking between the social problem and Hinduism</t>
  </si>
  <si>
    <t>https://www.youtube.com/watch?v=IAmXafhUmYc</t>
  </si>
  <si>
    <t>Introductory talk at Uberoi Foundation - Oct 1st, 2011</t>
  </si>
  <si>
    <t>American encouraged topics vs discouraged topic in India study</t>
  </si>
  <si>
    <t>Why is there a need to manage our Hindu civilization discourse?</t>
  </si>
  <si>
    <t>Discourses shape social realities and therefore the future. It is imperative to therefore have a discourse on our civilization so that we have a say in our future rather than allow others to dictate it.</t>
  </si>
  <si>
    <t>https://www.youtube.com/watch?v=M-zdPqtp9Kk</t>
  </si>
  <si>
    <t>Rajiv Malhotra at Univ. of Delhi, Psychology Department, presenting BEING DIFFERENT</t>
  </si>
  <si>
    <t>A comparison of sharp criticism of India vs USA.</t>
  </si>
  <si>
    <t>https://www.youtube.com/watch?v=J5mYtIH7Pho</t>
  </si>
  <si>
    <t>HarperCollins launch of BEING DIFFERENT by Rajiv Malhotra - Part 1 - Preliminaries</t>
  </si>
  <si>
    <t>What is a discourse?</t>
  </si>
  <si>
    <t xml:space="preserve">Borrowing IT terminology, discourse is like the "apps" part of the equation if you consider temple etc. as the infrastructure. </t>
  </si>
  <si>
    <t>How anthropologists, publishers, religion academician &amp; historians make a bad gang</t>
  </si>
  <si>
    <t>The content is generic</t>
  </si>
  <si>
    <t>Is Western collaboration necessary to manage the Hindu discourse?</t>
  </si>
  <si>
    <t>Involving Western institutions will mean giving up control of what will be disseminated to them. This is like colonization all over again.</t>
  </si>
  <si>
    <t>https://www.youtube.com/watch?v=OpsoPcAUMbw</t>
  </si>
  <si>
    <t>HarperCollins launch of BEING DIFFERENT - Pt 2 Pavan Verma Indian Ambassador to Bhutan</t>
  </si>
  <si>
    <t>How this whole theater of Breaking India forces works?</t>
  </si>
  <si>
    <t>Are Hindus present in the discourse forums?</t>
  </si>
  <si>
    <t>Hindus are not sufficiently present in discourse forums, Even our gurus and acharyas are unprepared when it comes to understanding the Western point of view and presenting a solid argument. The concept of purva paksha has been forgotten. Independent thinkers are necessary to change perspectives.</t>
  </si>
  <si>
    <t>How the rich of the world are re-writing history.</t>
  </si>
  <si>
    <t>Sansar Chanra Advisor from People First on Hidden Mystry Book Series in America has 13 books. It is about how the history is re-written by rich people?</t>
  </si>
  <si>
    <t>https://www.youtube.com/watch?v=MlTxtaiX1xI</t>
  </si>
  <si>
    <t>HarperCollins launch of BEING DIFFERENT by Rajiv Malhotra Part 3 - Madhu Khanna, Prof of Religion</t>
  </si>
  <si>
    <t>Relationship between Economic performance of a country and its Cultural capital</t>
  </si>
  <si>
    <t>https://www.youtube.com/watch?v=4yz6ZL-TC94</t>
  </si>
  <si>
    <t>How Hindus can initiate discourses that cannot be ignored</t>
  </si>
  <si>
    <t>Mark Tully Discusses Rajiv Malhotra's Book BEING DIFFERENT</t>
  </si>
  <si>
    <t>What is effective is for Hindus to hold public discourses that challenge institutions and people of today rather than criticize history. Avoiding naming names ensures that your discourse is ignored by your opponent. RM's approach has therefore been to take on public discourses/intellectual discussions with living thinkers.</t>
  </si>
  <si>
    <t>The whole system of economic growth is unsustainable.</t>
  </si>
  <si>
    <t>There is some coughing that I hear in the background. Can this be removed?</t>
  </si>
  <si>
    <t>What is Indian Grand Narrantive?</t>
  </si>
  <si>
    <t>https://www.youtube.com/watch?v=29-xoooHPaw</t>
  </si>
  <si>
    <t>Being Different at YPO/WPO, Madras: Rajiv Malhotra's Talk</t>
  </si>
  <si>
    <t>https://www.youtube.com/watch?v=uDANJcQm-So</t>
  </si>
  <si>
    <t>Response to BEING DIFFERENT by Prof Francis Clooney of Harvard: UMass 2</t>
  </si>
  <si>
    <t>https://www.youtube.com/watch?v=y1fdkGgCt64</t>
  </si>
  <si>
    <t>IIT Madras: Rajiv Malhotra talk on "Being Different" Part 1</t>
  </si>
  <si>
    <t>https://www.youtube.com/watch?v=FNqQxPkLmPI</t>
  </si>
  <si>
    <t>Being Different: IIT Madras Part 3 - Q&amp;A</t>
  </si>
  <si>
    <t>https://www.youtube.com/watch?v=54lSHTtU68A</t>
  </si>
  <si>
    <t>Sanskrit Non-Translatable words</t>
  </si>
  <si>
    <t>Rajiv Malhotra's Opening Remarks- His Discussion with Prof Francis Clooney of Harvard: UMass 1</t>
  </si>
  <si>
    <t>Tracing the growth of Anti-India causes</t>
  </si>
  <si>
    <t>RM explains how causes such as the Dravidian  identity and Dalit movement have been created and nurtured by vested interests over the years.</t>
  </si>
  <si>
    <t>https://www.youtube.com/watch?v=fjD9BVlmPoA</t>
  </si>
  <si>
    <t>Rajiv Malhotra's Keynote Address at Institute of Social &amp; Economical Change, Bangalore</t>
  </si>
  <si>
    <t>Who is involved in the Anti-India nexus and their modus operandi</t>
  </si>
  <si>
    <t>The Western church, evangelists, right wing politicians are the key powers and they make use of people from India to play the Dalit face.</t>
  </si>
  <si>
    <t>https://www.youtube.com/watch?v=aXm-YqwVmbs</t>
  </si>
  <si>
    <t>Rajiv Malhotra's Response to Francis Clooney on BEING DIFFERENT: UMass 3</t>
  </si>
  <si>
    <t>How Indian Psychology became serious subject in western world</t>
  </si>
  <si>
    <t>The anti-India forces are church based, secular left-wing think tanks, government agencies, and academics  in the US and Europe. In India the left is aligned with the right wing Christians as the common goal is to break India.</t>
  </si>
  <si>
    <t>https://www.youtube.com/watch?v=4eM5V0OXNNU</t>
  </si>
  <si>
    <t>Being Different —Rajiv &amp; Francis Clooney's Q&amp;A with Students of UMass: 4</t>
  </si>
  <si>
    <t>What is Protestant Ethics (Western Model) and its impact on India</t>
  </si>
  <si>
    <t>World is for man's exploitation. Man centric, selfish. This model is not viable, scalable.</t>
  </si>
  <si>
    <t>The content is similar or can be clubbed with clip 33.02</t>
  </si>
  <si>
    <t>Defining who is a minority in India</t>
  </si>
  <si>
    <t>Indian Ashrama system and cosumerism</t>
  </si>
  <si>
    <t>https://www.youtube.com/watch?v=knJJGEYwaZw</t>
  </si>
  <si>
    <t>IIT Madras Part 2 - Comments on BEING DIFFERENT by Prof. Nellickappilly &amp; Prof. Venkatakrishnan</t>
  </si>
  <si>
    <t>The content is similar or can be clubbed with clip 22.06</t>
  </si>
  <si>
    <t>Corruption in the Christian conversion process</t>
  </si>
  <si>
    <t>Many middlemen siphon off grant money from the West to be used for conversion purposes.</t>
  </si>
  <si>
    <t>Indian Decentralized Structures</t>
  </si>
  <si>
    <t>https://www.youtube.com/watch?v=3pxgnl2fHZg</t>
  </si>
  <si>
    <t>Part 2- Mata Amritanandamayi's Univ: Ann Berliner, Prof. CA State Univ. Comments on BEING DIFFERENT</t>
  </si>
  <si>
    <t>The content is similar or can be clubbed with clip 29.03</t>
  </si>
  <si>
    <t>How can Indian beat the western model of development?</t>
  </si>
  <si>
    <t>https://www.youtube.com/watch?v=VP5gPVW3XDM</t>
  </si>
  <si>
    <t>Being Different or Being Digested - Univ of Massachusetts</t>
  </si>
  <si>
    <t>ND</t>
  </si>
  <si>
    <t>How to get our work scientifically validated?</t>
  </si>
  <si>
    <t>U turner's work is very helpful in this</t>
  </si>
  <si>
    <t>https://www.youtube.com/watch?v=TEUt7CVuFbI</t>
  </si>
  <si>
    <t>Being Different: India's Challenge to Western Universalism_Full Talk</t>
  </si>
  <si>
    <t>What is Western Universalism?</t>
  </si>
  <si>
    <t>The West's point of view of the world, the truth, history, philosophy, religion and so on has become universal, although no one school of thought can claim to be an absolute authority.  Just like the Chinese and Islam have managed to create their own identity, can India do the same?</t>
  </si>
  <si>
    <t>How to counter the Weber's critique about India</t>
  </si>
  <si>
    <t>Why Being Different is important for India</t>
  </si>
  <si>
    <t>https://www.youtube.com/watch?v=z1wT-GurohQ</t>
  </si>
  <si>
    <t>The alternative to being different is to be digested  - this means homogenous cultures which is not a good thing as diversity is essential in the universe. Borrowing without harming the source is a good thing. It is how humanity advances by learning from each other. But in Digestion per se, there is no trace of the source left - as Pagans getting digested into Christianity</t>
  </si>
  <si>
    <t>IISc Video 2 - Comments by T.V. Mohandas Pai, Former Board member of Infosys</t>
  </si>
  <si>
    <t>Indian Diasphora and U-turn theory</t>
  </si>
  <si>
    <t>Indian Diasphora types: Spritual, Modern Professional, Language based</t>
  </si>
  <si>
    <t>Why do Westerners disassociate from their Indian source of knowledge?</t>
  </si>
  <si>
    <t>RM and Dr. Singh, Center of Indic Studies at UMass discuss this issue. While younger Americans are sincere in their quest for knowledge, however, as they learn more, they reach a point (RM calls it the U-turn) where they have to give up their Western identity. Most Westerners are unwilling to do that.</t>
  </si>
  <si>
    <t>How Hindu Gurus are furthering Western universalism and the digestion process</t>
  </si>
  <si>
    <t>Women not found in classical indian tradition with equal rights</t>
  </si>
  <si>
    <t>Indians help Western universalism by translating Sanskrit text into English although it distorts the meaning, and compromise on our tradition.</t>
  </si>
  <si>
    <t>https://www.youtube.com/watch?v=f-XdG6v-RWk</t>
  </si>
  <si>
    <t>Rajiv Malhotra explains his Systems Model of History Centrism at IISc</t>
  </si>
  <si>
    <t>Spreading the Being Different revolution</t>
  </si>
  <si>
    <t>Targeting three key stakeholders - academia, gurus and corporates, and engaging with them will help spread the Being Different revolution</t>
  </si>
  <si>
    <t>Using dharmic civilization as a base does not mean we want to go back to Vedic age</t>
  </si>
  <si>
    <t>Inspiration behind Being DIfferent</t>
  </si>
  <si>
    <t>RM worked with several academics to write about Hinduism but his experience was not satisfactory, he started writing blogs, talking in conferences and writing books on his own to express his ideas.</t>
  </si>
  <si>
    <t>https://www.youtube.com/watch?v=BcDC-Op1hJc</t>
  </si>
  <si>
    <t>IISc Video 3 - Comments by Roddam Narasimha, Scientist</t>
  </si>
  <si>
    <t>The Hindu view point present at the table</t>
  </si>
  <si>
    <t>BY reviving the roots of our civilization, we will be able to present solutions from our view point to many of the challenges plaguing the people today.</t>
  </si>
  <si>
    <t>https://www.youtube.com/watch?v=cpZPvFvzNlc</t>
  </si>
  <si>
    <t>Rajiv Malhotra: Debating Identity with NRI Youths</t>
  </si>
  <si>
    <t>Why is the Indian civilzation under-represented in the cross-fertilization of civilization discussions?</t>
  </si>
  <si>
    <t>https://www.youtube.com/watch?v=lXmhJr1LDyI</t>
  </si>
  <si>
    <t>IISc Video 4 - Q &amp; A</t>
  </si>
  <si>
    <t>4 years ago</t>
  </si>
  <si>
    <t>How can the Indic voice get created?</t>
  </si>
  <si>
    <t>By using the Purva Paksha method or studying the other view, it is possible to arrive at the commonalites within the Indic tradition and develop an Indic voice. It will help show what is different and non-digestible about the Indian civilization.</t>
  </si>
  <si>
    <t>https://www.youtube.com/watch?v=Wrs0XEoFHAM</t>
  </si>
  <si>
    <t>Rajiv Malhotra's TV Interview with Prof. Thakur of Jawaharlal Nehru University</t>
  </si>
  <si>
    <t>https://www.youtube.com/watch?v=0uPW7Jf9y7o</t>
  </si>
  <si>
    <t>Rajiv Malhotra's Talk at Kitab Khana, Mumbai's Premier Bookstore</t>
  </si>
  <si>
    <t>Strategy: Handling multiple questions on Hindu Identify.</t>
  </si>
  <si>
    <t>https://www.youtube.com/watch?v=O0wEzvYOTJw</t>
  </si>
  <si>
    <t>Breaking India book by Rajiv Malhotra Bangalore_ Intro by TS Mohan #1</t>
  </si>
  <si>
    <t>Strategy
        Rajiv Malahotra using a strategy of consolidating various questions into one
        0:2:11-&gt; 0:10:20
        Now let us agree that we need an identify
        0:42:57-&gt;0:45:56
        What is Hindu Identify &amp; Dilema
        0:47:00-&gt; 0:49:50
        0:51:17-&gt; 0:55:17
        0:57:45-&gt; 1:00:01</t>
  </si>
  <si>
    <t>Brayan: Please create a separate clip combining time stamp mentioned in Editor's Note</t>
  </si>
  <si>
    <t>The West's point of view of the world, the truth, history, philosophy, religion and so on has become universal, although no one school of thought can claim to be an absolute authority.  Just like the Chinese and Japanese have managed to create their own identity while becoming modern, can India do the same?</t>
  </si>
  <si>
    <t>If you are identity-less then you are disempowering yourself</t>
  </si>
  <si>
    <t>Content is similar to 92.01</t>
  </si>
  <si>
    <t>American Identify shifted from English to Christian to White
- Italian chatholic -&gt; protestant -&gt; christian (journey of catholic assimilation in white)
- Book: How Irish become white. How Jews became white.
- America's journey of assimilation. Black were never assimilative.
- Identity war with gays, muslim, chienese, italian, spanish. Choice in America in not identify less society. 
- Whether I define or I reject my identity, I will be given identity. If I reject they will define my identity. So It is important for me to define my positive identity.
- Spanish people created their identity based on spanish language
- Historical societies of America is very important topic to be searched for understanding identity business.</t>
  </si>
  <si>
    <t>Being digested results in adopting the Western way of thinking for everything. Western countires have borrowed from Indian culture but in the process have obliterated the Indian influence. Borrowing without harming the source is a good thing. It is how humanity advances by learning from each other. But in Digestion per se, there is no trace of the source left - as Pagans getting digested into Christianity</t>
  </si>
  <si>
    <t>Content is similar to 92.02</t>
  </si>
  <si>
    <t>What should India do to prevent being digested?</t>
  </si>
  <si>
    <t>Focus on the non-digestible factors - 1.Adhyatma Vidya (embodied knowing) 2. Integral Unity 3. Attitude towards chaos 4. Certain Sanskrit words need to be non-translatable</t>
  </si>
  <si>
    <t>Audio quality dips towards the end but mostly ok. This is a long clip as RM talks about 4 non-digestible aspects of Indian culture in some detail. I thought it made better sense to retain it as 1 clip instead of breaking it into 4 diff. ones</t>
  </si>
  <si>
    <t xml:space="preserve">Why is there no Sanskrit equivalent for the word chaos? </t>
  </si>
  <si>
    <t xml:space="preserve">Absence of a particular word indicates that that civilization has not had the experience. RM explains about the differences between using "tolerance" and "mutual respect" and urges us to use "Mutual Respect". </t>
  </si>
  <si>
    <t>Difference between identity struggle in America and Canada</t>
  </si>
  <si>
    <t>US is called melting point. In Canada they want everyone to remain distinctive. In American it is either fight or melt is down.</t>
  </si>
  <si>
    <t>Purva Paksha as a technique to oppose Western universalism</t>
  </si>
  <si>
    <t xml:space="preserve">RM uses the Purva Paksha technique to make our views and customs known and show how different they are </t>
  </si>
  <si>
    <t>All are one and children of God then why Hindu seeks differnet identify?</t>
  </si>
  <si>
    <t>https://www.youtube.com/watch?v=MOkWSa69NKA</t>
  </si>
  <si>
    <t>Tsunami: The Untold Story by Rajiv Malhotra, 2005</t>
  </si>
  <si>
    <t>Identity is forced upon us and in reality we have to deal with enforced identity issue</t>
  </si>
  <si>
    <t>https://www.youtube.com/watch?v=iGpYgqX-p8c</t>
  </si>
  <si>
    <t>Rajiv Malhotra at Somaiya Institutes, Mumbai - Part 1: Introduction (in Sanskrit &amp; English)</t>
  </si>
  <si>
    <t>AIM for Seva and its work in Tamilnadu</t>
  </si>
  <si>
    <t xml:space="preserve">RM's trip to India to visit the AIM for Seva organization in TN and understand its work better. AIM for Seva has helped restore livelihoods in the Tsunami hit villages of Tamilnadu  </t>
  </si>
  <si>
    <t>For transendance of the idenitfy/ego knowing identity is important.</t>
  </si>
  <si>
    <t>This clip is all about AIM Seva and its work in TN. Please see if this is required as the content is not of the usual type</t>
  </si>
  <si>
    <t>The Christian evangelisation agenda</t>
  </si>
  <si>
    <t>https://www.youtube.com/watch?v=schP-IZS5Sw</t>
  </si>
  <si>
    <t>Rajiv Malhotra at Somaiya Institute, Mumbai: #3 Hindi Q&amp;A</t>
  </si>
  <si>
    <t>Chrisitan institutions used the post-Tsunami period to spread their agenda under the guise of restoration. However, the help they rendered was not significant and in some cases not relevant too.</t>
  </si>
  <si>
    <t>Why civilization identify is required?</t>
  </si>
  <si>
    <t>Some of the audio is feeble and accent may be difficult to decipher. Suggest using sub-titles</t>
  </si>
  <si>
    <t>Conversion of temples into monuments by ASI</t>
  </si>
  <si>
    <t>The Tsunami exposed several deities which were under the sea in Mahabalipuram. Now ASI is declaring these to be monuments, in essence declaring these religious assets to be dead.</t>
  </si>
  <si>
    <t>https://www.youtube.com/watch?v=gmu_fBglk-A</t>
  </si>
  <si>
    <t>Rajiv Malhotra at Somaiya Institutes, Mumbai - Part 4: English Q&amp;A</t>
  </si>
  <si>
    <t>How Carabian Hindu feels in US?</t>
  </si>
  <si>
    <t>Busting some caste based myths</t>
  </si>
  <si>
    <t>An example is shown - A priest from Vanniyar community (classified as most backward caste) performs the puja in an old temple in TN and has been doing it for 50 years. He has taken this over from his father. This dismisses the theory of only Brahmin priests being allowed to function in temples. ANother example is shown from a Veda patashala</t>
  </si>
  <si>
    <t>Audio is not clear; sub-titles need to be reworked - it is not legible and in some places rushes by without giving time for the viewer to read; there is a lag between the audio and lip movement</t>
  </si>
  <si>
    <t>Who should define identity for Hindu?</t>
  </si>
  <si>
    <t>https://www.youtube.com/watch?v=-WPYCv8jdJc</t>
  </si>
  <si>
    <t>Rajiv Malhotra at Somaiya Institutes, Mumbai - Part 2: Lecture</t>
  </si>
  <si>
    <t>https://www.youtube.com/watch?v=k_PhmmAyLFg</t>
  </si>
  <si>
    <t>Rajiv Malhotra: Globalization &amp; World Peace, Asian Indian Chamber of Commerce, Nov 16 2008</t>
  </si>
  <si>
    <t>https://www.youtube.com/watch?v=91dtNzk71IA</t>
  </si>
  <si>
    <t>Rajiv Malhotra Lecture at Young Presidents' Organization, Kolkata</t>
  </si>
  <si>
    <t>4 differences between Indian and western</t>
  </si>
  <si>
    <t>https://www.youtube.com/watch?v=SrCfhdoTLfg</t>
  </si>
  <si>
    <t>Keynote at Spirituality &amp; Management Conference, IIM B</t>
  </si>
  <si>
    <t>https://www.youtube.com/watch?v=nmbYnYYpa6g</t>
  </si>
  <si>
    <t>Talk at Bhabha Atomic Research Center, Mumbai: Rajiv Malhotra</t>
  </si>
  <si>
    <t>What is the impact, if the sense of Difference is over emphasied in multi-cultural society</t>
  </si>
  <si>
    <t>A good example of Jaati system in India</t>
  </si>
  <si>
    <t>Synthetic identify vs Integral Identity</t>
  </si>
  <si>
    <t>Values and problems of the caste system</t>
  </si>
  <si>
    <t>Impact of western culture on Indian culture and how should we go ahead.</t>
  </si>
  <si>
    <t>US</t>
  </si>
  <si>
    <t>https://www.youtube.com/watch?v=tUBrwCmKx8s</t>
  </si>
  <si>
    <t>Rajiv Malhotra's Where is India in the Eagle's Eye?</t>
  </si>
  <si>
    <t>The concept of the tolerance vs mutual respect</t>
  </si>
  <si>
    <t>Is christianity declining in the West?</t>
  </si>
  <si>
    <t>https://www.youtube.com/watch?v=WMf0Mau2TzE</t>
  </si>
  <si>
    <t>Where is India in the Encounter of Civilizations? by Rajiv Malhotra, 2009</t>
  </si>
  <si>
    <t>How sanskrit protect dharma from digestion?</t>
  </si>
  <si>
    <t>Critical edition of some Ramayana is not good idea.</t>
  </si>
  <si>
    <t>https://www.youtube.com/watch?v=apOba1F4MT4</t>
  </si>
  <si>
    <t>Rajiv Malhotra's Lecture on Academic Colonization Delivered at Uberoi Foundation 2010</t>
  </si>
  <si>
    <t>The difference between Dharma and Religion &amp; Secularism</t>
  </si>
  <si>
    <t>https://www.youtube.com/watch?v=CtiARMXwI0Q</t>
  </si>
  <si>
    <t>Rajiv Malhotra Invading the Sacred Book Launch Best of Mumbai &amp; Delhi July 1st &amp; 2nd, 2007</t>
  </si>
  <si>
    <t>U-Turn theory &amp; Reverse-U Turn</t>
  </si>
  <si>
    <t>https://www.youtube.com/watch?v=61LvuBJ6Ojs</t>
  </si>
  <si>
    <t>Seminar on BEING DIFFERENT at Banaras Hindu University: Vid 1 - Introductions</t>
  </si>
  <si>
    <t>https://www.youtube.com/watch?v=nQhpJFt2KG8</t>
  </si>
  <si>
    <t>Seminar on BEING DIFFERENT at BHU: Vid 3 - Indranath Chaudhuri, Ex-Director, Sahitya Academy</t>
  </si>
  <si>
    <t>https://www.youtube.com/watch?v=myZqody8PTw</t>
  </si>
  <si>
    <t>Seminar on BEING DIFFERENT at Banaras Hindu University #2</t>
  </si>
  <si>
    <t>https://www.youtube.com/watch?v=iFLc0n8RSAA</t>
  </si>
  <si>
    <t>Seminar on BEING DIFFERENT at Banaras Hindu University: Vid 5 - Bettina Baumer, Indologist, Varanasi</t>
  </si>
  <si>
    <t>https://www.youtube.com/watch?v=eKtCOiQbVX0</t>
  </si>
  <si>
    <t>Seminar on BEING DIFFERENT at BHU: Vid 4 - Oscar Pujol, Director Institute Cervates, Delhi</t>
  </si>
  <si>
    <t>https://www.youtube.com/watch?v=vnw9dW2QgYk</t>
  </si>
  <si>
    <t>Seminar on BEING DIFFERENT at Banaras Hindu University: Vid 6 - Kamal Datt Tripathi, IGNCA, Varanasi</t>
  </si>
  <si>
    <t>https://www.youtube.com/watch?v=TxC_8Xllf-M</t>
  </si>
  <si>
    <t>Seminar on BEING DIFFERENT at Banaras Hindu University: 7 - Rajiv Malhotra</t>
  </si>
  <si>
    <t>https://www.youtube.com/watch?v=nbZhVwfCRMU</t>
  </si>
  <si>
    <t>Seminar on BEING DIFFERENT at Banaras Hindu University: Vid 8 - Audience Q&amp;A, Comments</t>
  </si>
  <si>
    <t>https://www.youtube.com/watch?v=rdyZwjy8Wko</t>
  </si>
  <si>
    <t>Manindra Thakur Event Jan 2012 Vid 3 - Debating Western Universalism, Digestion, &amp; U-Turns</t>
  </si>
  <si>
    <t>https://www.youtube.com/watch?v=v6It_CJ27bg</t>
  </si>
  <si>
    <t>Manindra Thakur Event Jan 2012 Vid 4 - Book Project: Indian Approach to Social Sciences</t>
  </si>
  <si>
    <t>https://www.youtube.com/watch?v=vSLKEwGRgbY</t>
  </si>
  <si>
    <t>Manindra Thakur Event Jan 2012 Vid 2 - Participants remarks on Decolonizing the Social Sciences</t>
  </si>
  <si>
    <t>https://www.youtube.com/watch?v=67Y76FPHZ-g</t>
  </si>
  <si>
    <t>Rajiv Malhotra Lecture on Gandhi "US-India Relations at the Crossroads" UMASS Dartmouth Oct 8, 2009</t>
  </si>
  <si>
    <t>https://www.youtube.com/watch?v=qDcBHNXLxdc</t>
  </si>
  <si>
    <t>Rajiv Malhotra Lecture on Gandhi "Using Gandhi's Lens Today" UMASS Dartmouth Oct 9, 2009</t>
  </si>
  <si>
    <t>https://www.youtube.com/watch?v=BF7tCmPOjs4</t>
  </si>
  <si>
    <t>Manindra Thakur Event Jan 2012 Vid 1 - Introduction by Prof. Thakur (JNU) &amp; Rajiv Malhotra</t>
  </si>
  <si>
    <t>https://www.youtube.com/watch?v=UrWQfScMALY</t>
  </si>
  <si>
    <t>Rajiv Malhotra Talk at Auroville Video 1 - Differences in Philosophy</t>
  </si>
  <si>
    <t>https://www.youtube.com/watch?v=6LOxjxiZ3NQ</t>
  </si>
  <si>
    <t>Rajiv Malhotra at Auroville Video 2 - Q&amp;A with Audience</t>
  </si>
  <si>
    <t>https://www.youtube.com/watch?v=08Xwx9vsy6w</t>
  </si>
  <si>
    <t>Rajiv Malhotra Keynote Address at JNU on: Science &amp; Indian Traditions</t>
  </si>
  <si>
    <t>https://www.youtube.com/watch?v=JErwMUETzvU</t>
  </si>
  <si>
    <t>Pondy Event Vid 4 - Comments by five prominent scholars of Sri Aurobindo</t>
  </si>
  <si>
    <t>https://www.youtube.com/watch?v=SS0UQNsxhus</t>
  </si>
  <si>
    <t>Rajiv Malhotra Debates a German U-Turner who returned to Christ from Sri Aurobindo</t>
  </si>
  <si>
    <t>https://www.youtube.com/watch?v=g-xyM5pVESg</t>
  </si>
  <si>
    <t>Pondy Event Vid 1 - Introduction by Anand Reddy, SACAR</t>
  </si>
  <si>
    <t>https://www.youtube.com/watch?v=vHGejHQUoio</t>
  </si>
  <si>
    <t>Pondy Event Vid 7 - Q&amp;A - New Western religions that are not history centric</t>
  </si>
  <si>
    <t>https://www.youtube.com/watch?v=3f7b_ZE5B1Y</t>
  </si>
  <si>
    <t>Pondy Event Vid 8 - Q&amp;A - Relevance to Modern Youth</t>
  </si>
  <si>
    <t>https://www.youtube.com/watch?v=kQP4pUPNjqs</t>
  </si>
  <si>
    <t>Pondicherry Event Vid 2_Rajiv Malhotra's Talk Part 1 - U Turn Theory</t>
  </si>
  <si>
    <t>https://www.youtube.com/watch?v=hWBzG7eVqVg</t>
  </si>
  <si>
    <t>Pondy Event Vid 3 - Rajiv Malhotra Talk Part 2: BEING DIFFERENT book</t>
  </si>
  <si>
    <t>https://www.youtube.com/watch?v=7jIfpSOnmK8</t>
  </si>
  <si>
    <t>Pondy Event Vid 5 - Rajiv Malhotra's Response to the Expert Comments</t>
  </si>
  <si>
    <t>https://www.youtube.com/watch?v=qd7yTtTb_Fc</t>
  </si>
  <si>
    <t>Pondy Event Vid 9 - Director's Concluding Remarks</t>
  </si>
  <si>
    <t>https://www.youtube.com/watch?v=2WYZtS_LLog</t>
  </si>
  <si>
    <t>Indian Knowledge Systems: IIT Alumni Event, Washington DC #1</t>
  </si>
  <si>
    <t>https://www.youtube.com/watch?v=79r5KYH0nBI</t>
  </si>
  <si>
    <t>Aditi Banerjee Recollects How We Started Responding </t>
  </si>
  <si>
    <t>https://www.youtube.com/watch?v=agP31XI_FxA</t>
  </si>
  <si>
    <t>Chinmaya Mission Washington, DC Vid 1 - Introduction</t>
  </si>
  <si>
    <t>6 days ago</t>
  </si>
  <si>
    <t>Clip is short, need to combine with other msgs from this video</t>
  </si>
  <si>
    <t>Aditi Banerjee describes her experience of hinduphobia</t>
  </si>
  <si>
    <t>Chicago public school teacher laughs at garlanding of pilot</t>
  </si>
  <si>
    <t>https://www.youtube.com/watch?v=7ZD3D4mAoaE</t>
  </si>
  <si>
    <t>Indian Knowledge Systems Vid 2 - Rajiv Malhotra Q &amp; A</t>
  </si>
  <si>
    <t>RISA Lila article, Sulekha &amp; Rajiv Malhotra Controversy</t>
  </si>
  <si>
    <t>Risa Lila article and hinduphobia</t>
  </si>
  <si>
    <t>https://www.youtube.com/watch?v=ANSSQQ6ZauM</t>
  </si>
  <si>
    <t>Chinmaya Mission Washington, DC Vid 2 - Difference &amp; Related Issues</t>
  </si>
  <si>
    <t>Good content on what awakened people</t>
  </si>
  <si>
    <t>Understanding of Rajiv Malhotra's work by ABCD</t>
  </si>
  <si>
    <t>How Indian groups in Us did not support RM</t>
  </si>
  <si>
    <t>How RM had to fight alone to awaken people (esp Hindus) to the hinduphobia that happens around us</t>
  </si>
  <si>
    <t>Naughty work of Wendy Doniger and her student Martha Nussbaum</t>
  </si>
  <si>
    <t>Wrongly represent holi, Mahabharatha, Bhagavad Gita etc</t>
  </si>
  <si>
    <t>https://www.youtube.com/watch?v=OBViSvvLu-s</t>
  </si>
  <si>
    <t>Chinmaya Mission Washington, DC Vid 3 - Digestion: What, Why, How</t>
  </si>
  <si>
    <t>Description and summaries of wendy Doninger's books and works that demosntrated hindupobia</t>
  </si>
  <si>
    <t>Books by Ramakrishna missions considered inappropriate for children</t>
  </si>
  <si>
    <t>Wendy Doninger's talk - "Bhagavad Gita is a dishonest book"</t>
  </si>
  <si>
    <t>Should this be combined with previous?</t>
  </si>
  <si>
    <t>Jeffrey Kripal's book misrepresentaitons of Ramakrishna Mission</t>
  </si>
  <si>
    <t>https://www.youtube.com/watch?v=k54XQ5I1Nzo</t>
  </si>
  <si>
    <t>Such leading academicians can have a strong influence even on Hindus who have grown up learning from the Indian culture and can shake their beliefs</t>
  </si>
  <si>
    <t>Chinmaya Mission Washington, DC Vid 4 - History Centrism &amp; Identity Issues</t>
  </si>
  <si>
    <t>Good length and very strong example of hinduphobia in western academia</t>
  </si>
  <si>
    <t>Hinduphobia from Paul Courtright's book about Ganesh</t>
  </si>
  <si>
    <t>David Gordon delinking popular movements from hinduism, opression by brahmanas</t>
  </si>
  <si>
    <t>Kiss of the yogini, about tantra - delinking popular movements from hinduism, supression by bramanas</t>
  </si>
  <si>
    <t>https://www.youtube.com/watch?v=vdwHHPZwNEo</t>
  </si>
  <si>
    <t>Chinmaya Mission Washington, DC Vid 5 - Integral Unity, Chaos, Self-Organization</t>
  </si>
  <si>
    <t>Good length and good example of delinking popular movements from hinduism</t>
  </si>
  <si>
    <t>Sara Caldwell award winning paper - improper psychoanalysis of hinduism</t>
  </si>
  <si>
    <t>Improper psychoanalysis of hinduism an expression of author's own trauma</t>
  </si>
  <si>
    <t>https://www.youtube.com/watch?v=q1K9wPDzMjU</t>
  </si>
  <si>
    <t>Chinmaya Mission Washington, DC Vid 6 - Indian Contributions Define our Difference</t>
  </si>
  <si>
    <t>Good length and very strong example of hinduphobia and psychanalysis of hinduism</t>
  </si>
  <si>
    <t>Western academicians infiltrate and coopt indians</t>
  </si>
  <si>
    <t>Our vedic scholars dont qualify in the western academia</t>
  </si>
  <si>
    <t>https://www.youtube.com/watch?v=75OFJ9IX4tI</t>
  </si>
  <si>
    <t>Chinmaya Mission Washington, DC Vid 7 - Other Q &amp; A</t>
  </si>
  <si>
    <t>Jack Hawley and his book on Neo Hinduism</t>
  </si>
  <si>
    <t>Response to this "Neo Hinduism" in RMs book Indra's Net</t>
  </si>
  <si>
    <t>https://www.youtube.com/watch?v=p6HgGSKj2m8</t>
  </si>
  <si>
    <t>Chinmaya Mission Washington, DC Vid 8 -Book Signing</t>
  </si>
  <si>
    <t>https://www.youtube.com/watch?v=cKIAV15AZcI</t>
  </si>
  <si>
    <t>University of Toronto - Q&amp;A with Rajiv Malhotra</t>
  </si>
  <si>
    <t>No dualism, Creator and the created are One</t>
  </si>
  <si>
    <t>if you take delta from the an infinitesimal x, the x still remains</t>
  </si>
  <si>
    <t>https://www.youtube.com/watch?v=sdhISUDYvX4</t>
  </si>
  <si>
    <t>Toronto Civic Center, March 17, 2012 - Q&amp;A</t>
  </si>
  <si>
    <t>Good content although audio quality needs to be addressed</t>
  </si>
  <si>
    <t>God, cosmos and creation - everything is sacred</t>
  </si>
  <si>
    <t>Manifestation of God in various forms of his creation</t>
  </si>
  <si>
    <t>https://www.youtube.com/watch?v=T0iutxik1Eg</t>
  </si>
  <si>
    <t>Vedic Culture Center, March 18, 2012</t>
  </si>
  <si>
    <t>Brahman and Karma explained</t>
  </si>
  <si>
    <t>Brahman does not have an anti-brahman, karma is the equalization/ justice</t>
  </si>
  <si>
    <t>https://www.youtube.com/watch?v=PjvzuUMMZs4</t>
  </si>
  <si>
    <t>U of Toronto - Talks</t>
  </si>
  <si>
    <t>Aaudio needs to be better, tilte to be edited</t>
  </si>
  <si>
    <t>https://www.youtube.com/watch?v=HdBCunbR_jE</t>
  </si>
  <si>
    <t>Toronto Civic Center, March 17, 2012 - Lecture</t>
  </si>
  <si>
    <t xml:space="preserve">Reincarnation frees from History centrism </t>
  </si>
  <si>
    <t>nicely explains how Hindu Dharma frees us from history centrism</t>
  </si>
  <si>
    <t>https://www.youtube.com/watch?v=vKGL9b0x_K8</t>
  </si>
  <si>
    <t>U Ontario - Lecture March 19, 2012</t>
  </si>
  <si>
    <t>Abrahamic religions do not explain birth inequalities</t>
  </si>
  <si>
    <t>Like the dna/ genes drive a person's physical appearance, karma drives the soul's birth as a certain form</t>
  </si>
  <si>
    <t>https://www.youtube.com/watch?v=5K-nmVDwXW0</t>
  </si>
  <si>
    <t>U Ontario - Q and A, March 19, 2012</t>
  </si>
  <si>
    <t>Content is good, can be recast with new title</t>
  </si>
  <si>
    <t>Does karma absolve social accountability</t>
  </si>
  <si>
    <t>Since everyone is brahman, you help the brahman</t>
  </si>
  <si>
    <t>Who does accounting of karma</t>
  </si>
  <si>
    <t>it is the nature of existence, vittam virtue of dharma - once you realize that you are brahman then karma is driven by this realization</t>
  </si>
  <si>
    <t>https://www.youtube.com/watch?v=R7mzbp-9vbk</t>
  </si>
  <si>
    <t>Hindi Mahaotsav May 12, 2012</t>
  </si>
  <si>
    <t>https://www.youtube.com/watch?v=ucgD3lqwZX0</t>
  </si>
  <si>
    <t>Rajiv Malhotra on the Need of Academic Study of Hinduism at WAVES 2008 - Vid 1</t>
  </si>
  <si>
    <t>https://www.youtube.com/watch?v=5bAuJCTjg8s</t>
  </si>
  <si>
    <t>Rajiv Malhotra on Challenges facing Hinduism in USA at WAVES 2008 - Vid 2</t>
  </si>
  <si>
    <t>Dharma is deconstruction of the "I" in self</t>
  </si>
  <si>
    <t>Meditation and other dharmic paths lead to the realization of brahman in self</t>
  </si>
  <si>
    <t>https://www.youtube.com/watch?v=d9KgrM48iGg</t>
  </si>
  <si>
    <t>Content is good, though video is a bit long, can this be condensed and recast with new title</t>
  </si>
  <si>
    <t>Rajiv Malhotra on Challenges for Hindus in Academics at Waves 2008 - Vid 3</t>
  </si>
  <si>
    <t>https://www.youtube.com/watch?v=4h6drLmYTr8</t>
  </si>
  <si>
    <t>Rajiv Malhotra on European race theory and conversion of Jatis into Castes at Waves 2008 - Vid 4</t>
  </si>
  <si>
    <t>Swa-dharma, mutual respect - celebrate the diversity</t>
  </si>
  <si>
    <t>Brahman in different forms, allows people to follow their own swa-dharma, does not promote conversion to any one belief</t>
  </si>
  <si>
    <t>https://www.youtube.com/watch?v=2uOiM67vK6A</t>
  </si>
  <si>
    <t>Rajiv Malhotra on Creation of Dravidian Identity among Indians at Waves 2008 - Vid 5</t>
  </si>
  <si>
    <t>https://www.youtube.com/watch?v=Y1SUVA0PU1o</t>
  </si>
  <si>
    <t>Rajiv Malhotra on Mapping of India onto European framework at Waves 2008 - Vid 6</t>
  </si>
  <si>
    <t>Soul, Salvation,  Atman, Moksha are not same concepts</t>
  </si>
  <si>
    <t>Need to introduce sanskrit words into English</t>
  </si>
  <si>
    <t>https://www.youtube.com/watch?v=yaOVnZ7W-Qc</t>
  </si>
  <si>
    <t>Rajiv Malhotra on Colonial Institutional infrastructure in India at Waves 2008 - Vid 7</t>
  </si>
  <si>
    <t>https://www.youtube.com/watch?v=hgdVPIrlSPU</t>
  </si>
  <si>
    <t>What is Purva-Paksha - in dharmic tradition</t>
  </si>
  <si>
    <t>respecting differences and having a healthy debate</t>
  </si>
  <si>
    <t>Rajiv Malhotra on British justification for colonizing India at Waves 2008 - Vid 8</t>
  </si>
  <si>
    <t>In some parts, the video quality is not good but improves later. Exact video as 47. So may not be needed</t>
  </si>
  <si>
    <t>https://www.youtube.com/watch?v=8iuVX1AkV_0</t>
  </si>
  <si>
    <t>Rajiv Malhotra on 'Good Cop Bad Cop' method and expansion of West in India at Waves 2008 - Vid 9</t>
  </si>
  <si>
    <t>Educating the next generation</t>
  </si>
  <si>
    <t>https://www.youtube.com/watch?v=wH8I0vSB-Os</t>
  </si>
  <si>
    <t>This video is good, does not need change</t>
  </si>
  <si>
    <t>Rajiv Malhotra on Origin of Liberalism in India at Waves 2008 - Vid 10</t>
  </si>
  <si>
    <t>Content same as 45.1 above, hence no change needed</t>
  </si>
  <si>
    <t>https://www.youtube.com/watch?v=Um1LJAfSPoo</t>
  </si>
  <si>
    <t>Why Tibet is Important to People Everywhere: Rajiv Malhotra</t>
  </si>
  <si>
    <t>Hindu dharma respects diversity</t>
  </si>
  <si>
    <t>some of this content is similar to 44.1 and 45.1</t>
  </si>
  <si>
    <t>https://www.youtube.com/watch?v=itgdRwuvtN0</t>
  </si>
  <si>
    <t>Chicago June 2nd 2012</t>
  </si>
  <si>
    <t>History centricism vs. Dharmic Brahman concept</t>
  </si>
  <si>
    <t>https://www.youtube.com/watch?v=Z7B5IZZhoAI</t>
  </si>
  <si>
    <t>Q&amp;A at two Chicago temples, June 3, 2012</t>
  </si>
  <si>
    <t>Content is good, can be recast with new title? Or do we retain as is</t>
  </si>
  <si>
    <t xml:space="preserve">History centrisim, the cause for Institutionalization of Abrahamic traditions </t>
  </si>
  <si>
    <t>https://www.youtube.com/watch?v=UuJzHq-Ont4</t>
  </si>
  <si>
    <t>Lecture on BEING DIFFERENT, June 3, 2012</t>
  </si>
  <si>
    <t>https://www.youtube.com/watch?v=fQxUVyFqzpA</t>
  </si>
  <si>
    <t>Introduction by head of Chinmaya Mission, Toronto May 2012</t>
  </si>
  <si>
    <t>Christianity-Islam opposing history-centric views</t>
  </si>
  <si>
    <t>Islam requires Jesus to be a prophet (not son of God), while xtians belive in virgin birth/ son of God - opposing views</t>
  </si>
  <si>
    <t>https://www.youtube.com/watch?v=wgud4Fi47XA</t>
  </si>
  <si>
    <t>Q&amp;A at Chinmaya Mission, Toronto, May 2012</t>
  </si>
  <si>
    <t>Background noise needs to be addressed?</t>
  </si>
  <si>
    <t>Nicene creed/ history-centrism drives powerful protestant Xtianity (in US)</t>
  </si>
  <si>
    <t>https://www.youtube.com/watch?v=2Ew9deAuPwU</t>
  </si>
  <si>
    <t>Talk at Chinmaya Mission, Toronto, May 2012</t>
  </si>
  <si>
    <t>Semiticied, history-centric Hinduism - new phenomenon but no Exclusivity</t>
  </si>
  <si>
    <t>How to be a good Christian without history-centric, exclusivity view</t>
  </si>
  <si>
    <t>https://www.youtube.com/watch?v=Au_HvuB2IQc</t>
  </si>
  <si>
    <t>Christianity Explained by Rajiv Malhotra</t>
  </si>
  <si>
    <t>Hindu guru-hub do not respect the Abhrahamic view</t>
  </si>
  <si>
    <t>https://www.youtube.com/watch?v=t_J24YUQNK4</t>
  </si>
  <si>
    <t>Talk at Lakshmi Narayan Mandir, Toronto, May 25, 2012</t>
  </si>
  <si>
    <t>Hindu "Murti" is not an idol</t>
  </si>
  <si>
    <t>Montheism (of xtianity) not very elastic, has limitations</t>
  </si>
  <si>
    <t>https://www.youtube.com/watch?v=MfzPrOKKZVo</t>
  </si>
  <si>
    <t>Keynote address at 14th annual Indian heritage day, toronto, May 26, 2012</t>
  </si>
  <si>
    <t>Love &amp; Morality common themes of Hindu/Xtianity for dialogue NOT for destruction of native culture</t>
  </si>
  <si>
    <t>Rajiv's views on Churches, missionaries and conversions</t>
  </si>
  <si>
    <t>https://www.youtube.com/watch?v=57-MHC42i7g</t>
  </si>
  <si>
    <t xml:space="preserve">In the US Xtianity founded on history-centrism </t>
  </si>
  <si>
    <t>Toronto Public Discussions on Dharma Civilization, May 26 - 29, 2012</t>
  </si>
  <si>
    <t>Rajiv Malhotra on "Sapeksha Dharma" and Nirpeksha Dharma</t>
  </si>
  <si>
    <t>Retain fundamental difference in Hindu &amp; Xtian cosmologies -  but not history-centric</t>
  </si>
  <si>
    <t>https://www.youtube.com/watch?v=pO9qCeA640E</t>
  </si>
  <si>
    <t>Lecture-Duscussion at Vidya Bharati Foundation of Canada, May 27, 2012</t>
  </si>
  <si>
    <t>Mysticism in christianity and Sachitanand in Hinduism</t>
  </si>
  <si>
    <t>https://www.youtube.com/watch?v=17Jnr2hr0ro</t>
  </si>
  <si>
    <t>Resurrection and Sachidanand are "Truth claims" with diff that Sachidanand achievable (in theory)</t>
  </si>
  <si>
    <t>Swami Dayanand Saraswati introduces Rajiv Malhotra at The Hindu Dharma Acharya Sabha, 07 Nov 2012</t>
  </si>
  <si>
    <t>Outward hatred between religions - in India bieng Hindu not secular</t>
  </si>
  <si>
    <t>Indian media, academics and politics hindu hatred and secularism</t>
  </si>
  <si>
    <t>https://www.youtube.com/watch?v=MBzty84VgRo</t>
  </si>
  <si>
    <t>Interview on Sudarshan TV, April 2013</t>
  </si>
  <si>
    <t>Breaking India - Appropriation and Distortions by Germans</t>
  </si>
  <si>
    <t>https://www.youtube.com/watch?v=nCmJgIvSqfU</t>
  </si>
  <si>
    <t>Brand India &amp; Narayan Murthy: Rajiv Malhotra #1</t>
  </si>
  <si>
    <t>Jewism &amp; Dharma breaking myths about swastika and "Aryan"</t>
  </si>
  <si>
    <t>https://www.youtube.com/watch?v=qsCWK-TQVsk</t>
  </si>
  <si>
    <t>Are Indians Buying Back Their Knowledge From the West #5</t>
  </si>
  <si>
    <t>Reclaiming our symbols - teaching in schools</t>
  </si>
  <si>
    <t>North/South-Aryan/Dravidian divide - political opportunism</t>
  </si>
  <si>
    <t>https://www.youtube.com/watch?v=r5r1yU9O2ag</t>
  </si>
  <si>
    <t>Is Written Evidence Needed to Authenticate a Source #2</t>
  </si>
  <si>
    <t>Dalit and breaking India</t>
  </si>
  <si>
    <t>https://www.youtube.com/watch?v=MFVzVjuj90E</t>
  </si>
  <si>
    <t>Argument with a Social Scientist at IIT Bombay: Rajiv Malhotra #3</t>
  </si>
  <si>
    <t>Being different: Sanskrit Non-translatables</t>
  </si>
  <si>
    <t>We want mutual respect not tolerance</t>
  </si>
  <si>
    <t>https://www.youtube.com/watch?v=Wu9WbgwxgjI</t>
  </si>
  <si>
    <t>How &amp; Why Rajiv Malhotra Got Involved In These Activities #4</t>
  </si>
  <si>
    <t>Dharma brings pleuralism</t>
  </si>
  <si>
    <t>How to inspire young gen on dharmic principles</t>
  </si>
  <si>
    <t>https://www.youtube.com/watch?v=zqnotAbf-Cc</t>
  </si>
  <si>
    <t>Chaos, Decentralization, Self Organization - Pros &amp; Cons #10</t>
  </si>
  <si>
    <t xml:space="preserve">Retaining the sanctity of dhama </t>
  </si>
  <si>
    <t>https://www.youtube.com/watch?v=oeFU8Lk35BI</t>
  </si>
  <si>
    <t>U-Turns Caused By Our Neglect #6</t>
  </si>
  <si>
    <t>https://www.youtube.com/watch?v=NfO_yqDrGWs</t>
  </si>
  <si>
    <t>Loss of Purva-paksha Tradition and Consequences #7</t>
  </si>
  <si>
    <t xml:space="preserve">Need to bring back Purva-paksha - learning the "other view" </t>
  </si>
  <si>
    <t>https://www.youtube.com/watch?v=uNPifASaoFM</t>
  </si>
  <si>
    <t>Social Sciences In Indian Colleges is Modelled On Western Social Constructs #9</t>
  </si>
  <si>
    <t>https://www.youtube.com/watch?v=0-LZkVdXTnc</t>
  </si>
  <si>
    <t>Decolonization, Purvapaksha, Secularism, Indian Identity #8</t>
  </si>
  <si>
    <t>https://www.youtube.com/watch?v=yIUwgFjMrg8</t>
  </si>
  <si>
    <t>Relevance of Indian Knowledge Systems: Rajiv Malhotra</t>
  </si>
  <si>
    <t>Dharma challenges in the US</t>
  </si>
  <si>
    <t>https://www.youtube.com/watch?v=pAHRrR6eeDU</t>
  </si>
  <si>
    <t>History of Indian Science Technology, SIES Mgt School, Mumbai: Rajiv Malhotra</t>
  </si>
  <si>
    <t>https://www.youtube.com/watch?v=EWnc9FdyP7s</t>
  </si>
  <si>
    <t>Commerce College 2013 1. Introduction</t>
  </si>
  <si>
    <t>Challenges from maxist Indians</t>
  </si>
  <si>
    <t>https://www.youtube.com/watch?v=LI3VwCn-0WI</t>
  </si>
  <si>
    <t>Commerce College . 13 3.Discussion: We Understand the Americans better than we Understand Ourselves</t>
  </si>
  <si>
    <t>https://www.youtube.com/watch?v=yVdcSMOWtxM</t>
  </si>
  <si>
    <t>Commerce College 2013 2. - Lecture: My journey; the Indian crisis; Sensex economy and modern shudras</t>
  </si>
  <si>
    <t>https://www.youtube.com/watch?v=Yf6-fJ-LcU8</t>
  </si>
  <si>
    <t>Commerce College 2013 4. Discussion: Assimilation and retaining Civilizational Distinctiveness</t>
  </si>
  <si>
    <t>https://www.youtube.com/watch?v=L2rJctVLi3M</t>
  </si>
  <si>
    <t>Commerce College 2013 5. Discussion: What inspired me and the role of my sadhana</t>
  </si>
  <si>
    <t>https://www.youtube.com/watch?v=wm8QHjKcDf8</t>
  </si>
  <si>
    <t>Commerce College 2013 6. Discussion: What should be goal of students - career or serve the culture</t>
  </si>
  <si>
    <t>https://www.youtube.com/watch?v=U37L8EPVc5s</t>
  </si>
  <si>
    <t>Commerce College 2013 7. Role of Indian languages, control of global standards discourse, &amp; power</t>
  </si>
  <si>
    <t>https://www.youtube.com/watch?v=ja-cxuo3ugc</t>
  </si>
  <si>
    <t>Commerce College 2013 8. Discussion: Causes of youth disconnect from deep knowledge of roots</t>
  </si>
  <si>
    <t>https://www.youtube.com/watch?v=F95dqGlnggo</t>
  </si>
  <si>
    <t>Indian Qualities that are Special &amp; Exportable_Commerce College 2013 #9</t>
  </si>
  <si>
    <t>https://www.youtube.com/watch?v=9IzjjqFO5c8</t>
  </si>
  <si>
    <t>Baba Ramdev's Ashram: A Welcome Hug &amp; Discussion on Reversing the Gaze #1</t>
  </si>
  <si>
    <t>3 years ago</t>
  </si>
  <si>
    <t>https://www.youtube.com/watch?v=5YuNKvTZtdM</t>
  </si>
  <si>
    <t>Baba Ramdev's Ashram Vid 11: How to Name &amp; Position Hindi Edition of Breaking India</t>
  </si>
  <si>
    <t>https://www.youtube.com/watch?v=XeCuvEX-tow</t>
  </si>
  <si>
    <t>Baba Ramdev's Ashram: Rajiv &amp; Baba Brainstorm #14</t>
  </si>
  <si>
    <t>https://www.youtube.com/watch?v=182HueOxCaU</t>
  </si>
  <si>
    <t>Baba Ramdev Introduces Rajiv Malhotra to his Ashram Audience #2</t>
  </si>
  <si>
    <t>https://www.youtube.com/watch?v=t63m6GCrKbw</t>
  </si>
  <si>
    <t>How Ayurveda Got Plagiarized by the Aveda Brand #5</t>
  </si>
  <si>
    <t>https://www.youtube.com/watch?v=Dymxd9hAemA</t>
  </si>
  <si>
    <t>Rajiv Malhotra Exposes How Foreign Nexuses Operate in India #4</t>
  </si>
  <si>
    <t>https://www.youtube.com/watch?v=RKYffxIB9EM</t>
  </si>
  <si>
    <t>Baba Ramdev's Ashram Vid 3: Rajiv &amp; Baba Ramdev Discuss Long Range Forces Breaking India</t>
  </si>
  <si>
    <t>https://www.youtube.com/watch?v=gU4jkSa9phY</t>
  </si>
  <si>
    <t>Overview of Rajiv's Mission to Decolonize India Studies #6</t>
  </si>
  <si>
    <t>https://www.youtube.com/watch?v=y-v-Ijc7W3Y</t>
  </si>
  <si>
    <t>Baba Ramdev's Ashram Vid 10: What inspired Rajiv to Research &amp; Write</t>
  </si>
  <si>
    <t>https://www.youtube.com/watch?v=zVH1ZOi2_yk</t>
  </si>
  <si>
    <t>Baba Ramdev's Ashram Vid 12: Baba Ramdev's Comments on Rajiv's Talk &amp; Work</t>
  </si>
  <si>
    <t>https://www.youtube.com/watch?v=F-ZzB9uBQNs</t>
  </si>
  <si>
    <t>Why People of India did not get Genocided like Native Americans: Rajiv Malhotra #9</t>
  </si>
  <si>
    <t>https://www.youtube.com/watch?v=AOQPqjRx-0c</t>
  </si>
  <si>
    <t>Baba Ramdev's Ashram Vid 8: Indian Civilization Spread by Different Means than Others</t>
  </si>
  <si>
    <t>https://www.youtube.com/watch?v=8ZJ9Ubv74Fc</t>
  </si>
  <si>
    <t>Why Rajiv Malhotra Endorses Baba Ramdev as President of India #7</t>
  </si>
  <si>
    <t>https://www.youtube.com/watch?v=9ScY3DQ8lnM</t>
  </si>
  <si>
    <t>Rajiv Malhotra's Google Hangout for a Better India</t>
  </si>
  <si>
    <t>https://www.youtube.com/watch?v=gKt4SG-pAmw</t>
  </si>
  <si>
    <t>Introduction by the Director of Vivekananda Int'l Foundation</t>
  </si>
  <si>
    <t>https://www.youtube.com/watch?v=2p91-Fy5A6Q</t>
  </si>
  <si>
    <t>Arun Shourie quotes Indra's Net to clarify 'vasudhaiva kutumbakam'</t>
  </si>
  <si>
    <t>https://www.youtube.com/watch?v=30958J1ez4k</t>
  </si>
  <si>
    <t>Conclusion and Book Signing</t>
  </si>
  <si>
    <t>https://www.youtube.com/watch?v=nEEhdprZ-EE</t>
  </si>
  <si>
    <t>Arun Shourie's Lecture on Rajiv Malhotra's Book "Indra's Net"</t>
  </si>
  <si>
    <t>https://www.youtube.com/watch?v=dXkhbNnOMy0</t>
  </si>
  <si>
    <t>Rajiv Malhotra's Lecture on Indra's Net</t>
  </si>
  <si>
    <t>https://www.youtube.com/watch?v=YD-IKZbbHeU</t>
  </si>
  <si>
    <t>Public Meeting &amp; Talk on 'Indra's Net' in Bangalore, 19 Jan 2014: Opening Ceremonies</t>
  </si>
  <si>
    <t>https://www.youtube.com/watch?v=mLEhBqCBBYE</t>
  </si>
  <si>
    <t>Public Meeting &amp; Talk on 'Indra's Net' Bangalore, 1/19/2014: Is Hinduism defined as a way of life?</t>
  </si>
  <si>
    <t>https://www.youtube.com/watch?v=cshbkDak_p0</t>
  </si>
  <si>
    <t>Public Meeting &amp; Talk on 'Indra's Net' Bangalore, 1/19/2014: Why is the book titled 'Indra's Net'?</t>
  </si>
  <si>
    <t>https://www.youtube.com/watch?v=kmJLZRzZhUA</t>
  </si>
  <si>
    <t>Rajiv Malhotra Talk on new Book 'Indra's Net' Bengaluru: What should we do about media biases</t>
  </si>
  <si>
    <t>https://www.youtube.com/watch?v=myyrtrylWQs</t>
  </si>
  <si>
    <t>Public Meeting &amp; Talk on "Indra's Net" Bangalore 1/19/14: Where do you see India in the year 2020?</t>
  </si>
  <si>
    <t>https://www.youtube.com/watch?v=v6x52noLJOo</t>
  </si>
  <si>
    <t>Talk on 'Indra's Net': Clarification on Mutual Respect</t>
  </si>
  <si>
    <t>https://www.youtube.com/watch?v=7zvf9bnLgs8</t>
  </si>
  <si>
    <t>What is wrong with Ford Foundation: Rajiv Malhotra</t>
  </si>
  <si>
    <t>https://www.youtube.com/watch?v=7RTlRYpr7o8</t>
  </si>
  <si>
    <t>Public Meeting &amp; Talk on 'Indra's Net' in Bangalore 1/19/14: Description of Rajiv's Bangalore trip</t>
  </si>
  <si>
    <t>https://www.youtube.com/watch?v=Th1s8XrKhnk</t>
  </si>
  <si>
    <t>Public Meeting/Talk on 'Indra's Net' Bangalore 1/19/14: Release Kannada edition of Being Different</t>
  </si>
  <si>
    <t>https://www.youtube.com/watch?v=oYXPvuD_ejM</t>
  </si>
  <si>
    <t>Talk on his The Book 'Indra's Net' by Rajiv Malhotra in Bangalore</t>
  </si>
  <si>
    <t>https://www.youtube.com/watch?v=Cs9JbmZ0poM</t>
  </si>
  <si>
    <t>'Indra's Net': Sri Sri Sri Nirmalanandanath Swamy's Address</t>
  </si>
  <si>
    <t>https://www.youtube.com/watch?v=xGvABG6vfLg</t>
  </si>
  <si>
    <t>Public Meeting/Talk Indra's Net, Bangalore 1/19/14: N Kumar-Justice of Karnataka High Court Address</t>
  </si>
  <si>
    <t>https://www.youtube.com/watch?v=QfYz6BBYpWg</t>
  </si>
  <si>
    <t>Public Meeting &amp; Talk on 'Indra's Net' Bangalore 1/19/14: Conclusion of the event</t>
  </si>
  <si>
    <t>https://www.youtube.com/watch?v=-rJtFWVJpjA</t>
  </si>
  <si>
    <t>Ramakrishna Mission's Institute of Culture, Kolkata: Relationship between spirituality &amp; science?</t>
  </si>
  <si>
    <t>https://www.youtube.com/watch?v=iY88UCitwGY</t>
  </si>
  <si>
    <t>Ramakrishna Mission's Institute of Culture, Kolkata: Q&amp;A - Concerning the use of the word "Hindu"</t>
  </si>
  <si>
    <t>https://www.youtube.com/watch?v=KBA7GLExw3o</t>
  </si>
  <si>
    <t>Ramakrishna Mission's Institute of Culture, Kolkata: Q&amp;A - Who composes a Grand Narrative?</t>
  </si>
  <si>
    <t>https://www.youtube.com/watch?v=DoYL7K2djDY</t>
  </si>
  <si>
    <t>Is The Grand Narrative Divisive? How To Protect Our Openness?</t>
  </si>
  <si>
    <t>https://www.youtube.com/watch?v=GajqTVRZzfE</t>
  </si>
  <si>
    <t>Ramakrishna Mission's Institute of Culture, Kolkata: Rajiv Malhotra's Lecture</t>
  </si>
  <si>
    <t>https://www.youtube.com/watch?v=QPVDHJcsv5U</t>
  </si>
  <si>
    <t>Let's Protect Our Adhyatmic (Inner) Sciences From Quackery: Rajiv Malhotra</t>
  </si>
  <si>
    <t>https://www.youtube.com/watch?v=pfw-rEK12IA</t>
  </si>
  <si>
    <t>IITK Indian Mind Sciences &amp; Their Importance Today:Loss of Liberal Arts &amp; Creativity in Indian Univ</t>
  </si>
  <si>
    <t>https://www.youtube.com/watch?v=4H5piNrmsCU</t>
  </si>
  <si>
    <t>IIT Kharagpur Indian Mind Sciences &amp; Their Importance Today: Rajiv's Guest Lecture</t>
  </si>
  <si>
    <t>https://www.youtube.com/watch?v=bEc29vVNLOc</t>
  </si>
  <si>
    <t>IITK Indian Mind Sciences &amp; Their Importance Today: correct histories to pursue inner sciences</t>
  </si>
  <si>
    <t>https://www.youtube.com/watch?v=7WA-8QBd5Tk</t>
  </si>
  <si>
    <t>IIT Kharagpur Indian Mind Sciences &amp; Their Importance Today: Inner Sciences &amp; Simple Living</t>
  </si>
  <si>
    <t>https://www.youtube.com/watch?v=3asYCknfoMo</t>
  </si>
  <si>
    <t>IITK Indian Mind Sciences &amp; Their Importance Today: Advance Indian Ed Beyond Supplying Tech Coolies</t>
  </si>
  <si>
    <t>https://www.youtube.com/watch?v=4gAHt9ki2xY</t>
  </si>
  <si>
    <t>Dr. Deepika Kothari introduces her film at launch of 'History of Yoga' film, Mumbai 1/26/2014</t>
  </si>
  <si>
    <t>https://www.youtube.com/watch?v=TbQkh6axHEM</t>
  </si>
  <si>
    <t>Rajiv Malhotra Lecture as Chief Guest at launch of 'History of Yoga' film, Mumbai 1/26/2014</t>
  </si>
  <si>
    <t>https://www.youtube.com/watch?v=1_8y5fSSOlE</t>
  </si>
  <si>
    <t>Rajiv Malhotra's Endorsement of the Film, "History of Yoga"</t>
  </si>
  <si>
    <t>https://www.youtube.com/watch?v=jaw4U_s24zo</t>
  </si>
  <si>
    <t>Event Introduction - Indus University Release of Indra's Net Jan 29 2014</t>
  </si>
  <si>
    <t>https://www.youtube.com/watch?v=R2XPp4eJXLk</t>
  </si>
  <si>
    <t>Indus University Release of The Book Indra's Net_Q&amp;A</t>
  </si>
  <si>
    <t>https://www.youtube.com/watch?v=d9iObjKR5yI</t>
  </si>
  <si>
    <t>India's Grand Narrative &amp; Talk on The Book 'Indra's Net' at Indus Uniersity</t>
  </si>
  <si>
    <t>https://www.youtube.com/watch?v=Ow3nJA8fhhQ</t>
  </si>
  <si>
    <t>Rajiv Malhotra in Conversation with Mohandas Pai - Bangalore Literary Festival</t>
  </si>
  <si>
    <t>2 years ago</t>
  </si>
  <si>
    <t>https://www.youtube.com/watch?v=yr_-UHm07rM</t>
  </si>
  <si>
    <t>Rajiv Malhotra Panel Bangalore Literature Festival Sept, 2014</t>
  </si>
  <si>
    <t>https://www.youtube.com/watch?v=JNg9hu1QURw</t>
  </si>
  <si>
    <t>Rajiv in conversation w/ Rajendra Pawar Chairman &amp; Harpal Singh Trustee, NIIT</t>
  </si>
  <si>
    <t>https://www.youtube.com/watch?v=11Ben3IvDQ0</t>
  </si>
  <si>
    <t>Rajiv Malhotra's inaugural message at the launch of the ASIAN LENS initiative by NIIT University</t>
  </si>
  <si>
    <t>https://www.youtube.com/watch?v=xjZO-uNelDI</t>
  </si>
  <si>
    <t>1. Introduction to Q&amp;A session in Washington DC</t>
  </si>
  <si>
    <t>https://www.youtube.com/watch?v=6oKx_bFPSSA</t>
  </si>
  <si>
    <t>2. Rajiv describes the stages of his own journey over the past 20 years</t>
  </si>
  <si>
    <t>https://www.youtube.com/watch?v=_Anq0CTYGt8</t>
  </si>
  <si>
    <t>3. Who is Rajiv's guru</t>
  </si>
  <si>
    <t>https://www.youtube.com/watch?v=_xIbCmTtK8s</t>
  </si>
  <si>
    <t>4. What are the four books Rajiv has published thus far</t>
  </si>
  <si>
    <t>https://www.youtube.com/watch?v=qGie_-i1j6o</t>
  </si>
  <si>
    <t>What is Neo Hinduism &amp; Why Our Opponents Want to Propagate it #5</t>
  </si>
  <si>
    <t>https://www.youtube.com/watch?v=VwTbkm1NN4Y</t>
  </si>
  <si>
    <t>Why is Namaz Practice in Islam Not 'Embodied' in the Dharma Sense #6</t>
  </si>
  <si>
    <t>https://www.youtube.com/watch?v=WQObFfIG62Q</t>
  </si>
  <si>
    <t>7. Explain your goal of being non ignorable</t>
  </si>
  <si>
    <t>https://www.youtube.com/watch?v=CouNRYMLDmY</t>
  </si>
  <si>
    <t>8. What are your issues with funding India related chairs in the West</t>
  </si>
  <si>
    <t>https://www.youtube.com/watch?v=ZWkU2WQv4mM</t>
  </si>
  <si>
    <t>9. How should we infiltrate the Western academy</t>
  </si>
  <si>
    <t>https://www.youtube.com/watch?v=ziCW-l-SXRM</t>
  </si>
  <si>
    <t>What Should Hindus do to Compete Against Church Seminaries Producing Research #10</t>
  </si>
  <si>
    <t>https://www.youtube.com/watch?v=mNRX-8C-RmY</t>
  </si>
  <si>
    <t>11. How to scale up Rajiv's work to become like a research seminary</t>
  </si>
  <si>
    <t>https://www.youtube.com/watch?v=hH3jbt-s4aY</t>
  </si>
  <si>
    <t>Rajiv Malhotra in conversation with Aam Admi Party leaders just before election</t>
  </si>
  <si>
    <t>https://www.youtube.com/watch?v=zyTsxv3NJzA</t>
  </si>
  <si>
    <t>Rajiv Malhotra: Chief Guest Manipal Univ_Intl Conf on Language &amp; Literature</t>
  </si>
  <si>
    <t>https://www.youtube.com/watch?v=yYhGJH2NjBA</t>
  </si>
  <si>
    <t>Western Dichotomies towards Dharma - Rajiv Malhotra Lecture at India House, Houston Dec 13 2014</t>
  </si>
  <si>
    <t>https://www.youtube.com/watch?v=7bZemcM70W0</t>
  </si>
  <si>
    <t>Rajiv Malhotra on 'Analysis of the Kurukshetra'. Interviewed by Vijaya Vishwanathan</t>
  </si>
  <si>
    <t>1 year ago</t>
  </si>
  <si>
    <t>https://www.youtube.com/watch?v=R_G2Gd70LiY</t>
  </si>
  <si>
    <t>Hindu-Christian Debate Between Rajiv Malhotra &amp; Christian Eberhart</t>
  </si>
  <si>
    <t>https://www.youtube.com/watch?v=k6dsew1B6SE</t>
  </si>
  <si>
    <t>Indian Americans &amp; Indian Grand Narrative - Rajiv Malhotra Lecture/Q&amp;A Woodlands Temple Dec 14 2014</t>
  </si>
  <si>
    <t>Poor</t>
  </si>
  <si>
    <t>Interviewer Vijaya's audio is audible, RM's video not audible throughout the video</t>
  </si>
  <si>
    <t>https://www.youtube.com/watch?v=X4TDNzwe3s4</t>
  </si>
  <si>
    <t>John Dayal - Debating foreign funded NGOs with John Dayal and others</t>
  </si>
  <si>
    <t xml:space="preserve">Did not edit </t>
  </si>
  <si>
    <t>https://www.youtube.com/watch?v=dHQ-HMVdPyE</t>
  </si>
  <si>
    <t>Swami Nirmalanandanatha, Head of Sri Adichunchanagiri Muth, Discusses with Rajiv Malhotra</t>
  </si>
  <si>
    <t>1 month ago</t>
  </si>
  <si>
    <t>https://www.youtube.com/watch?v=_OWY_haNDNI</t>
  </si>
  <si>
    <t>Rajiv Malhotra: Debating Foreign Funded NGOs with John Dayal &amp; others</t>
  </si>
  <si>
    <t xml:space="preserve">Introduction of Sri Adichunchunagiri Muth by Swami Nirmalanandanatha </t>
  </si>
  <si>
    <t>Briefly describes about 1500 years of the history of Muth and its role in the society for blending of ancient and modern education and in other social aspects</t>
  </si>
  <si>
    <t>https://www.youtube.com/watch?v=s1VIjn0qPQg</t>
  </si>
  <si>
    <t>NDTV 'We the People' debate on Foreign NGOs moderated by Barkha Dutt</t>
  </si>
  <si>
    <t>Karnataka Gurus render spiritual and religious services alongwith social and education services</t>
  </si>
  <si>
    <t xml:space="preserve">Explains why Gurus and Muthas are successful in Karnataka in providing services that directly impact society. Rethinking is required how past glory can be brought back. </t>
  </si>
  <si>
    <t>https://www.youtube.com/watch?v=NpqJHyWjh7A</t>
  </si>
  <si>
    <t>Rajiv Opening Remarks - JNU Roundtable on Decolonizing the Academy &amp; Debating breaking India forces</t>
  </si>
  <si>
    <t>Importance of education and the need to de-colonize our minds</t>
  </si>
  <si>
    <t>Discussion about the state of education, the medium of instructions, inclusion of Western ideologies in curriculum. Exclusion of learning about our ancient knowledge and importance of knowing one's own culture.</t>
  </si>
  <si>
    <t>Educational policy and Aryan-Dravidian divide</t>
  </si>
  <si>
    <t>Discussion about why India was powerful until 1750, how we can incorporate Kautilya's Arthashstra. Also, how can we get rid of Aryan-Dravidian theory.</t>
  </si>
  <si>
    <t>https://www.youtube.com/watch?v=m9xF54UZFuY</t>
  </si>
  <si>
    <t>Dr. Tribhuvan Singh - JNU Roundtable on Decolonizing the Academy &amp; Debating breaking India forces</t>
  </si>
  <si>
    <t>We are jati-based, hence merit-based society, and caste concept implanted by the British</t>
  </si>
  <si>
    <t>Discuss our jati-based, varna-based class structure. British introduced this caste concept to divide and rule. Need to provide benefit not on the basis of caste but on the economic status . Also, how to support our Gurus under attack.</t>
  </si>
  <si>
    <t>Get our temples back</t>
  </si>
  <si>
    <t>Talk about Swami Dayanand Saraswati's role in setting up Hindu Dharma Acharya Sabha to get our temples back from Givt. control.</t>
  </si>
  <si>
    <t>Yoga, our gift to the mankind</t>
  </si>
  <si>
    <t>https://www.youtube.com/watch?v=srr9jTynwdo</t>
  </si>
  <si>
    <t>Dr. Udit Raj Talk - JNU Roundtable on Decolonizing the Academy &amp; Debating Breaking India Forces</t>
  </si>
  <si>
    <t>Analysis of how Yoga has become big industry and is secularised by our own people as a business. Discuss the need to talk about the true purpose of Yoga.</t>
  </si>
  <si>
    <t>Why the name "Infinity" of the foundation?</t>
  </si>
  <si>
    <t>Rajiv Malhotra beautifully explains why this name was chosen. Also talks about what is Indra's Net.</t>
  </si>
  <si>
    <t>Quantum Physics and Study of Consciousness</t>
  </si>
  <si>
    <t>Discuss the connection between ancient philosophy and today's Quantum Physics. Rajiv Malhotra explains how today's Western scientists have converted our metaphysics into machines as extension of our senses to help the society today. Also, discuss how Western world is appropriating our metaphysics, our philosophy and marketing as their own.</t>
  </si>
  <si>
    <t>https://www.youtube.com/watch?v=w5KPpzfrQQY</t>
  </si>
  <si>
    <t>Prof Girish Nath Jha - JNU Roundtable on Decolonizing the Academy &amp; Debating Breaking India Forces</t>
  </si>
  <si>
    <t>https://www.youtube.com/watch?v=VFJFvcNogFU</t>
  </si>
  <si>
    <t>Rajiv Malhotra in Conversation with Brooke Boon, Founder of ‘Holy Yoga’</t>
  </si>
  <si>
    <t>3 months ago</t>
  </si>
  <si>
    <t>https://www.youtube.com/watch?v=AuVaei10Du0</t>
  </si>
  <si>
    <t>Concluding discussion turns into shouting match between students &amp; Udit Raj - JNU Roundtable</t>
  </si>
  <si>
    <t>What is Holy Yoga?</t>
  </si>
  <si>
    <t>In her promotional video, Brooke Boon invites believers and seekers of Jesus to Holy Yoga</t>
  </si>
  <si>
    <t>https://www.youtube.com/watch?v=1GLaXQ6Rgcg</t>
  </si>
  <si>
    <t>Rajiv Malhotra's Talk at Art of Living: Where is Dharma in the 21st Century</t>
  </si>
  <si>
    <t>https://www.youtube.com/watch?v=FKg_FjS3qZw</t>
  </si>
  <si>
    <t>The Evolution of Yajna: Rajiv Malhotra at Maharishi University</t>
  </si>
  <si>
    <t>Teachers' training programme by Holy Yoga</t>
  </si>
  <si>
    <t xml:space="preserve">Another Holy Yoga promotional video: Explains how they weave Bible and Spriitualness. Invite Christians to deepen their knowledge of how Yoga and word of God come together. </t>
  </si>
  <si>
    <t>https://www.youtube.com/watch?v=EHQ6eLHDs78</t>
  </si>
  <si>
    <t>Are Indians ignoring our civilization while the West appropriates it</t>
  </si>
  <si>
    <t>Jesus is our Guru</t>
  </si>
  <si>
    <t>Brooke declares Jesus is the Guru, Gu meaning "Dark', Ru meaning "Light". Explains naunces of the spirit and her sweeping experience of God, about the transformation of her mind, heart and action.</t>
  </si>
  <si>
    <t>Meaning of Namaste in Holy Yoga</t>
  </si>
  <si>
    <t>https://www.youtube.com/watch?v=-cC-ErXYdnI</t>
  </si>
  <si>
    <t>Debate on 'Hinduism &amp; Indian Grand Narrative', Delhi Univ Psychology Dept</t>
  </si>
  <si>
    <t>As per Holy Yoga, Brooke Boon explains, the meaning of Namaste as bowing not to the individual but to to Christ in him, to the light of Christ.</t>
  </si>
  <si>
    <t>Holy Yoga supports individuals and the Ministry</t>
  </si>
  <si>
    <t>In a Holy Yoga video, an instructor explains that God has given them the vision and support to equip the individuals to bring the Gospel to the ends of the world, so they work through the modalities of Holy Yoga to achieve the goal.</t>
  </si>
  <si>
    <t>https://www.youtube.com/watch?v=dZCZp5udJeI</t>
  </si>
  <si>
    <t>Are Sanskrit Studies in the West becoming the New Orientalism?</t>
  </si>
  <si>
    <t>Digestion of Hindu Yoga into Holy Yoga</t>
  </si>
  <si>
    <t>Brooke Boon describes her journey on the path that lead her to Holy Yoga. When her life fell apart at some point, she found Jesus.</t>
  </si>
  <si>
    <t>Seeking Enlightenment: Hindu way and Christian way</t>
  </si>
  <si>
    <t>Brooke Boon says as Christians, they seek communion with Chris. She describes Jesus as saying, "the Kingdom is within us". So, seeking that intimacy with the interior should not be discounted as Hindu practice.</t>
  </si>
  <si>
    <t>https://www.youtube.com/watch?v=O5i1SD7KFkI</t>
  </si>
  <si>
    <t>Lecture on Dharma, Sanskrit &amp; Science, Goa, Feb 26, 2015</t>
  </si>
  <si>
    <t>https://www.youtube.com/watch?v=Q3ZGmGasWfc</t>
  </si>
  <si>
    <t>Lecture 'Is our Sanskriti being distorted by the Americanization of Sanskrit Studies' at Sastra Univ</t>
  </si>
  <si>
    <t>Does Jesus-focused Yoga Practice keep Satan away?</t>
  </si>
  <si>
    <t>Brooke Boon does not think Satan can affect anyone doing Yoga.</t>
  </si>
  <si>
    <t>Difference between Hindu and Christian idea on Yoga</t>
  </si>
  <si>
    <t>Rajiv Malhotra and Brooke Boon explore the connect between Yoga and Salvation on one hand and on the other hand between Yoga and Karma/Reincarnation.</t>
  </si>
  <si>
    <t>https://www.youtube.com/watch?v=JbxzX8kwig4</t>
  </si>
  <si>
    <t>World Sanskrit Congress 2015: Is Sanskrit Dead or Alive, Political or Sacred</t>
  </si>
  <si>
    <t>Multiple Deities of Hindu and One form of Jesus</t>
  </si>
  <si>
    <t>Rajiv Malhotra states that a Hindu can worship any God and may have a preferred God called Ishtadevata.</t>
  </si>
  <si>
    <t>False Gods as per Christianity</t>
  </si>
  <si>
    <t>https://www.youtube.com/watch?v=Uxcvh2BQu1g</t>
  </si>
  <si>
    <t>Rajiv Malhotra refers to the book Holy Yoga that mentions that there is the risk of  false Gods coming in if one does different kinds of Yoga. Brooke Boon admits the Church has not done a good job about this and adds that one should not pass judgement on anyone's beliefs.</t>
  </si>
  <si>
    <t>Rajiv Malhotra's The Battle of Sanskrit Launch, Samskrita Bharati, Bengaluru</t>
  </si>
  <si>
    <t>Idolatory and Hindu's belief in other manifestations of God</t>
  </si>
  <si>
    <t>Brooke Boon describes her belief about the inherent divinity in Jesus through her own worldview. Rajiv Malhotra asks why Christians do not believe that God CAN take other forms. Brooke believes that fullness of reality is found in Christ.</t>
  </si>
  <si>
    <t>https://www.youtube.com/watch?v=0-Ishanuvj8</t>
  </si>
  <si>
    <t>The Importance of Swadeshi Indology: Rajiv Malhotra</t>
  </si>
  <si>
    <t>Understanding of Aum, Namaste, Bhaktiyoga etc.</t>
  </si>
  <si>
    <t>Rajiv Malhotra appreciates her knowledge about some Hindu practices and further probes her about recitation of verses from Bible before doing Yoga in the school of Holy Yoga. Brooke Boon replies that the recitation is not for all the asanas but only is theme based.</t>
  </si>
  <si>
    <t>https://www.youtube.com/watch?v=j84sUcOTBRM</t>
  </si>
  <si>
    <t>Reversing the Gaze (Purva-Paksha) on Western Indology, Karnataka Sanskrit University</t>
  </si>
  <si>
    <t>Success of Holy Yoga Movement</t>
  </si>
  <si>
    <t>Brooke Boon describes the success of Holy Yoga movement, presence in several countries and about possibility of entering India.</t>
  </si>
  <si>
    <t>https://www.youtube.com/watch?v=NQUbNykwFG4</t>
  </si>
  <si>
    <t>"Taking back our heritage: My message to India's youth" at IIT Madras</t>
  </si>
  <si>
    <t>Is Christian Yoga necessary for Enlightenment or is optional?</t>
  </si>
  <si>
    <t xml:space="preserve">Brooke Boon says doing Yoga as per her school is neither necessary nor sufficient for enlightenment. According to her, only surrender to Jesus is necessary for that. </t>
  </si>
  <si>
    <t>Appropriation of Hindu tradition and Christianizing of the same</t>
  </si>
  <si>
    <t>Rajiv Malhotra probes whether it is fair to Hindus when their traditions are taken and re-marketed to them by Evangelicals and used against them.</t>
  </si>
  <si>
    <t>https://www.youtube.com/watch?v=zILqg37PouM</t>
  </si>
  <si>
    <t>Roddam Narasimha &amp; Mohandas Pai discuss "The Battle For Sanskrit" with Rajiv Malhotra</t>
  </si>
  <si>
    <t>Analysis of interview with Brooke Boon</t>
  </si>
  <si>
    <t>Brooke Boon appears as accomodative and ambivalent. Holy Yoga website is very explicit. Clearly comes out as Christian Ministry. Shows how the missionaries obtain fake visas (called tentmakers) and operate as students, businessmen, NGOs, long-term tourists, retirees etc. to accomplish the job as missionaries.</t>
  </si>
  <si>
    <t>https://www.youtube.com/watch?v=fzzIeVO7-qk</t>
  </si>
  <si>
    <t>Rajiv Malhotra's Encounter With The Indian Left at Tata Institute of Social Sciences</t>
  </si>
  <si>
    <t>Spending time with Hindus-Pastor Joe Style</t>
  </si>
  <si>
    <t>Article by Pastor Joe on the Holy Yoga website clearly outlines that to make an impact on Hindus for converting them to Christianity, it's necessary to spend time with them. His wife Diane started wearing the symbols of Hindu womern as trhey realised the importance of Hindus.</t>
  </si>
  <si>
    <t>Yoga as Pastor Joe sees it in Holy Yoga</t>
  </si>
  <si>
    <t xml:space="preserve">Pastor built a case that to Christianise Yoga, it's necessary to Christianise bhajans, satsang, Hindu clothes, Hindu symbols etc. He discusses in his artilce on the website various ways of biblical contextualisation keeping Jesus at the center. </t>
  </si>
  <si>
    <t>https://www.youtube.com/watch?v=-fhrU0xoCgk</t>
  </si>
  <si>
    <t>In conversation with Madhu Kishwar: The Battle For Sanskrit</t>
  </si>
  <si>
    <t>Holy Yoga website says it all</t>
  </si>
  <si>
    <t>Unambiguous statement on the website that Holy Yoga is Christian Ministry. Several quotes from Bible on the website. Appears there is huge pressure from the Christians to learn Yoga so the Church wants to avoid losing Christians and also convert Hindus to Christianity. Holy Yoga clearly comes out as Bible-centric, Jesus-centric Christian missionary movement to re-interpret and utilise the power of Yoga movement for their evangelical purpose.</t>
  </si>
  <si>
    <t>https://www.youtube.com/watch?v=OXYcMlprdL4</t>
  </si>
  <si>
    <t>https://www.youtube.com/watch?v=SNpVBfgzPmo</t>
  </si>
  <si>
    <t>Discussing the Digestion of Yoga with a White Hindu</t>
  </si>
  <si>
    <t>"Geopolitics &amp; the study of Indian Civilization": A very large event at IIT Bombay</t>
  </si>
  <si>
    <t>4 months ago</t>
  </si>
  <si>
    <t>https://www.youtube.com/watch?v=yZ08CJsgurU</t>
  </si>
  <si>
    <t>Zee News_Rohit Sardana Interviews Rajiv Malhotra_Feb 2016</t>
  </si>
  <si>
    <t>https://www.youtube.com/watch?v=c13ZN5rYckE</t>
  </si>
  <si>
    <t>Sri Sri Ravi Shankar Launches "The Battle For Sanskrit" in Art of Living Campus, Bangalore</t>
  </si>
  <si>
    <t>Interview with Sri Louise-Her Journey to Hinduism</t>
  </si>
  <si>
    <t xml:space="preserve">A disciple of Swami Dayanand Saraswati since 1998, Sri Louise talks about the cognitive shift in her life. She also describes entering a larger social stratosphere in 2012-13 after reading Invading the Sacred and actively critiquing some of her peers practising Yoga. </t>
  </si>
  <si>
    <t>https://www.youtube.com/watch?v=p3i_mI87a3E</t>
  </si>
  <si>
    <t>Chinmaya Mission, Amish Tripathi &amp; Rajiv Malhotra discuss "The Battle For Sanskrit"</t>
  </si>
  <si>
    <t>Lost in Translation-Looting of Yoga, A video Clip by Sri Louise</t>
  </si>
  <si>
    <t>Sri Louise speaks about the teachers who teach Srimad Bhagwad Gita who never learnt from qualified teachers, and thus they themselves are not qulaified to teach Gita. In the process the text itself gets lost in translation. She also talks about non-translatables and inside versus outsiders. Rajiv Malhotra talks in brief about the journey of using the term Hinduphobia.</t>
  </si>
  <si>
    <t>Deva Premal and Miten says Hindus appropriated Mantras</t>
  </si>
  <si>
    <t>https://www.youtube.com/watch?v=FrXBeS9Vj40</t>
  </si>
  <si>
    <t>The front-runners of the worldwide chanting phenomenon Deva and Miten who make their millions chanting and singing the Samskrit mantras say that these are primordial sounds and Hindus appropriated them. Dissecting their position very clinically, Rajiv Malhotra states that the real question is whether the Mantra chanting and Christianity are compatible with each other or not. Sri Louise muses over the western-colonial narcissism, lack of rigorous thinking and colonial self-deflection by some of the western yoga-kirtan-mantra people.</t>
  </si>
  <si>
    <t>Art of Living: "The Battle For Sanskrit" talk in Bangalore ashram</t>
  </si>
  <si>
    <t>Yoga's position in the West</t>
  </si>
  <si>
    <t>Rajiv Malhotra is concerned about the confused westerners who end up confusing Hindus and also Hindu Gurus who began to accept the position that westerners take. Rajiv Malhotra also theorises how the digestion process happens and asks how Sri Louise views that. She gives her own perscpective from the standpoint of a westerner about the digestion and the commodification. She rues about the neo-colonial perspectives and tactics by her peers and also the fact that for most westerners Yoga is almost synomymous with asanas and have nothing to do with the real Yoga. Rajiv Malhotra ends by saying that distancing from its source and finding it inferior is the ego's excuse for digestion.</t>
  </si>
  <si>
    <t>https://www.youtube.com/watch?v=kaJQx-nXg6M</t>
  </si>
  <si>
    <t>Rajiv Malhotra responds to questions at a Vedic Gurukulam, Bidadi</t>
  </si>
  <si>
    <t>https://www.youtube.com/watch?v=fyMRRD_YeRI</t>
  </si>
  <si>
    <t>Ramakrishna Mission (Chennai) presents Rajiv Malhotra's talk/Q&amp;A on: Sacredness and Sanskrit</t>
  </si>
  <si>
    <t>Introduction: Where is India in the Eagle's Eyes?</t>
  </si>
  <si>
    <t>Overview of what America stands for vis-a-vis India by Rajiv Malhotra. Briefly touches the salient points before explaining in greater details in the subsequent slides such as America's gift to India's youth as well as the deeper truth. also discusses three layers of American civilization.</t>
  </si>
  <si>
    <t>https://www.youtube.com/watch?v=OHn7cvWw5gE</t>
  </si>
  <si>
    <t>JNU: Rajiv Malhotra's New Book THE BATTLE FOR SANSKRIT_full video</t>
  </si>
  <si>
    <t>History of America's Manifest Destiny</t>
  </si>
  <si>
    <t xml:space="preserve">Rajiv Malhotra takes us through the journey  of how "Manifest Destiny" became America's powerful mantra. </t>
  </si>
  <si>
    <t>Example of Corporate Support: Pew Trust</t>
  </si>
  <si>
    <t>Explicit Mission Statement by Pew Trust: To support institution that upholds historic Chrisitian principles rooted in Biblical standards.</t>
  </si>
  <si>
    <t>https://www.youtube.com/watch?v=tBf6vZKjL9w</t>
  </si>
  <si>
    <t>Battle For Sanskrit: How Samskrita Bharati &amp; Rajiv Malhotra can collaborate</t>
  </si>
  <si>
    <t>Bible and Secular Media in America</t>
  </si>
  <si>
    <t>Rajiv Malhotra shows that Time, Newsweek. US News and World Report carried over a dozen special issues on Bible, Christianity, Jesus etc. in the past few years with great respect. Serious analysis of Biblical history and its positive role in todays' time was done by them.</t>
  </si>
  <si>
    <t>https://www.youtube.com/watch?v=tNKCTknE59M</t>
  </si>
  <si>
    <t>Rajiv Malhotra Darshan with Kanchi Shankaracharyas to Discuss Common Interests</t>
  </si>
  <si>
    <t>American Civilization's Three Layers</t>
  </si>
  <si>
    <t xml:space="preserve">America has three layers of its' civilization viz. Pop culture Layer, Business Layer and Deep Culture Layer. </t>
  </si>
  <si>
    <t>America is Larger Than Life for Americans</t>
  </si>
  <si>
    <t>America  has hundreds of Historical Societies across the nation, its History books showing greatness of Western Civilization. It has hugelu popular Presidential libraries, historical monuments, theme parks etc. The National Flag is like a very sacred Deiti, and is found everywhere. All levels of Governments are based on patriotism and all political parties are always pro-American.</t>
  </si>
  <si>
    <t>https://www.youtube.com/watch?v=0DzUUFbFZHs</t>
  </si>
  <si>
    <t>"Removing the burqa from our minds": Rajiv Malhotra's lecture &amp; interaction in Bangalore</t>
  </si>
  <si>
    <t>Contesting America's Post-Modernity</t>
  </si>
  <si>
    <t>https://www.youtube.com/watch?v=59-D2X_vmlA</t>
  </si>
  <si>
    <t>Delhi University's distinguished panel discusses THE BATTLE FOR SANSKRIT</t>
  </si>
  <si>
    <t>Robert Young, a literary theorist had written, "We are witnessing the dissolution of the West." Other authors too expressed the view that the Europeans no longer seem acceptable in a world where others are reasoning their own notion of the past and the future. However, rajiv malhotra thinks that the USA is following a trajectory that is diametrically opposite to the Young's analysis.</t>
  </si>
  <si>
    <t>For America, Is Postmodernism for Export Only?</t>
  </si>
  <si>
    <t>Deconstruction ideology failed in the American mainstream as Rajiv Malhotra observes. Postmodernism denies the unity of anything that includes the "lived experience" by any civilization. Wall Street Journal wrote, " Evangelicals give US foreign policy an activist tinge."</t>
  </si>
  <si>
    <t>Foreign Interventions via Human Rights NGOs</t>
  </si>
  <si>
    <t>Unabashadly US Secretary of State Colin Powel had said, " NGOs are force multiplier for us".  USAID administrator once proclaimed, " NGOs are an arm of the US government".</t>
  </si>
  <si>
    <t>https://www.youtube.com/watch?v=NhDs3OPqMQ4</t>
  </si>
  <si>
    <t>Rajiv Malhotra interviewed by young California enterpreneur, Balaji Srinivasan</t>
  </si>
  <si>
    <t>External Civilizational Challenges for America</t>
  </si>
  <si>
    <t>America's dilemma is in dealing with these two challenges; one with China for the clash of modernities and with Islam for the clash of fundamentalism. America also has dilemma for dealing with India; with one school wanting to build India and another to fragment India.</t>
  </si>
  <si>
    <t>Fragmentation Example: The Afro-Dalit Project</t>
  </si>
  <si>
    <t>Rajiv Malhotra discusses the Afro-Dalit project that involves branding the dalits of India as the "Blacks of India" and non-dalits as the "Whites of India".This project has full Institutional support from the Church,, Academy and Human Rights groups.</t>
  </si>
  <si>
    <t>Are Indians managed by America?</t>
  </si>
  <si>
    <t>There are two links that operate simulataneously having focus on India. The business wants to deal with India positively and the other link comprising the Government, Church, Funding agencies, academy, Journalists, NGOs wants to fragment India.</t>
  </si>
  <si>
    <t>https://www.youtube.com/watch?v=7JNUG5Lyals</t>
  </si>
  <si>
    <t>Are Indian Intellectuals Free Thinkers or Colonized: Indus University, TBFS Launch</t>
  </si>
  <si>
    <t>India's indifference to US Intervention in it's Affairs</t>
  </si>
  <si>
    <t xml:space="preserve">Indian Government is missing in action even though US Government is involved in the activities which hurt India. </t>
  </si>
  <si>
    <t>America's Complex Interest on India</t>
  </si>
  <si>
    <t>Rajiv Malhotra explains the complexities that determine America's interest on India. The vested interest groups are Businesses, Church, Government, Academy etc.</t>
  </si>
  <si>
    <t>Summary of Lecture-1</t>
  </si>
  <si>
    <t>Rajiv Malhotra summarises his talk by pointing out the commonly held perception and his counter position on several issues.</t>
  </si>
  <si>
    <t>https://www.youtube.com/watch?v=T-iBVjoTxpY</t>
  </si>
  <si>
    <t>Q&amp;A: Persecution of Dalits in India</t>
  </si>
  <si>
    <t>Kanchi Shankaracharya's devotees in USA discuss "The Battle For Sanskrit"</t>
  </si>
  <si>
    <t>Rajiv Malhotra gives seven-points explanation to this question.</t>
  </si>
  <si>
    <t>South Asia Study: How to Deconstruct India?</t>
  </si>
  <si>
    <t>Rajiv Malhotra exposes the engagement of various forces in the USA who have systematically undertaken the task to deconstruct India and to build sub-nationalism in India.</t>
  </si>
  <si>
    <t>https://www.youtube.com/watch?v=2RlQdQoP4mE</t>
  </si>
  <si>
    <t>Will Indian Corporate Leaders Support Swadeshi Indology?</t>
  </si>
  <si>
    <t>https://www.youtube.com/watch?v=9eSzra79z-I</t>
  </si>
  <si>
    <t>"The Battle For Sanskrit" discussed by Ramesh Pandey, VC of L.B.S. Rashtriya Sanskrit Vidyapeeth</t>
  </si>
  <si>
    <t>https://www.youtube.com/watch?v=zgOMSgegwGk</t>
  </si>
  <si>
    <t>"Where are the Pandavas?" Rajiv Malhotra interviewed by Vijaya Vishwanathan</t>
  </si>
  <si>
    <t>https://www.youtube.com/watch?v=t5AEphve0P8</t>
  </si>
  <si>
    <t>Samskrita Bharati panel discussion in Delhi: "The Battle For Sanskrit"</t>
  </si>
  <si>
    <t>https://www.youtube.com/watch?v=AefxKKTqv5I</t>
  </si>
  <si>
    <t>International Yoga Day, Philadelphia</t>
  </si>
  <si>
    <t>https://www.youtube.com/watch?v=zm-fPGwlflY</t>
  </si>
  <si>
    <t>Prof P.N. Shastry, VC, Rashtriya Sanskrit Sansthan, discusses "The Battle For Sanskrit"</t>
  </si>
  <si>
    <t>https://www.youtube.com/watch?v=FgVpxhtCQdA</t>
  </si>
  <si>
    <t>Rajiv Malhotra with Yogi Amrit Desai: FULL Interview</t>
  </si>
  <si>
    <t>11 months ago</t>
  </si>
  <si>
    <t>https://www.youtube.com/watch?v=b96t52xbmO8</t>
  </si>
  <si>
    <t>Dialogue with Dr. HR Nagendra, President VYASA, Bangalore</t>
  </si>
  <si>
    <t>https://www.youtube.com/watch?v=Iimv8qJijTE</t>
  </si>
  <si>
    <t>Dr Kutumba Sastry, President, International Association of Sanskrit Studies</t>
  </si>
  <si>
    <t>8 months ago</t>
  </si>
  <si>
    <t>https://www.youtube.com/watch?v=kpktr2ml8m8</t>
  </si>
  <si>
    <t>Bibek Debroy on "The Battle for Sanskrit"</t>
  </si>
  <si>
    <t>https://www.youtube.com/watch?v=jB9efRnouaI</t>
  </si>
  <si>
    <t>Rajiv Malhotra talk in Delhi Samskrita Bharati</t>
  </si>
  <si>
    <t>https://www.youtube.com/watch?v=r2uhf3x6oH8</t>
  </si>
  <si>
    <t>Q&amp;A on The Battle For Sanskrit. Samskrita Bharati event in Delhi</t>
  </si>
  <si>
    <t>https://www.youtube.com/watch?v=G-AjF_4Jc1I</t>
  </si>
  <si>
    <t>How to be an intellectual kshatriya, by Rajiv Malhotra</t>
  </si>
  <si>
    <t>https://www.youtube.com/watch?v=hbcWYVaowqI</t>
  </si>
  <si>
    <t>Swami Harshananda (senior monk of RK Mission) blessings at Intellectual Kshatriya workshop</t>
  </si>
  <si>
    <t>https://www.youtube.com/watch?v=olQlPZuEWLY</t>
  </si>
  <si>
    <t>Columbia University Talk "Hinduphobia in Academia": Rajiv Malhotra</t>
  </si>
  <si>
    <t>https://www.youtube.com/watch?v=fwbLw9W9GC8</t>
  </si>
  <si>
    <t>Rajiv Malhotra at MIT: The Force Awakens</t>
  </si>
  <si>
    <t>https://www.youtube.com/watch?v=XcIm7eWfJ_M</t>
  </si>
  <si>
    <t>NewsX: Dr Subramanian Swamy's Endorsement for Rajiv Malhotra</t>
  </si>
  <si>
    <t>https://www.youtube.com/watch?v=tD7VxQAIPLM</t>
  </si>
  <si>
    <t>Difference Between British Era Sepoys &amp; Today's Intellectual Sepoys</t>
  </si>
  <si>
    <t>https://www.youtube.com/watch?v=RaNpNJVvWDI</t>
  </si>
  <si>
    <t>People like Devdutt Pattanaik Subvert Hinduism While Seeming to Help it</t>
  </si>
  <si>
    <t>https://www.youtube.com/watch?v=sdUuukDpj9s</t>
  </si>
  <si>
    <t>History-Centrism &amp; Dharma vis a vis Religion: Rajiv Malhotra</t>
  </si>
  <si>
    <t>https://www.youtube.com/watch?v=jQ47l4DT1BY</t>
  </si>
  <si>
    <t>Rajiv Malhotra explains the difference between Intellectual Kshatriya and Emotional Kshatriya</t>
  </si>
  <si>
    <t>https://www.youtube.com/watch?v=WkR5PD16sCg</t>
  </si>
  <si>
    <t>Rajiv explains how Hindu values of tapas get distorted by naive Hindus selling out to US pop culture</t>
  </si>
  <si>
    <t>https://www.youtube.com/watch?v=wXSD2PQznXI</t>
  </si>
  <si>
    <t>Rajiv Malhotra explains what it takes to become an Intellectual Kshatriya</t>
  </si>
  <si>
    <t>https://www.youtube.com/watch?v=p4NkqPPh2fk</t>
  </si>
  <si>
    <t>Rajiv Malhotra explains common misunderstanding of Maya among Hindus</t>
  </si>
  <si>
    <t>https://www.youtube.com/watch?v=GpEk4HU0r2Y</t>
  </si>
  <si>
    <t>Wendy Doniger's Erotic Psychoanalysis Theory Has Not Been Countered: Rajiv Malhotra #1</t>
  </si>
  <si>
    <t>https://www.youtube.com/watch?v=322EiuTqg7w</t>
  </si>
  <si>
    <t>When Devdutt Pattanaik Reduces Indian Itihas to Myth, it is Freud's Ideas he is propagating #2</t>
  </si>
  <si>
    <t>https://www.youtube.com/watch?v=liKAbE7beNI</t>
  </si>
  <si>
    <t>Rajiv Malhotra &amp; Dr Swamy talk on Christian Missionaries Religion Conversion Tactics</t>
  </si>
  <si>
    <t>https://www.youtube.com/watch?v=3eTjsY7w5kM</t>
  </si>
  <si>
    <t>4 Rajiv Malhotra: Dealing with Dharma transforms even the most rooted Abrahamic</t>
  </si>
  <si>
    <t>https://www.youtube.com/watch?v=afXofZLlzB4</t>
  </si>
  <si>
    <t>5 Are today's Pandavas sitting in the VIP lounge watching the action on the battlefield with binocu</t>
  </si>
  <si>
    <t>https://www.youtube.com/watch?v=gtDa8NLyc74</t>
  </si>
  <si>
    <t>3 Rajiv Malhotra explains the five types of people in the kurukshetra and analysis of each</t>
  </si>
  <si>
    <t>https://www.youtube.com/watch?v=Xk3tQcQ1QcQ</t>
  </si>
  <si>
    <t>Rajiv Malhotra on NDTV's We the People_Debate on Foreign NGOs #1</t>
  </si>
  <si>
    <t>https://www.youtube.com/watch?v=MP4mGKSR2-0</t>
  </si>
  <si>
    <t>KUPPUSWAMI SASTRI RESEARCH INSTITUTE (KSRI), Chennai, hosts Distinguished Lecture by Rajiv Malhotra</t>
  </si>
  <si>
    <t>https://www.youtube.com/watch?v=55sjF1l4Hu0</t>
  </si>
  <si>
    <t>Role of Hindu Temples: Rajiv Malhotra</t>
  </si>
  <si>
    <t>https://www.youtube.com/watch?v=LkTTH9gGQwA</t>
  </si>
  <si>
    <t>Rajiv Malhotra Motivates JNU Students to Speak Up Against Biased Professors #16</t>
  </si>
  <si>
    <t>https://www.youtube.com/watch?v=cuauchPBFCY</t>
  </si>
  <si>
    <t>N. Gopalaswami, former Chief Election Commissioner of India, and Rajiv Malhotra discuss TBFS</t>
  </si>
  <si>
    <t>https://www.youtube.com/watch?v=oeJfmsvMRBs</t>
  </si>
  <si>
    <t>OK</t>
  </si>
  <si>
    <t>The Attack on Kumbh Mela - Rajiv Malhotra Series on "Facebook LIVE" Part 1</t>
  </si>
  <si>
    <t>Infinity Foundation's Unique Gaze on USA from USA</t>
  </si>
  <si>
    <t>Rajiv Malhotra explains his unique background in USA. Infinity Foundation is a unique watchdog in USA which looks at the US institutions like the US Government, Think Tanks, School Curriculum on India, Universities, Academic Conferences, Churches etc which are involved in the study of India. This is a unique Indian gaze on USA from within USA.</t>
  </si>
  <si>
    <t>https://www.youtube.com/watch?v=vEdOCEkdY9Q</t>
  </si>
  <si>
    <t>Indian Comfort With What is Termed as Chaos: Rajiv Malhotra #1</t>
  </si>
  <si>
    <t>Afro-Dalit Project - Christian Nexus</t>
  </si>
  <si>
    <t>Very superficial understanding of the US by Indians - Pop Culture. Study the deep US. Afro-Dalit Project teaches that dalits are blacks of India and Brahmins are whites of India. The deep nexus between Afro-Dalit Project, Dalit Freedom Network, Joshua Project and various denominations of white christain churches are infusing racism calling it Youth Empowerment and Education. Cover Picture of the book Breaking India is from Afro-Dalit Project's Office.</t>
  </si>
  <si>
    <t>https://www.youtube.com/watch?v=Cv8kec-TugY</t>
  </si>
  <si>
    <t>Islamic destruction of temples can't be compared to local rivalries causing destruction #17</t>
  </si>
  <si>
    <t>How to convert Hindus in USA</t>
  </si>
  <si>
    <t>Win trust. Don't talk about religion. Inculturation by adopting Hindu activities. Seminaries specialise in this. Hindu Priests aren't trained to tackle these situations.</t>
  </si>
  <si>
    <t>https://www.youtube.com/watch?v=Uk3mD3cAFXg</t>
  </si>
  <si>
    <t>How YOU can help in the Kurukshetra &amp; Increase our Impact: Rajiv Malhotra</t>
  </si>
  <si>
    <t>Foreign Funding to promote dangerous ideologies</t>
  </si>
  <si>
    <t>Ideologies like seperate identity, alternate history, dalit liberation and secession not just by church but also funding Kashmir secession, Khalistan seperatism, evangelism, human rights etc. Conferences happen on these across the world where a huge nexus of organisations exist whose target is India, discussing how to intervene in India. The social, religious and demographic database created by them is more sophisticated than what the Government of India has on its own population.</t>
  </si>
  <si>
    <t>https://www.youtube.com/watch?v=spEEA-o1zlE</t>
  </si>
  <si>
    <t>Rajiv Malhotra Explains the History of Indian Science &amp; Technology Volumes</t>
  </si>
  <si>
    <t>https://www.youtube.com/watch?v=7cA62ZHlWx0</t>
  </si>
  <si>
    <t>Foreign Funding nexus as an INDUSTRY</t>
  </si>
  <si>
    <t>Rajiv Malhotra: When diversity is turned into vote bank, unity suffers #6</t>
  </si>
  <si>
    <t>The foreign funding nexus consists of 1) Money 2) Ideology 3) Forums and Channels 4) Training Indians. This is the INDIA STUDIES INDUSTRY which includes for eg: universities, church groups, human rights organisations. INDUSTRY ANALYSIS of India Studies Industry was done. India Studies Industry in US employs several thousand people to study India. India's External affairs ministry or Journalists didn't try to analyse what this India Studies Industry is doing. Many Indians who work in this Industry are naive and unaware of their role in the giant scheme of things. People higher-up might be compromised.</t>
  </si>
  <si>
    <t>https://www.youtube.com/watch?v=M8Xez56Bg9c</t>
  </si>
  <si>
    <t>Atrocity Literature of American NGOs</t>
  </si>
  <si>
    <t>Smritis are not frozen, need to be changed according to time &amp; context: Rajiv Malhotra #7</t>
  </si>
  <si>
    <t>Americans are the Englishmen who came from Europe, who have the mindset that the natives are uncivilised. Atrocity Literature on a wide range of countries and civilisations is maintained as part of their missions. Many Indians in this business are Sepoys who report back to the Foreign NGOs.</t>
  </si>
  <si>
    <t>https://www.youtube.com/watch?v=5U64D5B9-O0</t>
  </si>
  <si>
    <t>Rajiv Malhotra: #1 How Hindu Open Architecture is the Bedrock of Indian Identity</t>
  </si>
  <si>
    <t>Definition of Human Rights</t>
  </si>
  <si>
    <t>Who defines human rights? Genocide definition was changed by westerners. Cultural Genocide was removed from UN Human Rights Charter as a result of the people who get to define human rights.</t>
  </si>
  <si>
    <t>https://www.youtube.com/watch?v=fKsfq4rFzbA</t>
  </si>
  <si>
    <t>Set up NGOs in USA</t>
  </si>
  <si>
    <t>How Hindu Inferiority Complex Blocks Development of Indian Grand Narrative #2</t>
  </si>
  <si>
    <t>Rajiv-ji advises to set up NGOs like his in USA and study USA. USCIRF works with Church groups with no members from the Dharmic Traditions. USCIRF has a say in what the US Presidents talk on Religious rights in foreign countries. The definitions are from Abrahamic Religions only.</t>
  </si>
  <si>
    <t>https://www.youtube.com/watch?v=zKr-cYKprD8</t>
  </si>
  <si>
    <t>Rajiv Malhotra: Apathy, Ignorance, Laziness of Indians regarding their Civilization</t>
  </si>
  <si>
    <t>Segregation in US Churches</t>
  </si>
  <si>
    <t>Church is the most racially segregated institute in USA. Segregation in Churches is not only between Blacks and Whites but also Indians from different states have different Churches. Have the details to talk back as they have far worse problems than what they claim to treat about our tradition in India.</t>
  </si>
  <si>
    <t>https://www.youtube.com/watch?v=YHee5lF9yPc</t>
  </si>
  <si>
    <t>When Muslims &amp; Christians are More Equal than Hindus: Rajiv Malhotra #3</t>
  </si>
  <si>
    <t>Evangelism didn't save the Evangelised lands</t>
  </si>
  <si>
    <t>Comparative statistics on crime, human rights across the various christian countries prove that christianity didn't work in the evangelised countries. NGOs should first go to the already evangelised countries and solve their problems instead of trying to convert Indians into Christianity.</t>
  </si>
  <si>
    <t>https://www.youtube.com/watch?v=8xbYHg11ROo</t>
  </si>
  <si>
    <t>Rajiv Malhotra: #4 Caste Based Reservations Act as Vote Bank</t>
  </si>
  <si>
    <t>Invasion Theory of India</t>
  </si>
  <si>
    <t>Due to the inferiority complex of Indians, India is being taught as a land of invasions which got better with each invasion and Rajiv-ji humorously suggests to bring US now to give us human rights. NGOs take advantage of this inferiority complex.</t>
  </si>
  <si>
    <t>https://www.youtube.com/watch?v=yp1ZVELrxIA</t>
  </si>
  <si>
    <t>Rajiv Malhotra: #5 Funding Swadeshi Scholarship for Swadeshi Viewpoint</t>
  </si>
  <si>
    <t>Decontrol Temples - Compete with NGOs</t>
  </si>
  <si>
    <t>Hindu temples need to be given back to the Hindu community. Dharma is about various aspects of life. We have to be ashamed to beg others to come to our country if we want to consider ourselves a super-power.</t>
  </si>
  <si>
    <t>https://www.youtube.com/watch?v=JkoZriLo3fA</t>
  </si>
  <si>
    <t>If All Religions Are The Same Then Why Remain Hindu: Rajiv Malhotra</t>
  </si>
  <si>
    <t>Example of an NGO identified by Infinity Foundation</t>
  </si>
  <si>
    <t>Dalit Freedom Network is one organisation based in Denver and produces Atrocity Literature against Hindus to the point of coming close to getting the US Government to impose sanctions on India. Rajiv-ji shuts down the liberal journalist when she raises anti-Muslim and anti-Christian rhetoric. This is a very specific work which looks at anti-Hindu and anti-India work of US based churches, government, think tanks etc. We are told very superficially at pop-culture leverl that to talk like is bad, dirty, we should not talk like this, you are being a trouble maker, all religions are same etc. But deep down this is down dirty anti-Hindu work that they are doing in USA.</t>
  </si>
  <si>
    <t>https://www.youtube.com/watch?v=hPD7CW4JiSA</t>
  </si>
  <si>
    <t>Rajiv Malhotra: Caste Cow Curry Joke in India #7</t>
  </si>
  <si>
    <t>Indians deposing against India in foreign countries and UN</t>
  </si>
  <si>
    <t>Indian Citizens who are well respected in India go in front of foregin governments and present Atrocity Literature against India. Example: John Dayal. John Dayal himself says such people need to be put on trial and sentenced to death for being Traitors. :-)</t>
  </si>
  <si>
    <t>https://www.youtube.com/watch?v=wKE7d6nLsDM</t>
  </si>
  <si>
    <t>How Christianity Inc is the Largest MNC in the World: Rajiv Malhotra #1</t>
  </si>
  <si>
    <t>Example of a Colonised Mind</t>
  </si>
  <si>
    <t>Rajiv-ji describes the origin of left and right in French Parliament after the French Revolution. Colonised Indians don't know what is right and left in US vis-a-vis the same terms in India. For Example: The Church is the most problematic right wing in USA but becomes left wing in India. Colonised Indians don't know how to understand these institutions when they say there is this west which is left wing and then there is this Indian right wing. Gandhi gets labelled as right wing under this classification. Realise that once they are in power these labels will vanish. Understanding of what they represent has to be deeper instead of depending on superficial labelling.</t>
  </si>
  <si>
    <t>https://www.youtube.com/watch?v=dlQfycnk550</t>
  </si>
  <si>
    <t>Christianity Needs Major Reform: Rajiv Malhotra #2</t>
  </si>
  <si>
    <t>Christians Creating a Civil War Situation</t>
  </si>
  <si>
    <t>https://www.youtube.com/watch?v=dgXtHzSngX0</t>
  </si>
  <si>
    <t>The discourse generated somewhere in the foreign lands indeed is having its effect in India when the Chief Ministers are themselves using that framework. Mahishasura Martyrdom Day organised at JNU, backed by Churches and media house (Forward Press) is a clear case ethnography and generating alternate identity which is creating a Civil War kind of situation. Mahishasura is the new icon of Yadavas and not Bhagvan Srikrishna? (emphasis mine)</t>
  </si>
  <si>
    <t>The False "Aryan Dravidian" Divide is Part of Official Govt Discourse on India: Rajiv Malhotra</t>
  </si>
  <si>
    <t>https://www.youtube.com/watch?v=Xml5nVm8bg0</t>
  </si>
  <si>
    <t>DIGESTION of Hindusim into Christianity: Rajiv Malhotra #7</t>
  </si>
  <si>
    <t>https://www.youtube.com/watch?v=I6Nwopg3FIw</t>
  </si>
  <si>
    <t>Rajiv Malhotra: Sanskrit Protects Dharma From Digestion</t>
  </si>
  <si>
    <t>https://www.youtube.com/watch?v=QT3p6iGNrkU</t>
  </si>
  <si>
    <t>The Attack on Kumbh Mela - Rajiv Malhotra Series on "Facebook LIVE" Part 2</t>
  </si>
  <si>
    <t>Ideological Colonisation and Decolonisation</t>
  </si>
  <si>
    <t>Requires understanding colonisation to be able to decolonise. Colonisation is not just geographical but also ideological colonisation - paradigms, vocabulary, language etc. Next is, developing ideologically colonised human resource department. And finally pass this on to generations through institutes. The current ideological colonisation has shifted from British based to US based. This ideological colonisation is now worse than before.</t>
  </si>
  <si>
    <t>Re-Record to remove the background echo.</t>
  </si>
  <si>
    <t>https://www.youtube.com/watch?v=DYtc95s7Kpc</t>
  </si>
  <si>
    <t>Response to Young Law Student &amp; Human Rights Activist #2</t>
  </si>
  <si>
    <t>Example of Ideological Colonisation: NDTV Talk Show</t>
  </si>
  <si>
    <t>The fact that the panel is discussing whether Indians can go to depose in and get saved by the British Parliament is a sign of serious ideological colonisation.</t>
  </si>
  <si>
    <t>https://www.youtube.com/watch?v=Lg0JLlBHCgA</t>
  </si>
  <si>
    <t>Rajiv Malhotra responds: Why do we need others legitimacy if we are 1/6th of the world</t>
  </si>
  <si>
    <t>https://www.youtube.com/watch?v=ZpdQsUkjwMc</t>
  </si>
  <si>
    <t>The Attack on Kumbh Mela - Rajiv Malhotra Series on "Facebook LIVE" Part 3</t>
  </si>
  <si>
    <t>https://www.youtube.com/watch?v=xA9TKhOjY24</t>
  </si>
  <si>
    <t>Rajiv Malhotra Discusses the Idea of India &amp; Indian Identity</t>
  </si>
  <si>
    <t>https://www.youtube.com/watch?v=w2e5eqI49cE</t>
  </si>
  <si>
    <t>Rajiv Malhotra: Difference Between Tolerance and Mutual Respect #4</t>
  </si>
  <si>
    <t>https://www.youtube.com/watch?v=-HWLO-7d98U</t>
  </si>
  <si>
    <t>Rajiv Malhotra on NewsX Channel: Hinduphobia, Breaking India forces &amp; Kashmir problem</t>
  </si>
  <si>
    <t>https://www.youtube.com/watch?v=qY5oQOirve4</t>
  </si>
  <si>
    <t>JNU student questions John Dayal and leaves him Dumbstruck!</t>
  </si>
  <si>
    <t>https://www.youtube.com/watch?v=GtSbmTRia5Y</t>
  </si>
  <si>
    <t>Rajiv Malhotra with Prof Mohan on "Breaking India" on Tharanga</t>
  </si>
  <si>
    <t>https://www.youtube.com/watch?v=yMRw4TF7CAk</t>
  </si>
  <si>
    <t>Rajiv Malhotra's Rejoinder to Kancha Ilaiah's Breaking India Activities</t>
  </si>
  <si>
    <t>https://www.youtube.com/watch?v=XCXsh2mfb3M</t>
  </si>
  <si>
    <t>Kumbh Mela 3.7: What should Indian Govt &amp; Leaders do to Save The Kumbh Mela</t>
  </si>
  <si>
    <t>https://www.youtube.com/watch?v=sTYcLqa56Z4</t>
  </si>
  <si>
    <t>Kumbh Mela 3.1: Rajiv responds to Viewers Questions about Akhadas</t>
  </si>
  <si>
    <t>https://www.youtube.com/watch?v=VxI-y4zU4YE</t>
  </si>
  <si>
    <t>Kumbh Mela 3.6: What can the Youth do to Save Kumbh Mela</t>
  </si>
  <si>
    <t>https://www.youtube.com/watch?v=kKbQvD24QPY</t>
  </si>
  <si>
    <t>Kumbh Mela 3.5: HRD Ministry should give a report on state of Indology</t>
  </si>
  <si>
    <t>https://www.youtube.com/watch?v=A6j1KcojG0E</t>
  </si>
  <si>
    <t>Attack on Kumbh Mela 3.4: Rajiv Malhotra explains Ideological fight with Seculars</t>
  </si>
  <si>
    <t>https://www.youtube.com/watch?v=wzPkggokfLg</t>
  </si>
  <si>
    <t>Kumbh Mela 3.3: Is Any Legal Action Possible to Restrict Entry to the Kumbh Mela</t>
  </si>
  <si>
    <t>https://www.youtube.com/watch?v=dJ9wpyiJSSI</t>
  </si>
  <si>
    <t>Kumbh Mela 3.2: Rajiv Malhotra responds — Do We Need Bad Cops</t>
  </si>
  <si>
    <t>https://www.youtube.com/watch?v=0DBc4TKwgDc</t>
  </si>
  <si>
    <t>MSNBC: Rajiv Malhotra discusses "Who is Bobby Jindal, really" Feb 2013</t>
  </si>
  <si>
    <t>https://www.youtube.com/watch?v=AjEKOFHh4yM</t>
  </si>
  <si>
    <t>Rajiv Malhotra on MSNBC: A Different Kind of Black-Brown Coalition</t>
  </si>
  <si>
    <t>https://www.youtube.com/watch?v=FQmwAFcJSpw</t>
  </si>
  <si>
    <t>From William Jones to Pollock, Discourse on India Continues to be Dictated by the West_MIT 9</t>
  </si>
  <si>
    <t>https://www.youtube.com/watch?v=Kg7UNGe9lik</t>
  </si>
  <si>
    <t>Theory of 'Aesthetization of Power' used by Sheldon Pollock_MIT 10</t>
  </si>
  <si>
    <t>https://www.youtube.com/watch?v=_OTzuNIDOOA</t>
  </si>
  <si>
    <t>Currently, GOI funded Religion Studies might not be in Dharma's Interest_MIT 11</t>
  </si>
  <si>
    <t>https://www.youtube.com/watch?v=VJZ4LARPMJU&amp;t=79s</t>
  </si>
  <si>
    <t>How Germans Distorted Hindu Ideas Which Led to Nazism: Rajiv Malhotra #12</t>
  </si>
  <si>
    <t>https://www.youtube.com/watch?v=V-N1KdB7QTg</t>
  </si>
  <si>
    <t>Fb LIVE 5: Kutumba Sastry, President Intl Asso Sanskrit Studies — Interviewed by Rajiv Malhotra</t>
  </si>
  <si>
    <t>https://www.youtube.com/watch?v=4fTC0cZiBus</t>
  </si>
  <si>
    <t>Rajiv Malhotra talks about The Indus Saraswati Civilization</t>
  </si>
  <si>
    <t>https://www.youtube.com/watch?v=G1vj3YNYQYg</t>
  </si>
  <si>
    <t>Rajiv Malhotra MIT 7: The Sold Out Insiders</t>
  </si>
  <si>
    <t>https://www.youtube.com/watch?v=Ly_KKukp01g</t>
  </si>
  <si>
    <t>Rajiv Malhotra: Control of our tradition has shifted into the hands of 'outsiders'.</t>
  </si>
  <si>
    <t>https://www.youtube.com/watch?v=yB7P6V4_zUw</t>
  </si>
  <si>
    <t>Rajiv Malhotra in conversation with Indian industrialists: 'Who represents Hinduism?'</t>
  </si>
  <si>
    <t>https://www.youtube.com/watch?v=xjoBDX3u1Ys</t>
  </si>
  <si>
    <t>Rajiv Malhotra MIT 3: Multiple 'Outsider' views on Hindusim &amp; Birth of American Indology</t>
  </si>
  <si>
    <t>https://www.youtube.com/watch?v=hFK3wIxZt3g</t>
  </si>
  <si>
    <t>How India Should Manage US Think Tanks, Universities, Seminaries</t>
  </si>
  <si>
    <t>https://www.youtube.com/watch?v=gL_j5YKKN38</t>
  </si>
  <si>
    <t>Rajiv Malhotra: Battling the Secularization of Indian Fine Arts</t>
  </si>
  <si>
    <t>Efforts of alien groups to destroy the identity of Hindus</t>
  </si>
  <si>
    <t>https://www.youtube.com/watch?v=J2klGHwzFFo</t>
  </si>
  <si>
    <t>MIT 6: White Liberal American Woman Profile according to Marketing Co’s</t>
  </si>
  <si>
    <t xml:space="preserve">India's resource pool (300 Million English knowing people) is to be controlled by the western economic powers using the tool of religious conversions.
</t>
  </si>
  <si>
    <t>https://www.youtube.com/watch?v=ebsBucPcYoU</t>
  </si>
  <si>
    <t>Rajiv Malhotra MIT 1: The Need for Insider Perspective on Hinduism</t>
  </si>
  <si>
    <t>https://www.youtube.com/watch?v=orOA4dPxE98</t>
  </si>
  <si>
    <t>No one has attempted a Purvapaksha of Sheldon Pollock_MIT 2</t>
  </si>
  <si>
    <t>https://www.youtube.com/watch?v=go47jpA5M1A</t>
  </si>
  <si>
    <t>How Hindus Have Lost The Ownership of Hinduism Studies #4</t>
  </si>
  <si>
    <t>https://www.youtube.com/watch?v=dlfE6JbvIYI</t>
  </si>
  <si>
    <t>How China Hits Back at Western Critics: MIT #13</t>
  </si>
  <si>
    <t>How NRIs can defend the Hindu civilization</t>
  </si>
  <si>
    <t>Get educated in comparative religion, humanities and social sciences to counter western narrative</t>
  </si>
  <si>
    <t>https://www.youtube.com/watch?v=1VZl4rtt2aU</t>
  </si>
  <si>
    <t>Ivy Leagues Control Indological Studies Research: Rajiv Malhotra</t>
  </si>
  <si>
    <t>https://www.youtube.com/watch?v=cUULt5zHp0k</t>
  </si>
  <si>
    <t>Amazing Discoveries About Ancient India That Are Being Neglected: Rajiv Malhotra</t>
  </si>
  <si>
    <t>Creation of caste system by British</t>
  </si>
  <si>
    <t>https://www.youtube.com/watch?v=BNly0XIZX6c</t>
  </si>
  <si>
    <t>Biases of American Academia who study Hinduism_MIT 5</t>
  </si>
  <si>
    <t>False propaganda of bad treatment of lower castes</t>
  </si>
  <si>
    <t>https://www.youtube.com/watch?v=C3knBzrgTTY</t>
  </si>
  <si>
    <t>Rajiv Malhotra MIT 8: Four types of Hindus who cannot help the cause of Hinduism</t>
  </si>
  <si>
    <t>Very nice summary of Being Different</t>
  </si>
  <si>
    <t>U-turn theory, common ground among HIndu sects, poorva paksha, digestion of Hindu knowledge</t>
  </si>
  <si>
    <t>https://www.youtube.com/watch?v=w1UAQGgnz4A</t>
  </si>
  <si>
    <t>Christianity Digested lot of Paganism #4</t>
  </si>
  <si>
    <t>https://www.youtube.com/watch?v=1-5q-Da6EHQ</t>
  </si>
  <si>
    <t>Rajiv Malhotra: # 5 Original Sin of Adam Eve &amp; Why Virgin Birth is such a big deal</t>
  </si>
  <si>
    <t>Being Different: Chapter 1</t>
  </si>
  <si>
    <t>https://www.youtube.com/watch?v=JcNaFHIozC4</t>
  </si>
  <si>
    <t>#1 Difference is the Truth: Swami Dayanand Saraswati Launches Rajiv's Book 'Being Different'</t>
  </si>
  <si>
    <t>Not Good</t>
  </si>
  <si>
    <t>Being Different: Chapter 2</t>
  </si>
  <si>
    <t>History centrism, Christian mystics, T S Eliot, Integral vs synthetic unity</t>
  </si>
  <si>
    <t>https://www.youtube.com/watch?v=3zpg3MGhmyI</t>
  </si>
  <si>
    <t>Rajiv Malhotra: # 2 Western Universalism Has Colonized Others</t>
  </si>
  <si>
    <t>https://www.youtube.com/watch?v=QrVLpFoGRb4</t>
  </si>
  <si>
    <t>Sanskrit Non-translatables, Being Different</t>
  </si>
  <si>
    <t>https://www.youtube.com/watch?v=yCrftsxElf8</t>
  </si>
  <si>
    <t>Rajiv Malhotra: # 6 Ask any Christian Theologian What happens to The Nicene Creed</t>
  </si>
  <si>
    <t>https://www.youtube.com/watch?v=c0qRokhkADI</t>
  </si>
  <si>
    <t>Rajiv Malhotra: Are Christianity &amp; Hinduism Same AND The Nature of Self in Both #7</t>
  </si>
  <si>
    <t>https://www.youtube.com/watch?v=AcHVZjv6cAs</t>
  </si>
  <si>
    <t>Purva-paksha of the West (Reversing the Gaze) not done by India: Rajiv Malhotra #8</t>
  </si>
  <si>
    <t>https://www.youtube.com/watch?v=P1Eurn7tEJM</t>
  </si>
  <si>
    <t>History-Centrism of Christianity Makes Them Prisoners of History: Rajiv Malhotra #9</t>
  </si>
  <si>
    <t>https://www.youtube.com/watch?v=GDQ-FTObhak</t>
  </si>
  <si>
    <t>Integral Unity Vs Synthetic Unity #10</t>
  </si>
  <si>
    <t>https://www.youtube.com/watch?v=5P0vjP1Hdvs</t>
  </si>
  <si>
    <t>Is Jesus Christian: Q&amp;A with Rajiv Malhotra #13</t>
  </si>
  <si>
    <t>https://www.youtube.com/watch?v=OAcu0ZHtcXc</t>
  </si>
  <si>
    <t>Buddhist's Nature of Reality is also Integral Unity #11</t>
  </si>
  <si>
    <t>https://www.youtube.com/watch?v=F4X3ljkLFP8</t>
  </si>
  <si>
    <t>A Christian can be a True Advaitin Only if History-Centrism is Given up: Rajiv Malhotra #14</t>
  </si>
  <si>
    <t>https://www.youtube.com/watch?v=_VfaX30ncIU</t>
  </si>
  <si>
    <t>Swami Dayanand Saraswati Commends Rajiv Malhotra's Books #15</t>
  </si>
  <si>
    <t>https://www.youtube.com/watch?v=JDOBTQ94-S4</t>
  </si>
  <si>
    <t>Digested Cultures live in Museums #1</t>
  </si>
  <si>
    <t>https://www.youtube.com/watch?v=5tMCiwnQlXM</t>
  </si>
  <si>
    <t>Approach to Define The Dharma Point of View: Rajiv Malhotra #5</t>
  </si>
  <si>
    <t>https://www.youtube.com/watch?v=61VsCIaQhX4</t>
  </si>
  <si>
    <t>#2 Gurus Replacing Sanskrit Words with English Exposes the Tradition to Digestion</t>
  </si>
  <si>
    <t>https://www.youtube.com/watch?v=o4_iAmYXDzg</t>
  </si>
  <si>
    <t>How much of India do the Westerners Assimilate Before Making a U Turn #3</t>
  </si>
  <si>
    <t>https://www.youtube.com/watch?v=bF-3L4O8Nq8</t>
  </si>
  <si>
    <t>Our History is NOT a Myth —Q&amp;A Broadcast with Rajiv Malhotra</t>
  </si>
  <si>
    <t>https://www.youtube.com/watch?v=9qgkONu6nbk</t>
  </si>
  <si>
    <t>Knowing Hindu History: Rajiv Malhotra FULL Lecture, Duke University USA</t>
  </si>
  <si>
    <t>Rishis Discovered Velocity of Light</t>
  </si>
  <si>
    <t>https://www.youtube.com/watch?v=5c75GXSIdlM</t>
  </si>
  <si>
    <t>#6 There is an Indian Universalism and Being Different is part of it.</t>
  </si>
  <si>
    <t>https://www.youtube.com/watch?v=KXamV4OZjYs</t>
  </si>
  <si>
    <t>India is Often Mis-represented in USA by Our Colonized Mentality: Rajiv Malhotra #4</t>
  </si>
  <si>
    <t>10 months ago</t>
  </si>
  <si>
    <t>4.10.17</t>
  </si>
  <si>
    <t>https://www.youtube.com/watch?v=rbrxzObExNc</t>
  </si>
  <si>
    <t>Ideas of Yoga clash with Christianity's Nicene Creed: Rajiv Malhotra</t>
  </si>
  <si>
    <t>https://www.youtube.com/watch?v=G6rcMSQ1UVE</t>
  </si>
  <si>
    <t>Asking some very important questions about Sufism: Rajiv Malhotra #12</t>
  </si>
  <si>
    <t>https://www.youtube.com/watch?v=mK5DuxKw-I8</t>
  </si>
  <si>
    <t>Everything is Ultimately a Distinct Expression of Brahman (Ultimate Reality) #2</t>
  </si>
  <si>
    <t>Invention on Steel &amp; Distillation of Zinc in Ancient India</t>
  </si>
  <si>
    <t>India, a major player in World Economy till 1850</t>
  </si>
  <si>
    <t>India, in context of America</t>
  </si>
  <si>
    <t>https://www.youtube.com/watch?v=zV5AbsAy5m4</t>
  </si>
  <si>
    <t>Rajiv Malhotra: Why Look for Legitimacy from The West #3</t>
  </si>
  <si>
    <t>Indian influences in Middle East</t>
  </si>
  <si>
    <t>Doctorine of Christian Discovery/ Fatwas by Vatican</t>
  </si>
  <si>
    <t>9.10.17</t>
  </si>
  <si>
    <t>https://www.youtube.com/watch?v=dzUx3zUv_yw</t>
  </si>
  <si>
    <t>Rajiv Malhotra: India should invest a huge amount in preserving it's civilization #5</t>
  </si>
  <si>
    <t>Accelerated Learning/CIA &amp; Russians Studied Yogis</t>
  </si>
  <si>
    <t>Nano technology in Ayurveda</t>
  </si>
  <si>
    <t>https://www.youtube.com/watch?v=5iT09vIaZOU</t>
  </si>
  <si>
    <t>Hindu Gurus are Muddled Up in Understanding Christianity: Rajiv Malhotra #1</t>
  </si>
  <si>
    <t>for later - https://www.youtube.com/watch?v=wAMhL7aBZ5I</t>
  </si>
  <si>
    <t>https://www.youtube.com/watch?v=inpmzGJn2LU</t>
  </si>
  <si>
    <t>Hindu Gurus Lost an Opportunity to Convert Western Yoga Students into Hindus #2</t>
  </si>
  <si>
    <t>https://www.youtube.com/watch?v=ZyApm_PJ-W8&amp;t=65s</t>
  </si>
  <si>
    <t>India’s (Unacknowledged) Contributions to Mind Sciences: Rajiv Malhotra</t>
  </si>
  <si>
    <t>https://www.youtube.com/watch?v=wXoImJcJYxQ</t>
  </si>
  <si>
    <t>Rajiv Malhotra: How Yoga's Advanced Effects Depend on One's Worldview &amp; Lifestyle #3</t>
  </si>
  <si>
    <t>https://www.youtube.com/watch?v=aASsLwbe6kY</t>
  </si>
  <si>
    <t>Is chanting Om a part of Yoga: Rajiv Malhotra</t>
  </si>
  <si>
    <t>Vivekananda created an institutionalized impact</t>
  </si>
  <si>
    <t>https://www.youtube.com/watch?v=bFIqLn3c85c</t>
  </si>
  <si>
    <t>3.10.17</t>
  </si>
  <si>
    <t>Lets Create a "Global Yoga Franchise" with Lakhs of Teachers: Rajiv Malhotra #5</t>
  </si>
  <si>
    <t>Sri Aurbindo's impact on Human evolution movement</t>
  </si>
  <si>
    <t>Maharishi Mahesh Yogi introduced medition to the USA</t>
  </si>
  <si>
    <t>Stephen LaBerge's Digestion of Yoga Needra</t>
  </si>
  <si>
    <t>https://www.youtube.com/watch?v=PWZrF-TGsWo</t>
  </si>
  <si>
    <t>What Should be India's Strategy for Leveraging Yoga: Rajiv Malhotra #6</t>
  </si>
  <si>
    <t>https://www.youtube.com/watch?v=SPD35eCSgDk</t>
  </si>
  <si>
    <t>In Conversation with Vivek Agnihotri, A Patriotic Filmmaker</t>
  </si>
  <si>
    <t>https://www.youtube.com/watch?v=S2ePhtW_O5A</t>
  </si>
  <si>
    <t>Rajiv Malhotra responds: What was the origin of Yoga #7</t>
  </si>
  <si>
    <t>https://www.youtube.com/watch?v=6aJLKt2nXsg</t>
  </si>
  <si>
    <t>Rajiv Malhotra: Yoga is Much More Than Asanas Physical Aspect #8</t>
  </si>
  <si>
    <t>xyz</t>
  </si>
  <si>
    <t>abc</t>
  </si>
  <si>
    <t>https://www.youtube.com/watch?v=tRgTeYpgv8c</t>
  </si>
  <si>
    <t>Rajiv Malhotra: Yoga Practitioners Must Also Understand its Philosophy Properly #9</t>
  </si>
  <si>
    <t>https://www.youtube.com/watch?v=txsij6WXt8s</t>
  </si>
  <si>
    <t>good</t>
  </si>
  <si>
    <t>Mutual Respect Between Hinduism &amp; Christianity is a One Way Street: Rajiv Malhotra</t>
  </si>
  <si>
    <t>yes</t>
  </si>
  <si>
    <t>https://www.youtube.com/watch?v=7gTT37SeSUc</t>
  </si>
  <si>
    <t>Rajiv Malhotra: Inner Awakening program integrates advaita inside with action outside</t>
  </si>
  <si>
    <t>https://www.youtube.com/watch?v=o-395A-OrOQ</t>
  </si>
  <si>
    <t>Dharma gets Digested into "Products" of Western Universalism: Rajiv Malhotra #2</t>
  </si>
  <si>
    <t>https://www.youtube.com/watch?v=qYA9DVNkOCA</t>
  </si>
  <si>
    <t>Rajiv Malhotra: #1 Adhyatma-Vidya as inner science</t>
  </si>
  <si>
    <t>https://www.youtube.com/watch?v=-JT1qlD0wPQ</t>
  </si>
  <si>
    <t>Non-digestible Tension Points Between Dharmic &amp; Western Universal traditions</t>
  </si>
  <si>
    <t>https://www.youtube.com/watch?v=kSNHRGhGt_Y</t>
  </si>
  <si>
    <t>Rajiv Malhotra: UTurn Stages of Appropriation #6</t>
  </si>
  <si>
    <t>https://www.youtube.com/watch?v=adov37an6hU</t>
  </si>
  <si>
    <t>Rajiv Malhotra: #5 Westernized Indians Discomfort about Own Heritage</t>
  </si>
  <si>
    <t>https://www.youtube.com/watch?v=glBt8I5y1b8</t>
  </si>
  <si>
    <t>Rajiv Malhotra: #4 Destructive Effect of Digestion</t>
  </si>
  <si>
    <t>https://www.youtube.com/watch?v=a_HGSrmF_8w</t>
  </si>
  <si>
    <t>Leftist Control of Mainstream Media is Biased: Rajiv Malhotra, BLR Lit Fest</t>
  </si>
  <si>
    <t>https://www.youtube.com/watch?v=Kfqplhug-eA</t>
  </si>
  <si>
    <t>Rajiv Malhotra Intl Day of Yoga, Philadelphia: #1 Defining Yoga &amp; Relation to Dharma</t>
  </si>
  <si>
    <t>https://www.youtube.com/watch?v=AgRVHML48XM</t>
  </si>
  <si>
    <t>Rajiv Malhotra at Intl Day of Yoga, Philadelphia: #2 Should OM be removed from Yoga</t>
  </si>
  <si>
    <t>AV Quality</t>
  </si>
  <si>
    <t>Content Editor</t>
  </si>
  <si>
    <t>Video Editor</t>
  </si>
  <si>
    <t>https://www.youtube.com/watch?v=2Hmcjz_IH8I</t>
  </si>
  <si>
    <t>Rajiv Malhotra at Intl Day of Yoga, Philadelphia: #3 Scope of Yoga</t>
  </si>
  <si>
    <t>HT- Hari Thapliyal</t>
  </si>
  <si>
    <t>BM</t>
  </si>
  <si>
    <t>https://www.youtube.com/watch?v=xuKnWRKpLyM</t>
  </si>
  <si>
    <t>Rajiv Malhotra at Intl Day of Yoga, Philadelphia: #4 Is Yoga a religion or science</t>
  </si>
  <si>
    <t>BM- Bryan Maiorana</t>
  </si>
  <si>
    <t>WIP-Video</t>
  </si>
  <si>
    <t>https://www.youtube.com/watch?v=2U1DVGO8vo4</t>
  </si>
  <si>
    <t>Rajiv Malhotra at Intl Day of Yoga, Philadelphia: #6 Yoga Asana for Schools</t>
  </si>
  <si>
    <t>JB- Jayanthi Badrinath</t>
  </si>
  <si>
    <t>ND- Navneet Dronamraju</t>
  </si>
  <si>
    <t>RS- Rajshree KT</t>
  </si>
  <si>
    <t>YP</t>
  </si>
  <si>
    <t>YP-Yagnesh Patel</t>
  </si>
  <si>
    <t>Done-Video</t>
  </si>
  <si>
    <t>KS</t>
  </si>
  <si>
    <t>KS-Kumar Sambhu</t>
  </si>
  <si>
    <t>Re-record</t>
  </si>
  <si>
    <t>US-Udit Shah</t>
  </si>
  <si>
    <t>https://www.youtube.com/watch?v=xhcu0nbcfy0</t>
  </si>
  <si>
    <t>Rajiv Malhotra: क्या हिन्दू धर्म और ईसाई रिलिजन समान हैं</t>
  </si>
  <si>
    <t>HM</t>
  </si>
  <si>
    <t>HM-Hiten Makwana</t>
  </si>
  <si>
    <t>Uploaded in YT</t>
  </si>
  <si>
    <t>MS - Mahesh Srigiriraju</t>
  </si>
  <si>
    <t>https://www.youtube.com/watch?v=lJLoAHZxMWE</t>
  </si>
  <si>
    <t>AA - Abhijit Adhikari</t>
  </si>
  <si>
    <t>Rajiv Malhotra fb LIVE 10: Keynote address at first ever 'Swadeshi Indology' Conference</t>
  </si>
  <si>
    <t>TP</t>
  </si>
  <si>
    <t>TP- Tanmay Patil</t>
  </si>
  <si>
    <t>Good Quality, Less Viewed or Upload Long back can be replayed when new content cannot be created</t>
  </si>
  <si>
    <t>Wherever Descriptionis empty, it can be copied from Clip Title</t>
  </si>
  <si>
    <t>https://www.youtube.com/watch?v=dSKwv3KOvN8</t>
  </si>
  <si>
    <t>Rajiv Malhotra at Intl Day of Yoga, Philadelphia: #7 Yoga philosophy is based on nature of Self</t>
  </si>
  <si>
    <t>https://www.youtube.com/watch?v=t5tjD9qq-98</t>
  </si>
  <si>
    <t>Rajiv Malhotra at Intl Day of Yoga, Philadelphia: #8 Yoga solves many kinds of issues</t>
  </si>
  <si>
    <t>https://www.youtube.com/watch?v=LEotomBnsQk</t>
  </si>
  <si>
    <t>Rajiv Malhotra: भारतीय स्वयं ज़िम्मेदारी लें, दूसरों पर न निर्भर हों</t>
  </si>
  <si>
    <t>https://www.youtube.com/watch?v=tpUBWJjtzrA</t>
  </si>
  <si>
    <t>Rajiv Malhotra: BARC 2_True and verifiable history of Indian science &amp; technology</t>
  </si>
  <si>
    <t>https://www.youtube.com/watch?v=Cuelsn9VyZQ</t>
  </si>
  <si>
    <t>Quackery &amp; Chauvinism Can Spoil the Reputation of Scientific Work. #1</t>
  </si>
  <si>
    <t>https://www.youtube.com/watch?v=IQCY6tVgZ9s</t>
  </si>
  <si>
    <t>Rajiv Malhotra: BARC 3_Yoga claims there is an inner science Adhyatma Vidya that is verifiable</t>
  </si>
  <si>
    <t>https://www.youtube.com/watch?v=xVrbpqr1LEE</t>
  </si>
  <si>
    <t>Rajiv Malhotra at Intl Day of Yoga, Philadelphia: #5 योग का स्वामित्व किसके पास है</t>
  </si>
  <si>
    <t>https://www.youtube.com/watch?v=kZVT_WU4Pm4</t>
  </si>
  <si>
    <t>Inaugural Address by Prof. V.N. Jha (First Swadeshi Indology Conference)</t>
  </si>
  <si>
    <t>https://www.youtube.com/watch?v=5HrBZvxcPmY</t>
  </si>
  <si>
    <t>Swadeshi Indology Conference - Closing Comments by Rajiv Malhotra</t>
  </si>
  <si>
    <t>https://www.youtube.com/watch?v=KdiEMEbTV1M</t>
  </si>
  <si>
    <t>Swadeshi Indology Conference: Prof Makarand Paranjape (JNU) on Ambedkarism and Islam</t>
  </si>
  <si>
    <t>https://www.youtube.com/watch?v=9Zummy0j6Ws</t>
  </si>
  <si>
    <t>Welcome Speech by Prof Kannan - First Swadeshi Indology Conference</t>
  </si>
  <si>
    <t>https://www.youtube.com/watch?v=9VsQzAI5PLo</t>
  </si>
  <si>
    <t>First Swadeshi Indology Conference: Inauguration and Felicitation</t>
  </si>
  <si>
    <t>https://www.youtube.com/watch?v=ZwiLQGKP--A</t>
  </si>
  <si>
    <t>Swadeshi Indology Conference - Vote of Thanks by Prof Jalihal</t>
  </si>
  <si>
    <t>Video Duration</t>
  </si>
  <si>
    <t>https://www.youtube.com/watch?v=fmVDyQnLFe4</t>
  </si>
  <si>
    <t>Rajiv: BARC 4_Adhyatma vidya is empirical inner science, different from external hard sciences</t>
  </si>
  <si>
    <t>https://www.youtube.com/watch?v=ohUG8LIy7Cs</t>
  </si>
  <si>
    <t>Rajiv Malhotra: BARC 5_Indian tradition ensures no conflict between science &amp; religion</t>
  </si>
  <si>
    <t>https://www.youtube.com/watch?v=WfJvOgXp9SM</t>
  </si>
  <si>
    <t>Rajiv Malhotra: BARC 6_ Colonizers left but the Indian mind is still colonized</t>
  </si>
  <si>
    <t>https://www.youtube.com/watch?v=_vKbwIOfXy0</t>
  </si>
  <si>
    <t>Rajiv Malhotra: BARC 7_Indian ideas have been plagiarized &amp; appropriated by the West</t>
  </si>
  <si>
    <t>Majority feels prosecuted. Minority has privileges because of vote bank. Religion is transnational, so Hindus are minority in the world. Religious freedom leading to destruction of mind. Religious minority bluff has to be called. Dalit Samachart is invented recently. Destroying society in the name of religious freedom is not allowed.</t>
  </si>
  <si>
    <t>https://www.youtube.com/watch?v=NNu6sJz2cPI</t>
  </si>
  <si>
    <t>Rajiv Malhotra: BARC 8_ Swami Vivekananda influenced Nikola Tesla</t>
  </si>
  <si>
    <t>https://www.youtube.com/watch?v=Deab_JE4fv4</t>
  </si>
  <si>
    <t>Rajiv: BARC 9_ How Herb Benson and Stephen Laberge have appropriated ideas from Indian mind sciences</t>
  </si>
  <si>
    <t>https://www.youtube.com/watch?v=GiNhw1WJNXc</t>
  </si>
  <si>
    <t>Rajiv Malhotra: BARC 10_Indian Philosophy is the only one compatible with Quantum Physics</t>
  </si>
  <si>
    <t>https://www.youtube.com/watch?v=NRep5rGd_FU</t>
  </si>
  <si>
    <t>Rajiv Malhotra: BARC 12_Why difference and diversity should be preserved</t>
  </si>
  <si>
    <t>https://www.youtube.com/watch?v=gF2CbaL7t6g</t>
  </si>
  <si>
    <t>Rajiv Malhotra: Harvard Video Proves Their Infiltration of Kumbh Mela (with Hindi Subtitles)</t>
  </si>
  <si>
    <t>Course Name</t>
  </si>
  <si>
    <t>https://www.youtube.com/watch?v=GB9g4sKWR0M</t>
  </si>
  <si>
    <t>Role of Organizations Like The Hindu American Foundation (HAF): Rajiv Malhotra #1</t>
  </si>
  <si>
    <t>Course Design Owner</t>
  </si>
  <si>
    <t>Purva Paksha - An Introduction</t>
  </si>
  <si>
    <t>https://www.youtube.com/watch?v=AB0KeX_0T2I</t>
  </si>
  <si>
    <t>Insiders vs Outsiders - An Introduction</t>
  </si>
  <si>
    <t>Rajiv Malhotra's Hard-hitting Response to False Charges of Plagiarism #2</t>
  </si>
  <si>
    <t>Intellectual Kurukshetra - An Introduction</t>
  </si>
  <si>
    <t>Swadeshi Indology - An Introduction</t>
  </si>
  <si>
    <t>Hinduphobia</t>
  </si>
  <si>
    <t>India’s Grand Narrative</t>
  </si>
  <si>
    <t>Digestion - A New Definition</t>
  </si>
  <si>
    <t>U-Turn Theory</t>
  </si>
  <si>
    <t>Purva Paksha (Part II)</t>
  </si>
  <si>
    <t>Three international nexuses 1- Bahabism vs Indian Islam, 2- China &amp; Maoism 3-Dalit &amp; Christianity are discussed. Dravidian Christianity is also discussed. How can we be model of diversity is being discussed.</t>
  </si>
  <si>
    <t>Insider vs Outsider (Part II)</t>
  </si>
  <si>
    <t>Intellectual Kurukshetra (Part II)</t>
  </si>
  <si>
    <t>Swadeshi Indology (Part II)</t>
  </si>
  <si>
    <t>Digestion (Part II)</t>
  </si>
  <si>
    <t>Insiders vs Outsider (Part III)</t>
  </si>
  <si>
    <t>https://www.youtube.com/watch?v=VDqAX3plBww</t>
  </si>
  <si>
    <t>Rajiv Malhotra on Obama administration's effect on curtailing violence against Black people #3</t>
  </si>
  <si>
    <t>https://www.youtube.com/watch?v=Hqx5Pfe-4NI</t>
  </si>
  <si>
    <t>Indian Social Sciences Scholars are the New Elites: Rajiv Malhotra #4</t>
  </si>
  <si>
    <t>https://www.youtube.com/watch?v=rAWCL2ENS90</t>
  </si>
  <si>
    <t>Keywords</t>
  </si>
  <si>
    <t>Parent Keyword</t>
  </si>
  <si>
    <t>Rajiv Malhotra: Importance of Knowledge Percolating to the Lower Strata #5</t>
  </si>
  <si>
    <t>Title required in English/Hindi for Tamil testimony. Must play again and again.</t>
  </si>
  <si>
    <t>Adhyatma Vidya</t>
  </si>
  <si>
    <t>Atrocity Literature</t>
  </si>
  <si>
    <t>Breaking India forces</t>
  </si>
  <si>
    <t>Christian Yoga</t>
  </si>
  <si>
    <t>https://www.youtube.com/watch?v=47hxgUfQ8jo</t>
  </si>
  <si>
    <t>Ambedkar and The Origins of 'Left Wing' 'Right Wing' #6</t>
  </si>
  <si>
    <t>De-Colonization</t>
  </si>
  <si>
    <t>Difference Anxiety</t>
  </si>
  <si>
    <t>Digestion</t>
  </si>
  <si>
    <t>Embodied Knowing</t>
  </si>
  <si>
    <t>Forest Civilization &amp; Desert Civilization</t>
  </si>
  <si>
    <t>Good Cops &amp; Bad Cops</t>
  </si>
  <si>
    <t>History-centrism</t>
  </si>
  <si>
    <t>Home Team</t>
  </si>
  <si>
    <t>Inculturation</t>
  </si>
  <si>
    <t>Indian Grand Narrative</t>
  </si>
  <si>
    <t>Indra’s Net</t>
  </si>
  <si>
    <t>Insiders &amp; Outsiders</t>
  </si>
  <si>
    <t>Integral Unity &amp; Synthetic Unity</t>
  </si>
  <si>
    <t>Intellectual kshatriyas</t>
  </si>
  <si>
    <t>Kurukshetra</t>
  </si>
  <si>
    <t>Moron Smriti</t>
  </si>
  <si>
    <t>Mutual Respect</t>
  </si>
  <si>
    <t>Non-Translatables</t>
  </si>
  <si>
    <t>Open Architecture</t>
  </si>
  <si>
    <t>Our Yajna</t>
  </si>
  <si>
    <t>Poison Pills</t>
  </si>
  <si>
    <t>Purva-paksha</t>
  </si>
  <si>
    <t>Reversing the Gaze</t>
  </si>
  <si>
    <t>Sameness</t>
  </si>
  <si>
    <t>Sepoys</t>
  </si>
  <si>
    <t>Svadharma</t>
  </si>
  <si>
    <t>https://www.youtube.com/watch?v=EMznloyYysU</t>
  </si>
  <si>
    <t>Swadeshi Indology &amp; Videshi Indology</t>
  </si>
  <si>
    <t>U-turn</t>
  </si>
  <si>
    <t>Harvard Video Proves Their Infiltration of Kumbh Mela: Rajiv Malhotra</t>
  </si>
  <si>
    <t>Wendy’s Children</t>
  </si>
  <si>
    <t>Western Universalism</t>
  </si>
  <si>
    <t>New Entries- To be reviewed by Rajivji</t>
  </si>
  <si>
    <t>Caste Cow and Curry</t>
  </si>
  <si>
    <t>Sapeksha dharma</t>
  </si>
  <si>
    <t>Sanskrit non-translatable</t>
  </si>
  <si>
    <t>Order vs Chaos</t>
  </si>
  <si>
    <t>Civilization kurukshetra</t>
  </si>
  <si>
    <t>Rishi potential</t>
  </si>
  <si>
    <t>Neo Hinduism</t>
  </si>
  <si>
    <t>Charvaka 2.0</t>
  </si>
  <si>
    <t>American Orientalism</t>
  </si>
  <si>
    <t>Transactional Hinduism</t>
  </si>
  <si>
    <t>Hindu Good News</t>
  </si>
  <si>
    <t>Media Mafia</t>
  </si>
  <si>
    <t>Porcupine Defense</t>
  </si>
  <si>
    <t>Afro-Dravidian-Dalit Movement</t>
  </si>
  <si>
    <t>Hijacking of Sanskrit</t>
  </si>
  <si>
    <t>Secularization of Sanskrit</t>
  </si>
  <si>
    <t>Politicizing Indian Literature</t>
  </si>
  <si>
    <t>Politicizing History of Sanskrit</t>
  </si>
  <si>
    <t>Ramayan as atrocity literature</t>
  </si>
  <si>
    <t>Sanskrit is dead</t>
  </si>
  <si>
    <t>Political/liberation philology</t>
  </si>
  <si>
    <t>Uttar Paksha</t>
  </si>
  <si>
    <t>Dravidian Christianity</t>
  </si>
  <si>
    <t>Why "Breaking India" book criticizes Dravidian Movement?</t>
  </si>
  <si>
    <t>Aryan Race invention</t>
  </si>
  <si>
    <t>Dravidian movement is racist idea of social reforms and does not deliver justice to the all section of society.</t>
  </si>
  <si>
    <t>Dravidian Race Invention</t>
  </si>
  <si>
    <t>Imperial Evangelism</t>
  </si>
  <si>
    <t>Jati/Varna as Race</t>
  </si>
  <si>
    <t>Feeding the crocodiles</t>
  </si>
  <si>
    <t>https://www.youtube.com/watch?v=Xsq9jAEpAY8</t>
  </si>
  <si>
    <t>Yoga- Freedom from History</t>
  </si>
  <si>
    <t>Intellectually colonized</t>
  </si>
  <si>
    <t>Dharma vs Religion</t>
  </si>
  <si>
    <t>Supreme Court Lawyer Monika Arora Explains Lawsuit Against Wendy Doniger’s Book</t>
  </si>
  <si>
    <t>https://www.youtube.com/watch?v=xAx9rKxKjCk</t>
  </si>
  <si>
    <t>Rajiv Malhotra on Literarisation #7</t>
  </si>
  <si>
    <t>https://www.youtube.com/watch?v=pIn71L7Kv9Q</t>
  </si>
  <si>
    <t>Rajiv Malhotra: The Invisible Fence Syndrome #9</t>
  </si>
  <si>
    <t>https://www.youtube.com/watch?v=9oRLNbl-DxI</t>
  </si>
  <si>
    <t>Why the Hindu Community has Failed to Confront Hinduphobia #1</t>
  </si>
  <si>
    <t>https://www.youtube.com/watch?v=ZhuUYD3QvB8</t>
  </si>
  <si>
    <t>Rajiv Malhotra: The Need For Hindu Viewpoint in Mainstream Media #2</t>
  </si>
  <si>
    <t>Project Name</t>
  </si>
  <si>
    <t>Develop Educational Video Clips of RM Video Work</t>
  </si>
  <si>
    <t>Project Code</t>
  </si>
  <si>
    <t>DEVC-RMVW</t>
  </si>
  <si>
    <t>Project Manager</t>
  </si>
  <si>
    <t>Mr. Hari Thapliyal</t>
  </si>
  <si>
    <t>https://www.youtube.com/watch?v=G2ke7Higm-Y</t>
  </si>
  <si>
    <t>Rajiv Malhotra's Encounter with a Hinduphobic Professor from Univ of Chicago #3</t>
  </si>
  <si>
    <t>Project Sponsor</t>
  </si>
  <si>
    <t>Mr. Rajiv Malhotra</t>
  </si>
  <si>
    <t>Team Members</t>
  </si>
  <si>
    <t>Name</t>
  </si>
  <si>
    <t>Location</t>
  </si>
  <si>
    <t>Email</t>
  </si>
  <si>
    <t>Phone</t>
  </si>
  <si>
    <t>Project Skills</t>
  </si>
  <si>
    <t>Bangalore</t>
  </si>
  <si>
    <t>hari.prasad@vedavit-ps.com</t>
  </si>
  <si>
    <t>(+91) 9535999336</t>
  </si>
  <si>
    <t>Video clipping</t>
  </si>
  <si>
    <t>jayanthib@gmail.com</t>
  </si>
  <si>
    <t>(+91) 99452 43966​⁠​</t>
  </si>
  <si>
    <t>https://www.youtube.com/watch?v=FTdLV7hcCvI</t>
  </si>
  <si>
    <t>SP- Shalini Puthiyedam</t>
  </si>
  <si>
    <t>Removing Caste Discrimination in India: Rajiv Malhotra #4</t>
  </si>
  <si>
    <t>puthiyedam.shalini@gmail.com</t>
  </si>
  <si>
    <t>https://www.youtube.com/watch?v=FQ3dpY5j5y8</t>
  </si>
  <si>
    <t>Rajiv Malhotra: Why the Western Labels of 'Left' &amp; 'Right' Do Not Apply to Hinduism #5</t>
  </si>
  <si>
    <t>(+91) 95661 07755</t>
  </si>
  <si>
    <t>RKT- Rajshree KT</t>
  </si>
  <si>
    <t>Hyderabad</t>
  </si>
  <si>
    <t>Rajshree.kt@gmail.com</t>
  </si>
  <si>
    <t>(+91) 99592 09000</t>
  </si>
  <si>
    <t>BM-Bryan Maiorana</t>
  </si>
  <si>
    <t>New Jersey</t>
  </si>
  <si>
    <t>bryanm.infinity@gmail.com</t>
  </si>
  <si>
    <t>(+1) (609) 475-2399</t>
  </si>
  <si>
    <t>Creating physical clip, video making</t>
  </si>
  <si>
    <t>yptel27@gmail.com</t>
  </si>
  <si>
    <t>(+1) 847 691 1497</t>
  </si>
  <si>
    <t>Moodle Support, Video Editing</t>
  </si>
  <si>
    <t>ND-Navneet Dronamraju</t>
  </si>
  <si>
    <t>23.navneet@gmail.com</t>
  </si>
  <si>
    <t>vksambhu@gmail.com</t>
  </si>
  <si>
    <t>https://www.youtube.com/watch?v=iGqKIfGTc-s</t>
  </si>
  <si>
    <t>udit56@gmail.com</t>
  </si>
  <si>
    <t>Rajiv Malhotra's Responds to Disruption by Hinduphobic Mob &amp; Condemns All Forms of Xenophobia #6</t>
  </si>
  <si>
    <t>Video Editing</t>
  </si>
  <si>
    <t>hiten.makwana@gmail.com</t>
  </si>
  <si>
    <t>Lafayette, LA</t>
  </si>
  <si>
    <t>mahesh.srigiriraju@gmail.com</t>
  </si>
  <si>
    <t>(+1) 347 583 7349</t>
  </si>
  <si>
    <t>Abhijit Adhikari</t>
  </si>
  <si>
    <t>WDC, US</t>
  </si>
  <si>
    <t>abhi0624@gmail.com</t>
  </si>
  <si>
    <t>Video Clipping, Critical Thinking</t>
  </si>
  <si>
    <t>Tanmay Patil</t>
  </si>
  <si>
    <t>Mumbai</t>
  </si>
  <si>
    <t>https://www.youtube.com/watch?v=ejkbEib1Otk</t>
  </si>
  <si>
    <t>tnmptl@gmail.com</t>
  </si>
  <si>
    <t>Americanization of The Indian Elite: Rajiv Malhotra #8</t>
  </si>
  <si>
    <t>(+91) 9769630575</t>
  </si>
  <si>
    <t>Video clipping, Video Editing</t>
  </si>
  <si>
    <t>Ravi</t>
  </si>
  <si>
    <t>Moodle Support</t>
  </si>
  <si>
    <t>Shravan</t>
  </si>
  <si>
    <t>Resource Required</t>
  </si>
  <si>
    <t>Social media marketing</t>
  </si>
  <si>
    <t>Objective</t>
  </si>
  <si>
    <t>To create a knowledge base (KB) of education videos from already existing YouTube videos of RM Channel</t>
  </si>
  <si>
    <t>https://www.youtube.com/watch?v=4PxIlOKBbng</t>
  </si>
  <si>
    <t>Share these videos on RM Facebook &amp; RM Twitter account</t>
  </si>
  <si>
    <t>Rajiv Malhotra: Impact of Aryan-Dravidian Theory in South India #1</t>
  </si>
  <si>
    <t>High Level Plan</t>
  </si>
  <si>
    <t>Create a list of all the videos.</t>
  </si>
  <si>
    <t>Assign these videos between team members to watch and extract knowledge. Knowledge may be in the QA or just an assertion in some video. We call this each knowledge unit a Topic</t>
  </si>
  <si>
    <t>Mark the start and end time for each topic. This is called clip</t>
  </si>
  <si>
    <t>Establish a Topic heading and topic description for each clip</t>
  </si>
  <si>
    <t>If audio/video quality is not good but content is good then we need to mark the video as "Recreate" from raw video</t>
  </si>
  <si>
    <t>If audio/video quality is not good but content is good and AV cannot be improved from raw video then mark it to "Re-Record"</t>
  </si>
  <si>
    <t>If audio/video quality is good but content is not ok then mark the video as not suitable for knowledge base</t>
  </si>
  <si>
    <t>https://www.youtube.com/watch?v=9fu_xDvkBMk</t>
  </si>
  <si>
    <t>Rajiv Malhotra: The Promise &amp; the Concerns Around Computational Linguistics #2</t>
  </si>
  <si>
    <t>If audio/video quality is good, content is good but video size is long then clip the video into multiple clips</t>
  </si>
  <si>
    <t>if audio/video quality is good, content is good, video size is appropriate but Heading or Description is not appropriate then write new heading and description</t>
  </si>
  <si>
    <t>If content is good and audio/video cannot be improved then market the clip as logical clip. And re-record the clip with the help of RM</t>
  </si>
  <si>
    <t>https://www.youtube.com/watch?v=s_eR4_6kip8</t>
  </si>
  <si>
    <t>An Analyst of the 'Industry of Indology", Rajiv Malhotra #3</t>
  </si>
  <si>
    <t>If content is not good then Ignore working on this video and mark it as not suitable for Knowledge Base</t>
  </si>
  <si>
    <t>Each topic need to have a clearly defined topic heading for the SEO &amp; Knowledge repository purpose</t>
  </si>
  <si>
    <t>https://www.youtube.com/watch?v=C-AklzjB96w</t>
  </si>
  <si>
    <t>Rajiv Malhotra: Who Defines Sacred and How to Experience It #4</t>
  </si>
  <si>
    <t>Project Related Definition</t>
  </si>
  <si>
    <t>https://www.youtube.com/watch?v=CLCX0mlWjw0</t>
  </si>
  <si>
    <t>How the Britishers Created Caste-based Fault Lines in India #5</t>
  </si>
  <si>
    <t>Theme: Big Idea. Like Breaking India, Being Different.</t>
  </si>
  <si>
    <t>Chapter : Medium size idea. Like Dravidian Christian, Open Architecture, Cultural Digestion.</t>
  </si>
  <si>
    <t>https://www.youtube.com/watch?v=5XqO9FCH3Xk</t>
  </si>
  <si>
    <t>Topic : It is complete unit of knowledge in itself. Without depending on any other knowledge unit. Every clip will have a topic. Every topic will be recognized by its heading.</t>
  </si>
  <si>
    <t>Rajiv Malhotra: The Book 'Battle for Sanskrit' &amp; what happened to the Sringeri Mutt Project #6</t>
  </si>
  <si>
    <t>Heading : 2-10 words long. It works as a seed for SEO &amp; SEM.</t>
  </si>
  <si>
    <t>Master List : List of All RM Videos which has unique number identified for each video.</t>
  </si>
  <si>
    <t>Workbook: For every major task there should be separate excel "workbook".</t>
  </si>
  <si>
    <t>Workbook must have minimum 3 worksheets. One "Work Process" Two- "Work Status" Three-"Charter"</t>
  </si>
  <si>
    <t>https://www.youtube.com/watch?v=4xWwhXcAjhU</t>
  </si>
  <si>
    <t>Analysis of Pollock's "Death of Sanskrit" thesis - 2 paper presentations</t>
  </si>
  <si>
    <t>"Work Status" is based on master list.</t>
  </si>
  <si>
    <t>Each column in the "Work Status" worksheet represent the attribute of that task and its status.</t>
  </si>
  <si>
    <t>Work Process: The process of that Task must be clearly defined in this sheet.</t>
  </si>
  <si>
    <t>Charter: The purpose of the task need to be defined in a specific format.</t>
  </si>
  <si>
    <t>Start Date</t>
  </si>
  <si>
    <t>https://www.youtube.com/watch?v=KStzrk3h76o</t>
  </si>
  <si>
    <t>Rajiv Malhotra's comments and Q&amp;A on "Death of Sanskrit" Thesis</t>
  </si>
  <si>
    <t>Finish Date</t>
  </si>
  <si>
    <t>https://www.youtube.com/watch?v=udY03G3fVJQ</t>
  </si>
  <si>
    <t>Rajiv Malhotra: I will do the Purvapaksha &amp; Traditional Scholars Should do Uttarpaksa #7</t>
  </si>
  <si>
    <t>https://www.youtube.com/watch?v=1UT4aCq24wA</t>
  </si>
  <si>
    <t>Rajiv Malhotra: Lack of Rigor in Indian Academia &amp; the Removal of Sacred from Sanskrit #9</t>
  </si>
  <si>
    <t>https://www.youtube.com/watch?v=JkMKDP2BOlw&amp;t=169s</t>
  </si>
  <si>
    <t>Pollock’s Position on Sastras - Surya K</t>
  </si>
  <si>
    <t>https://www.youtube.com/watch?v=a6bj2Qddmzk</t>
  </si>
  <si>
    <t>Critique of Pollock's Position on The Science of Sastras - 2 Paper Presentations</t>
  </si>
  <si>
    <t>https://www.youtube.com/watch?v=qEJJIhs02cI</t>
  </si>
  <si>
    <t>Prof. Ramanujan's comments and Q&amp;A on the two papers on science of Sastra</t>
  </si>
  <si>
    <t>https://www.youtube.com/watch?v=v2dy-2T9kRE</t>
  </si>
  <si>
    <t>Misrepresentations in Pollock’s Sastra paper - 2 Paper Presentations</t>
  </si>
  <si>
    <t>https://www.youtube.com/watch?v=REfOblHmn6Q</t>
  </si>
  <si>
    <t>Comments on two papers on misrepresentations in Pollock’s Sastra paper: Prof. VN Jha</t>
  </si>
  <si>
    <t>https://www.youtube.com/watch?v=8Fyp5gw_HGc&amp;t=19s</t>
  </si>
  <si>
    <t>Rajiv Malhotra and others in discussion on Pollock's position on Sastras</t>
  </si>
  <si>
    <t>https://www.youtube.com/watch?v=xl6nyKVDNCQ</t>
  </si>
  <si>
    <t>Rajiv Malhotra fb LIVE 11: Strategy of Infinity Foundation India &amp; How it will Transform India</t>
  </si>
  <si>
    <t>https://www.youtube.com/watch?v=ll-fhgVbj1I</t>
  </si>
  <si>
    <t>Rajiv Malhotra: Importance of Sacredness in Indian Civilization #8</t>
  </si>
  <si>
    <t>https://www.youtube.com/watch?v=1uNyxmccf1U</t>
  </si>
  <si>
    <t>Rajiv Malhotra's Unique Position to Critique Western Indology #1</t>
  </si>
  <si>
    <t>https://www.youtube.com/watch?v=NMCXHN1fW9k</t>
  </si>
  <si>
    <t>Rajiv Malhotra: What is Our Response to Murty Classical Library 500 Volume Project #3</t>
  </si>
  <si>
    <t>https://www.youtube.com/watch?v=NeCQOUox8zc</t>
  </si>
  <si>
    <t>Making Sanskrit Mainstream: Rajiv Malhotra's Vision #4</t>
  </si>
  <si>
    <t>https://www.youtube.com/watch?v=3vhgcNKVRgY</t>
  </si>
  <si>
    <t>Rajiv Malhotra: How Devdutt Pattanaik is Facilitating Digestion by Turning Our Itihas into Myth #5</t>
  </si>
  <si>
    <t>https://www.youtube.com/watch?v=gPdm-EF13GU</t>
  </si>
  <si>
    <t>Prof Girish Nath Jha &amp; Rajiv Malhotra on the Decline of Sanskrit During Colonial Times #6</t>
  </si>
  <si>
    <t>https://www.youtube.com/watch?v=wYCmU0vaKvc</t>
  </si>
  <si>
    <t>Loss of Purvapaksha Tradition Led to The Decline of Indian Civilization #7</t>
  </si>
  <si>
    <t>https://www.youtube.com/watch?v=wu_ONpNjikY</t>
  </si>
  <si>
    <t>If Dravidianism can be debunked, AIT will become irrelevant by Rajiv Malhotra #8</t>
  </si>
  <si>
    <t>https://www.youtube.com/watch?v=6ufhk6JL8x8</t>
  </si>
  <si>
    <t>BFS Book Cover, "Sir William Jones &amp; The Pandits" #2</t>
  </si>
  <si>
    <t>https://www.youtube.com/watch?v=S9RImbEoWYA</t>
  </si>
  <si>
    <t>Rajiv Malhotra Argues for Continually Updating the Purvapaksha Tradition #9</t>
  </si>
  <si>
    <t>https://www.youtube.com/watch?v=D7yIybTWmmU</t>
  </si>
  <si>
    <t>Prof Upender Rao: Evidence of Sanskrit Being Part of Popular Culture #11</t>
  </si>
  <si>
    <t>https://www.youtube.com/watch?v=EfHkupTL5wU</t>
  </si>
  <si>
    <t>Prof Girish Jha Describes Research Applying Traditional Sanskrit Knowledge in Modern Science #12</t>
  </si>
  <si>
    <t>https://www.youtube.com/watch?v=4pkD8CkJiIQ</t>
  </si>
  <si>
    <t>Negative Impact of Indian Billionaires Funding Western Universities #13</t>
  </si>
  <si>
    <t>https://www.youtube.com/watch?v=uTyoGVNa7FA</t>
  </si>
  <si>
    <t>'Sanskritizing English' By Introducing Non-translatable words #14</t>
  </si>
  <si>
    <t>https://www.youtube.com/watch?v=xkyySDtO5HU</t>
  </si>
  <si>
    <t>Prof Koenraad Elst &amp; Prof Girish Jha on the alleged North &amp; South Language Divide in India #15</t>
  </si>
  <si>
    <t>https://www.youtube.com/watch?v=VkyOIj4SQu4</t>
  </si>
  <si>
    <t>Rajiv Malhotra on the origin of Sanskrit and Vedas #10</t>
  </si>
  <si>
    <t>https://www.youtube.com/watch?v=GCo89ggyUKw</t>
  </si>
  <si>
    <t>Critiquing Pollock’s out of context reading of the Ramayana - 2 Paper Presentations</t>
  </si>
  <si>
    <t>https://www.youtube.com/watch?v=vOOkxcKaZEo</t>
  </si>
  <si>
    <t>Pollock’s out of context reading of the Ramayana - Comments and Q&amp;A on the papers</t>
  </si>
  <si>
    <t>https://www.youtube.com/watch?v=aRzq_l_Rmcc</t>
  </si>
  <si>
    <t>Comments on the two papers - Nityananda Misra</t>
  </si>
  <si>
    <t>https://www.youtube.com/watch?v=iZ6Xk9YCaaY</t>
  </si>
  <si>
    <t>A Purvapaksha of Deep Orientalism - Ashay Naik</t>
  </si>
  <si>
    <t>https://www.youtube.com/watch?v=ozdJ_kTaZcc</t>
  </si>
  <si>
    <t>History of Indology and Nazi ideology - Prof. K. Gopinath</t>
  </si>
  <si>
    <t>https://www.youtube.com/watch?v=Q7TqlnXF3cA</t>
  </si>
  <si>
    <t>Sheldon Pollock's Idea of a Nazi Indology - Dr. Koenraad Elst</t>
  </si>
  <si>
    <t>https://www.youtube.com/watch?v=_nyKGkDh6WM</t>
  </si>
  <si>
    <t>Theme- Sanskrit was Responsible for Holocaust- Comments and Q&amp;A</t>
  </si>
  <si>
    <t>https://www.youtube.com/watch?v=log0y9fRklc</t>
  </si>
  <si>
    <t>How to Interpret the US Presidential Elections 2016 in terms of the Myth of American Exceptionalism</t>
  </si>
  <si>
    <t>https://www.youtube.com/watch?v=74BW9K7eGtY&amp;t=21s</t>
  </si>
  <si>
    <t>The New MOHENJO DARO Movie, What is True &amp; False About Its Depictions of History</t>
  </si>
  <si>
    <t>https://www.youtube.com/watch?v=gzOZ5Lo3n9Y</t>
  </si>
  <si>
    <t>JNU Sociology Professors are Effectively Studying "The White Man's Grandmother" #10</t>
  </si>
  <si>
    <t>https://www.youtube.com/watch?v=2yRygpW0RYY</t>
  </si>
  <si>
    <t>On Pollockism- Purvapaksha on Pollock's Methodologies: Sati Shankar</t>
  </si>
  <si>
    <t>https://www.youtube.com/watch?v=Y3j3g76ggFE</t>
  </si>
  <si>
    <t>On Pollockism paper_Comments and Q and A</t>
  </si>
  <si>
    <t>https://www.youtube.com/watch?v=bMOOUhzJreA</t>
  </si>
  <si>
    <t>"Sanskrit is dead and its okay" - Naresh Cuntoor</t>
  </si>
  <si>
    <t>https://www.youtube.com/watch?v=WzACbsbv3Mc</t>
  </si>
  <si>
    <t>Vedic Knowledge, Science &amp; Pollockian Indology - Prof. Ravi Gomatam</t>
  </si>
  <si>
    <t>https://www.youtube.com/watch?v=0W0XxcsCH_0</t>
  </si>
  <si>
    <t>Dr. Koenraad Elst's Comments on Indic Viewpoints to Refute Pollock's positions</t>
  </si>
  <si>
    <t>https://www.youtube.com/watch?v=a30EnICYBUA</t>
  </si>
  <si>
    <t>Panel Discussion on Murty Classical Library - Part 1</t>
  </si>
  <si>
    <t>https://www.youtube.com/watch?v=Wr_CIMPuH3I</t>
  </si>
  <si>
    <t>Panel Discussion on Murty Classical Library - Part 2</t>
  </si>
  <si>
    <t>https://www.youtube.com/watch?v=w1panKQ58dU</t>
  </si>
  <si>
    <t>New TV Serial on Aryan/Dravidian Conflict is Incorrect &amp; Politically Dangerous</t>
  </si>
  <si>
    <t>https://www.youtube.com/watch?v=N20dY0-9Nio</t>
  </si>
  <si>
    <t>Sense Philology - TM Narendran</t>
  </si>
  <si>
    <t>https://www.youtube.com/watch?v=mxQpJeckKaU</t>
  </si>
  <si>
    <t>Orientalist &amp; Post Colonial Basis of Indology - Ravi Joshi</t>
  </si>
  <si>
    <t>https://www.youtube.com/watch?v=3dgPn1KOovw</t>
  </si>
  <si>
    <t>Recent Political Attacks in Hawaii Against Hinduism —Christianity's Violent Conquest of Pagans #15</t>
  </si>
  <si>
    <t>https://www.youtube.com/watch?v=Aivw6qVhabo</t>
  </si>
  <si>
    <t>Contrast the Attitude of Abrahamic Religions &amp; Sanatan Dharma Towards Peace #3</t>
  </si>
  <si>
    <t>https://www.youtube.com/watch?v=av1BWeMbl1Q</t>
  </si>
  <si>
    <t>Rajiv Malhotra Discusses Strategy for Kumbh Mela with Head of Akhada Parishad</t>
  </si>
  <si>
    <t>https://www.youtube.com/watch?v=dLQSHM_T-jI</t>
  </si>
  <si>
    <t>Hindu Dharma Shastras Accused of Human Rights Violation Against Women &amp; Dalits #4</t>
  </si>
  <si>
    <t>https://www.youtube.com/watch?v=joPLKP546hk</t>
  </si>
  <si>
    <t>Are The Vedic Texts Not Powerful Enough To Convince Anybody Who Reads it: Rajiv Malhotra #6</t>
  </si>
  <si>
    <t>https://www.youtube.com/watch?v=0ol6BUtHZu8</t>
  </si>
  <si>
    <t>Do Our sacred Scriptures Praise War &amp; Violence: Rajiv Malhotra #8</t>
  </si>
  <si>
    <t>https://www.youtube.com/watch?v=N1wkN3CKqHY</t>
  </si>
  <si>
    <t>Rajiv Malhotra Interviews Yogi Amrit Desai - Part 1</t>
  </si>
  <si>
    <t>https://www.youtube.com/watch?v=Zr29r9gnq6A</t>
  </si>
  <si>
    <t>Rajiv Malhotra &amp; Dr Subramanian Swamy in a Vibrant LIVE Broadcast on Strategic Issues #16</t>
  </si>
  <si>
    <t>https://www.youtube.com/watch?v=eVhJjqlSE8s</t>
  </si>
  <si>
    <t>How to Counter Devdutt Pattanaik's Absurd Interpretations of Hinduism: Rajiv Malhotra #5</t>
  </si>
  <si>
    <t>https://www.youtube.com/watch?v=R6bvpvI1_uY</t>
  </si>
  <si>
    <t>Yogi Amrit Desai's Hatha Yoga is Integrated Into Ashtanga Yoga: Rajiv Part 2</t>
  </si>
  <si>
    <t>https://www.youtube.com/watch?v=WtWOT6Hj2vM</t>
  </si>
  <si>
    <t>Controversies on Yoga's Appropriation &amp; Mis-appropriation by Westerners: Yogi Amrit Desai Part 3</t>
  </si>
  <si>
    <t>https://www.youtube.com/watch?v=3dYP3FhD3Po</t>
  </si>
  <si>
    <t>How Yoga Helps Americans Solve Problems Like Addiction: Rajiv Interviews Yogi Amrit Desai Part 4</t>
  </si>
  <si>
    <t>https://www.youtube.com/watch?v=07rLdtPRbEE</t>
  </si>
  <si>
    <t>In Conversation with Swami Nithyananda: July 2016</t>
  </si>
  <si>
    <t>https://www.youtube.com/watch?v=n0Ekb7yhf18</t>
  </si>
  <si>
    <t>Can Living Guru be Replaced by Technology? Rajiv's Dialogue with Yogi Amrit Desai - Part 5</t>
  </si>
  <si>
    <t>https://www.youtube.com/watch?v=Pe53dUS_mHE</t>
  </si>
  <si>
    <t>Society Must Be Detoxed By Force &amp; Intervention. Rajiv's Dialogue with Yogi Amrit Desai - Part 6</t>
  </si>
  <si>
    <t>https://www.youtube.com/watch?v=fZLoHeGF4XI</t>
  </si>
  <si>
    <t>Q&amp;A Rajiv Malhotra at Chinmaya Mission, DC</t>
  </si>
  <si>
    <t>https://www.youtube.com/watch?v=NaCx35vC5wg</t>
  </si>
  <si>
    <t>JNU Plenary 2016: Assimilation of Tradition &amp; Modernity, Talk by Rajiv Malhotra</t>
  </si>
  <si>
    <t>https://www.youtube.com/watch?v=8M2LUwJGwHw</t>
  </si>
  <si>
    <t>Rajiv Malhotra Addresses Common Misconceptions Regarding Various Darshanas in Sanatan Dharma #1</t>
  </si>
  <si>
    <t>https://www.youtube.com/watch?v=4VaCcFKHkSY</t>
  </si>
  <si>
    <t>Q&amp;A Hinduism vs Pagan Religions; Caste Divides; Open Architecture of Dharmic Traditions #2</t>
  </si>
  <si>
    <t>https://www.youtube.com/watch?v=udkwSpjJnGk</t>
  </si>
  <si>
    <t>Rajiv Malhotra's Call To Action For Correcting The Discourse On Hinduism &amp; Hindu Organizations. #3</t>
  </si>
  <si>
    <t>https://www.youtube.com/watch?v=Z8Wd8i754cU</t>
  </si>
  <si>
    <t>Misappropriation of Ancient Indian Ideas by The West; Value of Sanskrit; Aryan Dravidian Divide #4</t>
  </si>
  <si>
    <t>https://www.youtube.com/watch?v=tlCqUXsDwDc</t>
  </si>
  <si>
    <t>Western Collective Ego Remains Even After Individual Ego Is Surrendered: Rajiv with Amrit Desai #7</t>
  </si>
  <si>
    <t>https://www.youtube.com/watch?v=aEAK6N982oQ</t>
  </si>
  <si>
    <t>Deception &amp; Multigenerational Inculturation Strategy of the Church to Convert Hindus</t>
  </si>
  <si>
    <t>https://www.youtube.com/watch?v=aBwX_u__31I</t>
  </si>
  <si>
    <t>History &amp; Contributions of the Jiva Goswami Tradition: Dialogue with Dr Satyanarayana Dasa #1</t>
  </si>
  <si>
    <t>https://www.youtube.com/watch?v=i24adZlRCZk</t>
  </si>
  <si>
    <t>Can Dharmic &amp; Abrahamic Traditions be Reconciled? Rajiv in Dialogue with Dr Satyanarayana Dasa #2</t>
  </si>
  <si>
    <t>https://www.youtube.com/watch?v=KYhdz2LiDLA</t>
  </si>
  <si>
    <t>American Myth Undergoing Latest Crisis, Needs Dharmic Missionaries. Rajiv with Yogi Amrit Desai #8</t>
  </si>
  <si>
    <t>https://www.youtube.com/watch?v=BKG8mWyOvuw</t>
  </si>
  <si>
    <t>Indian Spiritual Traditions Demand Discipline, Rigor &amp; Integrity: Dr Satyanarayana Dasa #3</t>
  </si>
  <si>
    <t>https://www.youtube.com/watch?v=bGDeGR7DrFw</t>
  </si>
  <si>
    <t>How Gurus Must Prevent Collective U-Turns of Western Students. Rajiv's Dialogue with Yogi Amrit #9</t>
  </si>
  <si>
    <t>https://www.youtube.com/watch?v=BsEY7XJTv70</t>
  </si>
  <si>
    <t>Provocative Speculation: Are Many Hindus Unfit for Hinduism? Rajiv with Dr Satyanarayana Dasa #4</t>
  </si>
  <si>
    <t>https://www.youtube.com/watch?v=Kfvmj7QyAfQ</t>
  </si>
  <si>
    <t>In Conversation with Francois Gautier</t>
  </si>
  <si>
    <t>https://www.youtube.com/watch?v=C6XbkLOcyVs</t>
  </si>
  <si>
    <t>Dharma and Well-being, New Jersey 2016</t>
  </si>
  <si>
    <t>https://www.youtube.com/watch?v=ANDhhofT1w0</t>
  </si>
  <si>
    <t>Keynote at DCF Fundraiser in Los Angeles, 2016</t>
  </si>
  <si>
    <t>https://www.youtube.com/watch?v=qiir-ZWT6yI</t>
  </si>
  <si>
    <t>What are the chances that Liberal Muslims will call for a Reformation of Islam: Rajiv Malhotra</t>
  </si>
  <si>
    <t>https://www.youtube.com/watch?v=wEalKzas5Ig</t>
  </si>
  <si>
    <t>FACEBOOK HQ: Vedic Consciousness &amp; it's Relation to Modern Technology</t>
  </si>
  <si>
    <t>https://www.youtube.com/watch?v=6PUBS8MXVzc</t>
  </si>
  <si>
    <t>Academic Hinduphobia Book Launch, by Dr Subramanian Swamy</t>
  </si>
  <si>
    <t>https://www.youtube.com/watch?v=HmKETjjGv0E</t>
  </si>
  <si>
    <t>Hinduphobia of The Indian Left is a Combination of Many Factors: Rajiv Malhotra #5</t>
  </si>
  <si>
    <t>https://www.youtube.com/watch?v=vTz9mFEgYQU</t>
  </si>
  <si>
    <t>Can We Use Guna System To Classify Western Indologists: Rajiv Malhotra #2</t>
  </si>
  <si>
    <t>https://www.youtube.com/watch?v=B1KtIwSP4_U</t>
  </si>
  <si>
    <t>Intellectual &amp; Emotional Kshatriyas, Both Can Help Dharma &amp; India: Rajiv Malhotra #6</t>
  </si>
  <si>
    <t>https://www.youtube.com/watch?v=nUfn2eRsHgo</t>
  </si>
  <si>
    <t>Western Study of Sanskrit Misstates Our Sanskriti &amp; Conceals Facts: Rajiv Malhotra #7</t>
  </si>
  <si>
    <t>https://www.youtube.com/watch?v=sGXLoCpynsU</t>
  </si>
  <si>
    <t>Insiders Vs Outsiders — Who should have ‘Adhikara’ as Experts on Sanskrit: Rajiv Malhotra #3</t>
  </si>
  <si>
    <t>https://www.youtube.com/watch?v=Nattb-ZPK4g</t>
  </si>
  <si>
    <t>I am trying to Provoke the 'Insiders' to Protect our Sanskriti: Rajiv Malhotra #4</t>
  </si>
  <si>
    <t>https://www.youtube.com/watch?v=EfQbirNpLM8</t>
  </si>
  <si>
    <t>Murty Classical Library Translations Not Reviewed by Traditional Sanskrit Scholars' Panel #1</t>
  </si>
  <si>
    <t>https://www.youtube.com/watch?v=zNgyoAjVDhk</t>
  </si>
  <si>
    <t>Don't Be Deceived by Western Culture which is Celebrated by Media: Rajiv Malhotra #8</t>
  </si>
  <si>
    <t>https://www.youtube.com/watch?v=6WJO3QlTEpg</t>
  </si>
  <si>
    <t>Lack of Support for Rigorous Indology Research Such as that by Shrikant Talageri: Rajiv Malhotra #9</t>
  </si>
  <si>
    <t>https://www.youtube.com/watch?v=k8zAYJDE01E</t>
  </si>
  <si>
    <t>Genocide &amp; Slavery Were Foundations of the so called 'Modernity Era' of Europe &amp; USA #10</t>
  </si>
  <si>
    <t>https://www.youtube.com/watch?v=Qh0tc43apsI</t>
  </si>
  <si>
    <t>Hindu Contributions in the Cognitive Sciences: Rajiv at Duke University #1</t>
  </si>
  <si>
    <t>9 months ago</t>
  </si>
  <si>
    <t>https://www.youtube.com/watch?v=B3K5KRgT0oE</t>
  </si>
  <si>
    <t>Sanskrit is Foundation of Linguistics &amp; Computation: Rajiv at Duke University #2</t>
  </si>
  <si>
    <t>Analyse how Hindu Sampradya, Parampara, Family system, festivals are being viewed, misinterpreted and appropriated by west</t>
  </si>
  <si>
    <t>https://www.youtube.com/watch?v=MqvZxu1TaSQ</t>
  </si>
  <si>
    <t>Digestion and the Doctrine of Christian Discovery #3</t>
  </si>
  <si>
    <t>https://www.youtube.com/watch?v=SmB_GUlrfzk</t>
  </si>
  <si>
    <t>Hindu Society was Not Otherworldly; India has been an Important Part of World History #4</t>
  </si>
  <si>
    <t>https://www.youtube.com/watch?v=YtD-Ro9OJRQ</t>
  </si>
  <si>
    <t>In Conversation with Sri Sri Ravi Shankar</t>
  </si>
  <si>
    <t>https://www.youtube.com/watch?v=m1RnPcyk_e0</t>
  </si>
  <si>
    <t>In Conversation with Dr. Nagaswamy, Eminent Archaeologist &amp; Scholar #23</t>
  </si>
  <si>
    <t>https://www.youtube.com/watch?v=MFeGLeUGf6Q</t>
  </si>
  <si>
    <t>Current State of De-colonizing is Incomplete - Lokmanthan 2016, Bhopal</t>
  </si>
  <si>
    <t>Aryan-Dravidian Divide -&gt; Dalit-non-Dalit Divide, Majority-minority divide =&gt; Hindu vs Dravidian + Dalit divide in society</t>
  </si>
  <si>
    <t>https://www.youtube.com/watch?v=ZkrWcJXqbGA</t>
  </si>
  <si>
    <t>Historical Evidence: Hindu Tradition Is Progressive, Not Regressive #6</t>
  </si>
  <si>
    <t>Who is responsible for assaulting indian culture</t>
  </si>
  <si>
    <t>https://www.youtube.com/watch?v=ZoDHsv06lNI</t>
  </si>
  <si>
    <t>Sanskrit &amp; Sanskriti Are Being Secularized and their History Being Falsified #11</t>
  </si>
  <si>
    <t>https://www.youtube.com/watch?v=j53ZVDx4pYc</t>
  </si>
  <si>
    <t>In Medieval Times Arabs Embraced Indian Science &amp; Spread it to Europe #5</t>
  </si>
  <si>
    <t>https://www.youtube.com/watch?v=ZI3BJk08OWI</t>
  </si>
  <si>
    <t>Spanish Queen was a "Venture Capitalist" who Funded Columbus to Find a New Sea Route to India #7</t>
  </si>
  <si>
    <t>https://www.youtube.com/watch?v=84agoVdaycE</t>
  </si>
  <si>
    <t>Why Digestion Is the Greatest Threat to Hinduism: Rajiv at Duke University #8</t>
  </si>
  <si>
    <t>https://www.youtube.com/watch?v=sLe31yV0Fb4</t>
  </si>
  <si>
    <t>Is There Any Practical Utility of Sanskrit? #1</t>
  </si>
  <si>
    <t>https://www.youtube.com/watch?v=0gtyqapBB3A</t>
  </si>
  <si>
    <t>Reviving the Vedic Learning Methods in Children: Rajiv Malhotra #3</t>
  </si>
  <si>
    <t>https://www.youtube.com/watch?v=EKyX0QsZVJc</t>
  </si>
  <si>
    <t>Vernacular Languages in India Played a Hyphenated Role Along Side With Sanskrit #4</t>
  </si>
  <si>
    <t>https://www.youtube.com/watch?v=DrTFGS7SoCg</t>
  </si>
  <si>
    <t>Sufism is a "Soft" Conversion to Islam: Rajiv Malhotra #5</t>
  </si>
  <si>
    <t>https://www.youtube.com/watch?v=J2Z6w1bXfYc</t>
  </si>
  <si>
    <t>The Fight Is With Charvakas 2.0, Not with Buddhism or Other Dharmic Traditions #6</t>
  </si>
  <si>
    <t>https://www.youtube.com/watch?v=1jVMegap8Ws</t>
  </si>
  <si>
    <t>Samskrita Bharati Teaches Sanskrit by Immersion, Not by Grammar: Rajiv Malhotra #8</t>
  </si>
  <si>
    <t>https://www.youtube.com/watch?v=4W3kmjNG_K8</t>
  </si>
  <si>
    <t>In Conversation With General GD Bakshi</t>
  </si>
  <si>
    <t>https://www.youtube.com/watch?v=8usGAaPq-WY</t>
  </si>
  <si>
    <t>Response to a Young Post Modernist by Rajiv Malhotra</t>
  </si>
  <si>
    <t>https://www.youtube.com/watch?v=RfiT3REVHxQ</t>
  </si>
  <si>
    <t>Influences of Vedic Tradition on Accelerated Educational Systems like Montessori and Waldorf #9</t>
  </si>
  <si>
    <t>https://www.youtube.com/watch?v=r0tSX3M-7oM&amp;t=41s</t>
  </si>
  <si>
    <t>Times LitFest Delhi: How Will India Deal with President Trump</t>
  </si>
  <si>
    <t>https://www.youtube.com/watch?v=9hi4MG3BU0Y</t>
  </si>
  <si>
    <t>Deep Malaise Of Aspirational Whiteness in India: Rajiv at Duke Univ #10</t>
  </si>
  <si>
    <t>https://www.youtube.com/watch?v=uiJHx80DJcw</t>
  </si>
  <si>
    <t>What is Hindutva: Rajiv at Duke University #11</t>
  </si>
  <si>
    <t>https://www.youtube.com/watch?v=XWeFa6jUiPw</t>
  </si>
  <si>
    <t>Talk on Swadeshi Indology at IGNCA, New Delhi</t>
  </si>
  <si>
    <t>https://www.youtube.com/watch?v=Y5sHrOViVq0</t>
  </si>
  <si>
    <t>In Conversation with Dr. Sonal Mansingh</t>
  </si>
  <si>
    <t>https://www.youtube.com/watch?v=SNAHZpRl3go</t>
  </si>
  <si>
    <t>A Discussion with Nithyananda: on God vs. Sadashiva, Why Wear Gold, Attacks against Hinduism &amp; More</t>
  </si>
  <si>
    <t>https://www.youtube.com/watch?v=kDDNkLWPpUc</t>
  </si>
  <si>
    <t>Dialogue with Prof R Vaidyanathan, IIM Bangalore - Caste System</t>
  </si>
  <si>
    <t>https://www.youtube.com/watch?v=Vrv16kSoTLQ</t>
  </si>
  <si>
    <t>Aagamas are As Central to Hinduism As Vedas #1</t>
  </si>
  <si>
    <t>https://www.youtube.com/watch?v=1k_PbRxkEqo</t>
  </si>
  <si>
    <t>Acārya Abhinavagupta Initiated Adi Shankaracharya Into Aagamas #2</t>
  </si>
  <si>
    <t>https://www.youtube.com/watch?v=JZ7LHVZfMwM</t>
  </si>
  <si>
    <t>Are Neo Vedantins Justified in Demeaning Rituals #3</t>
  </si>
  <si>
    <t>https://www.youtube.com/watch?v=-pTe3fDFF7U</t>
  </si>
  <si>
    <t>Aagamas Not Separate Set of Scriptures but Part of Vedas, Correct Nomenclature is "Vedaagamas" #4</t>
  </si>
  <si>
    <t>https://www.youtube.com/watch?v=HzuZ57Y3-VQ</t>
  </si>
  <si>
    <t>Atma Pramana Alone Does Not Confer the Adhikara to Impart Teachings of Sanatana Hindu Dharma #5</t>
  </si>
  <si>
    <t>https://www.youtube.com/watch?v=6M1Mp5tvk-E</t>
  </si>
  <si>
    <t>Translating Hindu Itihasa to "Myth" Demeans &amp; Undermines Hindu Culture #6</t>
  </si>
  <si>
    <t>https://www.youtube.com/watch?v=LAZPY_rTJLU</t>
  </si>
  <si>
    <t>Bangalore Literature Festival 2016 - India Reclaiming Our Civilization's Heritage</t>
  </si>
  <si>
    <t>https://www.youtube.com/watch?v=13shkRG4RMc</t>
  </si>
  <si>
    <t>The Tree of Yoga is Rooted in Sanatana Hindu Dharma #7</t>
  </si>
  <si>
    <t>https://www.youtube.com/watch?v=lnII4AH2rHw</t>
  </si>
  <si>
    <t>Why Outsiders Like Pollock &amp; Doniger DO NOT Have Adhikara To Translate Hindu Shastra #8</t>
  </si>
  <si>
    <t>https://www.youtube.com/watch?v=az7GJp1YAXw</t>
  </si>
  <si>
    <t>Swami Nithyananda's Vision of a Theme Park Which Will Be a 'Living Presentation' of Vedic Culture #9</t>
  </si>
  <si>
    <t>https://www.youtube.com/watch?v=_zmgXM40afU</t>
  </si>
  <si>
    <t>Angkor Wat Was Built As a Mandala For The Whole Hindu Civilization #10</t>
  </si>
  <si>
    <t>https://www.youtube.com/watch?v=IS6hRiM7WuU</t>
  </si>
  <si>
    <t>Banning of Puja &amp; Rituals Shows ASI's Disregard for Sacredness In Indian Culture #11</t>
  </si>
  <si>
    <t>https://www.youtube.com/watch?v=-c4KLljIDeo</t>
  </si>
  <si>
    <t>Flaws in the Chronology of Western Indologists #12</t>
  </si>
  <si>
    <t>https://www.youtube.com/watch?v=6KN0GnYv6xQ</t>
  </si>
  <si>
    <t>Lack of Shastra Vidya Contributed to the Decline of Pagan Civilizations #13</t>
  </si>
  <si>
    <t>https://www.youtube.com/watch?v=GP0JLpTLOWU</t>
  </si>
  <si>
    <t>Distinction Between a Living Guru and a Deity #14</t>
  </si>
  <si>
    <t>Yagya is not equal to sacrifice</t>
  </si>
  <si>
    <t>https://www.youtube.com/watch?v=OdRuRzl5pwg</t>
  </si>
  <si>
    <t>Existence of Shiv Avatar Hanuman in Vaishnav Text of Ramayana is Not a Paradox #15</t>
  </si>
  <si>
    <t>https://www.youtube.com/watch?v=ImpfhngYCCA</t>
  </si>
  <si>
    <t>In Conversation with Shri Chamu Krishna Shastry</t>
  </si>
  <si>
    <t>https://www.youtube.com/watch?v=p08RUDejFXs</t>
  </si>
  <si>
    <t>God Particle, Shaktinipat (Quantum Entanglement), Divinity in Matter #17</t>
  </si>
  <si>
    <t>https://www.youtube.com/watch?v=NpCmOPhka6g</t>
  </si>
  <si>
    <t>Difference Between the Spiritual Process of Siddhis and Shaktis #18</t>
  </si>
  <si>
    <t>https://www.youtube.com/watch?v=Iz3TO-dXkSI</t>
  </si>
  <si>
    <t>Journalists are the Furthest Away from Truth and Spirituality #19</t>
  </si>
  <si>
    <t>https://www.youtube.com/watch?v=5Qbkf3waru8</t>
  </si>
  <si>
    <t>Shaktinipat is Beyond the Physics of Space and Time #20</t>
  </si>
  <si>
    <t>https://www.youtube.com/watch?v=0cvq3rbQ7Dw</t>
  </si>
  <si>
    <t>Can Machines Transmit Shakti? #21</t>
  </si>
  <si>
    <t>https://www.youtube.com/watch?v=69M5XJQEYX4</t>
  </si>
  <si>
    <t>"I am Spiritual But Not Religious", Makes NO Sense if a Hindu Says This #22</t>
  </si>
  <si>
    <t>https://www.youtube.com/watch?v=Yb0AWtlb8-g</t>
  </si>
  <si>
    <t>Donations to a Hindu Temple Should Legally be Owned by the Deity ResidingThere. #23</t>
  </si>
  <si>
    <t>https://www.youtube.com/watch?v=1Gop0_4D5pE</t>
  </si>
  <si>
    <t>Swami Nityananda on the "Collective Evolution" Theory of Sri Aurobindo #26</t>
  </si>
  <si>
    <t>https://www.youtube.com/watch?v=-pDxEjRprYM</t>
  </si>
  <si>
    <t>Bionic Humans &amp; Evolution of Consciousness #25</t>
  </si>
  <si>
    <t>https://www.youtube.com/watch?v=1P_XO3xfTCs</t>
  </si>
  <si>
    <t>A Hindu Perspective on the Ethics of GMO, Human Organs Farming, and The Karmic Imprint #24</t>
  </si>
  <si>
    <t>https://www.youtube.com/watch?v=Voaw-uef3Tw</t>
  </si>
  <si>
    <t>Hindu Perspective on Mercy Killing/Euthanasia #16</t>
  </si>
  <si>
    <t>https://www.youtube.com/watch?v=F2WG7neA31s</t>
  </si>
  <si>
    <t>Rajiv's Open Challenge to Neuro-Scientists— "Rishis Do Exist" #27</t>
  </si>
  <si>
    <t>https://www.youtube.com/watch?v=n5lHU4Qyfbk</t>
  </si>
  <si>
    <t>Do Miracle Healings Given by Yogis Hack the Karma Cycle #28</t>
  </si>
  <si>
    <t>https://www.youtube.com/watch?v=mcxquOK_mY8</t>
  </si>
  <si>
    <t>Breaking India: The Strategic Ploy Against Hinduism by Churches, Academics and More</t>
  </si>
  <si>
    <t>https://www.youtube.com/watch?v=9FgUTz996bs</t>
  </si>
  <si>
    <t>Continuing the Guru Parampara: Swami Nithyananda Shares His Mission of Gratitude and Integrity #30</t>
  </si>
  <si>
    <t>https://www.youtube.com/watch?v=DVcN5QXGA_w</t>
  </si>
  <si>
    <t>Be the Heir to Your Own Fortune: Can Billionaires Bank on Financial Security in the Next Life? #29</t>
  </si>
  <si>
    <t>https://www.youtube.com/watch?v=_D2sWZSHDqg&amp;t=834s</t>
  </si>
  <si>
    <t>Interview with a Neo-Jewish Pseudo-Hindu on Hinduized Judaism, Tantric Kabbala, &amp; More</t>
  </si>
  <si>
    <t>https://www.youtube.com/watch?v=7-JbRtATwHQ</t>
  </si>
  <si>
    <t>Being Different: Decolonizing Ourselves by Reversing the Indian Gaze Back at the West</t>
  </si>
  <si>
    <t>Replace this with video of better quality.</t>
  </si>
  <si>
    <t>https://www.youtube.com/watch?v=N6IDjOR1OY0</t>
  </si>
  <si>
    <t>Indra's Net: Exposing the Western Academics who Attack Hinduism and Challenging their Claims</t>
  </si>
  <si>
    <t>7 months ago</t>
  </si>
  <si>
    <t>https://www.youtube.com/watch?v=mScbp58xwJE</t>
  </si>
  <si>
    <t>Hindu Gurus Accepting Max Mullerian Translations is the Biggest Disadvantage Done to Hinduism #31</t>
  </si>
  <si>
    <t>https://www.youtube.com/watch?v=eQBirhrwc3E</t>
  </si>
  <si>
    <t>Taking the Experience then Dropping the Guru: Why a Jewish Seeker Came &amp; then Left Hinduism</t>
  </si>
  <si>
    <t>https://www.youtube.com/watch?v=qzXGb7RIXmc</t>
  </si>
  <si>
    <t>Why does Swamiji wear so much Gold Jewellery? The reason Gold became precious. #32</t>
  </si>
  <si>
    <t>https://www.youtube.com/watch?v=JjtvU2xQpaQ</t>
  </si>
  <si>
    <t>The Battle for Sanskrit: Setting the Record Straight on our Ancient but Living Language</t>
  </si>
  <si>
    <t>https://www.youtube.com/watch?v=C6sAuCIhIzA</t>
  </si>
  <si>
    <t>Two Kinds of Divine Power, Siddhis and Shaktis, are NOT Occult, Paranormal or Superstition 34</t>
  </si>
  <si>
    <t>https://www.youtube.com/watch?v=strZVEaixcs</t>
  </si>
  <si>
    <t>Book on Major Gurus, Lost Parampara, Shiva's Trishul Denigrated as Symbol of The Devil #33</t>
  </si>
  <si>
    <t>https://www.youtube.com/watch?v=Ih4StVOa0Qs</t>
  </si>
  <si>
    <t>Indian Anti-Superstition Laws are Anti-Hindu &amp; Are Based on Western Idea of Superstition #35</t>
  </si>
  <si>
    <t>https://www.youtube.com/watch?v=LIl0C87tzGE</t>
  </si>
  <si>
    <t>Vajpayee Govt Took the Unfortunate Decision of Converting Ma Ganga Into a Lake #36</t>
  </si>
  <si>
    <t>https://www.youtube.com/watch?v=sZGlmV--sG4</t>
  </si>
  <si>
    <t>Rajiv Malhotra's Talk at S-Vyasa University, Bengaluru</t>
  </si>
  <si>
    <t>https://www.youtube.com/watch?v=MAt3aD51sUM</t>
  </si>
  <si>
    <t>Ram Leela is a Living Representation of "The Hindu Grand Narrative". # 37</t>
  </si>
  <si>
    <t>https://www.youtube.com/watch?v=EXkq2inhXiw</t>
  </si>
  <si>
    <t>Criticism on Interviewing Swami Nityananda, Rajiv Responds #38</t>
  </si>
  <si>
    <t>https://www.youtube.com/watch?v=XfaMChybaCc</t>
  </si>
  <si>
    <t>Academic Hinduphobia: Challenging Media and Western Academics who Blatantly Abuse Hinduism</t>
  </si>
  <si>
    <t>https://www.youtube.com/watch?v=D559dD7btfo</t>
  </si>
  <si>
    <t>All Civilizations, Traditions, Paths Are NOT The Same #1</t>
  </si>
  <si>
    <t>https://www.youtube.com/watch?v=rt5w2HzSWc0</t>
  </si>
  <si>
    <t>Lecture on "Diplomacy and Brand India" - Foreign Service Institute, New Delhi</t>
  </si>
  <si>
    <t>6 months ago</t>
  </si>
  <si>
    <t>https://www.youtube.com/watch?v=kvEIBfEnwXM</t>
  </si>
  <si>
    <t>Swadeshi Indology Conference 2 — Inaugural Session</t>
  </si>
  <si>
    <t>https://www.youtube.com/watch?v=lkDfIrZy2VY</t>
  </si>
  <si>
    <t>Swadeshi Indology Conference 2 — Closing Session</t>
  </si>
  <si>
    <t>https://www.youtube.com/watch?v=vB9JqlUiYUk</t>
  </si>
  <si>
    <t>Hindu Students Council &amp; Rajiv Malhotra Discuss CNN's Latest Hinduphobia</t>
  </si>
  <si>
    <t>https://www.youtube.com/watch?v=vzoIHUTieE0</t>
  </si>
  <si>
    <t>"Idea of Bharatiya Exceptionalism" — Idea of Bharat International Conference</t>
  </si>
  <si>
    <t>5 months ago</t>
  </si>
  <si>
    <t>https://www.youtube.com/watch?v=eKSuEJqn2NI</t>
  </si>
  <si>
    <t>Jewish-Hindu Difference on Nature of Reincarnation #2</t>
  </si>
  <si>
    <t>https://www.youtube.com/watch?v=1UnsEQPK3PQ</t>
  </si>
  <si>
    <t>Global Perceptions of Indian Heritage - SI Conference 2- Inaugural Session</t>
  </si>
  <si>
    <t>https://www.youtube.com/watch?v=bD-uUsBgY-w</t>
  </si>
  <si>
    <t>Global Perceptions of Indian Heritage - SI Conference 2- Closing Session</t>
  </si>
  <si>
    <t>https://www.youtube.com/watch?v=Lrh5zQHEIk4</t>
  </si>
  <si>
    <t>Monograph 1: Pollock's Three Dimensional Philology</t>
  </si>
  <si>
    <t>https://www.youtube.com/watch?v=edQr4IJQuEg</t>
  </si>
  <si>
    <t>Monograph 2: Politics of Sanskrit Studies</t>
  </si>
  <si>
    <t>https://www.youtube.com/watch?v=RJSsEA6fpJE</t>
  </si>
  <si>
    <t>Purva Paksa of Pollock's use of Chronology - Megh K &amp; Manogna S</t>
  </si>
  <si>
    <t>https://www.youtube.com/watch?v=BlNY-1vmqvA</t>
  </si>
  <si>
    <t>Critique of &amp; Rebuttal to Pollock's Dating for Epics - Nilesh Oak</t>
  </si>
  <si>
    <t>https://www.youtube.com/watch?v=_CKZQa18hcY</t>
  </si>
  <si>
    <t>Mimamsa Critique of Pollock's History Theory - Dr S. Tilak</t>
  </si>
  <si>
    <t>https://www.youtube.com/watch?v=iwaHs0-q9l8</t>
  </si>
  <si>
    <t>The Science of Meaning - Sudarshan Therani</t>
  </si>
  <si>
    <t>https://www.youtube.com/watch?v=lkO1JaN7BoQ</t>
  </si>
  <si>
    <t>Gaṇita Śāstra &amp; Western Mathematics - S Mukhopadhayay</t>
  </si>
  <si>
    <t>https://www.youtube.com/watch?v=vaRCmUwpmNk</t>
  </si>
  <si>
    <t>Are Sanskrit Grammar &amp; Royal Power Related - Sowmya K</t>
  </si>
  <si>
    <t>https://www.youtube.com/watch?v=qY_yQIrKwRk</t>
  </si>
  <si>
    <t>Examination of Pollock's "Project SKSEC" - Manjushree Hegde</t>
  </si>
  <si>
    <t>https://www.youtube.com/watch?v=4ZkNnR--tMY</t>
  </si>
  <si>
    <t>A Computational Theory for Rasa - Prof K Gopinath</t>
  </si>
  <si>
    <t>https://www.youtube.com/watch?v=Fb11XAvWeyE</t>
  </si>
  <si>
    <t>Pollock's Influence on Contemporary Discourse- Discussion between Sonal Mansingh and Rajiv Malhotra</t>
  </si>
  <si>
    <t>https://www.youtube.com/watch?v=xAicQnL_abA</t>
  </si>
  <si>
    <t>Why Traditional Scholars Should Take Pollock Seriously - Rajiv Malhotra Explains</t>
  </si>
  <si>
    <t>https://www.youtube.com/watch?v=kcbL1wC9PEg</t>
  </si>
  <si>
    <t>Sheldon Pollock's Prashastis For His Funding Sources</t>
  </si>
  <si>
    <t>https://www.youtube.com/watch?v=qqDl6coS7wg</t>
  </si>
  <si>
    <t>Rajiv Malhotra Darshan with Puri Shankaracharya to discuss common interests</t>
  </si>
  <si>
    <t>https://www.youtube.com/watch?v=0RYS6V76lRQ</t>
  </si>
  <si>
    <t>Decolonizing the Indian Civil Services: Rajiv Malhotra</t>
  </si>
  <si>
    <t>https://www.youtube.com/watch?v=gtJ9OzJIB_c</t>
  </si>
  <si>
    <t>R Nagaswamy's Plenary Talk at Swadeshi Indology Conf 2</t>
  </si>
  <si>
    <t>https://www.youtube.com/watch?v=7AYmPqY5iF4</t>
  </si>
  <si>
    <t>Lets Debate the Politics of Social Sciences</t>
  </si>
  <si>
    <t>https://www.youtube.com/watch?v=4iGdwJ3nQcs&amp;t=38s</t>
  </si>
  <si>
    <t>Kashmir Violence and the Legal Hounding of Madhu Kishwar</t>
  </si>
  <si>
    <t>https://www.youtube.com/watch?v=OI3nL5YCIO8</t>
  </si>
  <si>
    <t>Princeton University's Parth Parihar Interviews Rajiv Malhotra</t>
  </si>
  <si>
    <t>https://www.youtube.com/watch?v=_xxJKDZyRuE</t>
  </si>
  <si>
    <t>Keynote Speech by Rajiv Malhotra: "Hindu Contributions to Humanity"</t>
  </si>
  <si>
    <t>https://www.youtube.com/watch?v=vhlPSbFlxPI</t>
  </si>
  <si>
    <t>Rajiv Malhotra Invites Hindus To Send Queries About Hinduism</t>
  </si>
  <si>
    <t>https://www.youtube.com/watch?v=vmOlaD1O5rg</t>
  </si>
  <si>
    <t>Did the "Art of Living" Event Destroy The Yamuna, as Alleged?</t>
  </si>
  <si>
    <t>https://www.youtube.com/watch?v=WzgR7yTQNzY</t>
  </si>
  <si>
    <t>In Conversation with Meenakshi Jain</t>
  </si>
  <si>
    <t>https://www.youtube.com/watch?v=MC9pK4dCHAs</t>
  </si>
  <si>
    <t>Natyasastra to Bollywood: Rasa, an eternal experience - Charu Uppal</t>
  </si>
  <si>
    <t>https://www.youtube.com/watch?v=g8GW7DlPr4g</t>
  </si>
  <si>
    <t>The Science of the Sacred - Sudarshan Therani</t>
  </si>
  <si>
    <t>https://www.youtube.com/watch?v=lQph5joRdU8</t>
  </si>
  <si>
    <t>Sheldon Pollock &amp; Desacralization of Sanskrit - Megh K and Manogna S</t>
  </si>
  <si>
    <t>https://www.youtube.com/watch?v=DMReaVWJGFE</t>
  </si>
  <si>
    <t>Pollock's views on Rasa: A Critique - Karthik S Joshi</t>
  </si>
  <si>
    <t>https://www.youtube.com/watch?v=Zused4CGMw4</t>
  </si>
  <si>
    <t>Sanskrit is not dead - Satyanarayana Dasa</t>
  </si>
  <si>
    <t>https://www.youtube.com/watch?v=KCUZ6hBgxc0</t>
  </si>
  <si>
    <t>Pollock's "From Rasa Seen to Rasa Heard": A Critique - Sreejit Datta</t>
  </si>
  <si>
    <t>https://www.youtube.com/watch?v=k0FNC9LuJoo&amp;t=4s</t>
  </si>
  <si>
    <t>The Buddha Versus Sheldon Pollock — Dr. Koenraad Elst</t>
  </si>
  <si>
    <t>https://www.youtube.com/watch?v=DBYSIkWsAOI</t>
  </si>
  <si>
    <t>Remarks From Chair: Session on Misc Themes - Shashi Tiwari</t>
  </si>
  <si>
    <t>Harvard Medical School- Discoveries in the science of Meditation</t>
  </si>
  <si>
    <t>https://www.youtube.com/watch?v=VKbVHIgKbbo</t>
  </si>
  <si>
    <t>Remarks From Chair: Session on Sastra &amp; Misc Theme — Dr. Aravinda Rao</t>
  </si>
  <si>
    <t>Famous as the originator of Stress Management in the West. Author of Best Seller book Emotional Intelligence</t>
  </si>
  <si>
    <t>https://www.youtube.com/watch?v=uaTb9-4kT2Y</t>
  </si>
  <si>
    <t>Hinduism and Buddhism: Convergent or Divergent - Rajath V</t>
  </si>
  <si>
    <t xml:space="preserve">Reverse Heart Disease Cardiac Treatment Experimenter
</t>
  </si>
  <si>
    <t>https://www.youtube.com/watch?v=wKoUB00RmE0</t>
  </si>
  <si>
    <t>The Science &amp; Nescience of Mimamsa - Sudarshan Therani</t>
  </si>
  <si>
    <t>https://www.youtube.com/watch?v=sI2xSENomQY</t>
  </si>
  <si>
    <t>Pollock's 'Irresponsible' Vs Valmiki's 'Plausible' Ramayana - Animesh Aaryan</t>
  </si>
  <si>
    <t xml:space="preserve">Founder of Mindful Mediation. Which is originally Vipassana
</t>
  </si>
  <si>
    <t>https://www.youtube.com/watch?v=Ts09Fp7M53k</t>
  </si>
  <si>
    <t>The divine nature of the Vedas - Alok Mishra</t>
  </si>
  <si>
    <t>Prominent Professor of Cognitive Sciences At Stanford University. Yoga Nidra, Lucid Dreaming experiment.</t>
  </si>
  <si>
    <t>https://www.youtube.com/watch?v=inDcB8LwlqI</t>
  </si>
  <si>
    <t>Sastra of Science &amp; Science of Sastras - Madhu &amp; Sudarshan Therani</t>
  </si>
  <si>
    <t>https://www.youtube.com/watch?v=1wYg5d-4aVg</t>
  </si>
  <si>
    <t>Rejoinder to Rasa Reader: An Insider View - Sharda Narayanan</t>
  </si>
  <si>
    <t>https://www.youtube.com/watch?v=oLCI7vQ7WFk</t>
  </si>
  <si>
    <t>Remarks From Chair: Session on Rasa - Dr Pappu Venugopala Rao</t>
  </si>
  <si>
    <t>Roberto Assagioli - Contemporary of Freud and the founder of psycho-synthesis. Transpersonal Psychology</t>
  </si>
  <si>
    <t>https://www.youtube.com/watch?v=Owv0FewW5Bo</t>
  </si>
  <si>
    <t>Commonalities in Hindu &amp; Buddhist Meta Framework - Ravi Joshi</t>
  </si>
  <si>
    <t>Latest icon of Transpersonal Psychology in the west</t>
  </si>
  <si>
    <t>https://www.youtube.com/watch?v=3ytmTvor21A</t>
  </si>
  <si>
    <t>Impressions of Swadeshi Indology Conference 2 - Dr. Sonal Mansingh</t>
  </si>
  <si>
    <t>https://www.youtube.com/watch?v=tPgOVeqnOcc</t>
  </si>
  <si>
    <t>Remarks from chair - Session 2 on Rasa - Prof. K Gopinath</t>
  </si>
  <si>
    <t>https://www.youtube.com/watch?v=sEg8fP2ckhI</t>
  </si>
  <si>
    <t>Plenary Session 3: Dr. Pappu Venugopala Rao</t>
  </si>
  <si>
    <t>https://www.youtube.com/watch?v=tmCFtpj6IZc</t>
  </si>
  <si>
    <t>Plenary Session 2 - Dr Meenakshi Jain</t>
  </si>
  <si>
    <t>https://www.youtube.com/watch?v=Ul-faWS75vA</t>
  </si>
  <si>
    <t>Pollock’s Hypothesis on “Othering” is unscientific - Murali KV</t>
  </si>
  <si>
    <t>https://www.youtube.com/watch?v=rP79c8rd-jE</t>
  </si>
  <si>
    <t>Upanishads and Buddha's Teachings - Sunil M V</t>
  </si>
  <si>
    <t>https://www.youtube.com/watch?v=4ej2lqB-kjM</t>
  </si>
  <si>
    <t>Pollock's Desacralisation of the Indian Rasa Tradition - Ashay Naik</t>
  </si>
  <si>
    <t>https://www.youtube.com/watch?v=OmWUkxANoEk</t>
  </si>
  <si>
    <t>Mimamsa and the Problem of History in Traditional India - Ananth Sethuraman</t>
  </si>
  <si>
    <t>https://www.youtube.com/watch?v=5IYA6g6rNW0</t>
  </si>
  <si>
    <t>Rasa one step below Brahman - Dr. R Ganesh</t>
  </si>
  <si>
    <t>https://www.youtube.com/watch?v=zEXu5K5eyCY</t>
  </si>
  <si>
    <t>Rasa theory - Dr. Nagaswamy</t>
  </si>
  <si>
    <t>https://www.youtube.com/watch?v=s9g49kgd9ao</t>
  </si>
  <si>
    <t>Change and growth of Rasa Theory - Naresh Cuntoor</t>
  </si>
  <si>
    <t>https://www.youtube.com/watch?v=7IXp156RgtQ</t>
  </si>
  <si>
    <t>Mimamsa and Ahistoricism - Prof. K S Kannan</t>
  </si>
  <si>
    <t>https://www.youtube.com/watch?v=1CJb6PuWDqk</t>
  </si>
  <si>
    <t>Remarks From Chair - Session on Chronology and Buddhism_Dr Nagaswamy</t>
  </si>
  <si>
    <t>https://www.youtube.com/watch?v=3Pat7agSMJU&amp;t=22s</t>
  </si>
  <si>
    <t>Brahmanism, Buddhism and Mimamsa - Sharda Narayanan</t>
  </si>
  <si>
    <t>https://www.youtube.com/watch?v=lyiuoR-2E6I</t>
  </si>
  <si>
    <t>Examining Pollock's "Sanskrit Cosmopolis" - Arvind Prasad</t>
  </si>
  <si>
    <t>https://www.youtube.com/watch?v=h4ZgKKlmUl0&amp;t=481s</t>
  </si>
  <si>
    <t>Conflict Between Buddhism &amp; Hinduism - Dr. R Nagaswamy</t>
  </si>
  <si>
    <t>https://www.youtube.com/watch?v=8gCMYZ-alVw</t>
  </si>
  <si>
    <t>Pollock's Philology: Mixing Ramayana and Political Imagination - Ishani Dutta</t>
  </si>
  <si>
    <t>https://www.youtube.com/watch?v=aPfBxS4huSc</t>
  </si>
  <si>
    <t>Remarks from Chair - Session on Mimamsa &amp; some Misc topics - Dr. Koenraad Elst</t>
  </si>
  <si>
    <t>https://www.youtube.com/watch?v=HQK8u4lh7y0</t>
  </si>
  <si>
    <t>Remarks from chair - Session on Philology - Dr. Korada Subrahmanyam</t>
  </si>
  <si>
    <t>https://www.youtube.com/watch?v=qIQN0DtO2Z8</t>
  </si>
  <si>
    <t>Remarks from chair - Session on Buddhism - Dr. Amarjiva Lochan</t>
  </si>
  <si>
    <t>https://www.youtube.com/watch?v=ZErxsCxSQsA</t>
  </si>
  <si>
    <t>Pollock's "Death of Sanskrit" - An Analysis - Jayaraman Mahadevan</t>
  </si>
  <si>
    <t>https://www.youtube.com/watch?v=JlEmX46IYNY</t>
  </si>
  <si>
    <t>This video is duplicate load in YouTube so dropped</t>
  </si>
  <si>
    <t>https://www.youtube.com/watch?v=sy6xQyjX7qg</t>
  </si>
  <si>
    <t>Discussion with Suzin Green, a Kali Worshipper &amp; Yoga-based Life Coach</t>
  </si>
  <si>
    <t>https://www.youtube.com/watch?v=xCLLCYBg7Zc</t>
  </si>
  <si>
    <t>Dr Subramanian Swamy In Conversation with Rajiv Malhotra</t>
  </si>
  <si>
    <t>2 months ago</t>
  </si>
  <si>
    <t>https://www.youtube.com/watch?v=s4vjcCAXvVI</t>
  </si>
  <si>
    <t>Discussion with General GD Bakshi: "Bold Proposals on India's Security Dilemmas"</t>
  </si>
  <si>
    <t>https://www.youtube.com/watch?v=wfQX8QWcWgI</t>
  </si>
  <si>
    <t>Swami Vigyananand (Chairman of World Hindu Foundation) In Conversation with Rajiv Malhotra</t>
  </si>
  <si>
    <t>https://www.youtube.com/watch?v=c50rfZlrNXU</t>
  </si>
  <si>
    <t>Prof R. Vaidyanathan &amp; Rajiv Malhotra on the Global and Local Economic Mess</t>
  </si>
  <si>
    <t>https://www.youtube.com/watch?v=Bx9ffGtMMxo</t>
  </si>
  <si>
    <t>Meet the Real Hero Behind Demonetization</t>
  </si>
  <si>
    <t>https://www.youtube.com/watch?v=DL5cLBZou3I</t>
  </si>
  <si>
    <t>Sushil Pandit, Well-Known Kashmir Activist In Conversation with Rajiv Malhotra</t>
  </si>
  <si>
    <t>Dowry murders Delhi and Insurance Killing in New York a comparison</t>
  </si>
  <si>
    <t>https://www.youtube.com/watch?v=dvcJI5yAd6M&amp;t=122s</t>
  </si>
  <si>
    <t>Persecution of Hindu Gurus Who Challenge Hinduphobia</t>
  </si>
  <si>
    <t>Academic studies about India are prejudice</t>
  </si>
  <si>
    <t>https://www.youtube.com/watch?v=ahKeSqFT0Nk</t>
  </si>
  <si>
    <t>Interfaith Marriages in USA. Discussion with Researcher</t>
  </si>
  <si>
    <t>https://www.youtube.com/watch?v=JB_lc00AWIE</t>
  </si>
  <si>
    <t>V. Ramachandran, the Noted Neuroscientist, In Conversation with Rajiv Malhotra</t>
  </si>
  <si>
    <t>3 weeks ago</t>
  </si>
  <si>
    <t>https://www.youtube.com/watch?v=9jjsiAFVdXc</t>
  </si>
  <si>
    <t>"Is Templeton Foundation Digesting Vedanta into Christianity?"</t>
  </si>
  <si>
    <t>2 weeks ago</t>
  </si>
  <si>
    <t>https://www.youtube.com/watch?v=9QSUsKZfoQA&amp;t=156s</t>
  </si>
  <si>
    <t>Head of India's Top Sanskrit Research Center in Conversation with Rajiv Malhotra</t>
  </si>
  <si>
    <t>1 week ago</t>
  </si>
  <si>
    <t>What is Indian Grand Narrative?</t>
  </si>
  <si>
    <t>Strategy
	Rajiv Malahotra using a strategy of consolidating various questions into one
	0:2:11-&gt;10:20
	Now let us agree that we need an identify
	42:57-&gt;45:56
	What is Hindu Identify &amp; Dilema
	47:00-&gt;
	51:17-&gt;55:17
	57:45-&gt;1:00:01</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</si>
</sst>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hh:mm:ss"/>
    <numFmt numFmtId="165" formatCode="h&quot;:&quot;mm&quot;:&quot;ss"/>
    <numFmt numFmtId="166" formatCode="dd&quot;-&quot;mmm&quot;-&quot;yy"/>
    <numFmt numFmtId="167" formatCode="d mmm"/>
    <numFmt numFmtId="168" formatCode="d-mmm-yy"/>
    <numFmt numFmtId="169" formatCode="0.0"/>
    <numFmt numFmtId="170" formatCode="d&quot;-&quot;mmm&quot;-&quot;yy"/>
    <numFmt numFmtId="171" formatCode="d mmm yyyy"/>
    <numFmt numFmtId="172" formatCode="d mmm yy"/>
    <numFmt numFmtId="173" formatCode="d\-mmm\-yy"/>
  </numFmts>
  <fonts count="53">
    <font>
      <sz val="11.0"/>
      <color rgb="FF000000"/>
      <name val="Calibri"/>
    </font>
    <font>
      <sz val="8.0"/>
      <color rgb="FF000000"/>
      <name val="Arial"/>
    </font>
    <font>
      <sz val="11.0"/>
      <name val="Calibri"/>
    </font>
    <font>
      <b/>
      <sz val="14.0"/>
      <name val="Calibri"/>
    </font>
    <font>
      <u/>
      <sz val="11.0"/>
      <color rgb="FF0000FF"/>
      <name val="Calibri"/>
    </font>
    <font>
      <u/>
      <sz val="8.0"/>
      <color rgb="FF0563C1"/>
      <name val="Calibri"/>
    </font>
    <font>
      <u/>
      <sz val="8.0"/>
      <color rgb="FF0563C1"/>
      <name val="Calibri"/>
    </font>
    <font>
      <u/>
      <sz val="8.0"/>
      <color rgb="FF0563C1"/>
      <name val="Calibri"/>
    </font>
    <font>
      <u/>
      <sz val="8.0"/>
      <color rgb="FF0563C1"/>
      <name val="Calibri"/>
    </font>
    <font>
      <sz val="8.0"/>
      <name val="Calibri"/>
    </font>
    <font>
      <sz val="11.0"/>
      <color rgb="FFFF0000"/>
      <name val="Calibri"/>
    </font>
    <font>
      <u/>
      <sz val="8.0"/>
      <color rgb="FF0563C1"/>
      <name val="Calibri"/>
    </font>
    <font>
      <sz val="8.0"/>
    </font>
    <font/>
    <font>
      <u/>
      <sz val="8.0"/>
      <color rgb="FF0563C1"/>
      <name val="Calibri"/>
    </font>
    <font>
      <sz val="10.0"/>
      <color rgb="FF000000"/>
      <name val="Arial"/>
    </font>
    <font>
      <u/>
      <sz val="10.0"/>
      <color rgb="FF0563C1"/>
      <name val="Calibri"/>
    </font>
    <font>
      <u/>
      <sz val="11.0"/>
      <color rgb="FF0000FF"/>
      <name val="Calibri"/>
    </font>
    <font>
      <u/>
      <sz val="11.0"/>
      <color rgb="FF000000"/>
      <name val="Calibri"/>
    </font>
    <font>
      <sz val="11.0"/>
      <color rgb="FFF3F3F3"/>
      <name val="Calibri"/>
    </font>
    <font>
      <u/>
      <sz val="8.0"/>
      <color rgb="FF0563C1"/>
      <name val="Arial"/>
    </font>
    <font>
      <sz val="8.0"/>
      <color rgb="FFFF0000"/>
      <name val="Arial"/>
    </font>
    <font>
      <u/>
      <sz val="8.0"/>
      <color rgb="FF000000"/>
      <name val="Arial"/>
    </font>
    <font>
      <sz val="8.0"/>
      <name val="Arial"/>
    </font>
    <font>
      <u/>
      <sz val="8.0"/>
      <color rgb="FF0563C1"/>
      <name val="Arial"/>
    </font>
    <font>
      <u/>
      <sz val="8.0"/>
      <color rgb="FF000000"/>
      <name val="Arial"/>
    </font>
    <font>
      <u/>
      <sz val="8.0"/>
      <color rgb="FF0563C1"/>
      <name val="Arial"/>
    </font>
    <font>
      <u/>
      <sz val="8.0"/>
      <color rgb="FF000000"/>
      <name val="Arial"/>
    </font>
    <font>
      <u/>
      <sz val="8.0"/>
      <color rgb="FF0563C1"/>
      <name val="Arial"/>
    </font>
    <font>
      <sz val="9.0"/>
      <color rgb="FF000000"/>
      <name val="Calibri"/>
    </font>
    <font>
      <sz val="8.0"/>
      <color rgb="FF000000"/>
      <name val="Calibri"/>
    </font>
    <font>
      <color rgb="FF000000"/>
      <name val="Arial"/>
    </font>
    <font>
      <sz val="8.0"/>
      <color rgb="FF000000"/>
    </font>
    <font>
      <u/>
      <sz val="8.0"/>
      <color rgb="FF0563C1"/>
      <name val="Calibri"/>
    </font>
    <font>
      <u/>
      <sz val="10.0"/>
      <color rgb="FF0563C1"/>
      <name val="Arial"/>
    </font>
    <font>
      <u/>
      <sz val="10.0"/>
      <color rgb="FF0563C1"/>
      <name val="Arial"/>
    </font>
    <font>
      <sz val="10.0"/>
      <name val="Arial"/>
    </font>
    <font>
      <u/>
      <sz val="10.0"/>
      <color rgb="FF0563C1"/>
      <name val="Arial"/>
    </font>
    <font>
      <u/>
      <sz val="10.0"/>
      <color rgb="FF0563C1"/>
      <name val="Arial"/>
    </font>
    <font>
      <u/>
      <sz val="10.0"/>
      <color rgb="FF0563C1"/>
      <name val="Arial"/>
    </font>
    <font>
      <sz val="10.0"/>
    </font>
    <font>
      <sz val="10.0"/>
      <color rgb="FF000000"/>
      <name val="Calibri"/>
    </font>
    <font>
      <sz val="10.0"/>
      <name val="Calibri"/>
    </font>
    <font>
      <b/>
      <sz val="11.0"/>
      <name val="Arial"/>
    </font>
    <font>
      <sz val="11.0"/>
      <name val="Arial"/>
    </font>
    <font>
      <sz val="11.0"/>
      <color rgb="FF000000"/>
      <name val="Arial"/>
    </font>
    <font>
      <b/>
      <sz val="10.0"/>
      <name val="Calibri"/>
    </font>
    <font>
      <b/>
      <name val="Arial"/>
    </font>
    <font>
      <u/>
      <color rgb="FF0000FF"/>
    </font>
    <font>
      <color rgb="FF000000"/>
      <name val="Calibri"/>
    </font>
    <font>
      <b/>
      <sz val="10.0"/>
      <name val="Arial"/>
    </font>
    <font>
      <sz val="10.0"/>
      <color rgb="FF222222"/>
      <name val="Arial"/>
    </font>
    <font>
      <b/>
      <sz val="10.0"/>
      <color rgb="FF222222"/>
      <name val="Arial"/>
    </font>
  </fonts>
  <fills count="14">
    <fill>
      <patternFill patternType="none"/>
    </fill>
    <fill>
      <patternFill patternType="lightGray"/>
    </fill>
    <fill>
      <patternFill patternType="solid">
        <fgColor rgb="FF999999"/>
        <bgColor rgb="FF999999"/>
      </patternFill>
    </fill>
    <fill>
      <patternFill patternType="solid">
        <fgColor rgb="FFFFFF00"/>
        <bgColor rgb="FFFFFF00"/>
      </patternFill>
    </fill>
    <fill>
      <patternFill patternType="solid">
        <fgColor rgb="FF92D050"/>
        <bgColor rgb="FF92D050"/>
      </patternFill>
    </fill>
    <fill>
      <patternFill patternType="solid">
        <fgColor rgb="FFFF0000"/>
        <bgColor rgb="FFFF0000"/>
      </patternFill>
    </fill>
    <fill>
      <patternFill patternType="solid">
        <fgColor rgb="FF00B0F0"/>
        <bgColor rgb="FF00B0F0"/>
      </patternFill>
    </fill>
    <fill>
      <patternFill patternType="solid">
        <fgColor rgb="FFB4C6E7"/>
        <bgColor rgb="FFB4C6E7"/>
      </patternFill>
    </fill>
    <fill>
      <patternFill patternType="solid">
        <fgColor rgb="FF1155CC"/>
        <bgColor rgb="FF1155CC"/>
      </patternFill>
    </fill>
    <fill>
      <patternFill patternType="solid">
        <fgColor rgb="FFCC0000"/>
        <bgColor rgb="FFCC0000"/>
      </patternFill>
    </fill>
    <fill>
      <patternFill patternType="solid">
        <fgColor rgb="FFFFFFFF"/>
        <bgColor rgb="FFFFFFFF"/>
      </patternFill>
    </fill>
    <fill>
      <patternFill patternType="solid">
        <fgColor rgb="FF3C78D8"/>
        <bgColor rgb="FF3C78D8"/>
      </patternFill>
    </fill>
    <fill>
      <patternFill patternType="solid">
        <fgColor rgb="FFFBFBFB"/>
        <bgColor rgb="FFFBFBFB"/>
      </patternFill>
    </fill>
    <fill>
      <patternFill patternType="solid">
        <fgColor rgb="FFCCCCCC"/>
        <bgColor rgb="FFCCCCCC"/>
      </patternFill>
    </fill>
  </fills>
  <borders count="4">
    <border/>
    <border>
      <left/>
      <right/>
      <top/>
      <bottom/>
    </border>
    <border>
      <right/>
      <top/>
      <bottom/>
    </border>
    <border>
      <right/>
    </border>
  </borders>
  <cellStyleXfs count="1">
    <xf borderId="0" fillId="0" fontId="0" numFmtId="0" applyAlignment="1" applyFont="1"/>
  </cellStyleXfs>
  <cellXfs count="260">
    <xf borderId="0" fillId="0" fontId="0" numFmtId="0" xfId="0" applyAlignment="1" applyFont="1">
      <alignment readingOrder="0" shrinkToFit="0" vertical="bottom" wrapText="0"/>
    </xf>
    <xf borderId="0" fillId="0" fontId="1" numFmtId="0" xfId="0" applyAlignment="1" applyFont="1">
      <alignment horizontal="left" shrinkToFit="0" wrapText="1"/>
    </xf>
    <xf borderId="0" fillId="2" fontId="2" numFmtId="0" xfId="0" applyAlignment="1" applyFill="1" applyFont="1">
      <alignment readingOrder="0" shrinkToFit="0" wrapText="0"/>
    </xf>
    <xf borderId="0" fillId="2" fontId="3" numFmtId="0" xfId="0" applyAlignment="1" applyFont="1">
      <alignment readingOrder="0" shrinkToFit="0" wrapText="0"/>
    </xf>
    <xf borderId="0" fillId="0" fontId="2" numFmtId="0" xfId="0" applyAlignment="1" applyFont="1">
      <alignment readingOrder="0" shrinkToFit="0" wrapText="0"/>
    </xf>
    <xf borderId="0" fillId="0" fontId="4" numFmtId="0" xfId="0" applyAlignment="1" applyFont="1">
      <alignment shrinkToFit="0" wrapText="0"/>
    </xf>
    <xf borderId="0" fillId="0" fontId="5" numFmtId="0" xfId="0" applyAlignment="1" applyFont="1">
      <alignment horizontal="center" shrinkToFit="0" vertical="bottom" wrapText="1"/>
    </xf>
    <xf borderId="0" fillId="0" fontId="0" numFmtId="0" xfId="0" applyAlignment="1" applyFont="1">
      <alignment shrinkToFit="0" wrapText="0"/>
    </xf>
    <xf borderId="0" fillId="3" fontId="6" numFmtId="0" xfId="0" applyAlignment="1" applyFill="1" applyFont="1">
      <alignment horizontal="center" shrinkToFit="0" vertical="bottom" wrapText="1"/>
    </xf>
    <xf borderId="0" fillId="0" fontId="7" numFmtId="0" xfId="0" applyAlignment="1" applyFont="1">
      <alignment horizontal="left" shrinkToFit="0" vertical="bottom" wrapText="1"/>
    </xf>
    <xf borderId="0" fillId="4" fontId="8" numFmtId="0" xfId="0" applyAlignment="1" applyFill="1" applyFont="1">
      <alignment horizontal="left" shrinkToFit="0" vertical="bottom" wrapText="1"/>
    </xf>
    <xf borderId="0" fillId="0" fontId="9" numFmtId="0" xfId="0" applyAlignment="1" applyFont="1">
      <alignment horizontal="left" shrinkToFit="0" wrapText="0"/>
    </xf>
    <xf borderId="0" fillId="0" fontId="1" numFmtId="0" xfId="0" applyAlignment="1" applyFont="1">
      <alignment horizontal="left" shrinkToFit="0" wrapText="0"/>
    </xf>
    <xf borderId="0" fillId="0" fontId="1" numFmtId="0" xfId="0" applyAlignment="1" applyFont="1">
      <alignment horizontal="left" readingOrder="0" shrinkToFit="0" wrapText="1"/>
    </xf>
    <xf borderId="0" fillId="0" fontId="10" numFmtId="0" xfId="0" applyAlignment="1" applyFont="1">
      <alignment readingOrder="0" shrinkToFit="0" wrapText="0"/>
    </xf>
    <xf borderId="0" fillId="0" fontId="11" numFmtId="0" xfId="0" applyAlignment="1" applyFont="1">
      <alignment horizontal="left" shrinkToFit="0" wrapText="1"/>
    </xf>
    <xf borderId="0" fillId="0" fontId="2" numFmtId="0" xfId="0" applyAlignment="1" applyFont="1">
      <alignment shrinkToFit="0" wrapText="0"/>
    </xf>
    <xf borderId="0" fillId="0" fontId="12" numFmtId="0" xfId="0" applyAlignment="1" applyFont="1">
      <alignment horizontal="left" readingOrder="0"/>
    </xf>
    <xf borderId="0" fillId="0" fontId="13" numFmtId="0" xfId="0" applyAlignment="1" applyFont="1">
      <alignment readingOrder="0"/>
    </xf>
    <xf borderId="1" fillId="5" fontId="1" numFmtId="164" xfId="0" applyAlignment="1" applyBorder="1" applyFill="1" applyFont="1" applyNumberFormat="1">
      <alignment horizontal="left" shrinkToFit="0" wrapText="1"/>
    </xf>
    <xf borderId="0" fillId="0" fontId="2" numFmtId="2" xfId="0" applyAlignment="1" applyFont="1" applyNumberFormat="1">
      <alignment readingOrder="0" shrinkToFit="0" wrapText="0"/>
    </xf>
    <xf borderId="0" fillId="0" fontId="14" numFmtId="0" xfId="0" applyAlignment="1" applyFont="1">
      <alignment horizontal="left" shrinkToFit="0" wrapText="1"/>
    </xf>
    <xf borderId="0" fillId="0" fontId="0" numFmtId="0" xfId="0" applyAlignment="1" applyFont="1">
      <alignment readingOrder="0" shrinkToFit="0" wrapText="0"/>
    </xf>
    <xf borderId="1" fillId="3" fontId="1" numFmtId="0" xfId="0" applyAlignment="1" applyBorder="1" applyFont="1">
      <alignment horizontal="left" shrinkToFit="0" wrapText="1"/>
    </xf>
    <xf borderId="1" fillId="3" fontId="15" numFmtId="0" xfId="0" applyAlignment="1" applyBorder="1" applyFont="1">
      <alignment horizontal="left" readingOrder="0" shrinkToFit="0" wrapText="1"/>
    </xf>
    <xf borderId="0" fillId="0" fontId="1" numFmtId="165" xfId="0" applyAlignment="1" applyFont="1" applyNumberFormat="1">
      <alignment horizontal="left" shrinkToFit="0" wrapText="1"/>
    </xf>
    <xf borderId="1" fillId="4" fontId="1" numFmtId="0" xfId="0" applyAlignment="1" applyBorder="1" applyFont="1">
      <alignment horizontal="left" shrinkToFit="0" wrapText="1"/>
    </xf>
    <xf borderId="1" fillId="4" fontId="15" numFmtId="0" xfId="0" applyAlignment="1" applyBorder="1" applyFont="1">
      <alignment horizontal="left" readingOrder="0" shrinkToFit="0" wrapText="1"/>
    </xf>
    <xf borderId="1" fillId="6" fontId="15" numFmtId="0" xfId="0" applyAlignment="1" applyBorder="1" applyFill="1" applyFont="1">
      <alignment horizontal="left" readingOrder="0" shrinkToFit="0" wrapText="1"/>
    </xf>
    <xf borderId="1" fillId="6" fontId="1" numFmtId="0" xfId="0" applyAlignment="1" applyBorder="1" applyFont="1">
      <alignment horizontal="left" shrinkToFit="0" wrapText="1"/>
    </xf>
    <xf borderId="1" fillId="7" fontId="15" numFmtId="0" xfId="0" applyAlignment="1" applyBorder="1" applyFill="1" applyFont="1">
      <alignment horizontal="left" readingOrder="0" shrinkToFit="0" wrapText="0"/>
    </xf>
    <xf borderId="1" fillId="7" fontId="16" numFmtId="0" xfId="0" applyAlignment="1" applyBorder="1" applyFont="1">
      <alignment horizontal="left" shrinkToFit="0" wrapText="1"/>
    </xf>
    <xf borderId="0" fillId="0" fontId="17" numFmtId="0" xfId="0" applyAlignment="1" applyFont="1">
      <alignment horizontal="left" readingOrder="0" shrinkToFit="0" wrapText="0"/>
    </xf>
    <xf borderId="0" fillId="8" fontId="1" numFmtId="0" xfId="0" applyAlignment="1" applyFill="1" applyFont="1">
      <alignment horizontal="left" shrinkToFit="0" vertical="bottom" wrapText="1"/>
    </xf>
    <xf borderId="0" fillId="0" fontId="1" numFmtId="0" xfId="0" applyAlignment="1" applyFont="1">
      <alignment horizontal="left" readingOrder="0" shrinkToFit="0" vertical="bottom" wrapText="1"/>
    </xf>
    <xf borderId="0" fillId="0" fontId="18" numFmtId="0" xfId="0" applyAlignment="1" applyFont="1">
      <alignment horizontal="left" readingOrder="0" shrinkToFit="0" wrapText="0"/>
    </xf>
    <xf borderId="0" fillId="0" fontId="1" numFmtId="0" xfId="0" applyAlignment="1" applyFont="1">
      <alignment horizontal="left" shrinkToFit="0" vertical="bottom" wrapText="1"/>
    </xf>
    <xf borderId="0" fillId="0" fontId="13" numFmtId="0" xfId="0" applyAlignment="1" applyFont="1">
      <alignment horizontal="left"/>
    </xf>
    <xf borderId="0" fillId="0" fontId="1" numFmtId="0" xfId="0" applyAlignment="1" applyFont="1">
      <alignment shrinkToFit="0" wrapText="0"/>
    </xf>
    <xf borderId="0" fillId="0" fontId="1" numFmtId="0" xfId="0" applyAlignment="1" applyFont="1">
      <alignment readingOrder="0" shrinkToFit="0" wrapText="0"/>
    </xf>
    <xf borderId="0" fillId="9" fontId="19" numFmtId="0" xfId="0" applyAlignment="1" applyFill="1" applyFont="1">
      <alignment readingOrder="0" shrinkToFit="0" wrapText="0"/>
    </xf>
    <xf borderId="0" fillId="0" fontId="20" numFmtId="0" xfId="0" applyAlignment="1" applyFont="1">
      <alignment horizontal="left" shrinkToFit="0" vertical="center" wrapText="0"/>
    </xf>
    <xf borderId="0" fillId="3" fontId="1" numFmtId="0" xfId="0" applyAlignment="1" applyFont="1">
      <alignment shrinkToFit="0" wrapText="0"/>
    </xf>
    <xf borderId="0" fillId="0" fontId="1" numFmtId="0" xfId="0" applyAlignment="1" applyFont="1">
      <alignment shrinkToFit="0" vertical="center" wrapText="0"/>
    </xf>
    <xf borderId="0" fillId="4" fontId="1" numFmtId="0" xfId="0" applyAlignment="1" applyFont="1">
      <alignment readingOrder="0" shrinkToFit="0" wrapText="0"/>
    </xf>
    <xf borderId="0" fillId="0" fontId="1" numFmtId="0" xfId="0" applyAlignment="1" applyFont="1">
      <alignment horizontal="left" shrinkToFit="0" vertical="center" wrapText="0"/>
    </xf>
    <xf borderId="0" fillId="0" fontId="1" numFmtId="164" xfId="0" applyAlignment="1" applyFont="1" applyNumberFormat="1">
      <alignment shrinkToFit="0" wrapText="0"/>
    </xf>
    <xf borderId="0" fillId="0" fontId="1" numFmtId="0" xfId="0" applyAlignment="1" applyFont="1">
      <alignment horizontal="right" shrinkToFit="0" wrapText="0"/>
    </xf>
    <xf borderId="0" fillId="0" fontId="1" numFmtId="165" xfId="0" applyAlignment="1" applyFont="1" applyNumberFormat="1">
      <alignment shrinkToFit="0" wrapText="0"/>
    </xf>
    <xf borderId="0" fillId="0" fontId="1" numFmtId="15" xfId="0" applyAlignment="1" applyFont="1" applyNumberFormat="1">
      <alignment shrinkToFit="0" wrapText="0"/>
    </xf>
    <xf borderId="1" fillId="3" fontId="1" numFmtId="0" xfId="0" applyAlignment="1" applyBorder="1" applyFont="1">
      <alignment shrinkToFit="0" wrapText="0"/>
    </xf>
    <xf borderId="0" fillId="4" fontId="1" numFmtId="0" xfId="0" applyAlignment="1" applyFont="1">
      <alignment shrinkToFit="0" wrapText="0"/>
    </xf>
    <xf borderId="0" fillId="6" fontId="1" numFmtId="0" xfId="0" applyAlignment="1" applyFont="1">
      <alignment shrinkToFit="0" wrapText="0"/>
    </xf>
    <xf borderId="1" fillId="4" fontId="1" numFmtId="0" xfId="0" applyAlignment="1" applyBorder="1" applyFont="1">
      <alignment shrinkToFit="0" wrapText="0"/>
    </xf>
    <xf borderId="1" fillId="6" fontId="1" numFmtId="0" xfId="0" applyAlignment="1" applyBorder="1" applyFont="1">
      <alignment shrinkToFit="0" wrapText="0"/>
    </xf>
    <xf borderId="0" fillId="7" fontId="1" numFmtId="0" xfId="0" applyAlignment="1" applyFont="1">
      <alignment shrinkToFit="0" wrapText="0"/>
    </xf>
    <xf borderId="1" fillId="7" fontId="1" numFmtId="0" xfId="0" applyAlignment="1" applyBorder="1" applyFont="1">
      <alignment shrinkToFit="0" wrapText="0"/>
    </xf>
    <xf borderId="0" fillId="8" fontId="1" numFmtId="0" xfId="0" applyAlignment="1" applyFont="1">
      <alignment shrinkToFit="0" wrapText="0"/>
    </xf>
    <xf borderId="0" fillId="0" fontId="1" numFmtId="0" xfId="0" applyAlignment="1" applyFont="1">
      <alignment horizontal="left" readingOrder="0" shrinkToFit="0" vertical="center" wrapText="0"/>
    </xf>
    <xf borderId="0" fillId="0" fontId="21" numFmtId="0" xfId="0" applyAlignment="1" applyFont="1">
      <alignment shrinkToFit="0" vertical="center" wrapText="0"/>
    </xf>
    <xf borderId="0" fillId="0" fontId="1" numFmtId="21" xfId="0" applyAlignment="1" applyFont="1" applyNumberFormat="1">
      <alignment shrinkToFit="0" wrapText="0"/>
    </xf>
    <xf borderId="0" fillId="0" fontId="22" numFmtId="0" xfId="0" applyAlignment="1" applyFont="1">
      <alignment horizontal="left" shrinkToFit="0" wrapText="0"/>
    </xf>
    <xf borderId="0" fillId="0" fontId="1" numFmtId="0" xfId="0" applyAlignment="1" applyFont="1">
      <alignment readingOrder="0" shrinkToFit="0" vertical="center" wrapText="0"/>
    </xf>
    <xf borderId="0" fillId="3" fontId="1" numFmtId="0" xfId="0" applyAlignment="1" applyFont="1">
      <alignment readingOrder="0" shrinkToFit="0" wrapText="0"/>
    </xf>
    <xf borderId="0" fillId="0" fontId="1" numFmtId="166" xfId="0" applyAlignment="1" applyFont="1" applyNumberFormat="1">
      <alignment readingOrder="0" shrinkToFit="0" wrapText="0"/>
    </xf>
    <xf borderId="0" fillId="0" fontId="23" numFmtId="0" xfId="0" applyFont="1"/>
    <xf borderId="0" fillId="0" fontId="1" numFmtId="167" xfId="0" applyAlignment="1" applyFont="1" applyNumberFormat="1">
      <alignment readingOrder="0" shrinkToFit="0" wrapText="0"/>
    </xf>
    <xf borderId="1" fillId="3" fontId="1" numFmtId="0" xfId="0" applyAlignment="1" applyBorder="1" applyFont="1">
      <alignment readingOrder="0" shrinkToFit="0" wrapText="0"/>
    </xf>
    <xf borderId="1" fillId="4" fontId="1" numFmtId="0" xfId="0" applyAlignment="1" applyBorder="1" applyFont="1">
      <alignment readingOrder="0" shrinkToFit="0" wrapText="0"/>
    </xf>
    <xf borderId="0" fillId="8" fontId="1" numFmtId="0" xfId="0" applyAlignment="1" applyFont="1">
      <alignment readingOrder="0" shrinkToFit="0" wrapText="0"/>
    </xf>
    <xf borderId="0" fillId="8" fontId="21" numFmtId="0" xfId="0" applyAlignment="1" applyFont="1">
      <alignment shrinkToFit="0" vertical="center" wrapText="0"/>
    </xf>
    <xf borderId="0" fillId="0" fontId="1" numFmtId="0" xfId="0" applyAlignment="1" applyFont="1">
      <alignment horizontal="left" readingOrder="0" shrinkToFit="0" wrapText="0"/>
    </xf>
    <xf borderId="0" fillId="0" fontId="1" numFmtId="166" xfId="0" applyAlignment="1" applyFont="1" applyNumberFormat="1">
      <alignment shrinkToFit="0" wrapText="0"/>
    </xf>
    <xf borderId="0" fillId="0" fontId="1" numFmtId="0" xfId="0" applyAlignment="1" applyFont="1">
      <alignment horizontal="right" vertical="bottom"/>
    </xf>
    <xf borderId="0" fillId="0" fontId="23" numFmtId="0" xfId="0" applyAlignment="1" applyFont="1">
      <alignment vertical="bottom"/>
    </xf>
    <xf borderId="0" fillId="0" fontId="24" numFmtId="0" xfId="0" applyFont="1"/>
    <xf borderId="0" fillId="0" fontId="23" numFmtId="0" xfId="0" applyAlignment="1" applyFont="1">
      <alignment readingOrder="0"/>
    </xf>
    <xf borderId="0" fillId="8" fontId="23" numFmtId="0" xfId="0" applyFont="1"/>
    <xf borderId="0" fillId="0" fontId="25" numFmtId="0" xfId="0" applyAlignment="1" applyFont="1">
      <alignment shrinkToFit="0" vertical="center" wrapText="0"/>
    </xf>
    <xf borderId="0" fillId="0" fontId="1" numFmtId="0" xfId="0" applyAlignment="1" applyFont="1">
      <alignment shrinkToFit="0" wrapText="0"/>
    </xf>
    <xf borderId="0" fillId="0" fontId="1" numFmtId="166" xfId="0" applyAlignment="1" applyFont="1" applyNumberFormat="1">
      <alignment shrinkToFit="0" wrapText="0"/>
    </xf>
    <xf borderId="0" fillId="7" fontId="1" numFmtId="0" xfId="0" applyAlignment="1" applyFont="1">
      <alignment readingOrder="0" shrinkToFit="0" wrapText="0"/>
    </xf>
    <xf borderId="0" fillId="0" fontId="1" numFmtId="166" xfId="0" applyAlignment="1" applyFont="1" applyNumberFormat="1">
      <alignment readingOrder="0" shrinkToFit="0" wrapText="0"/>
    </xf>
    <xf borderId="0" fillId="10" fontId="1" numFmtId="166" xfId="0" applyAlignment="1" applyFill="1" applyFont="1" applyNumberFormat="1">
      <alignment readingOrder="0" shrinkToFit="0" wrapText="0"/>
    </xf>
    <xf borderId="0" fillId="0" fontId="1" numFmtId="164" xfId="0" applyAlignment="1" applyFont="1" applyNumberFormat="1">
      <alignment readingOrder="0" shrinkToFit="0" wrapText="0"/>
    </xf>
    <xf borderId="1" fillId="7" fontId="1" numFmtId="0" xfId="0" applyAlignment="1" applyBorder="1" applyFont="1">
      <alignment readingOrder="0" shrinkToFit="0" wrapText="0"/>
    </xf>
    <xf borderId="0" fillId="0" fontId="21" numFmtId="0" xfId="0" applyAlignment="1" applyFont="1">
      <alignment readingOrder="0" shrinkToFit="0" vertical="center" wrapText="0"/>
    </xf>
    <xf borderId="0" fillId="3" fontId="1" numFmtId="15" xfId="0" applyAlignment="1" applyFont="1" applyNumberFormat="1">
      <alignment shrinkToFit="0" wrapText="0"/>
    </xf>
    <xf borderId="0" fillId="10" fontId="1" numFmtId="166" xfId="0" applyAlignment="1" applyFont="1" applyNumberFormat="1">
      <alignment readingOrder="0" shrinkToFit="0" wrapText="0"/>
    </xf>
    <xf borderId="0" fillId="0" fontId="1" numFmtId="168" xfId="0" applyAlignment="1" applyFont="1" applyNumberFormat="1">
      <alignment readingOrder="0" shrinkToFit="0" wrapText="0"/>
    </xf>
    <xf borderId="0" fillId="0" fontId="1" numFmtId="21" xfId="0" applyAlignment="1" applyFont="1" applyNumberFormat="1">
      <alignment readingOrder="0" shrinkToFit="0" wrapText="0"/>
    </xf>
    <xf borderId="0" fillId="10" fontId="1" numFmtId="0" xfId="0" applyAlignment="1" applyFont="1">
      <alignment shrinkToFit="0" wrapText="0"/>
    </xf>
    <xf borderId="0" fillId="10" fontId="1" numFmtId="0" xfId="0" applyAlignment="1" applyFont="1">
      <alignment readingOrder="0" shrinkToFit="0" wrapText="0"/>
    </xf>
    <xf borderId="0" fillId="10" fontId="26" numFmtId="0" xfId="0" applyAlignment="1" applyFont="1">
      <alignment horizontal="left" shrinkToFit="0" vertical="center" wrapText="0"/>
    </xf>
    <xf borderId="0" fillId="10" fontId="1" numFmtId="0" xfId="0" applyAlignment="1" applyFont="1">
      <alignment shrinkToFit="0" vertical="center" wrapText="0"/>
    </xf>
    <xf borderId="0" fillId="10" fontId="1" numFmtId="0" xfId="0" applyAlignment="1" applyFont="1">
      <alignment horizontal="left" shrinkToFit="0" vertical="center" wrapText="0"/>
    </xf>
    <xf borderId="0" fillId="10" fontId="1" numFmtId="164" xfId="0" applyAlignment="1" applyFont="1" applyNumberFormat="1">
      <alignment shrinkToFit="0" wrapText="0"/>
    </xf>
    <xf borderId="0" fillId="10" fontId="1" numFmtId="0" xfId="0" applyAlignment="1" applyFont="1">
      <alignment horizontal="right" shrinkToFit="0" wrapText="0"/>
    </xf>
    <xf borderId="1" fillId="3" fontId="1" numFmtId="15" xfId="0" applyAlignment="1" applyBorder="1" applyFont="1" applyNumberFormat="1">
      <alignment shrinkToFit="0" wrapText="0"/>
    </xf>
    <xf borderId="0" fillId="10" fontId="1" numFmtId="21" xfId="0" applyAlignment="1" applyFont="1" applyNumberFormat="1">
      <alignment shrinkToFit="0" wrapText="0"/>
    </xf>
    <xf borderId="0" fillId="0" fontId="1" numFmtId="2" xfId="0" applyAlignment="1" applyFont="1" applyNumberFormat="1">
      <alignment shrinkToFit="0" wrapText="0"/>
    </xf>
    <xf borderId="0" fillId="10" fontId="1" numFmtId="166" xfId="0" applyAlignment="1" applyFont="1" applyNumberFormat="1">
      <alignment shrinkToFit="0" wrapText="0"/>
    </xf>
    <xf borderId="0" fillId="10" fontId="1" numFmtId="0" xfId="0" applyAlignment="1" applyFont="1">
      <alignment horizontal="left" shrinkToFit="0" wrapText="0"/>
    </xf>
    <xf borderId="0" fillId="10" fontId="13" numFmtId="0" xfId="0" applyFont="1"/>
    <xf borderId="0" fillId="0" fontId="27" numFmtId="0" xfId="0" applyAlignment="1" applyFont="1">
      <alignment shrinkToFit="0" wrapText="0"/>
    </xf>
    <xf borderId="0" fillId="0" fontId="1" numFmtId="21" xfId="0" applyAlignment="1" applyFont="1" applyNumberFormat="1">
      <alignment readingOrder="0" shrinkToFit="0" wrapText="0"/>
    </xf>
    <xf borderId="0" fillId="0" fontId="0" numFmtId="0" xfId="0" applyAlignment="1" applyFont="1">
      <alignment shrinkToFit="0" wrapText="0"/>
    </xf>
    <xf borderId="0" fillId="0" fontId="1" numFmtId="2" xfId="0" applyAlignment="1" applyFont="1" applyNumberFormat="1">
      <alignment readingOrder="0" shrinkToFit="0" wrapText="0"/>
    </xf>
    <xf borderId="0" fillId="11" fontId="1" numFmtId="0" xfId="0" applyAlignment="1" applyFill="1" applyFont="1">
      <alignment readingOrder="0" shrinkToFit="0" vertical="center" wrapText="0"/>
    </xf>
    <xf borderId="0" fillId="0" fontId="28" numFmtId="0" xfId="0" applyAlignment="1" applyFont="1">
      <alignment horizontal="left" readingOrder="0" shrinkToFit="0" vertical="center" wrapText="0"/>
    </xf>
    <xf borderId="0" fillId="0" fontId="29" numFmtId="164" xfId="0" applyAlignment="1" applyFont="1" applyNumberFormat="1">
      <alignment horizontal="right" readingOrder="0" shrinkToFit="0" vertical="bottom" wrapText="0"/>
    </xf>
    <xf borderId="0" fillId="0" fontId="29" numFmtId="164" xfId="0" applyAlignment="1" applyFont="1" applyNumberFormat="1">
      <alignment readingOrder="0" shrinkToFit="0" vertical="bottom" wrapText="0"/>
    </xf>
    <xf borderId="0" fillId="0" fontId="30" numFmtId="0" xfId="0" applyAlignment="1" applyFont="1">
      <alignment readingOrder="0" shrinkToFit="0" wrapText="0"/>
    </xf>
    <xf borderId="0" fillId="0" fontId="30" numFmtId="0" xfId="0" applyAlignment="1" applyFont="1">
      <alignment shrinkToFit="0" wrapText="0"/>
    </xf>
    <xf borderId="0" fillId="0" fontId="30" numFmtId="168" xfId="0" applyAlignment="1" applyFont="1" applyNumberFormat="1">
      <alignment readingOrder="0" shrinkToFit="0" wrapText="0"/>
    </xf>
    <xf borderId="1" fillId="3" fontId="30" numFmtId="0" xfId="0" applyAlignment="1" applyBorder="1" applyFont="1">
      <alignment shrinkToFit="0" wrapText="0"/>
    </xf>
    <xf borderId="1" fillId="4" fontId="30" numFmtId="0" xfId="0" applyAlignment="1" applyBorder="1" applyFont="1">
      <alignment shrinkToFit="0" wrapText="0"/>
    </xf>
    <xf borderId="1" fillId="6" fontId="30" numFmtId="0" xfId="0" applyAlignment="1" applyBorder="1" applyFont="1">
      <alignment shrinkToFit="0" wrapText="0"/>
    </xf>
    <xf borderId="1" fillId="7" fontId="30" numFmtId="0" xfId="0" applyAlignment="1" applyBorder="1" applyFont="1">
      <alignment shrinkToFit="0" wrapText="0"/>
    </xf>
    <xf borderId="0" fillId="8" fontId="30" numFmtId="0" xfId="0" applyAlignment="1" applyFont="1">
      <alignment shrinkToFit="0" wrapText="0"/>
    </xf>
    <xf borderId="0" fillId="0" fontId="30" numFmtId="2" xfId="0" applyAlignment="1" applyFont="1" applyNumberFormat="1">
      <alignment readingOrder="0" shrinkToFit="0" wrapText="0"/>
    </xf>
    <xf borderId="0" fillId="0" fontId="1" numFmtId="169" xfId="0" applyAlignment="1" applyFont="1" applyNumberFormat="1">
      <alignment readingOrder="0" shrinkToFit="0" wrapText="0"/>
    </xf>
    <xf borderId="0" fillId="8" fontId="30" numFmtId="0" xfId="0" applyAlignment="1" applyFont="1">
      <alignment readingOrder="0" shrinkToFit="0" wrapText="0"/>
    </xf>
    <xf borderId="0" fillId="10" fontId="31" numFmtId="0" xfId="0" applyAlignment="1" applyFont="1">
      <alignment readingOrder="0"/>
    </xf>
    <xf borderId="0" fillId="0" fontId="1" numFmtId="21" xfId="0" applyAlignment="1" applyFont="1" applyNumberFormat="1">
      <alignment shrinkToFit="0" wrapText="0"/>
    </xf>
    <xf borderId="0" fillId="0" fontId="1" numFmtId="165" xfId="0" applyAlignment="1" applyFont="1" applyNumberFormat="1">
      <alignment readingOrder="0" shrinkToFit="0" wrapText="0"/>
    </xf>
    <xf borderId="0" fillId="0" fontId="1" numFmtId="165" xfId="0" applyAlignment="1" applyFont="1" applyNumberFormat="1">
      <alignment horizontal="right" vertical="bottom"/>
    </xf>
    <xf borderId="0" fillId="0" fontId="1" numFmtId="164" xfId="0" applyAlignment="1" applyFont="1" applyNumberFormat="1">
      <alignment horizontal="right" vertical="bottom"/>
    </xf>
    <xf borderId="0" fillId="0" fontId="0" numFmtId="164" xfId="0" applyAlignment="1" applyFont="1" applyNumberFormat="1">
      <alignment shrinkToFit="0" wrapText="0"/>
    </xf>
    <xf borderId="0" fillId="0" fontId="1" numFmtId="0" xfId="0" applyAlignment="1" applyFont="1">
      <alignment horizontal="right" shrinkToFit="0" vertical="center" wrapText="0"/>
    </xf>
    <xf borderId="0" fillId="0" fontId="1" numFmtId="170" xfId="0" applyAlignment="1" applyFont="1" applyNumberFormat="1">
      <alignment readingOrder="0" shrinkToFit="0" wrapText="0"/>
    </xf>
    <xf borderId="0" fillId="8" fontId="13" numFmtId="0" xfId="0" applyFont="1"/>
    <xf borderId="0" fillId="0" fontId="30" numFmtId="0" xfId="0" applyAlignment="1" applyFont="1">
      <alignment horizontal="left" shrinkToFit="0" wrapText="0"/>
    </xf>
    <xf borderId="0" fillId="0" fontId="1" numFmtId="171" xfId="0" applyAlignment="1" applyFont="1" applyNumberFormat="1">
      <alignment readingOrder="0" shrinkToFit="0" wrapText="0"/>
    </xf>
    <xf borderId="0" fillId="0" fontId="0" numFmtId="0" xfId="0" applyAlignment="1" applyFont="1">
      <alignment readingOrder="0" shrinkToFit="0" wrapText="0"/>
    </xf>
    <xf borderId="0" fillId="0" fontId="12" numFmtId="0" xfId="0" applyAlignment="1" applyFont="1">
      <alignment readingOrder="0"/>
    </xf>
    <xf borderId="0" fillId="0" fontId="12" numFmtId="0" xfId="0" applyFont="1"/>
    <xf borderId="0" fillId="0" fontId="12" numFmtId="21" xfId="0" applyAlignment="1" applyFont="1" applyNumberFormat="1">
      <alignment readingOrder="0"/>
    </xf>
    <xf borderId="0" fillId="0" fontId="12" numFmtId="166" xfId="0" applyAlignment="1" applyFont="1" applyNumberFormat="1">
      <alignment readingOrder="0"/>
    </xf>
    <xf borderId="0" fillId="3" fontId="32" numFmtId="0" xfId="0" applyAlignment="1" applyFont="1">
      <alignment readingOrder="0"/>
    </xf>
    <xf borderId="0" fillId="0" fontId="9" numFmtId="0" xfId="0" applyAlignment="1" applyFont="1">
      <alignment readingOrder="0"/>
    </xf>
    <xf borderId="0" fillId="0" fontId="9" numFmtId="0" xfId="0" applyFont="1"/>
    <xf borderId="0" fillId="0" fontId="9" numFmtId="21" xfId="0" applyAlignment="1" applyFont="1" applyNumberFormat="1">
      <alignment readingOrder="0"/>
    </xf>
    <xf borderId="0" fillId="0" fontId="30" numFmtId="21" xfId="0" applyAlignment="1" applyFont="1" applyNumberFormat="1">
      <alignment shrinkToFit="0" wrapText="0"/>
    </xf>
    <xf borderId="0" fillId="0" fontId="9" numFmtId="166" xfId="0" applyAlignment="1" applyFont="1" applyNumberFormat="1">
      <alignment readingOrder="0"/>
    </xf>
    <xf borderId="0" fillId="0" fontId="30" numFmtId="164" xfId="0" applyAlignment="1" applyFont="1" applyNumberFormat="1">
      <alignment shrinkToFit="0" wrapText="0"/>
    </xf>
    <xf borderId="0" fillId="0" fontId="30" numFmtId="0" xfId="0" applyAlignment="1" applyFont="1">
      <alignment horizontal="right" shrinkToFit="0" wrapText="0"/>
    </xf>
    <xf borderId="0" fillId="0" fontId="30" numFmtId="21" xfId="0" applyAlignment="1" applyFont="1" applyNumberFormat="1">
      <alignment readingOrder="0" shrinkToFit="0" wrapText="0"/>
    </xf>
    <xf borderId="0" fillId="0" fontId="30" numFmtId="0" xfId="0" applyAlignment="1" applyFont="1">
      <alignment readingOrder="0" shrinkToFit="0" vertical="center" wrapText="0"/>
    </xf>
    <xf borderId="0" fillId="0" fontId="30" numFmtId="0" xfId="0" applyAlignment="1" applyFont="1">
      <alignment horizontal="left" readingOrder="0" shrinkToFit="0" vertical="center" wrapText="0"/>
    </xf>
    <xf borderId="0" fillId="4" fontId="30" numFmtId="0" xfId="0" applyAlignment="1" applyFont="1">
      <alignment shrinkToFit="0" wrapText="0"/>
    </xf>
    <xf borderId="0" fillId="6" fontId="30" numFmtId="0" xfId="0" applyAlignment="1" applyFont="1">
      <alignment shrinkToFit="0" wrapText="0"/>
    </xf>
    <xf borderId="0" fillId="0" fontId="30" numFmtId="172" xfId="0" applyAlignment="1" applyFont="1" applyNumberFormat="1">
      <alignment readingOrder="0" shrinkToFit="0" wrapText="0"/>
    </xf>
    <xf borderId="0" fillId="0" fontId="9" numFmtId="172" xfId="0" applyAlignment="1" applyFont="1" applyNumberFormat="1">
      <alignment readingOrder="0"/>
    </xf>
    <xf borderId="0" fillId="0" fontId="9" numFmtId="2" xfId="0" applyAlignment="1" applyFont="1" applyNumberFormat="1">
      <alignment readingOrder="0"/>
    </xf>
    <xf borderId="0" fillId="0" fontId="30" numFmtId="0" xfId="0" applyAlignment="1" applyFont="1">
      <alignment shrinkToFit="0" vertical="center" wrapText="0"/>
    </xf>
    <xf borderId="0" fillId="0" fontId="30" numFmtId="0" xfId="0" applyAlignment="1" applyFont="1">
      <alignment horizontal="left" shrinkToFit="0" vertical="center" wrapText="0"/>
    </xf>
    <xf borderId="0" fillId="3" fontId="30" numFmtId="0" xfId="0" applyAlignment="1" applyFont="1">
      <alignment readingOrder="0" shrinkToFit="0" wrapText="0"/>
    </xf>
    <xf borderId="0" fillId="10" fontId="30" numFmtId="0" xfId="0" applyAlignment="1" applyFont="1">
      <alignment readingOrder="0" shrinkToFit="0" wrapText="0"/>
    </xf>
    <xf borderId="0" fillId="12" fontId="30" numFmtId="0" xfId="0" applyAlignment="1" applyFill="1" applyFont="1">
      <alignment readingOrder="0" shrinkToFit="0" wrapText="0"/>
    </xf>
    <xf borderId="0" fillId="10" fontId="30" numFmtId="0" xfId="0" applyAlignment="1" applyFont="1">
      <alignment readingOrder="0" shrinkToFit="0" wrapText="0"/>
    </xf>
    <xf borderId="0" fillId="12" fontId="30" numFmtId="0" xfId="0" applyAlignment="1" applyFont="1">
      <alignment readingOrder="0" shrinkToFit="0" wrapText="0"/>
    </xf>
    <xf borderId="0" fillId="0" fontId="33" numFmtId="0" xfId="0" applyAlignment="1" applyFont="1">
      <alignment horizontal="left" shrinkToFit="0" vertical="center" wrapText="0"/>
    </xf>
    <xf borderId="0" fillId="10" fontId="30" numFmtId="0" xfId="0" applyAlignment="1" applyFont="1">
      <alignment readingOrder="0" shrinkToFit="0" vertical="center" wrapText="0"/>
    </xf>
    <xf borderId="0" fillId="12" fontId="30" numFmtId="0" xfId="0" applyAlignment="1" applyFont="1">
      <alignment horizontal="left" readingOrder="0" shrinkToFit="0" vertical="center" wrapText="0"/>
    </xf>
    <xf borderId="0" fillId="3" fontId="30" numFmtId="0" xfId="0" applyAlignment="1" applyFont="1">
      <alignment shrinkToFit="0" wrapText="0"/>
    </xf>
    <xf borderId="0" fillId="7" fontId="30" numFmtId="0" xfId="0" applyAlignment="1" applyFont="1">
      <alignment shrinkToFit="0" wrapText="0"/>
    </xf>
    <xf borderId="0" fillId="3" fontId="1" numFmtId="166" xfId="0" applyAlignment="1" applyFont="1" applyNumberFormat="1">
      <alignment readingOrder="0" shrinkToFit="0" wrapText="0"/>
    </xf>
    <xf borderId="0" fillId="4" fontId="1" numFmtId="166" xfId="0" applyAlignment="1" applyFont="1" applyNumberFormat="1">
      <alignment shrinkToFit="0" wrapText="0"/>
    </xf>
    <xf borderId="0" fillId="13" fontId="15" numFmtId="0" xfId="0" applyAlignment="1" applyFill="1" applyFont="1">
      <alignment horizontal="left" shrinkToFit="0" wrapText="1"/>
    </xf>
    <xf borderId="0" fillId="13" fontId="34" numFmtId="0" xfId="0" applyAlignment="1" applyFont="1">
      <alignment horizontal="center" shrinkToFit="0" vertical="bottom" wrapText="1"/>
    </xf>
    <xf borderId="0" fillId="13" fontId="35" numFmtId="0" xfId="0" applyAlignment="1" applyFont="1">
      <alignment horizontal="left" shrinkToFit="0" vertical="bottom" wrapText="1"/>
    </xf>
    <xf borderId="0" fillId="13" fontId="36" numFmtId="0" xfId="0" applyAlignment="1" applyFont="1">
      <alignment horizontal="left" shrinkToFit="0" wrapText="0"/>
    </xf>
    <xf borderId="0" fillId="13" fontId="15" numFmtId="0" xfId="0" applyAlignment="1" applyFont="1">
      <alignment horizontal="left" shrinkToFit="0" wrapText="0"/>
    </xf>
    <xf borderId="0" fillId="13" fontId="15" numFmtId="0" xfId="0" applyAlignment="1" applyFont="1">
      <alignment horizontal="left" readingOrder="0" shrinkToFit="0" wrapText="1"/>
    </xf>
    <xf borderId="0" fillId="13" fontId="37" numFmtId="0" xfId="0" applyAlignment="1" applyFont="1">
      <alignment horizontal="left" shrinkToFit="0" wrapText="1"/>
    </xf>
    <xf borderId="0" fillId="13" fontId="36" numFmtId="0" xfId="0" applyAlignment="1" applyFont="1">
      <alignment horizontal="left" readingOrder="0"/>
    </xf>
    <xf borderId="1" fillId="13" fontId="15" numFmtId="164" xfId="0" applyAlignment="1" applyBorder="1" applyFont="1" applyNumberFormat="1">
      <alignment horizontal="left" shrinkToFit="0" wrapText="1"/>
    </xf>
    <xf borderId="1" fillId="13" fontId="15" numFmtId="0" xfId="0" applyAlignment="1" applyBorder="1" applyFont="1">
      <alignment horizontal="left" shrinkToFit="0" wrapText="1"/>
    </xf>
    <xf borderId="1" fillId="13" fontId="38" numFmtId="0" xfId="0" applyAlignment="1" applyBorder="1" applyFont="1">
      <alignment horizontal="left" shrinkToFit="0" wrapText="1"/>
    </xf>
    <xf borderId="0" fillId="13" fontId="15" numFmtId="0" xfId="0" applyAlignment="1" applyFont="1">
      <alignment horizontal="left" shrinkToFit="0" vertical="bottom" wrapText="1"/>
    </xf>
    <xf borderId="0" fillId="13" fontId="15" numFmtId="0" xfId="0" applyAlignment="1" applyFont="1">
      <alignment horizontal="left" readingOrder="0" shrinkToFit="0" vertical="bottom" wrapText="1"/>
    </xf>
    <xf borderId="0" fillId="13" fontId="36" numFmtId="0" xfId="0" applyAlignment="1" applyFont="1">
      <alignment horizontal="left"/>
    </xf>
    <xf borderId="0" fillId="0" fontId="36" numFmtId="0" xfId="0" applyAlignment="1" applyFont="1">
      <alignment horizontal="left"/>
    </xf>
    <xf borderId="0" fillId="0" fontId="15" numFmtId="0" xfId="0" applyAlignment="1" applyFont="1">
      <alignment shrinkToFit="0" wrapText="0"/>
    </xf>
    <xf borderId="0" fillId="0" fontId="15" numFmtId="0" xfId="0" applyAlignment="1" applyFont="1">
      <alignment horizontal="left" shrinkToFit="0" wrapText="0"/>
    </xf>
    <xf borderId="1" fillId="3" fontId="15" numFmtId="0" xfId="0" applyAlignment="1" applyBorder="1" applyFont="1">
      <alignment shrinkToFit="0" wrapText="0"/>
    </xf>
    <xf borderId="1" fillId="4" fontId="15" numFmtId="0" xfId="0" applyAlignment="1" applyBorder="1" applyFont="1">
      <alignment shrinkToFit="0" wrapText="0"/>
    </xf>
    <xf borderId="1" fillId="6" fontId="15" numFmtId="0" xfId="0" applyAlignment="1" applyBorder="1" applyFont="1">
      <alignment shrinkToFit="0" wrapText="0"/>
    </xf>
    <xf borderId="1" fillId="7" fontId="15" numFmtId="0" xfId="0" applyAlignment="1" applyBorder="1" applyFont="1">
      <alignment shrinkToFit="0" wrapText="0"/>
    </xf>
    <xf borderId="0" fillId="8" fontId="15" numFmtId="0" xfId="0" applyAlignment="1" applyFont="1">
      <alignment shrinkToFit="0" wrapText="0"/>
    </xf>
    <xf borderId="0" fillId="0" fontId="36" numFmtId="0" xfId="0" applyFont="1"/>
    <xf borderId="0" fillId="0" fontId="15" numFmtId="0" xfId="0" applyAlignment="1" applyFont="1">
      <alignment readingOrder="0" shrinkToFit="0" wrapText="0"/>
    </xf>
    <xf borderId="0" fillId="0" fontId="39" numFmtId="0" xfId="0" applyAlignment="1" applyFont="1">
      <alignment horizontal="left" shrinkToFit="0" vertical="center" wrapText="0"/>
    </xf>
    <xf borderId="0" fillId="0" fontId="40" numFmtId="0" xfId="0" applyFont="1"/>
    <xf borderId="0" fillId="0" fontId="15" numFmtId="0" xfId="0" applyAlignment="1" applyFont="1">
      <alignment readingOrder="0" shrinkToFit="0" vertical="center" wrapText="0"/>
    </xf>
    <xf borderId="0" fillId="0" fontId="15" numFmtId="0" xfId="0" applyAlignment="1" applyFont="1">
      <alignment horizontal="left" shrinkToFit="0" vertical="center" wrapText="0"/>
    </xf>
    <xf borderId="0" fillId="0" fontId="15" numFmtId="164" xfId="0" applyAlignment="1" applyFont="1" applyNumberFormat="1">
      <alignment shrinkToFit="0" wrapText="0"/>
    </xf>
    <xf borderId="0" fillId="0" fontId="15" numFmtId="0" xfId="0" applyAlignment="1" applyFont="1">
      <alignment horizontal="right" shrinkToFit="0" wrapText="0"/>
    </xf>
    <xf borderId="0" fillId="0" fontId="15" numFmtId="20" xfId="0" applyAlignment="1" applyFont="1" applyNumberFormat="1">
      <alignment readingOrder="0" shrinkToFit="0" wrapText="0"/>
    </xf>
    <xf borderId="0" fillId="3" fontId="15" numFmtId="0" xfId="0" applyAlignment="1" applyFont="1">
      <alignment shrinkToFit="0" wrapText="0"/>
    </xf>
    <xf borderId="0" fillId="4" fontId="15" numFmtId="0" xfId="0" applyAlignment="1" applyFont="1">
      <alignment shrinkToFit="0" wrapText="0"/>
    </xf>
    <xf borderId="0" fillId="6" fontId="15" numFmtId="0" xfId="0" applyAlignment="1" applyFont="1">
      <alignment shrinkToFit="0" wrapText="0"/>
    </xf>
    <xf borderId="0" fillId="7" fontId="15" numFmtId="0" xfId="0" applyAlignment="1" applyFont="1">
      <alignment shrinkToFit="0" wrapText="0"/>
    </xf>
    <xf borderId="0" fillId="0" fontId="15" numFmtId="46" xfId="0" applyAlignment="1" applyFont="1" applyNumberFormat="1">
      <alignment readingOrder="0" shrinkToFit="0" wrapText="0"/>
    </xf>
    <xf borderId="0" fillId="0" fontId="40" numFmtId="0" xfId="0" applyAlignment="1" applyFont="1">
      <alignment readingOrder="0"/>
    </xf>
    <xf borderId="0" fillId="3" fontId="15" numFmtId="0" xfId="0" applyAlignment="1" applyFont="1">
      <alignment readingOrder="0" shrinkToFit="0" wrapText="0"/>
    </xf>
    <xf borderId="0" fillId="0" fontId="15" numFmtId="0" xfId="0" applyAlignment="1" applyFont="1">
      <alignment shrinkToFit="0" vertical="center" wrapText="0"/>
    </xf>
    <xf borderId="0" fillId="0" fontId="41" numFmtId="0" xfId="0" applyAlignment="1" applyFont="1">
      <alignment shrinkToFit="0" wrapText="0"/>
    </xf>
    <xf borderId="0" fillId="0" fontId="15" numFmtId="165" xfId="0" applyAlignment="1" applyFont="1" applyNumberFormat="1">
      <alignment shrinkToFit="0" wrapText="0"/>
    </xf>
    <xf borderId="1" fillId="3" fontId="15" numFmtId="0" xfId="0" applyAlignment="1" applyBorder="1" applyFont="1">
      <alignment readingOrder="0" shrinkToFit="0" wrapText="0"/>
    </xf>
    <xf borderId="1" fillId="4" fontId="15" numFmtId="0" xfId="0" applyAlignment="1" applyBorder="1" applyFont="1">
      <alignment readingOrder="0" shrinkToFit="0" wrapText="0"/>
    </xf>
    <xf borderId="1" fillId="7" fontId="15" numFmtId="0" xfId="0" applyAlignment="1" applyBorder="1" applyFont="1">
      <alignment readingOrder="0" shrinkToFit="0" wrapText="0"/>
    </xf>
    <xf borderId="0" fillId="8" fontId="15" numFmtId="0" xfId="0" applyAlignment="1" applyFont="1">
      <alignment readingOrder="0" shrinkToFit="0" wrapText="0"/>
    </xf>
    <xf borderId="0" fillId="0" fontId="42" numFmtId="0" xfId="0" applyAlignment="1" applyFont="1">
      <alignment horizontal="left" readingOrder="0"/>
    </xf>
    <xf borderId="0" fillId="0" fontId="43" numFmtId="0" xfId="0" applyAlignment="1" applyFont="1">
      <alignment shrinkToFit="0" wrapText="0"/>
    </xf>
    <xf borderId="0" fillId="0" fontId="43" numFmtId="0" xfId="0" applyAlignment="1" applyFont="1">
      <alignment horizontal="center" shrinkToFit="0" wrapText="0"/>
    </xf>
    <xf borderId="0" fillId="0" fontId="43" numFmtId="0" xfId="0" applyAlignment="1" applyFont="1">
      <alignment horizontal="center" readingOrder="0"/>
    </xf>
    <xf borderId="0" fillId="0" fontId="44" numFmtId="0" xfId="0" applyAlignment="1" applyFont="1">
      <alignment shrinkToFit="0" wrapText="0"/>
    </xf>
    <xf borderId="0" fillId="0" fontId="45" numFmtId="0" xfId="0" applyAlignment="1" applyFont="1">
      <alignment shrinkToFit="0" wrapText="0"/>
    </xf>
    <xf borderId="0" fillId="0" fontId="45" numFmtId="0" xfId="0" applyAlignment="1" applyFont="1">
      <alignment shrinkToFit="0" wrapText="0"/>
    </xf>
    <xf borderId="0" fillId="0" fontId="46" numFmtId="0" xfId="0" applyAlignment="1" applyFont="1">
      <alignment horizontal="left" readingOrder="0"/>
    </xf>
    <xf borderId="0" fillId="10" fontId="45" numFmtId="0" xfId="0" applyAlignment="1" applyFont="1">
      <alignment readingOrder="0"/>
    </xf>
    <xf borderId="0" fillId="0" fontId="36" numFmtId="0" xfId="0" applyAlignment="1" applyFont="1">
      <alignment shrinkToFit="0" wrapText="0"/>
    </xf>
    <xf borderId="0" fillId="0" fontId="45" numFmtId="0" xfId="0" applyAlignment="1" applyFont="1">
      <alignment readingOrder="0" shrinkToFit="0" wrapText="0"/>
    </xf>
    <xf borderId="0" fillId="0" fontId="44" numFmtId="0" xfId="0" applyAlignment="1" applyFont="1">
      <alignment readingOrder="0" shrinkToFit="0" wrapText="0"/>
    </xf>
    <xf borderId="2" fillId="10" fontId="15" numFmtId="0" xfId="0" applyAlignment="1" applyBorder="1" applyFont="1">
      <alignment shrinkToFit="0" wrapText="0"/>
    </xf>
    <xf borderId="0" fillId="10" fontId="15" numFmtId="0" xfId="0" applyAlignment="1" applyFont="1">
      <alignment readingOrder="0"/>
    </xf>
    <xf borderId="0" fillId="0" fontId="44" numFmtId="0" xfId="0" applyAlignment="1" applyFont="1">
      <alignment readingOrder="0"/>
    </xf>
    <xf borderId="0" fillId="0" fontId="44" numFmtId="0" xfId="0" applyFont="1"/>
    <xf borderId="1" fillId="5" fontId="1" numFmtId="0" xfId="0" applyAlignment="1" applyBorder="1" applyFont="1">
      <alignment horizontal="left" readingOrder="0" shrinkToFit="0" wrapText="1"/>
    </xf>
    <xf borderId="0" fillId="0" fontId="47" numFmtId="0" xfId="0" applyAlignment="1" applyFont="1">
      <alignment readingOrder="0"/>
    </xf>
    <xf borderId="0" fillId="0" fontId="13" numFmtId="0" xfId="0" applyAlignment="1" applyFont="1">
      <alignment readingOrder="0" vertical="top"/>
    </xf>
    <xf borderId="0" fillId="0" fontId="48" numFmtId="0" xfId="0" applyAlignment="1" applyFont="1">
      <alignment readingOrder="0"/>
    </xf>
    <xf borderId="0" fillId="10" fontId="49" numFmtId="0" xfId="0" applyAlignment="1" applyFont="1">
      <alignment readingOrder="0"/>
    </xf>
    <xf borderId="0" fillId="0" fontId="50" numFmtId="0" xfId="0" applyAlignment="1" applyFont="1">
      <alignment shrinkToFit="0" wrapText="0"/>
    </xf>
    <xf borderId="0" fillId="0" fontId="36" numFmtId="0" xfId="0" applyAlignment="1" applyFont="1">
      <alignment readingOrder="0" shrinkToFit="0" wrapText="0"/>
    </xf>
    <xf borderId="1" fillId="10" fontId="15" numFmtId="0" xfId="0" applyAlignment="1" applyBorder="1" applyFont="1">
      <alignment shrinkToFit="0" wrapText="0"/>
    </xf>
    <xf borderId="0" fillId="10" fontId="51" numFmtId="0" xfId="0" applyAlignment="1" applyFont="1">
      <alignment horizontal="left" readingOrder="0"/>
    </xf>
    <xf borderId="0" fillId="0" fontId="36" numFmtId="0" xfId="0" applyAlignment="1" applyFont="1">
      <alignment readingOrder="0"/>
    </xf>
    <xf borderId="0" fillId="10" fontId="31" numFmtId="0" xfId="0" applyAlignment="1" applyFont="1">
      <alignment readingOrder="0"/>
    </xf>
    <xf borderId="1" fillId="10" fontId="51" numFmtId="0" xfId="0" applyAlignment="1" applyBorder="1" applyFont="1">
      <alignment shrinkToFit="0" wrapText="0"/>
    </xf>
    <xf borderId="0" fillId="0" fontId="36" numFmtId="0" xfId="0" applyAlignment="1" applyFont="1">
      <alignment horizontal="right" vertical="bottom"/>
    </xf>
    <xf borderId="3" fillId="0" fontId="36" numFmtId="0" xfId="0" applyAlignment="1" applyBorder="1" applyFont="1">
      <alignment shrinkToFit="0" vertical="bottom" wrapText="0"/>
    </xf>
    <xf borderId="0" fillId="0" fontId="36" numFmtId="0" xfId="0" applyAlignment="1" applyFont="1">
      <alignment vertical="bottom"/>
    </xf>
    <xf borderId="0" fillId="0" fontId="50" numFmtId="0" xfId="0" applyAlignment="1" applyFont="1">
      <alignment readingOrder="0"/>
    </xf>
    <xf borderId="0" fillId="0" fontId="15" numFmtId="0" xfId="0" applyAlignment="1" applyFont="1">
      <alignment shrinkToFit="0" wrapText="0"/>
    </xf>
    <xf borderId="0" fillId="10" fontId="52" numFmtId="0" xfId="0" applyAlignment="1" applyFont="1">
      <alignment horizontal="left" readingOrder="0"/>
    </xf>
    <xf borderId="0" fillId="10" fontId="52" numFmtId="0" xfId="0" applyAlignment="1" applyFont="1">
      <alignment readingOrder="0"/>
    </xf>
    <xf borderId="0" fillId="10" fontId="51" numFmtId="0" xfId="0" applyAlignment="1" applyFont="1">
      <alignment readingOrder="0"/>
    </xf>
    <xf borderId="0" fillId="0" fontId="36" numFmtId="173" xfId="0" applyAlignment="1" applyFont="1" applyNumberFormat="1">
      <alignment shrinkToFit="0" wrapText="0"/>
    </xf>
    <xf borderId="0" fillId="0" fontId="0" numFmtId="165" xfId="0" applyAlignment="1" applyFont="1" applyNumberFormat="1">
      <alignment shrinkToFit="0" wrapText="0"/>
    </xf>
    <xf borderId="0" fillId="3" fontId="0" numFmtId="0" xfId="0" applyAlignment="1" applyFont="1">
      <alignment shrinkToFit="0" wrapText="0"/>
    </xf>
    <xf borderId="0" fillId="3" fontId="0" numFmtId="0" xfId="0" applyAlignment="1" applyFont="1">
      <alignment shrinkToFit="0" wrapText="0"/>
    </xf>
    <xf borderId="0" fillId="4" fontId="0" numFmtId="0" xfId="0" applyAlignment="1" applyFont="1">
      <alignment shrinkToFit="0" wrapText="0"/>
    </xf>
    <xf borderId="0" fillId="6" fontId="0" numFmtId="0" xfId="0" applyAlignment="1" applyFont="1">
      <alignment shrinkToFit="0" wrapText="0"/>
    </xf>
    <xf borderId="0" fillId="7" fontId="0" numFmtId="0" xfId="0" applyAlignment="1" applyFont="1">
      <alignment shrinkToFit="0" wrapText="0"/>
    </xf>
    <xf borderId="0" fillId="8" fontId="0" numFmtId="0" xfId="0" applyAlignment="1" applyFont="1">
      <alignment shrinkToFit="0" wrapText="0"/>
    </xf>
    <xf borderId="0" fillId="0" fontId="0" numFmtId="165" xfId="0" applyAlignment="1" applyFont="1" applyNumberFormat="1">
      <alignment shrinkToFit="0" wrapText="0"/>
    </xf>
    <xf borderId="0" fillId="6" fontId="0" numFmtId="0" xfId="0" applyAlignment="1" applyFont="1">
      <alignment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US-style">
      <tableStyleElement dxfId="1" type="headerRow"/>
      <tableStyleElement dxfId="2" type="firstRowStripe"/>
      <tableStyleElement dxfId="3" type="secondRowStripe"/>
    </tableStyle>
    <tableStyle count="3" pivot="0" name="Fina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G42:H56" displayName="Table_1" id="1">
  <tableColumns count="2">
    <tableColumn name="Example of Corporate Support: Pew Trust" id="1"/>
    <tableColumn name="Explicit Mission Statement by Pew Trust: To support institution that upholds historic Chrisitian principles rooted in Biblical standards." id="2"/>
  </tableColumns>
  <tableStyleInfo name="US-style" showColumnStripes="0" showFirstColumn="1" showLastColumn="1" showRowStripes="1"/>
</table>
</file>

<file path=xl/tables/table2.xml><?xml version="1.0" encoding="utf-8"?>
<table xmlns="http://schemas.openxmlformats.org/spreadsheetml/2006/main" ref="G299:H313" displayName="Table_2" id="2">
  <tableColumns count="2">
    <tableColumn name="Example of Corporate Support: Pew Trust" id="1"/>
    <tableColumn name="Explicit Mission Statement by Pew Trust: To support institution that upholds historic Chrisitian principles rooted in Biblical standards." id="2"/>
  </tableColumns>
  <tableStyleInfo name="Final-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9qgkONu6nbk" TargetMode="External"/><Relationship Id="rId3" Type="http://schemas.openxmlformats.org/officeDocument/2006/relationships/hyperlink" Target="https://www.youtube.com/watch?v=ZyApm_PJ-W8&amp;t=65s" TargetMode="External"/><Relationship Id="rId4" Type="http://schemas.openxmlformats.org/officeDocument/2006/relationships/hyperlink" Target="https://www.youtube.com/watch?v=SPD35eCSgDk" TargetMode="External"/><Relationship Id="rId5" Type="http://schemas.openxmlformats.org/officeDocument/2006/relationships/drawing" Target="../drawings/drawing10.xml"/><Relationship Id="rId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2.xml"/><Relationship Id="rId3"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90" Type="http://schemas.openxmlformats.org/officeDocument/2006/relationships/hyperlink" Target="https://www.youtube.com/watch?v=0-LZkVdXTnc" TargetMode="External"/><Relationship Id="rId194" Type="http://schemas.openxmlformats.org/officeDocument/2006/relationships/hyperlink" Target="https://www.youtube.com/watch?v=LI3VwCn-0WI" TargetMode="External"/><Relationship Id="rId193" Type="http://schemas.openxmlformats.org/officeDocument/2006/relationships/hyperlink" Target="https://www.youtube.com/watch?v=EWnc9FdyP7s" TargetMode="External"/><Relationship Id="rId192" Type="http://schemas.openxmlformats.org/officeDocument/2006/relationships/hyperlink" Target="https://www.youtube.com/watch?v=pAHRrR6eeDU" TargetMode="External"/><Relationship Id="rId191" Type="http://schemas.openxmlformats.org/officeDocument/2006/relationships/hyperlink" Target="https://www.youtube.com/watch?v=yIUwgFjMrg8" TargetMode="External"/><Relationship Id="rId187" Type="http://schemas.openxmlformats.org/officeDocument/2006/relationships/hyperlink" Target="https://www.youtube.com/watch?v=oeFU8Lk35BI" TargetMode="External"/><Relationship Id="rId186" Type="http://schemas.openxmlformats.org/officeDocument/2006/relationships/hyperlink" Target="https://www.youtube.com/watch?v=zqnotAbf-Cc" TargetMode="External"/><Relationship Id="rId185" Type="http://schemas.openxmlformats.org/officeDocument/2006/relationships/hyperlink" Target="https://www.youtube.com/watch?v=Wu9WbgwxgjI" TargetMode="External"/><Relationship Id="rId184" Type="http://schemas.openxmlformats.org/officeDocument/2006/relationships/hyperlink" Target="https://www.youtube.com/watch?v=MFVzVjuj90E" TargetMode="External"/><Relationship Id="rId189" Type="http://schemas.openxmlformats.org/officeDocument/2006/relationships/hyperlink" Target="https://www.youtube.com/watch?v=uNPifASaoFM" TargetMode="External"/><Relationship Id="rId188" Type="http://schemas.openxmlformats.org/officeDocument/2006/relationships/hyperlink" Target="https://www.youtube.com/watch?v=NfO_yqDrGWs" TargetMode="External"/><Relationship Id="rId183" Type="http://schemas.openxmlformats.org/officeDocument/2006/relationships/hyperlink" Target="https://www.youtube.com/watch?v=r5r1yU9O2ag" TargetMode="External"/><Relationship Id="rId182" Type="http://schemas.openxmlformats.org/officeDocument/2006/relationships/hyperlink" Target="https://www.youtube.com/watch?v=qsCWK-TQVsk" TargetMode="External"/><Relationship Id="rId181" Type="http://schemas.openxmlformats.org/officeDocument/2006/relationships/hyperlink" Target="https://www.youtube.com/watch?v=nCmJgIvSqfU" TargetMode="External"/><Relationship Id="rId180" Type="http://schemas.openxmlformats.org/officeDocument/2006/relationships/hyperlink" Target="https://www.youtube.com/watch?v=cpZPvFvzNlc" TargetMode="External"/><Relationship Id="rId176" Type="http://schemas.openxmlformats.org/officeDocument/2006/relationships/hyperlink" Target="https://www.youtube.com/watch?v=57-MHC42i7g" TargetMode="External"/><Relationship Id="rId297" Type="http://schemas.openxmlformats.org/officeDocument/2006/relationships/hyperlink" Target="https://www.youtube.com/watch?v=p3i_mI87a3E" TargetMode="External"/><Relationship Id="rId175" Type="http://schemas.openxmlformats.org/officeDocument/2006/relationships/hyperlink" Target="https://www.youtube.com/watch?v=MfzPrOKKZVo" TargetMode="External"/><Relationship Id="rId296" Type="http://schemas.openxmlformats.org/officeDocument/2006/relationships/hyperlink" Target="https://www.youtube.com/watch?v=c13ZN5rYckE" TargetMode="External"/><Relationship Id="rId174" Type="http://schemas.openxmlformats.org/officeDocument/2006/relationships/hyperlink" Target="https://www.youtube.com/watch?v=t_J24YUQNK4" TargetMode="External"/><Relationship Id="rId295" Type="http://schemas.openxmlformats.org/officeDocument/2006/relationships/hyperlink" Target="https://www.youtube.com/watch?v=yZ08CJsgurU" TargetMode="External"/><Relationship Id="rId173" Type="http://schemas.openxmlformats.org/officeDocument/2006/relationships/hyperlink" Target="https://www.youtube.com/watch?v=Au_HvuB2IQc" TargetMode="External"/><Relationship Id="rId294" Type="http://schemas.openxmlformats.org/officeDocument/2006/relationships/hyperlink" Target="https://www.youtube.com/watch?v=OXYcMlprdL4" TargetMode="External"/><Relationship Id="rId179" Type="http://schemas.openxmlformats.org/officeDocument/2006/relationships/hyperlink" Target="https://www.youtube.com/watch?v=MBzty84VgRo" TargetMode="External"/><Relationship Id="rId178" Type="http://schemas.openxmlformats.org/officeDocument/2006/relationships/hyperlink" Target="https://www.youtube.com/watch?v=17Jnr2hr0ro" TargetMode="External"/><Relationship Id="rId299" Type="http://schemas.openxmlformats.org/officeDocument/2006/relationships/hyperlink" Target="https://www.youtube.com/watch?v=kaJQx-nXg6M" TargetMode="External"/><Relationship Id="rId177" Type="http://schemas.openxmlformats.org/officeDocument/2006/relationships/hyperlink" Target="https://www.youtube.com/watch?v=pO9qCeA640E" TargetMode="External"/><Relationship Id="rId298" Type="http://schemas.openxmlformats.org/officeDocument/2006/relationships/hyperlink" Target="https://www.youtube.com/watch?v=FrXBeS9Vj40" TargetMode="External"/><Relationship Id="rId198" Type="http://schemas.openxmlformats.org/officeDocument/2006/relationships/hyperlink" Target="https://www.youtube.com/watch?v=wm8QHjKcDf8" TargetMode="External"/><Relationship Id="rId197" Type="http://schemas.openxmlformats.org/officeDocument/2006/relationships/hyperlink" Target="https://www.youtube.com/watch?v=L2rJctVLi3M" TargetMode="External"/><Relationship Id="rId196" Type="http://schemas.openxmlformats.org/officeDocument/2006/relationships/hyperlink" Target="https://www.youtube.com/watch?v=Yf6-fJ-LcU8" TargetMode="External"/><Relationship Id="rId195" Type="http://schemas.openxmlformats.org/officeDocument/2006/relationships/hyperlink" Target="https://www.youtube.com/watch?v=yVdcSMOWtxM" TargetMode="External"/><Relationship Id="rId199" Type="http://schemas.openxmlformats.org/officeDocument/2006/relationships/hyperlink" Target="https://www.youtube.com/watch?v=U37L8EPVc5s" TargetMode="External"/><Relationship Id="rId150" Type="http://schemas.openxmlformats.org/officeDocument/2006/relationships/hyperlink" Target="https://www.youtube.com/watch?v=T0iutxik1Eg" TargetMode="External"/><Relationship Id="rId271" Type="http://schemas.openxmlformats.org/officeDocument/2006/relationships/hyperlink" Target="https://www.youtube.com/watch?v=X4TDNzwe3s4" TargetMode="External"/><Relationship Id="rId392" Type="http://schemas.openxmlformats.org/officeDocument/2006/relationships/hyperlink" Target="https://www.youtube.com/watch?v=ebsBucPcYoU" TargetMode="External"/><Relationship Id="rId270" Type="http://schemas.openxmlformats.org/officeDocument/2006/relationships/hyperlink" Target="https://www.youtube.com/watch?v=k6dsew1B6SE" TargetMode="External"/><Relationship Id="rId391" Type="http://schemas.openxmlformats.org/officeDocument/2006/relationships/hyperlink" Target="https://www.youtube.com/watch?v=J2klGHwzFFo" TargetMode="External"/><Relationship Id="rId390" Type="http://schemas.openxmlformats.org/officeDocument/2006/relationships/hyperlink" Target="https://www.youtube.com/watch?v=gL_j5YKKN38" TargetMode="External"/><Relationship Id="rId1" Type="http://schemas.openxmlformats.org/officeDocument/2006/relationships/comments" Target="../comments13.xml"/><Relationship Id="rId2" Type="http://schemas.openxmlformats.org/officeDocument/2006/relationships/hyperlink" Target="https://www.youtube.com/watch?v=RD7JpM4UrUA" TargetMode="External"/><Relationship Id="rId3" Type="http://schemas.openxmlformats.org/officeDocument/2006/relationships/hyperlink" Target="https://www.youtube.com/watch?v=jKuCWHsoXmQ" TargetMode="External"/><Relationship Id="rId149" Type="http://schemas.openxmlformats.org/officeDocument/2006/relationships/hyperlink" Target="https://www.youtube.com/watch?v=sdhISUDYvX4" TargetMode="External"/><Relationship Id="rId4" Type="http://schemas.openxmlformats.org/officeDocument/2006/relationships/hyperlink" Target="https://www.youtube.com/watch?v=21ZKFBL-Yc0" TargetMode="External"/><Relationship Id="rId148" Type="http://schemas.openxmlformats.org/officeDocument/2006/relationships/hyperlink" Target="https://www.youtube.com/watch?v=cKIAV15AZcI" TargetMode="External"/><Relationship Id="rId269" Type="http://schemas.openxmlformats.org/officeDocument/2006/relationships/hyperlink" Target="https://www.youtube.com/watch?v=R_G2Gd70LiY" TargetMode="External"/><Relationship Id="rId9" Type="http://schemas.openxmlformats.org/officeDocument/2006/relationships/hyperlink" Target="https://www.youtube.com/watch?v=mjFek0gF97s" TargetMode="External"/><Relationship Id="rId143" Type="http://schemas.openxmlformats.org/officeDocument/2006/relationships/hyperlink" Target="https://www.youtube.com/watch?v=k54XQ5I1Nzo" TargetMode="External"/><Relationship Id="rId264" Type="http://schemas.openxmlformats.org/officeDocument/2006/relationships/hyperlink" Target="https://www.youtube.com/watch?v=ziCW-l-SXRM" TargetMode="External"/><Relationship Id="rId385" Type="http://schemas.openxmlformats.org/officeDocument/2006/relationships/hyperlink" Target="https://www.youtube.com/watch?v=G1vj3YNYQYg" TargetMode="External"/><Relationship Id="rId142" Type="http://schemas.openxmlformats.org/officeDocument/2006/relationships/hyperlink" Target="https://www.youtube.com/watch?v=OBViSvvLu-s" TargetMode="External"/><Relationship Id="rId263" Type="http://schemas.openxmlformats.org/officeDocument/2006/relationships/hyperlink" Target="https://www.youtube.com/watch?v=ZWkU2WQv4mM" TargetMode="External"/><Relationship Id="rId384" Type="http://schemas.openxmlformats.org/officeDocument/2006/relationships/hyperlink" Target="https://www.youtube.com/watch?v=4fTC0cZiBus" TargetMode="External"/><Relationship Id="rId141" Type="http://schemas.openxmlformats.org/officeDocument/2006/relationships/hyperlink" Target="https://www.youtube.com/watch?v=ANSSQQ6ZauM" TargetMode="External"/><Relationship Id="rId262" Type="http://schemas.openxmlformats.org/officeDocument/2006/relationships/hyperlink" Target="https://www.youtube.com/watch?v=CouNRYMLDmY" TargetMode="External"/><Relationship Id="rId383" Type="http://schemas.openxmlformats.org/officeDocument/2006/relationships/hyperlink" Target="https://www.youtube.com/watch?v=V-N1KdB7QTg" TargetMode="External"/><Relationship Id="rId140" Type="http://schemas.openxmlformats.org/officeDocument/2006/relationships/hyperlink" Target="https://www.youtube.com/watch?v=7ZD3D4mAoaE" TargetMode="External"/><Relationship Id="rId261" Type="http://schemas.openxmlformats.org/officeDocument/2006/relationships/hyperlink" Target="https://www.youtube.com/watch?v=WQObFfIG62Q" TargetMode="External"/><Relationship Id="rId382" Type="http://schemas.openxmlformats.org/officeDocument/2006/relationships/hyperlink" Target="https://www.youtube.com/watch?v=VJZ4LARPMJU&amp;t=79s" TargetMode="External"/><Relationship Id="rId5" Type="http://schemas.openxmlformats.org/officeDocument/2006/relationships/hyperlink" Target="https://www.youtube.com/watch?v=FytdS2vMJfU" TargetMode="External"/><Relationship Id="rId147" Type="http://schemas.openxmlformats.org/officeDocument/2006/relationships/hyperlink" Target="https://www.youtube.com/watch?v=p6HgGSKj2m8" TargetMode="External"/><Relationship Id="rId268" Type="http://schemas.openxmlformats.org/officeDocument/2006/relationships/hyperlink" Target="https://www.youtube.com/watch?v=yYhGJH2NjBA" TargetMode="External"/><Relationship Id="rId389" Type="http://schemas.openxmlformats.org/officeDocument/2006/relationships/hyperlink" Target="https://www.youtube.com/watch?v=hFK3wIxZt3g" TargetMode="External"/><Relationship Id="rId6" Type="http://schemas.openxmlformats.org/officeDocument/2006/relationships/hyperlink" Target="https://www.youtube.com/watch?v=7WsGnkGob7A" TargetMode="External"/><Relationship Id="rId146" Type="http://schemas.openxmlformats.org/officeDocument/2006/relationships/hyperlink" Target="https://www.youtube.com/watch?v=75OFJ9IX4tI" TargetMode="External"/><Relationship Id="rId267" Type="http://schemas.openxmlformats.org/officeDocument/2006/relationships/hyperlink" Target="https://www.youtube.com/watch?v=zyTsxv3NJzA" TargetMode="External"/><Relationship Id="rId388" Type="http://schemas.openxmlformats.org/officeDocument/2006/relationships/hyperlink" Target="https://www.youtube.com/watch?v=xjoBDX3u1Ys" TargetMode="External"/><Relationship Id="rId7" Type="http://schemas.openxmlformats.org/officeDocument/2006/relationships/hyperlink" Target="https://www.youtube.com/watch?v=WU456HIXN5U" TargetMode="External"/><Relationship Id="rId145" Type="http://schemas.openxmlformats.org/officeDocument/2006/relationships/hyperlink" Target="https://www.youtube.com/watch?v=q1K9wPDzMjU" TargetMode="External"/><Relationship Id="rId266" Type="http://schemas.openxmlformats.org/officeDocument/2006/relationships/hyperlink" Target="https://www.youtube.com/watch?v=hH3jbt-s4aY" TargetMode="External"/><Relationship Id="rId387" Type="http://schemas.openxmlformats.org/officeDocument/2006/relationships/hyperlink" Target="https://www.youtube.com/watch?v=yB7P6V4_zUw" TargetMode="External"/><Relationship Id="rId8" Type="http://schemas.openxmlformats.org/officeDocument/2006/relationships/hyperlink" Target="https://www.youtube.com/watch?v=PcNDlU0LyJk" TargetMode="External"/><Relationship Id="rId144" Type="http://schemas.openxmlformats.org/officeDocument/2006/relationships/hyperlink" Target="https://www.youtube.com/watch?v=vdwHHPZwNEo" TargetMode="External"/><Relationship Id="rId265" Type="http://schemas.openxmlformats.org/officeDocument/2006/relationships/hyperlink" Target="https://www.youtube.com/watch?v=mNRX-8C-RmY" TargetMode="External"/><Relationship Id="rId386" Type="http://schemas.openxmlformats.org/officeDocument/2006/relationships/hyperlink" Target="https://www.youtube.com/watch?v=Ly_KKukp01g" TargetMode="External"/><Relationship Id="rId260" Type="http://schemas.openxmlformats.org/officeDocument/2006/relationships/hyperlink" Target="https://www.youtube.com/watch?v=VwTbkm1NN4Y" TargetMode="External"/><Relationship Id="rId381" Type="http://schemas.openxmlformats.org/officeDocument/2006/relationships/hyperlink" Target="https://www.youtube.com/watch?v=_OTzuNIDOOA" TargetMode="External"/><Relationship Id="rId380" Type="http://schemas.openxmlformats.org/officeDocument/2006/relationships/hyperlink" Target="https://www.youtube.com/watch?v=Kg7UNGe9lik" TargetMode="External"/><Relationship Id="rId139" Type="http://schemas.openxmlformats.org/officeDocument/2006/relationships/hyperlink" Target="https://www.youtube.com/watch?v=agP31XI_FxA" TargetMode="External"/><Relationship Id="rId138" Type="http://schemas.openxmlformats.org/officeDocument/2006/relationships/hyperlink" Target="https://www.youtube.com/watch?v=2WYZtS_LLog" TargetMode="External"/><Relationship Id="rId259" Type="http://schemas.openxmlformats.org/officeDocument/2006/relationships/hyperlink" Target="https://www.youtube.com/watch?v=qGie_-i1j6o" TargetMode="External"/><Relationship Id="rId137" Type="http://schemas.openxmlformats.org/officeDocument/2006/relationships/hyperlink" Target="https://www.youtube.com/watch?v=qd7yTtTb_Fc" TargetMode="External"/><Relationship Id="rId258" Type="http://schemas.openxmlformats.org/officeDocument/2006/relationships/hyperlink" Target="https://www.youtube.com/watch?v=_xIbCmTtK8s" TargetMode="External"/><Relationship Id="rId379" Type="http://schemas.openxmlformats.org/officeDocument/2006/relationships/hyperlink" Target="https://www.youtube.com/watch?v=FQmwAFcJSpw" TargetMode="External"/><Relationship Id="rId132" Type="http://schemas.openxmlformats.org/officeDocument/2006/relationships/hyperlink" Target="https://www.youtube.com/watch?v=vHGejHQUoio" TargetMode="External"/><Relationship Id="rId253" Type="http://schemas.openxmlformats.org/officeDocument/2006/relationships/hyperlink" Target="https://www.youtube.com/watch?v=JNg9hu1QURw" TargetMode="External"/><Relationship Id="rId374" Type="http://schemas.openxmlformats.org/officeDocument/2006/relationships/hyperlink" Target="https://www.youtube.com/watch?v=A6j1KcojG0E" TargetMode="External"/><Relationship Id="rId495" Type="http://schemas.openxmlformats.org/officeDocument/2006/relationships/hyperlink" Target="https://www.youtube.com/watch?v=C-AklzjB96w" TargetMode="External"/><Relationship Id="rId131" Type="http://schemas.openxmlformats.org/officeDocument/2006/relationships/hyperlink" Target="https://www.youtube.com/watch?v=g-xyM5pVESg" TargetMode="External"/><Relationship Id="rId252" Type="http://schemas.openxmlformats.org/officeDocument/2006/relationships/hyperlink" Target="https://www.youtube.com/watch?v=yr_-UHm07rM" TargetMode="External"/><Relationship Id="rId373" Type="http://schemas.openxmlformats.org/officeDocument/2006/relationships/hyperlink" Target="https://www.youtube.com/watch?v=kKbQvD24QPY" TargetMode="External"/><Relationship Id="rId494" Type="http://schemas.openxmlformats.org/officeDocument/2006/relationships/hyperlink" Target="https://www.youtube.com/watch?v=s_eR4_6kip8" TargetMode="External"/><Relationship Id="rId130" Type="http://schemas.openxmlformats.org/officeDocument/2006/relationships/hyperlink" Target="https://www.youtube.com/watch?v=SS0UQNsxhus" TargetMode="External"/><Relationship Id="rId251" Type="http://schemas.openxmlformats.org/officeDocument/2006/relationships/hyperlink" Target="https://www.youtube.com/watch?v=Ow3nJA8fhhQ" TargetMode="External"/><Relationship Id="rId372" Type="http://schemas.openxmlformats.org/officeDocument/2006/relationships/hyperlink" Target="https://www.youtube.com/watch?v=VxI-y4zU4YE" TargetMode="External"/><Relationship Id="rId493" Type="http://schemas.openxmlformats.org/officeDocument/2006/relationships/hyperlink" Target="https://www.youtube.com/watch?v=9fu_xDvkBMk" TargetMode="External"/><Relationship Id="rId250" Type="http://schemas.openxmlformats.org/officeDocument/2006/relationships/hyperlink" Target="https://www.youtube.com/watch?v=d9iObjKR5yI" TargetMode="External"/><Relationship Id="rId371" Type="http://schemas.openxmlformats.org/officeDocument/2006/relationships/hyperlink" Target="https://www.youtube.com/watch?v=sTYcLqa56Z4" TargetMode="External"/><Relationship Id="rId492" Type="http://schemas.openxmlformats.org/officeDocument/2006/relationships/hyperlink" Target="https://www.youtube.com/watch?v=4PxIlOKBbng" TargetMode="External"/><Relationship Id="rId136" Type="http://schemas.openxmlformats.org/officeDocument/2006/relationships/hyperlink" Target="https://www.youtube.com/watch?v=7jIfpSOnmK8" TargetMode="External"/><Relationship Id="rId257" Type="http://schemas.openxmlformats.org/officeDocument/2006/relationships/hyperlink" Target="https://www.youtube.com/watch?v=_Anq0CTYGt8" TargetMode="External"/><Relationship Id="rId378" Type="http://schemas.openxmlformats.org/officeDocument/2006/relationships/hyperlink" Target="https://www.youtube.com/watch?v=AjEKOFHh4yM" TargetMode="External"/><Relationship Id="rId499" Type="http://schemas.openxmlformats.org/officeDocument/2006/relationships/hyperlink" Target="https://www.youtube.com/watch?v=KStzrk3h76o" TargetMode="External"/><Relationship Id="rId135" Type="http://schemas.openxmlformats.org/officeDocument/2006/relationships/hyperlink" Target="https://www.youtube.com/watch?v=hWBzG7eVqVg" TargetMode="External"/><Relationship Id="rId256" Type="http://schemas.openxmlformats.org/officeDocument/2006/relationships/hyperlink" Target="https://www.youtube.com/watch?v=6oKx_bFPSSA" TargetMode="External"/><Relationship Id="rId377" Type="http://schemas.openxmlformats.org/officeDocument/2006/relationships/hyperlink" Target="https://www.youtube.com/watch?v=0DBc4TKwgDc" TargetMode="External"/><Relationship Id="rId498" Type="http://schemas.openxmlformats.org/officeDocument/2006/relationships/hyperlink" Target="https://www.youtube.com/watch?v=4xWwhXcAjhU" TargetMode="External"/><Relationship Id="rId134" Type="http://schemas.openxmlformats.org/officeDocument/2006/relationships/hyperlink" Target="https://www.youtube.com/watch?v=kQP4pUPNjqs" TargetMode="External"/><Relationship Id="rId255" Type="http://schemas.openxmlformats.org/officeDocument/2006/relationships/hyperlink" Target="https://www.youtube.com/watch?v=xjZO-uNelDI" TargetMode="External"/><Relationship Id="rId376" Type="http://schemas.openxmlformats.org/officeDocument/2006/relationships/hyperlink" Target="https://www.youtube.com/watch?v=dJ9wpyiJSSI" TargetMode="External"/><Relationship Id="rId497" Type="http://schemas.openxmlformats.org/officeDocument/2006/relationships/hyperlink" Target="https://www.youtube.com/watch?v=5XqO9FCH3Xk" TargetMode="External"/><Relationship Id="rId133" Type="http://schemas.openxmlformats.org/officeDocument/2006/relationships/hyperlink" Target="https://www.youtube.com/watch?v=3f7b_ZE5B1Y" TargetMode="External"/><Relationship Id="rId254" Type="http://schemas.openxmlformats.org/officeDocument/2006/relationships/hyperlink" Target="https://www.youtube.com/watch?v=11Ben3IvDQ0" TargetMode="External"/><Relationship Id="rId375" Type="http://schemas.openxmlformats.org/officeDocument/2006/relationships/hyperlink" Target="https://www.youtube.com/watch?v=wzPkggokfLg" TargetMode="External"/><Relationship Id="rId496" Type="http://schemas.openxmlformats.org/officeDocument/2006/relationships/hyperlink" Target="https://www.youtube.com/watch?v=CLCX0mlWjw0" TargetMode="External"/><Relationship Id="rId172" Type="http://schemas.openxmlformats.org/officeDocument/2006/relationships/hyperlink" Target="https://www.youtube.com/watch?v=2Ew9deAuPwU" TargetMode="External"/><Relationship Id="rId293" Type="http://schemas.openxmlformats.org/officeDocument/2006/relationships/hyperlink" Target="https://www.youtube.com/watch?v=-fhrU0xoCgk" TargetMode="External"/><Relationship Id="rId171" Type="http://schemas.openxmlformats.org/officeDocument/2006/relationships/hyperlink" Target="https://www.youtube.com/watch?v=wgud4Fi47XA" TargetMode="External"/><Relationship Id="rId292" Type="http://schemas.openxmlformats.org/officeDocument/2006/relationships/hyperlink" Target="https://www.youtube.com/watch?v=fzzIeVO7-qk" TargetMode="External"/><Relationship Id="rId170" Type="http://schemas.openxmlformats.org/officeDocument/2006/relationships/hyperlink" Target="https://www.youtube.com/watch?v=fQxUVyFqzpA" TargetMode="External"/><Relationship Id="rId291" Type="http://schemas.openxmlformats.org/officeDocument/2006/relationships/hyperlink" Target="https://www.youtube.com/watch?v=zILqg37PouM" TargetMode="External"/><Relationship Id="rId290" Type="http://schemas.openxmlformats.org/officeDocument/2006/relationships/hyperlink" Target="https://www.youtube.com/watch?v=NQUbNykwFG4" TargetMode="External"/><Relationship Id="rId165" Type="http://schemas.openxmlformats.org/officeDocument/2006/relationships/hyperlink" Target="https://www.youtube.com/watch?v=wH8I0vSB-Os" TargetMode="External"/><Relationship Id="rId286" Type="http://schemas.openxmlformats.org/officeDocument/2006/relationships/hyperlink" Target="https://www.youtube.com/watch?v=JbxzX8kwig4" TargetMode="External"/><Relationship Id="rId164" Type="http://schemas.openxmlformats.org/officeDocument/2006/relationships/hyperlink" Target="https://www.youtube.com/watch?v=8iuVX1AkV_0" TargetMode="External"/><Relationship Id="rId285" Type="http://schemas.openxmlformats.org/officeDocument/2006/relationships/hyperlink" Target="https://www.youtube.com/watch?v=Q3ZGmGasWfc" TargetMode="External"/><Relationship Id="rId163" Type="http://schemas.openxmlformats.org/officeDocument/2006/relationships/hyperlink" Target="https://www.youtube.com/watch?v=hgdVPIrlSPU" TargetMode="External"/><Relationship Id="rId284" Type="http://schemas.openxmlformats.org/officeDocument/2006/relationships/hyperlink" Target="https://www.youtube.com/watch?v=O5i1SD7KFkI" TargetMode="External"/><Relationship Id="rId162" Type="http://schemas.openxmlformats.org/officeDocument/2006/relationships/hyperlink" Target="https://www.youtube.com/watch?v=yaOVnZ7W-Qc" TargetMode="External"/><Relationship Id="rId283" Type="http://schemas.openxmlformats.org/officeDocument/2006/relationships/hyperlink" Target="https://www.youtube.com/watch?v=dZCZp5udJeI" TargetMode="External"/><Relationship Id="rId169" Type="http://schemas.openxmlformats.org/officeDocument/2006/relationships/hyperlink" Target="https://www.youtube.com/watch?v=UuJzHq-Ont4" TargetMode="External"/><Relationship Id="rId168" Type="http://schemas.openxmlformats.org/officeDocument/2006/relationships/hyperlink" Target="https://www.youtube.com/watch?v=Z7B5IZZhoAI" TargetMode="External"/><Relationship Id="rId289" Type="http://schemas.openxmlformats.org/officeDocument/2006/relationships/hyperlink" Target="https://www.youtube.com/watch?v=j84sUcOTBRM" TargetMode="External"/><Relationship Id="rId167" Type="http://schemas.openxmlformats.org/officeDocument/2006/relationships/hyperlink" Target="https://www.youtube.com/watch?v=itgdRwuvtN0" TargetMode="External"/><Relationship Id="rId288" Type="http://schemas.openxmlformats.org/officeDocument/2006/relationships/hyperlink" Target="https://www.youtube.com/watch?v=0-Ishanuvj8" TargetMode="External"/><Relationship Id="rId166" Type="http://schemas.openxmlformats.org/officeDocument/2006/relationships/hyperlink" Target="https://www.youtube.com/watch?v=Um1LJAfSPoo" TargetMode="External"/><Relationship Id="rId287" Type="http://schemas.openxmlformats.org/officeDocument/2006/relationships/hyperlink" Target="https://www.youtube.com/watch?v=Uxcvh2BQu1g" TargetMode="External"/><Relationship Id="rId161" Type="http://schemas.openxmlformats.org/officeDocument/2006/relationships/hyperlink" Target="https://www.youtube.com/watch?v=Y1SUVA0PU1o" TargetMode="External"/><Relationship Id="rId282" Type="http://schemas.openxmlformats.org/officeDocument/2006/relationships/hyperlink" Target="https://www.youtube.com/watch?v=-cC-ErXYdnI" TargetMode="External"/><Relationship Id="rId160" Type="http://schemas.openxmlformats.org/officeDocument/2006/relationships/hyperlink" Target="https://www.youtube.com/watch?v=2uOiM67vK6A" TargetMode="External"/><Relationship Id="rId281" Type="http://schemas.openxmlformats.org/officeDocument/2006/relationships/hyperlink" Target="https://www.youtube.com/watch?v=EHQ6eLHDs78" TargetMode="External"/><Relationship Id="rId280" Type="http://schemas.openxmlformats.org/officeDocument/2006/relationships/hyperlink" Target="https://www.youtube.com/watch?v=FKg_FjS3qZw" TargetMode="External"/><Relationship Id="rId159" Type="http://schemas.openxmlformats.org/officeDocument/2006/relationships/hyperlink" Target="https://www.youtube.com/watch?v=4h6drLmYTr8" TargetMode="External"/><Relationship Id="rId154" Type="http://schemas.openxmlformats.org/officeDocument/2006/relationships/hyperlink" Target="https://www.youtube.com/watch?v=5K-nmVDwXW0" TargetMode="External"/><Relationship Id="rId275" Type="http://schemas.openxmlformats.org/officeDocument/2006/relationships/hyperlink" Target="https://www.youtube.com/watch?v=m9xF54UZFuY" TargetMode="External"/><Relationship Id="rId396" Type="http://schemas.openxmlformats.org/officeDocument/2006/relationships/hyperlink" Target="https://www.youtube.com/watch?v=1VZl4rtt2aU" TargetMode="External"/><Relationship Id="rId153" Type="http://schemas.openxmlformats.org/officeDocument/2006/relationships/hyperlink" Target="https://www.youtube.com/watch?v=vKGL9b0x_K8" TargetMode="External"/><Relationship Id="rId274" Type="http://schemas.openxmlformats.org/officeDocument/2006/relationships/hyperlink" Target="https://www.youtube.com/watch?v=NpqJHyWjh7A" TargetMode="External"/><Relationship Id="rId395" Type="http://schemas.openxmlformats.org/officeDocument/2006/relationships/hyperlink" Target="https://www.youtube.com/watch?v=dlfE6JbvIYI" TargetMode="External"/><Relationship Id="rId152" Type="http://schemas.openxmlformats.org/officeDocument/2006/relationships/hyperlink" Target="https://www.youtube.com/watch?v=HdBCunbR_jE" TargetMode="External"/><Relationship Id="rId273" Type="http://schemas.openxmlformats.org/officeDocument/2006/relationships/hyperlink" Target="https://www.youtube.com/watch?v=s1VIjn0qPQg" TargetMode="External"/><Relationship Id="rId394" Type="http://schemas.openxmlformats.org/officeDocument/2006/relationships/hyperlink" Target="https://www.youtube.com/watch?v=go47jpA5M1A" TargetMode="External"/><Relationship Id="rId151" Type="http://schemas.openxmlformats.org/officeDocument/2006/relationships/hyperlink" Target="https://www.youtube.com/watch?v=PjvzuUMMZs4" TargetMode="External"/><Relationship Id="rId272" Type="http://schemas.openxmlformats.org/officeDocument/2006/relationships/hyperlink" Target="https://www.youtube.com/watch?v=_OWY_haNDNI" TargetMode="External"/><Relationship Id="rId393" Type="http://schemas.openxmlformats.org/officeDocument/2006/relationships/hyperlink" Target="https://www.youtube.com/watch?v=orOA4dPxE98" TargetMode="External"/><Relationship Id="rId158" Type="http://schemas.openxmlformats.org/officeDocument/2006/relationships/hyperlink" Target="https://www.youtube.com/watch?v=d9KgrM48iGg" TargetMode="External"/><Relationship Id="rId279" Type="http://schemas.openxmlformats.org/officeDocument/2006/relationships/hyperlink" Target="https://www.youtube.com/watch?v=1GLaXQ6Rgcg" TargetMode="External"/><Relationship Id="rId157" Type="http://schemas.openxmlformats.org/officeDocument/2006/relationships/hyperlink" Target="https://www.youtube.com/watch?v=5bAuJCTjg8s" TargetMode="External"/><Relationship Id="rId278" Type="http://schemas.openxmlformats.org/officeDocument/2006/relationships/hyperlink" Target="https://www.youtube.com/watch?v=AuVaei10Du0" TargetMode="External"/><Relationship Id="rId399" Type="http://schemas.openxmlformats.org/officeDocument/2006/relationships/hyperlink" Target="https://www.youtube.com/watch?v=C3knBzrgTTY" TargetMode="External"/><Relationship Id="rId156" Type="http://schemas.openxmlformats.org/officeDocument/2006/relationships/hyperlink" Target="https://www.youtube.com/watch?v=ucgD3lqwZX0" TargetMode="External"/><Relationship Id="rId277" Type="http://schemas.openxmlformats.org/officeDocument/2006/relationships/hyperlink" Target="https://www.youtube.com/watch?v=w5KPpzfrQQY" TargetMode="External"/><Relationship Id="rId398" Type="http://schemas.openxmlformats.org/officeDocument/2006/relationships/hyperlink" Target="https://www.youtube.com/watch?v=BNly0XIZX6c" TargetMode="External"/><Relationship Id="rId155" Type="http://schemas.openxmlformats.org/officeDocument/2006/relationships/hyperlink" Target="https://www.youtube.com/watch?v=R7mzbp-9vbk" TargetMode="External"/><Relationship Id="rId276" Type="http://schemas.openxmlformats.org/officeDocument/2006/relationships/hyperlink" Target="https://www.youtube.com/watch?v=srr9jTynwdo" TargetMode="External"/><Relationship Id="rId397" Type="http://schemas.openxmlformats.org/officeDocument/2006/relationships/hyperlink" Target="https://www.youtube.com/watch?v=cUULt5zHp0k" TargetMode="External"/><Relationship Id="rId40" Type="http://schemas.openxmlformats.org/officeDocument/2006/relationships/hyperlink" Target="https://www.youtube.com/watch?v=iS7CE9mrtI4" TargetMode="External"/><Relationship Id="rId42" Type="http://schemas.openxmlformats.org/officeDocument/2006/relationships/hyperlink" Target="https://www.youtube.com/watch?v=6_9IYK6ZlyY" TargetMode="External"/><Relationship Id="rId41" Type="http://schemas.openxmlformats.org/officeDocument/2006/relationships/hyperlink" Target="https://www.youtube.com/watch?v=THua8SMPtK4" TargetMode="External"/><Relationship Id="rId44" Type="http://schemas.openxmlformats.org/officeDocument/2006/relationships/hyperlink" Target="https://www.youtube.com/watch?v=ufZ1BZcZzKI" TargetMode="External"/><Relationship Id="rId43" Type="http://schemas.openxmlformats.org/officeDocument/2006/relationships/hyperlink" Target="https://www.youtube.com/watch?v=LXrKKz7Mld8" TargetMode="External"/><Relationship Id="rId46" Type="http://schemas.openxmlformats.org/officeDocument/2006/relationships/hyperlink" Target="https://www.youtube.com/watch?v=FndfcBhZklU" TargetMode="External"/><Relationship Id="rId45" Type="http://schemas.openxmlformats.org/officeDocument/2006/relationships/hyperlink" Target="https://www.youtube.com/watch?v=rNhQIKC2jPM" TargetMode="External"/><Relationship Id="rId509" Type="http://schemas.openxmlformats.org/officeDocument/2006/relationships/hyperlink" Target="https://www.youtube.com/watch?v=ll-fhgVbj1I" TargetMode="External"/><Relationship Id="rId508" Type="http://schemas.openxmlformats.org/officeDocument/2006/relationships/hyperlink" Target="https://www.youtube.com/watch?v=xl6nyKVDNCQ" TargetMode="External"/><Relationship Id="rId629" Type="http://schemas.openxmlformats.org/officeDocument/2006/relationships/hyperlink" Target="https://www.youtube.com/watch?v=lnII4AH2rHw" TargetMode="External"/><Relationship Id="rId503" Type="http://schemas.openxmlformats.org/officeDocument/2006/relationships/hyperlink" Target="https://www.youtube.com/watch?v=a6bj2Qddmzk" TargetMode="External"/><Relationship Id="rId624" Type="http://schemas.openxmlformats.org/officeDocument/2006/relationships/hyperlink" Target="https://www.youtube.com/watch?v=HzuZ57Y3-VQ" TargetMode="External"/><Relationship Id="rId745" Type="http://schemas.openxmlformats.org/officeDocument/2006/relationships/hyperlink" Target="https://www.youtube.com/watch?v=xCLLCYBg7Zc" TargetMode="External"/><Relationship Id="rId502" Type="http://schemas.openxmlformats.org/officeDocument/2006/relationships/hyperlink" Target="https://www.youtube.com/watch?v=JkMKDP2BOlw&amp;t=169s" TargetMode="External"/><Relationship Id="rId623" Type="http://schemas.openxmlformats.org/officeDocument/2006/relationships/hyperlink" Target="https://www.youtube.com/watch?v=-pTe3fDFF7U" TargetMode="External"/><Relationship Id="rId744" Type="http://schemas.openxmlformats.org/officeDocument/2006/relationships/hyperlink" Target="https://www.youtube.com/watch?v=sy6xQyjX7qg" TargetMode="External"/><Relationship Id="rId501" Type="http://schemas.openxmlformats.org/officeDocument/2006/relationships/hyperlink" Target="https://www.youtube.com/watch?v=1UT4aCq24wA" TargetMode="External"/><Relationship Id="rId622" Type="http://schemas.openxmlformats.org/officeDocument/2006/relationships/hyperlink" Target="https://www.youtube.com/watch?v=JZ7LHVZfMwM" TargetMode="External"/><Relationship Id="rId743" Type="http://schemas.openxmlformats.org/officeDocument/2006/relationships/hyperlink" Target="https://www.youtube.com/watch?v=SPD35eCSgDk" TargetMode="External"/><Relationship Id="rId500" Type="http://schemas.openxmlformats.org/officeDocument/2006/relationships/hyperlink" Target="https://www.youtube.com/watch?v=udY03G3fVJQ" TargetMode="External"/><Relationship Id="rId621" Type="http://schemas.openxmlformats.org/officeDocument/2006/relationships/hyperlink" Target="https://www.youtube.com/watch?v=1k_PbRxkEqo" TargetMode="External"/><Relationship Id="rId742" Type="http://schemas.openxmlformats.org/officeDocument/2006/relationships/hyperlink" Target="https://www.youtube.com/watch?v=JlEmX46IYNY" TargetMode="External"/><Relationship Id="rId507" Type="http://schemas.openxmlformats.org/officeDocument/2006/relationships/hyperlink" Target="https://www.youtube.com/watch?v=8Fyp5gw_HGc&amp;t=19s" TargetMode="External"/><Relationship Id="rId628" Type="http://schemas.openxmlformats.org/officeDocument/2006/relationships/hyperlink" Target="https://www.youtube.com/watch?v=13shkRG4RMc" TargetMode="External"/><Relationship Id="rId749" Type="http://schemas.openxmlformats.org/officeDocument/2006/relationships/hyperlink" Target="https://www.youtube.com/watch?v=Bx9ffGtMMxo" TargetMode="External"/><Relationship Id="rId506" Type="http://schemas.openxmlformats.org/officeDocument/2006/relationships/hyperlink" Target="https://www.youtube.com/watch?v=REfOblHmn6Q" TargetMode="External"/><Relationship Id="rId627" Type="http://schemas.openxmlformats.org/officeDocument/2006/relationships/hyperlink" Target="https://www.youtube.com/watch?v=LAZPY_rTJLU" TargetMode="External"/><Relationship Id="rId748" Type="http://schemas.openxmlformats.org/officeDocument/2006/relationships/hyperlink" Target="https://www.youtube.com/watch?v=c50rfZlrNXU" TargetMode="External"/><Relationship Id="rId505" Type="http://schemas.openxmlformats.org/officeDocument/2006/relationships/hyperlink" Target="https://www.youtube.com/watch?v=v2dy-2T9kRE" TargetMode="External"/><Relationship Id="rId626" Type="http://schemas.openxmlformats.org/officeDocument/2006/relationships/hyperlink" Target="https://www.youtube.com/watch?v=6M1Mp5tvk-E" TargetMode="External"/><Relationship Id="rId747" Type="http://schemas.openxmlformats.org/officeDocument/2006/relationships/hyperlink" Target="https://www.youtube.com/watch?v=wfQX8QWcWgI" TargetMode="External"/><Relationship Id="rId504" Type="http://schemas.openxmlformats.org/officeDocument/2006/relationships/hyperlink" Target="https://www.youtube.com/watch?v=qEJJIhs02cI" TargetMode="External"/><Relationship Id="rId625" Type="http://schemas.openxmlformats.org/officeDocument/2006/relationships/hyperlink" Target="https://www.youtube.com/watch?v=b96t52xbmO8" TargetMode="External"/><Relationship Id="rId746" Type="http://schemas.openxmlformats.org/officeDocument/2006/relationships/hyperlink" Target="https://www.youtube.com/watch?v=s4vjcCAXvVI" TargetMode="External"/><Relationship Id="rId48" Type="http://schemas.openxmlformats.org/officeDocument/2006/relationships/hyperlink" Target="https://www.youtube.com/watch?v=K9s433rQloA" TargetMode="External"/><Relationship Id="rId47" Type="http://schemas.openxmlformats.org/officeDocument/2006/relationships/hyperlink" Target="https://www.youtube.com/watch?v=20u8yHim1tM" TargetMode="External"/><Relationship Id="rId49" Type="http://schemas.openxmlformats.org/officeDocument/2006/relationships/hyperlink" Target="https://www.youtube.com/watch?v=QEUeYDEFtsE" TargetMode="External"/><Relationship Id="rId620" Type="http://schemas.openxmlformats.org/officeDocument/2006/relationships/hyperlink" Target="https://www.youtube.com/watch?v=Vrv16kSoTLQ" TargetMode="External"/><Relationship Id="rId741" Type="http://schemas.openxmlformats.org/officeDocument/2006/relationships/hyperlink" Target="https://www.youtube.com/watch?v=VFJFvcNogFU" TargetMode="External"/><Relationship Id="rId740" Type="http://schemas.openxmlformats.org/officeDocument/2006/relationships/hyperlink" Target="https://www.youtube.com/watch?v=ZyApm_PJ-W8&amp;t=65s" TargetMode="External"/><Relationship Id="rId31" Type="http://schemas.openxmlformats.org/officeDocument/2006/relationships/hyperlink" Target="https://www.youtube.com/watch?v=dp7l5qmLHJI" TargetMode="External"/><Relationship Id="rId30" Type="http://schemas.openxmlformats.org/officeDocument/2006/relationships/hyperlink" Target="https://www.youtube.com/watch?v=C3_6Ub1GnfA" TargetMode="External"/><Relationship Id="rId33" Type="http://schemas.openxmlformats.org/officeDocument/2006/relationships/hyperlink" Target="https://www.youtube.com/watch?v=ryQMb29oX3s" TargetMode="External"/><Relationship Id="rId32" Type="http://schemas.openxmlformats.org/officeDocument/2006/relationships/hyperlink" Target="https://www.youtube.com/watch?v=elqL0Sr_sVU" TargetMode="External"/><Relationship Id="rId35" Type="http://schemas.openxmlformats.org/officeDocument/2006/relationships/hyperlink" Target="https://www.youtube.com/watch?v=lzMEDrUFlpw" TargetMode="External"/><Relationship Id="rId34" Type="http://schemas.openxmlformats.org/officeDocument/2006/relationships/hyperlink" Target="https://www.youtube.com/watch?v=BEz8X5SUwjY" TargetMode="External"/><Relationship Id="rId619" Type="http://schemas.openxmlformats.org/officeDocument/2006/relationships/hyperlink" Target="https://www.youtube.com/watch?v=kDDNkLWPpUc" TargetMode="External"/><Relationship Id="rId618" Type="http://schemas.openxmlformats.org/officeDocument/2006/relationships/hyperlink" Target="https://www.youtube.com/watch?v=SNAHZpRl3go" TargetMode="External"/><Relationship Id="rId739" Type="http://schemas.openxmlformats.org/officeDocument/2006/relationships/hyperlink" Target="https://www.youtube.com/watch?v=ZErxsCxSQsA" TargetMode="External"/><Relationship Id="rId613" Type="http://schemas.openxmlformats.org/officeDocument/2006/relationships/hyperlink" Target="https://www.youtube.com/watch?v=r0tSX3M-7oM&amp;t=41s" TargetMode="External"/><Relationship Id="rId734" Type="http://schemas.openxmlformats.org/officeDocument/2006/relationships/hyperlink" Target="https://www.youtube.com/watch?v=h4ZgKKlmUl0&amp;t=481s" TargetMode="External"/><Relationship Id="rId612" Type="http://schemas.openxmlformats.org/officeDocument/2006/relationships/hyperlink" Target="https://www.youtube.com/watch?v=RfiT3REVHxQ" TargetMode="External"/><Relationship Id="rId733" Type="http://schemas.openxmlformats.org/officeDocument/2006/relationships/hyperlink" Target="https://www.youtube.com/watch?v=lyiuoR-2E6I" TargetMode="External"/><Relationship Id="rId611" Type="http://schemas.openxmlformats.org/officeDocument/2006/relationships/hyperlink" Target="https://www.youtube.com/watch?v=8usGAaPq-WY" TargetMode="External"/><Relationship Id="rId732" Type="http://schemas.openxmlformats.org/officeDocument/2006/relationships/hyperlink" Target="https://www.youtube.com/watch?v=3Pat7agSMJU&amp;t=22s" TargetMode="External"/><Relationship Id="rId610" Type="http://schemas.openxmlformats.org/officeDocument/2006/relationships/hyperlink" Target="https://www.youtube.com/watch?v=4W3kmjNG_K8" TargetMode="External"/><Relationship Id="rId731" Type="http://schemas.openxmlformats.org/officeDocument/2006/relationships/hyperlink" Target="https://www.youtube.com/watch?v=1CJb6PuWDqk" TargetMode="External"/><Relationship Id="rId617" Type="http://schemas.openxmlformats.org/officeDocument/2006/relationships/hyperlink" Target="https://www.youtube.com/watch?v=Y5sHrOViVq0" TargetMode="External"/><Relationship Id="rId738" Type="http://schemas.openxmlformats.org/officeDocument/2006/relationships/hyperlink" Target="https://www.youtube.com/watch?v=qIQN0DtO2Z8" TargetMode="External"/><Relationship Id="rId616" Type="http://schemas.openxmlformats.org/officeDocument/2006/relationships/hyperlink" Target="https://www.youtube.com/watch?v=XWeFa6jUiPw" TargetMode="External"/><Relationship Id="rId737" Type="http://schemas.openxmlformats.org/officeDocument/2006/relationships/hyperlink" Target="https://www.youtube.com/watch?v=HQK8u4lh7y0" TargetMode="External"/><Relationship Id="rId615" Type="http://schemas.openxmlformats.org/officeDocument/2006/relationships/hyperlink" Target="https://www.youtube.com/watch?v=uiJHx80DJcw" TargetMode="External"/><Relationship Id="rId736" Type="http://schemas.openxmlformats.org/officeDocument/2006/relationships/hyperlink" Target="https://www.youtube.com/watch?v=aPfBxS4huSc" TargetMode="External"/><Relationship Id="rId614" Type="http://schemas.openxmlformats.org/officeDocument/2006/relationships/hyperlink" Target="https://www.youtube.com/watch?v=9hi4MG3BU0Y" TargetMode="External"/><Relationship Id="rId735" Type="http://schemas.openxmlformats.org/officeDocument/2006/relationships/hyperlink" Target="https://www.youtube.com/watch?v=8gCMYZ-alVw" TargetMode="External"/><Relationship Id="rId37" Type="http://schemas.openxmlformats.org/officeDocument/2006/relationships/hyperlink" Target="https://www.youtube.com/watch?v=ycnvyB8pDEM" TargetMode="External"/><Relationship Id="rId36" Type="http://schemas.openxmlformats.org/officeDocument/2006/relationships/hyperlink" Target="https://www.youtube.com/watch?v=qCG2vqnaUx4" TargetMode="External"/><Relationship Id="rId39" Type="http://schemas.openxmlformats.org/officeDocument/2006/relationships/hyperlink" Target="https://www.youtube.com/watch?v=VeR7IhIkDk0" TargetMode="External"/><Relationship Id="rId38" Type="http://schemas.openxmlformats.org/officeDocument/2006/relationships/hyperlink" Target="https://www.youtube.com/watch?v=xANxZaCCD70" TargetMode="External"/><Relationship Id="rId730" Type="http://schemas.openxmlformats.org/officeDocument/2006/relationships/hyperlink" Target="https://www.youtube.com/watch?v=7IXp156RgtQ" TargetMode="External"/><Relationship Id="rId20" Type="http://schemas.openxmlformats.org/officeDocument/2006/relationships/hyperlink" Target="https://www.youtube.com/watch?v=Wpkt3HpzBTs" TargetMode="External"/><Relationship Id="rId22" Type="http://schemas.openxmlformats.org/officeDocument/2006/relationships/hyperlink" Target="https://www.youtube.com/watch?v=DMG2XD9_nTI" TargetMode="External"/><Relationship Id="rId21" Type="http://schemas.openxmlformats.org/officeDocument/2006/relationships/hyperlink" Target="https://www.youtube.com/watch?v=_IcfDP-ezpo" TargetMode="External"/><Relationship Id="rId24" Type="http://schemas.openxmlformats.org/officeDocument/2006/relationships/hyperlink" Target="https://www.youtube.com/watch?v=5LJPOCxc3E8" TargetMode="External"/><Relationship Id="rId23" Type="http://schemas.openxmlformats.org/officeDocument/2006/relationships/hyperlink" Target="https://www.youtube.com/watch?v=Uq2PJjcHiqI" TargetMode="External"/><Relationship Id="rId409" Type="http://schemas.openxmlformats.org/officeDocument/2006/relationships/hyperlink" Target="https://www.youtube.com/watch?v=GDQ-FTObhak" TargetMode="External"/><Relationship Id="rId404" Type="http://schemas.openxmlformats.org/officeDocument/2006/relationships/hyperlink" Target="https://www.youtube.com/watch?v=QrVLpFoGRb4" TargetMode="External"/><Relationship Id="rId525" Type="http://schemas.openxmlformats.org/officeDocument/2006/relationships/hyperlink" Target="https://www.youtube.com/watch?v=GCo89ggyUKw" TargetMode="External"/><Relationship Id="rId646" Type="http://schemas.openxmlformats.org/officeDocument/2006/relationships/hyperlink" Target="https://www.youtube.com/watch?v=-pDxEjRprYM" TargetMode="External"/><Relationship Id="rId403" Type="http://schemas.openxmlformats.org/officeDocument/2006/relationships/hyperlink" Target="https://www.youtube.com/watch?v=3zpg3MGhmyI" TargetMode="External"/><Relationship Id="rId524" Type="http://schemas.openxmlformats.org/officeDocument/2006/relationships/hyperlink" Target="https://www.youtube.com/watch?v=VkyOIj4SQu4" TargetMode="External"/><Relationship Id="rId645" Type="http://schemas.openxmlformats.org/officeDocument/2006/relationships/hyperlink" Target="https://www.youtube.com/watch?v=1Gop0_4D5pE" TargetMode="External"/><Relationship Id="rId402" Type="http://schemas.openxmlformats.org/officeDocument/2006/relationships/hyperlink" Target="https://www.youtube.com/watch?v=JcNaFHIozC4" TargetMode="External"/><Relationship Id="rId523" Type="http://schemas.openxmlformats.org/officeDocument/2006/relationships/hyperlink" Target="https://www.youtube.com/watch?v=xkyySDtO5HU" TargetMode="External"/><Relationship Id="rId644" Type="http://schemas.openxmlformats.org/officeDocument/2006/relationships/hyperlink" Target="https://www.youtube.com/watch?v=Yb0AWtlb8-g" TargetMode="External"/><Relationship Id="rId401" Type="http://schemas.openxmlformats.org/officeDocument/2006/relationships/hyperlink" Target="https://www.youtube.com/watch?v=1-5q-Da6EHQ" TargetMode="External"/><Relationship Id="rId522" Type="http://schemas.openxmlformats.org/officeDocument/2006/relationships/hyperlink" Target="https://www.youtube.com/watch?v=uTyoGVNa7FA" TargetMode="External"/><Relationship Id="rId643" Type="http://schemas.openxmlformats.org/officeDocument/2006/relationships/hyperlink" Target="https://www.youtube.com/watch?v=69M5XJQEYX4" TargetMode="External"/><Relationship Id="rId408" Type="http://schemas.openxmlformats.org/officeDocument/2006/relationships/hyperlink" Target="https://www.youtube.com/watch?v=P1Eurn7tEJM" TargetMode="External"/><Relationship Id="rId529" Type="http://schemas.openxmlformats.org/officeDocument/2006/relationships/hyperlink" Target="https://www.youtube.com/watch?v=ozdJ_kTaZcc" TargetMode="External"/><Relationship Id="rId407" Type="http://schemas.openxmlformats.org/officeDocument/2006/relationships/hyperlink" Target="https://www.youtube.com/watch?v=AcHVZjv6cAs" TargetMode="External"/><Relationship Id="rId528" Type="http://schemas.openxmlformats.org/officeDocument/2006/relationships/hyperlink" Target="https://www.youtube.com/watch?v=iZ6Xk9YCaaY" TargetMode="External"/><Relationship Id="rId649" Type="http://schemas.openxmlformats.org/officeDocument/2006/relationships/hyperlink" Target="https://www.youtube.com/watch?v=F2WG7neA31s" TargetMode="External"/><Relationship Id="rId406" Type="http://schemas.openxmlformats.org/officeDocument/2006/relationships/hyperlink" Target="https://www.youtube.com/watch?v=c0qRokhkADI" TargetMode="External"/><Relationship Id="rId527" Type="http://schemas.openxmlformats.org/officeDocument/2006/relationships/hyperlink" Target="https://www.youtube.com/watch?v=aRzq_l_Rmcc" TargetMode="External"/><Relationship Id="rId648" Type="http://schemas.openxmlformats.org/officeDocument/2006/relationships/hyperlink" Target="https://www.youtube.com/watch?v=Voaw-uef3Tw" TargetMode="External"/><Relationship Id="rId405" Type="http://schemas.openxmlformats.org/officeDocument/2006/relationships/hyperlink" Target="https://www.youtube.com/watch?v=yCrftsxElf8" TargetMode="External"/><Relationship Id="rId526" Type="http://schemas.openxmlformats.org/officeDocument/2006/relationships/hyperlink" Target="https://www.youtube.com/watch?v=vOOkxcKaZEo" TargetMode="External"/><Relationship Id="rId647" Type="http://schemas.openxmlformats.org/officeDocument/2006/relationships/hyperlink" Target="https://www.youtube.com/watch?v=1P_XO3xfTCs" TargetMode="External"/><Relationship Id="rId26" Type="http://schemas.openxmlformats.org/officeDocument/2006/relationships/hyperlink" Target="https://www.youtube.com/watch?v=gbWoqwJKhbM" TargetMode="External"/><Relationship Id="rId25" Type="http://schemas.openxmlformats.org/officeDocument/2006/relationships/hyperlink" Target="https://www.youtube.com/watch?v=LdrmgXtd_rs" TargetMode="External"/><Relationship Id="rId28" Type="http://schemas.openxmlformats.org/officeDocument/2006/relationships/hyperlink" Target="https://www.youtube.com/watch?v=WsjxXfklatk" TargetMode="External"/><Relationship Id="rId27" Type="http://schemas.openxmlformats.org/officeDocument/2006/relationships/hyperlink" Target="https://www.youtube.com/watch?v=RdBz1kIwrqo" TargetMode="External"/><Relationship Id="rId400" Type="http://schemas.openxmlformats.org/officeDocument/2006/relationships/hyperlink" Target="https://www.youtube.com/watch?v=w1UAQGgnz4A" TargetMode="External"/><Relationship Id="rId521" Type="http://schemas.openxmlformats.org/officeDocument/2006/relationships/hyperlink" Target="https://www.youtube.com/watch?v=4pkD8CkJiIQ" TargetMode="External"/><Relationship Id="rId642" Type="http://schemas.openxmlformats.org/officeDocument/2006/relationships/hyperlink" Target="https://www.youtube.com/watch?v=0cvq3rbQ7Dw" TargetMode="External"/><Relationship Id="rId29" Type="http://schemas.openxmlformats.org/officeDocument/2006/relationships/hyperlink" Target="https://www.youtube.com/watch?v=N0PD3TuLvoo" TargetMode="External"/><Relationship Id="rId520" Type="http://schemas.openxmlformats.org/officeDocument/2006/relationships/hyperlink" Target="https://www.youtube.com/watch?v=EfHkupTL5wU" TargetMode="External"/><Relationship Id="rId641" Type="http://schemas.openxmlformats.org/officeDocument/2006/relationships/hyperlink" Target="https://www.youtube.com/watch?v=5Qbkf3waru8" TargetMode="External"/><Relationship Id="rId762" Type="http://schemas.openxmlformats.org/officeDocument/2006/relationships/table" Target="../tables/table2.xml"/><Relationship Id="rId640" Type="http://schemas.openxmlformats.org/officeDocument/2006/relationships/hyperlink" Target="https://www.youtube.com/watch?v=Iz3TO-dXkSI" TargetMode="External"/><Relationship Id="rId760" Type="http://schemas.openxmlformats.org/officeDocument/2006/relationships/vmlDrawing" Target="../drawings/vmlDrawing13.vml"/><Relationship Id="rId11" Type="http://schemas.openxmlformats.org/officeDocument/2006/relationships/hyperlink" Target="https://www.youtube.com/watch?v=Kxuiy8OL30w" TargetMode="External"/><Relationship Id="rId10" Type="http://schemas.openxmlformats.org/officeDocument/2006/relationships/hyperlink" Target="https://www.youtube.com/watch?v=0_EJXPWJN4E" TargetMode="External"/><Relationship Id="rId13" Type="http://schemas.openxmlformats.org/officeDocument/2006/relationships/hyperlink" Target="https://www.youtube.com/watch?v=2UnJMns3fjs" TargetMode="External"/><Relationship Id="rId12" Type="http://schemas.openxmlformats.org/officeDocument/2006/relationships/hyperlink" Target="https://www.youtube.com/watch?v=jMgGGixmfus" TargetMode="External"/><Relationship Id="rId519" Type="http://schemas.openxmlformats.org/officeDocument/2006/relationships/hyperlink" Target="https://www.youtube.com/watch?v=D7yIybTWmmU" TargetMode="External"/><Relationship Id="rId514" Type="http://schemas.openxmlformats.org/officeDocument/2006/relationships/hyperlink" Target="https://www.youtube.com/watch?v=gPdm-EF13GU" TargetMode="External"/><Relationship Id="rId635" Type="http://schemas.openxmlformats.org/officeDocument/2006/relationships/hyperlink" Target="https://www.youtube.com/watch?v=GP0JLpTLOWU" TargetMode="External"/><Relationship Id="rId756" Type="http://schemas.openxmlformats.org/officeDocument/2006/relationships/hyperlink" Target="https://www.youtube.com/watch?v=9jjsiAFVdXc" TargetMode="External"/><Relationship Id="rId513" Type="http://schemas.openxmlformats.org/officeDocument/2006/relationships/hyperlink" Target="https://www.youtube.com/watch?v=3vhgcNKVRgY" TargetMode="External"/><Relationship Id="rId634" Type="http://schemas.openxmlformats.org/officeDocument/2006/relationships/hyperlink" Target="https://www.youtube.com/watch?v=6KN0GnYv6xQ" TargetMode="External"/><Relationship Id="rId755" Type="http://schemas.openxmlformats.org/officeDocument/2006/relationships/hyperlink" Target="https://www.youtube.com/watch?v=JB_lc00AWIE" TargetMode="External"/><Relationship Id="rId512" Type="http://schemas.openxmlformats.org/officeDocument/2006/relationships/hyperlink" Target="https://www.youtube.com/watch?v=NeCQOUox8zc" TargetMode="External"/><Relationship Id="rId633" Type="http://schemas.openxmlformats.org/officeDocument/2006/relationships/hyperlink" Target="https://www.youtube.com/watch?v=-c4KLljIDeo" TargetMode="External"/><Relationship Id="rId754" Type="http://schemas.openxmlformats.org/officeDocument/2006/relationships/hyperlink" Target="https://www.youtube.com/watch?v=ahKeSqFT0Nk" TargetMode="External"/><Relationship Id="rId511" Type="http://schemas.openxmlformats.org/officeDocument/2006/relationships/hyperlink" Target="https://www.youtube.com/watch?v=NMCXHN1fW9k" TargetMode="External"/><Relationship Id="rId632" Type="http://schemas.openxmlformats.org/officeDocument/2006/relationships/hyperlink" Target="https://www.youtube.com/watch?v=IS6hRiM7WuU" TargetMode="External"/><Relationship Id="rId753" Type="http://schemas.openxmlformats.org/officeDocument/2006/relationships/hyperlink" Target="https://www.youtube.com/watch?v=dvcJI5yAd6M&amp;t=122s" TargetMode="External"/><Relationship Id="rId518" Type="http://schemas.openxmlformats.org/officeDocument/2006/relationships/hyperlink" Target="https://www.youtube.com/watch?v=S9RImbEoWYA" TargetMode="External"/><Relationship Id="rId639" Type="http://schemas.openxmlformats.org/officeDocument/2006/relationships/hyperlink" Target="https://www.youtube.com/watch?v=NpCmOPhka6g" TargetMode="External"/><Relationship Id="rId517" Type="http://schemas.openxmlformats.org/officeDocument/2006/relationships/hyperlink" Target="https://www.youtube.com/watch?v=6ufhk6JL8x8" TargetMode="External"/><Relationship Id="rId638" Type="http://schemas.openxmlformats.org/officeDocument/2006/relationships/hyperlink" Target="https://www.youtube.com/watch?v=p08RUDejFXs" TargetMode="External"/><Relationship Id="rId759" Type="http://schemas.openxmlformats.org/officeDocument/2006/relationships/drawing" Target="../drawings/drawing15.xml"/><Relationship Id="rId516" Type="http://schemas.openxmlformats.org/officeDocument/2006/relationships/hyperlink" Target="https://www.youtube.com/watch?v=wu_ONpNjikY" TargetMode="External"/><Relationship Id="rId637" Type="http://schemas.openxmlformats.org/officeDocument/2006/relationships/hyperlink" Target="https://www.youtube.com/watch?v=ImpfhngYCCA" TargetMode="External"/><Relationship Id="rId758" Type="http://schemas.openxmlformats.org/officeDocument/2006/relationships/hyperlink" Target="https://www.youtube.com/watch?v=79r5KYH0nBI" TargetMode="External"/><Relationship Id="rId515" Type="http://schemas.openxmlformats.org/officeDocument/2006/relationships/hyperlink" Target="https://www.youtube.com/watch?v=wYCmU0vaKvc" TargetMode="External"/><Relationship Id="rId636" Type="http://schemas.openxmlformats.org/officeDocument/2006/relationships/hyperlink" Target="https://www.youtube.com/watch?v=OdRuRzl5pwg" TargetMode="External"/><Relationship Id="rId757" Type="http://schemas.openxmlformats.org/officeDocument/2006/relationships/hyperlink" Target="https://www.youtube.com/watch?v=9QSUsKZfoQA&amp;t=156s" TargetMode="External"/><Relationship Id="rId15" Type="http://schemas.openxmlformats.org/officeDocument/2006/relationships/hyperlink" Target="https://www.youtube.com/watch?v=Smd_3o5vtLo" TargetMode="External"/><Relationship Id="rId14" Type="http://schemas.openxmlformats.org/officeDocument/2006/relationships/hyperlink" Target="https://www.youtube.com/watch?v=KVDRl_wLqdM" TargetMode="External"/><Relationship Id="rId17" Type="http://schemas.openxmlformats.org/officeDocument/2006/relationships/hyperlink" Target="https://www.youtube.com/watch?v=NCOKqHoIW7M" TargetMode="External"/><Relationship Id="rId16" Type="http://schemas.openxmlformats.org/officeDocument/2006/relationships/hyperlink" Target="https://www.youtube.com/watch?v=iBwpK4_JtEw" TargetMode="External"/><Relationship Id="rId19" Type="http://schemas.openxmlformats.org/officeDocument/2006/relationships/hyperlink" Target="https://www.youtube.com/watch?v=0Y3z-QStbk8" TargetMode="External"/><Relationship Id="rId510" Type="http://schemas.openxmlformats.org/officeDocument/2006/relationships/hyperlink" Target="https://www.youtube.com/watch?v=1uNyxmccf1U" TargetMode="External"/><Relationship Id="rId631" Type="http://schemas.openxmlformats.org/officeDocument/2006/relationships/hyperlink" Target="https://www.youtube.com/watch?v=_zmgXM40afU" TargetMode="External"/><Relationship Id="rId752" Type="http://schemas.openxmlformats.org/officeDocument/2006/relationships/hyperlink" Target="https://www.youtube.com/watch?v=GtSbmTRia5Y" TargetMode="External"/><Relationship Id="rId18" Type="http://schemas.openxmlformats.org/officeDocument/2006/relationships/hyperlink" Target="https://www.youtube.com/watch?v=tkF_3Ixn02I" TargetMode="External"/><Relationship Id="rId630" Type="http://schemas.openxmlformats.org/officeDocument/2006/relationships/hyperlink" Target="https://www.youtube.com/watch?v=az7GJp1YAXw" TargetMode="External"/><Relationship Id="rId751" Type="http://schemas.openxmlformats.org/officeDocument/2006/relationships/hyperlink" Target="https://www.youtube.com/watch?v=dHQ-HMVdPyE" TargetMode="External"/><Relationship Id="rId750" Type="http://schemas.openxmlformats.org/officeDocument/2006/relationships/hyperlink" Target="https://www.youtube.com/watch?v=DL5cLBZou3I" TargetMode="External"/><Relationship Id="rId84" Type="http://schemas.openxmlformats.org/officeDocument/2006/relationships/hyperlink" Target="https://www.youtube.com/watch?v=3pxgnl2fHZg" TargetMode="External"/><Relationship Id="rId83" Type="http://schemas.openxmlformats.org/officeDocument/2006/relationships/hyperlink" Target="https://www.youtube.com/watch?v=knJJGEYwaZw" TargetMode="External"/><Relationship Id="rId86" Type="http://schemas.openxmlformats.org/officeDocument/2006/relationships/hyperlink" Target="https://www.youtube.com/watch?v=z1wT-GurohQ" TargetMode="External"/><Relationship Id="rId85" Type="http://schemas.openxmlformats.org/officeDocument/2006/relationships/hyperlink" Target="https://www.youtube.com/watch?v=TEUt7CVuFbI" TargetMode="External"/><Relationship Id="rId88" Type="http://schemas.openxmlformats.org/officeDocument/2006/relationships/hyperlink" Target="https://www.youtube.com/watch?v=BcDC-Op1hJc" TargetMode="External"/><Relationship Id="rId87" Type="http://schemas.openxmlformats.org/officeDocument/2006/relationships/hyperlink" Target="https://www.youtube.com/watch?v=f-XdG6v-RWk" TargetMode="External"/><Relationship Id="rId89" Type="http://schemas.openxmlformats.org/officeDocument/2006/relationships/hyperlink" Target="https://www.youtube.com/watch?v=lXmhJr1LDyI" TargetMode="External"/><Relationship Id="rId709" Type="http://schemas.openxmlformats.org/officeDocument/2006/relationships/hyperlink" Target="https://www.youtube.com/watch?v=DBYSIkWsAOI" TargetMode="External"/><Relationship Id="rId708" Type="http://schemas.openxmlformats.org/officeDocument/2006/relationships/hyperlink" Target="https://www.youtube.com/watch?v=k0FNC9LuJoo&amp;t=4s" TargetMode="External"/><Relationship Id="rId707" Type="http://schemas.openxmlformats.org/officeDocument/2006/relationships/hyperlink" Target="https://www.youtube.com/watch?v=KCUZ6hBgxc0" TargetMode="External"/><Relationship Id="rId706" Type="http://schemas.openxmlformats.org/officeDocument/2006/relationships/hyperlink" Target="https://www.youtube.com/watch?v=Zused4CGMw4" TargetMode="External"/><Relationship Id="rId80" Type="http://schemas.openxmlformats.org/officeDocument/2006/relationships/hyperlink" Target="https://www.youtube.com/watch?v=uDANJcQm-So" TargetMode="External"/><Relationship Id="rId82" Type="http://schemas.openxmlformats.org/officeDocument/2006/relationships/hyperlink" Target="https://www.youtube.com/watch?v=4eM5V0OXNNU" TargetMode="External"/><Relationship Id="rId81" Type="http://schemas.openxmlformats.org/officeDocument/2006/relationships/hyperlink" Target="https://www.youtube.com/watch?v=aXm-YqwVmbs" TargetMode="External"/><Relationship Id="rId701" Type="http://schemas.openxmlformats.org/officeDocument/2006/relationships/hyperlink" Target="https://www.youtube.com/watch?v=SNpVBfgzPmo" TargetMode="External"/><Relationship Id="rId700" Type="http://schemas.openxmlformats.org/officeDocument/2006/relationships/hyperlink" Target="https://www.youtube.com/watch?v=WzgR7yTQNzY" TargetMode="External"/><Relationship Id="rId705" Type="http://schemas.openxmlformats.org/officeDocument/2006/relationships/hyperlink" Target="https://www.youtube.com/watch?v=DMReaVWJGFE" TargetMode="External"/><Relationship Id="rId704" Type="http://schemas.openxmlformats.org/officeDocument/2006/relationships/hyperlink" Target="https://www.youtube.com/watch?v=lQph5joRdU8" TargetMode="External"/><Relationship Id="rId703" Type="http://schemas.openxmlformats.org/officeDocument/2006/relationships/hyperlink" Target="https://www.youtube.com/watch?v=g8GW7DlPr4g" TargetMode="External"/><Relationship Id="rId702" Type="http://schemas.openxmlformats.org/officeDocument/2006/relationships/hyperlink" Target="https://www.youtube.com/watch?v=MC9pK4dCHAs" TargetMode="External"/><Relationship Id="rId73" Type="http://schemas.openxmlformats.org/officeDocument/2006/relationships/hyperlink" Target="https://www.youtube.com/watch?v=MlTxtaiX1xI" TargetMode="External"/><Relationship Id="rId72" Type="http://schemas.openxmlformats.org/officeDocument/2006/relationships/hyperlink" Target="https://www.youtube.com/watch?v=OpsoPcAUMbw" TargetMode="External"/><Relationship Id="rId75" Type="http://schemas.openxmlformats.org/officeDocument/2006/relationships/hyperlink" Target="https://www.youtube.com/watch?v=YFmL65VsWdk" TargetMode="External"/><Relationship Id="rId74" Type="http://schemas.openxmlformats.org/officeDocument/2006/relationships/hyperlink" Target="https://www.youtube.com/watch?v=4yz6ZL-TC94" TargetMode="External"/><Relationship Id="rId77" Type="http://schemas.openxmlformats.org/officeDocument/2006/relationships/hyperlink" Target="https://www.youtube.com/watch?v=y1fdkGgCt64" TargetMode="External"/><Relationship Id="rId76" Type="http://schemas.openxmlformats.org/officeDocument/2006/relationships/hyperlink" Target="https://www.youtube.com/watch?v=29-xoooHPaw" TargetMode="External"/><Relationship Id="rId79" Type="http://schemas.openxmlformats.org/officeDocument/2006/relationships/hyperlink" Target="https://www.youtube.com/watch?v=54lSHTtU68A" TargetMode="External"/><Relationship Id="rId78" Type="http://schemas.openxmlformats.org/officeDocument/2006/relationships/hyperlink" Target="https://www.youtube.com/watch?v=FNqQxPkLmPI" TargetMode="External"/><Relationship Id="rId71" Type="http://schemas.openxmlformats.org/officeDocument/2006/relationships/hyperlink" Target="https://www.youtube.com/watch?v=J5mYtIH7Pho" TargetMode="External"/><Relationship Id="rId70" Type="http://schemas.openxmlformats.org/officeDocument/2006/relationships/hyperlink" Target="https://www.youtube.com/watch?v=M-zdPqtp9Kk" TargetMode="External"/><Relationship Id="rId62" Type="http://schemas.openxmlformats.org/officeDocument/2006/relationships/hyperlink" Target="https://www.youtube.com/watch?v=QZxRsM9xvK4" TargetMode="External"/><Relationship Id="rId61" Type="http://schemas.openxmlformats.org/officeDocument/2006/relationships/hyperlink" Target="https://www.youtube.com/watch?v=sc4OOSLMiQQ" TargetMode="External"/><Relationship Id="rId64" Type="http://schemas.openxmlformats.org/officeDocument/2006/relationships/hyperlink" Target="https://www.youtube.com/watch?v=-3rtVbNkNNQ" TargetMode="External"/><Relationship Id="rId63" Type="http://schemas.openxmlformats.org/officeDocument/2006/relationships/hyperlink" Target="https://www.youtube.com/watch?v=s3LVHHEe2vc" TargetMode="External"/><Relationship Id="rId66" Type="http://schemas.openxmlformats.org/officeDocument/2006/relationships/hyperlink" Target="https://www.youtube.com/watch?v=28dLjjiriJA" TargetMode="External"/><Relationship Id="rId65" Type="http://schemas.openxmlformats.org/officeDocument/2006/relationships/hyperlink" Target="https://www.youtube.com/watch?v=ytrFjytVgtk" TargetMode="External"/><Relationship Id="rId68" Type="http://schemas.openxmlformats.org/officeDocument/2006/relationships/hyperlink" Target="https://www.youtube.com/watch?v=HZ6X5Xt1nS8" TargetMode="External"/><Relationship Id="rId67" Type="http://schemas.openxmlformats.org/officeDocument/2006/relationships/hyperlink" Target="https://www.youtube.com/watch?v=mhHQNrL_bkM" TargetMode="External"/><Relationship Id="rId609" Type="http://schemas.openxmlformats.org/officeDocument/2006/relationships/hyperlink" Target="https://www.youtube.com/watch?v=1jVMegap8Ws" TargetMode="External"/><Relationship Id="rId608" Type="http://schemas.openxmlformats.org/officeDocument/2006/relationships/hyperlink" Target="https://www.youtube.com/watch?v=J2Z6w1bXfYc" TargetMode="External"/><Relationship Id="rId729" Type="http://schemas.openxmlformats.org/officeDocument/2006/relationships/hyperlink" Target="https://www.youtube.com/watch?v=s9g49kgd9ao" TargetMode="External"/><Relationship Id="rId607" Type="http://schemas.openxmlformats.org/officeDocument/2006/relationships/hyperlink" Target="https://www.youtube.com/watch?v=DrTFGS7SoCg" TargetMode="External"/><Relationship Id="rId728" Type="http://schemas.openxmlformats.org/officeDocument/2006/relationships/hyperlink" Target="https://www.youtube.com/watch?v=zEXu5K5eyCY" TargetMode="External"/><Relationship Id="rId60" Type="http://schemas.openxmlformats.org/officeDocument/2006/relationships/hyperlink" Target="https://www.youtube.com/watch?v=ByaheAphduQ" TargetMode="External"/><Relationship Id="rId602" Type="http://schemas.openxmlformats.org/officeDocument/2006/relationships/hyperlink" Target="https://www.youtube.com/watch?v=ZI3BJk08OWI" TargetMode="External"/><Relationship Id="rId723" Type="http://schemas.openxmlformats.org/officeDocument/2006/relationships/hyperlink" Target="https://www.youtube.com/watch?v=Ul-faWS75vA" TargetMode="External"/><Relationship Id="rId601" Type="http://schemas.openxmlformats.org/officeDocument/2006/relationships/hyperlink" Target="https://www.youtube.com/watch?v=j53ZVDx4pYc" TargetMode="External"/><Relationship Id="rId722" Type="http://schemas.openxmlformats.org/officeDocument/2006/relationships/hyperlink" Target="https://www.youtube.com/watch?v=tmCFtpj6IZc" TargetMode="External"/><Relationship Id="rId600" Type="http://schemas.openxmlformats.org/officeDocument/2006/relationships/hyperlink" Target="https://www.youtube.com/watch?v=ZoDHsv06lNI" TargetMode="External"/><Relationship Id="rId721" Type="http://schemas.openxmlformats.org/officeDocument/2006/relationships/hyperlink" Target="https://www.youtube.com/watch?v=sEg8fP2ckhI" TargetMode="External"/><Relationship Id="rId720" Type="http://schemas.openxmlformats.org/officeDocument/2006/relationships/hyperlink" Target="https://www.youtube.com/watch?v=tPgOVeqnOcc" TargetMode="External"/><Relationship Id="rId606" Type="http://schemas.openxmlformats.org/officeDocument/2006/relationships/hyperlink" Target="https://www.youtube.com/watch?v=EKyX0QsZVJc" TargetMode="External"/><Relationship Id="rId727" Type="http://schemas.openxmlformats.org/officeDocument/2006/relationships/hyperlink" Target="https://www.youtube.com/watch?v=5IYA6g6rNW0" TargetMode="External"/><Relationship Id="rId605" Type="http://schemas.openxmlformats.org/officeDocument/2006/relationships/hyperlink" Target="https://www.youtube.com/watch?v=0gtyqapBB3A" TargetMode="External"/><Relationship Id="rId726" Type="http://schemas.openxmlformats.org/officeDocument/2006/relationships/hyperlink" Target="https://www.youtube.com/watch?v=OmWUkxANoEk" TargetMode="External"/><Relationship Id="rId604" Type="http://schemas.openxmlformats.org/officeDocument/2006/relationships/hyperlink" Target="https://www.youtube.com/watch?v=sLe31yV0Fb4" TargetMode="External"/><Relationship Id="rId725" Type="http://schemas.openxmlformats.org/officeDocument/2006/relationships/hyperlink" Target="https://www.youtube.com/watch?v=4ej2lqB-kjM" TargetMode="External"/><Relationship Id="rId603" Type="http://schemas.openxmlformats.org/officeDocument/2006/relationships/hyperlink" Target="https://www.youtube.com/watch?v=84agoVdaycE" TargetMode="External"/><Relationship Id="rId724" Type="http://schemas.openxmlformats.org/officeDocument/2006/relationships/hyperlink" Target="https://www.youtube.com/watch?v=rP79c8rd-jE" TargetMode="External"/><Relationship Id="rId69" Type="http://schemas.openxmlformats.org/officeDocument/2006/relationships/hyperlink" Target="https://www.youtube.com/watch?v=IAmXafhUmYc" TargetMode="External"/><Relationship Id="rId51" Type="http://schemas.openxmlformats.org/officeDocument/2006/relationships/hyperlink" Target="https://www.youtube.com/watch?v=8qjQH_-WzyE" TargetMode="External"/><Relationship Id="rId50" Type="http://schemas.openxmlformats.org/officeDocument/2006/relationships/hyperlink" Target="https://www.youtube.com/watch?v=Yhp3rFuo5Cw" TargetMode="External"/><Relationship Id="rId53" Type="http://schemas.openxmlformats.org/officeDocument/2006/relationships/hyperlink" Target="https://www.youtube.com/watch?v=-udb2VYB5uo" TargetMode="External"/><Relationship Id="rId52" Type="http://schemas.openxmlformats.org/officeDocument/2006/relationships/hyperlink" Target="https://www.youtube.com/watch?v=vHWsmGyjOk0" TargetMode="External"/><Relationship Id="rId55" Type="http://schemas.openxmlformats.org/officeDocument/2006/relationships/hyperlink" Target="https://www.youtube.com/watch?v=m3jwqSSyVkg" TargetMode="External"/><Relationship Id="rId54" Type="http://schemas.openxmlformats.org/officeDocument/2006/relationships/hyperlink" Target="https://www.youtube.com/watch?v=f-MLHIb4dFU" TargetMode="External"/><Relationship Id="rId57" Type="http://schemas.openxmlformats.org/officeDocument/2006/relationships/hyperlink" Target="https://www.youtube.com/watch?v=JXjMYvGqqDE" TargetMode="External"/><Relationship Id="rId56" Type="http://schemas.openxmlformats.org/officeDocument/2006/relationships/hyperlink" Target="https://www.youtube.com/watch?v=QWaXqmcxm94" TargetMode="External"/><Relationship Id="rId719" Type="http://schemas.openxmlformats.org/officeDocument/2006/relationships/hyperlink" Target="https://www.youtube.com/watch?v=3ytmTvor21A" TargetMode="External"/><Relationship Id="rId718" Type="http://schemas.openxmlformats.org/officeDocument/2006/relationships/hyperlink" Target="https://www.youtube.com/watch?v=Owv0FewW5Bo" TargetMode="External"/><Relationship Id="rId717" Type="http://schemas.openxmlformats.org/officeDocument/2006/relationships/hyperlink" Target="https://www.youtube.com/watch?v=oLCI7vQ7WFk" TargetMode="External"/><Relationship Id="rId712" Type="http://schemas.openxmlformats.org/officeDocument/2006/relationships/hyperlink" Target="https://www.youtube.com/watch?v=wKoUB00RmE0" TargetMode="External"/><Relationship Id="rId711" Type="http://schemas.openxmlformats.org/officeDocument/2006/relationships/hyperlink" Target="https://www.youtube.com/watch?v=uaTb9-4kT2Y" TargetMode="External"/><Relationship Id="rId710" Type="http://schemas.openxmlformats.org/officeDocument/2006/relationships/hyperlink" Target="https://www.youtube.com/watch?v=VKbVHIgKbbo" TargetMode="External"/><Relationship Id="rId716" Type="http://schemas.openxmlformats.org/officeDocument/2006/relationships/hyperlink" Target="https://www.youtube.com/watch?v=1wYg5d-4aVg" TargetMode="External"/><Relationship Id="rId715" Type="http://schemas.openxmlformats.org/officeDocument/2006/relationships/hyperlink" Target="https://www.youtube.com/watch?v=inDcB8LwlqI" TargetMode="External"/><Relationship Id="rId714" Type="http://schemas.openxmlformats.org/officeDocument/2006/relationships/hyperlink" Target="https://www.youtube.com/watch?v=Ts09Fp7M53k" TargetMode="External"/><Relationship Id="rId713" Type="http://schemas.openxmlformats.org/officeDocument/2006/relationships/hyperlink" Target="https://www.youtube.com/watch?v=sI2xSENomQY" TargetMode="External"/><Relationship Id="rId59" Type="http://schemas.openxmlformats.org/officeDocument/2006/relationships/hyperlink" Target="https://www.youtube.com/watch?v=xtHzknvaS7s" TargetMode="External"/><Relationship Id="rId58" Type="http://schemas.openxmlformats.org/officeDocument/2006/relationships/hyperlink" Target="https://www.youtube.com/watch?v=TGgYE0Ui0co" TargetMode="External"/><Relationship Id="rId590" Type="http://schemas.openxmlformats.org/officeDocument/2006/relationships/hyperlink" Target="https://www.youtube.com/watch?v=9qgkONu6nbk" TargetMode="External"/><Relationship Id="rId107" Type="http://schemas.openxmlformats.org/officeDocument/2006/relationships/hyperlink" Target="https://www.youtube.com/watch?v=tUBrwCmKx8s" TargetMode="External"/><Relationship Id="rId228" Type="http://schemas.openxmlformats.org/officeDocument/2006/relationships/hyperlink" Target="https://www.youtube.com/watch?v=7RTlRYpr7o8" TargetMode="External"/><Relationship Id="rId349" Type="http://schemas.openxmlformats.org/officeDocument/2006/relationships/hyperlink" Target="https://www.youtube.com/watch?v=5U64D5B9-O0" TargetMode="External"/><Relationship Id="rId106" Type="http://schemas.openxmlformats.org/officeDocument/2006/relationships/hyperlink" Target="https://www.youtube.com/watch?v=k_PhmmAyLFg" TargetMode="External"/><Relationship Id="rId227" Type="http://schemas.openxmlformats.org/officeDocument/2006/relationships/hyperlink" Target="https://www.youtube.com/watch?v=7zvf9bnLgs8" TargetMode="External"/><Relationship Id="rId348" Type="http://schemas.openxmlformats.org/officeDocument/2006/relationships/hyperlink" Target="https://www.youtube.com/watch?v=M8Xez56Bg9c" TargetMode="External"/><Relationship Id="rId469" Type="http://schemas.openxmlformats.org/officeDocument/2006/relationships/hyperlink" Target="https://www.youtube.com/watch?v=NNu6sJz2cPI" TargetMode="External"/><Relationship Id="rId105" Type="http://schemas.openxmlformats.org/officeDocument/2006/relationships/hyperlink" Target="https://www.youtube.com/watch?v=MOkWSa69NKA" TargetMode="External"/><Relationship Id="rId226" Type="http://schemas.openxmlformats.org/officeDocument/2006/relationships/hyperlink" Target="https://www.youtube.com/watch?v=v6x52noLJOo" TargetMode="External"/><Relationship Id="rId347" Type="http://schemas.openxmlformats.org/officeDocument/2006/relationships/hyperlink" Target="https://www.youtube.com/watch?v=7cA62ZHlWx0" TargetMode="External"/><Relationship Id="rId468" Type="http://schemas.openxmlformats.org/officeDocument/2006/relationships/hyperlink" Target="https://www.youtube.com/watch?v=_vKbwIOfXy0" TargetMode="External"/><Relationship Id="rId589" Type="http://schemas.openxmlformats.org/officeDocument/2006/relationships/hyperlink" Target="https://www.youtube.com/watch?v=6WJO3QlTEpg" TargetMode="External"/><Relationship Id="rId104" Type="http://schemas.openxmlformats.org/officeDocument/2006/relationships/hyperlink" Target="https://www.youtube.com/watch?v=8RSu4ymCgp4" TargetMode="External"/><Relationship Id="rId225" Type="http://schemas.openxmlformats.org/officeDocument/2006/relationships/hyperlink" Target="https://www.youtube.com/watch?v=myyrtrylWQs" TargetMode="External"/><Relationship Id="rId346" Type="http://schemas.openxmlformats.org/officeDocument/2006/relationships/hyperlink" Target="https://www.youtube.com/watch?v=spEEA-o1zlE" TargetMode="External"/><Relationship Id="rId467" Type="http://schemas.openxmlformats.org/officeDocument/2006/relationships/hyperlink" Target="https://www.youtube.com/watch?v=WfJvOgXp9SM" TargetMode="External"/><Relationship Id="rId588" Type="http://schemas.openxmlformats.org/officeDocument/2006/relationships/hyperlink" Target="https://www.youtube.com/watch?v=zNgyoAjVDhk" TargetMode="External"/><Relationship Id="rId109" Type="http://schemas.openxmlformats.org/officeDocument/2006/relationships/hyperlink" Target="https://www.youtube.com/watch?v=WMf0Mau2TzE" TargetMode="External"/><Relationship Id="rId108" Type="http://schemas.openxmlformats.org/officeDocument/2006/relationships/hyperlink" Target="https://www.youtube.com/watch?v=Vf5BOYF0S3Y" TargetMode="External"/><Relationship Id="rId229" Type="http://schemas.openxmlformats.org/officeDocument/2006/relationships/hyperlink" Target="https://www.youtube.com/watch?v=Th1s8XrKhnk" TargetMode="External"/><Relationship Id="rId220" Type="http://schemas.openxmlformats.org/officeDocument/2006/relationships/hyperlink" Target="https://www.youtube.com/watch?v=dXkhbNnOMy0" TargetMode="External"/><Relationship Id="rId341" Type="http://schemas.openxmlformats.org/officeDocument/2006/relationships/hyperlink" Target="https://www.youtube.com/watch?v=cuauchPBFCY" TargetMode="External"/><Relationship Id="rId462" Type="http://schemas.openxmlformats.org/officeDocument/2006/relationships/hyperlink" Target="https://www.youtube.com/watch?v=9Zummy0j6Ws" TargetMode="External"/><Relationship Id="rId583" Type="http://schemas.openxmlformats.org/officeDocument/2006/relationships/hyperlink" Target="https://www.youtube.com/watch?v=B1KtIwSP4_U" TargetMode="External"/><Relationship Id="rId340" Type="http://schemas.openxmlformats.org/officeDocument/2006/relationships/hyperlink" Target="https://www.youtube.com/watch?v=LkTTH9gGQwA" TargetMode="External"/><Relationship Id="rId461" Type="http://schemas.openxmlformats.org/officeDocument/2006/relationships/hyperlink" Target="https://www.youtube.com/watch?v=KdiEMEbTV1M" TargetMode="External"/><Relationship Id="rId582" Type="http://schemas.openxmlformats.org/officeDocument/2006/relationships/hyperlink" Target="https://www.youtube.com/watch?v=vTz9mFEgYQU" TargetMode="External"/><Relationship Id="rId460" Type="http://schemas.openxmlformats.org/officeDocument/2006/relationships/hyperlink" Target="https://www.youtube.com/watch?v=5HrBZvxcPmY" TargetMode="External"/><Relationship Id="rId581" Type="http://schemas.openxmlformats.org/officeDocument/2006/relationships/hyperlink" Target="https://www.youtube.com/watch?v=HmKETjjGv0E" TargetMode="External"/><Relationship Id="rId580" Type="http://schemas.openxmlformats.org/officeDocument/2006/relationships/hyperlink" Target="https://www.youtube.com/watch?v=6PUBS8MXVzc" TargetMode="External"/><Relationship Id="rId103" Type="http://schemas.openxmlformats.org/officeDocument/2006/relationships/hyperlink" Target="https://www.youtube.com/watch?v=NPNImjeRrF8" TargetMode="External"/><Relationship Id="rId224" Type="http://schemas.openxmlformats.org/officeDocument/2006/relationships/hyperlink" Target="https://www.youtube.com/watch?v=kmJLZRzZhUA" TargetMode="External"/><Relationship Id="rId345" Type="http://schemas.openxmlformats.org/officeDocument/2006/relationships/hyperlink" Target="https://www.youtube.com/watch?v=Uk3mD3cAFXg" TargetMode="External"/><Relationship Id="rId466" Type="http://schemas.openxmlformats.org/officeDocument/2006/relationships/hyperlink" Target="https://www.youtube.com/watch?v=ohUG8LIy7Cs" TargetMode="External"/><Relationship Id="rId587" Type="http://schemas.openxmlformats.org/officeDocument/2006/relationships/hyperlink" Target="https://www.youtube.com/watch?v=EfQbirNpLM8" TargetMode="External"/><Relationship Id="rId102" Type="http://schemas.openxmlformats.org/officeDocument/2006/relationships/hyperlink" Target="https://www.youtube.com/watch?v=nmbYnYYpa6g" TargetMode="External"/><Relationship Id="rId223" Type="http://schemas.openxmlformats.org/officeDocument/2006/relationships/hyperlink" Target="https://www.youtube.com/watch?v=cshbkDak_p0" TargetMode="External"/><Relationship Id="rId344" Type="http://schemas.openxmlformats.org/officeDocument/2006/relationships/hyperlink" Target="https://www.youtube.com/watch?v=Cv8kec-TugY" TargetMode="External"/><Relationship Id="rId465" Type="http://schemas.openxmlformats.org/officeDocument/2006/relationships/hyperlink" Target="https://www.youtube.com/watch?v=fmVDyQnLFe4" TargetMode="External"/><Relationship Id="rId586" Type="http://schemas.openxmlformats.org/officeDocument/2006/relationships/hyperlink" Target="https://www.youtube.com/watch?v=Nattb-ZPK4g" TargetMode="External"/><Relationship Id="rId101" Type="http://schemas.openxmlformats.org/officeDocument/2006/relationships/hyperlink" Target="https://www.youtube.com/watch?v=SrCfhdoTLfg" TargetMode="External"/><Relationship Id="rId222" Type="http://schemas.openxmlformats.org/officeDocument/2006/relationships/hyperlink" Target="https://www.youtube.com/watch?v=mLEhBqCBBYE" TargetMode="External"/><Relationship Id="rId343" Type="http://schemas.openxmlformats.org/officeDocument/2006/relationships/hyperlink" Target="https://www.youtube.com/watch?v=vEdOCEkdY9Q" TargetMode="External"/><Relationship Id="rId464" Type="http://schemas.openxmlformats.org/officeDocument/2006/relationships/hyperlink" Target="https://www.youtube.com/watch?v=ZwiLQGKP--A" TargetMode="External"/><Relationship Id="rId585" Type="http://schemas.openxmlformats.org/officeDocument/2006/relationships/hyperlink" Target="https://www.youtube.com/watch?v=sGXLoCpynsU" TargetMode="External"/><Relationship Id="rId100" Type="http://schemas.openxmlformats.org/officeDocument/2006/relationships/hyperlink" Target="https://www.youtube.com/watch?v=91dtNzk71IA" TargetMode="External"/><Relationship Id="rId221" Type="http://schemas.openxmlformats.org/officeDocument/2006/relationships/hyperlink" Target="https://www.youtube.com/watch?v=YD-IKZbbHeU" TargetMode="External"/><Relationship Id="rId342" Type="http://schemas.openxmlformats.org/officeDocument/2006/relationships/hyperlink" Target="https://www.youtube.com/watch?v=oeJfmsvMRBs" TargetMode="External"/><Relationship Id="rId463" Type="http://schemas.openxmlformats.org/officeDocument/2006/relationships/hyperlink" Target="https://www.youtube.com/watch?v=9VsQzAI5PLo" TargetMode="External"/><Relationship Id="rId584" Type="http://schemas.openxmlformats.org/officeDocument/2006/relationships/hyperlink" Target="https://www.youtube.com/watch?v=nUfn2eRsHgo" TargetMode="External"/><Relationship Id="rId217" Type="http://schemas.openxmlformats.org/officeDocument/2006/relationships/hyperlink" Target="https://www.youtube.com/watch?v=2p91-Fy5A6Q" TargetMode="External"/><Relationship Id="rId338" Type="http://schemas.openxmlformats.org/officeDocument/2006/relationships/hyperlink" Target="https://www.youtube.com/watch?v=MP4mGKSR2-0" TargetMode="External"/><Relationship Id="rId459" Type="http://schemas.openxmlformats.org/officeDocument/2006/relationships/hyperlink" Target="https://www.youtube.com/watch?v=kZVT_WU4Pm4" TargetMode="External"/><Relationship Id="rId216" Type="http://schemas.openxmlformats.org/officeDocument/2006/relationships/hyperlink" Target="https://www.youtube.com/watch?v=gKt4SG-pAmw" TargetMode="External"/><Relationship Id="rId337" Type="http://schemas.openxmlformats.org/officeDocument/2006/relationships/hyperlink" Target="https://www.youtube.com/watch?v=Xk3tQcQ1QcQ" TargetMode="External"/><Relationship Id="rId458" Type="http://schemas.openxmlformats.org/officeDocument/2006/relationships/hyperlink" Target="https://www.youtube.com/watch?v=xVrbpqr1LEE" TargetMode="External"/><Relationship Id="rId579" Type="http://schemas.openxmlformats.org/officeDocument/2006/relationships/hyperlink" Target="https://www.youtube.com/watch?v=wEalKzas5Ig" TargetMode="External"/><Relationship Id="rId215" Type="http://schemas.openxmlformats.org/officeDocument/2006/relationships/hyperlink" Target="https://www.youtube.com/watch?v=9ScY3DQ8lnM" TargetMode="External"/><Relationship Id="rId336" Type="http://schemas.openxmlformats.org/officeDocument/2006/relationships/hyperlink" Target="https://www.youtube.com/watch?v=zgOMSgegwGk" TargetMode="External"/><Relationship Id="rId457" Type="http://schemas.openxmlformats.org/officeDocument/2006/relationships/hyperlink" Target="https://www.youtube.com/watch?v=IQCY6tVgZ9s" TargetMode="External"/><Relationship Id="rId578" Type="http://schemas.openxmlformats.org/officeDocument/2006/relationships/hyperlink" Target="https://www.youtube.com/watch?v=qiir-ZWT6yI" TargetMode="External"/><Relationship Id="rId699" Type="http://schemas.openxmlformats.org/officeDocument/2006/relationships/hyperlink" Target="https://www.youtube.com/watch?v=vmOlaD1O5rg" TargetMode="External"/><Relationship Id="rId214" Type="http://schemas.openxmlformats.org/officeDocument/2006/relationships/hyperlink" Target="https://www.youtube.com/watch?v=8ZJ9Ubv74Fc" TargetMode="External"/><Relationship Id="rId335" Type="http://schemas.openxmlformats.org/officeDocument/2006/relationships/hyperlink" Target="https://www.youtube.com/watch?v=gtDa8NLyc74" TargetMode="External"/><Relationship Id="rId456" Type="http://schemas.openxmlformats.org/officeDocument/2006/relationships/hyperlink" Target="https://www.youtube.com/watch?v=Cuelsn9VyZQ" TargetMode="External"/><Relationship Id="rId577" Type="http://schemas.openxmlformats.org/officeDocument/2006/relationships/hyperlink" Target="https://www.youtube.com/watch?v=ANDhhofT1w0" TargetMode="External"/><Relationship Id="rId698" Type="http://schemas.openxmlformats.org/officeDocument/2006/relationships/hyperlink" Target="https://www.youtube.com/watch?v=vhlPSbFlxPI" TargetMode="External"/><Relationship Id="rId219" Type="http://schemas.openxmlformats.org/officeDocument/2006/relationships/hyperlink" Target="https://www.youtube.com/watch?v=nEEhdprZ-EE" TargetMode="External"/><Relationship Id="rId218" Type="http://schemas.openxmlformats.org/officeDocument/2006/relationships/hyperlink" Target="https://www.youtube.com/watch?v=30958J1ez4k" TargetMode="External"/><Relationship Id="rId339" Type="http://schemas.openxmlformats.org/officeDocument/2006/relationships/hyperlink" Target="https://www.youtube.com/watch?v=55sjF1l4Hu0" TargetMode="External"/><Relationship Id="rId330" Type="http://schemas.openxmlformats.org/officeDocument/2006/relationships/hyperlink" Target="https://www.youtube.com/watch?v=GpEk4HU0r2Y" TargetMode="External"/><Relationship Id="rId451" Type="http://schemas.openxmlformats.org/officeDocument/2006/relationships/hyperlink" Target="https://www.youtube.com/watch?v=lJLoAHZxMWE" TargetMode="External"/><Relationship Id="rId572" Type="http://schemas.openxmlformats.org/officeDocument/2006/relationships/hyperlink" Target="https://www.youtube.com/watch?v=BKG8mWyOvuw" TargetMode="External"/><Relationship Id="rId693" Type="http://schemas.openxmlformats.org/officeDocument/2006/relationships/hyperlink" Target="https://www.youtube.com/watch?v=gtJ9OzJIB_c" TargetMode="External"/><Relationship Id="rId450" Type="http://schemas.openxmlformats.org/officeDocument/2006/relationships/hyperlink" Target="https://www.youtube.com/watch?v=xhcu0nbcfy0" TargetMode="External"/><Relationship Id="rId571" Type="http://schemas.openxmlformats.org/officeDocument/2006/relationships/hyperlink" Target="https://www.youtube.com/watch?v=KYhdz2LiDLA" TargetMode="External"/><Relationship Id="rId692" Type="http://schemas.openxmlformats.org/officeDocument/2006/relationships/hyperlink" Target="https://www.youtube.com/watch?v=0RYS6V76lRQ" TargetMode="External"/><Relationship Id="rId570" Type="http://schemas.openxmlformats.org/officeDocument/2006/relationships/hyperlink" Target="https://www.youtube.com/watch?v=i24adZlRCZk" TargetMode="External"/><Relationship Id="rId691" Type="http://schemas.openxmlformats.org/officeDocument/2006/relationships/hyperlink" Target="https://www.youtube.com/watch?v=qqDl6coS7wg" TargetMode="External"/><Relationship Id="rId690" Type="http://schemas.openxmlformats.org/officeDocument/2006/relationships/hyperlink" Target="https://www.youtube.com/watch?v=kcbL1wC9PEg" TargetMode="External"/><Relationship Id="rId213" Type="http://schemas.openxmlformats.org/officeDocument/2006/relationships/hyperlink" Target="https://www.youtube.com/watch?v=AOQPqjRx-0c" TargetMode="External"/><Relationship Id="rId334" Type="http://schemas.openxmlformats.org/officeDocument/2006/relationships/hyperlink" Target="https://www.youtube.com/watch?v=afXofZLlzB4" TargetMode="External"/><Relationship Id="rId455" Type="http://schemas.openxmlformats.org/officeDocument/2006/relationships/hyperlink" Target="https://www.youtube.com/watch?v=tpUBWJjtzrA" TargetMode="External"/><Relationship Id="rId576" Type="http://schemas.openxmlformats.org/officeDocument/2006/relationships/hyperlink" Target="https://www.youtube.com/watch?v=C6XbkLOcyVs" TargetMode="External"/><Relationship Id="rId697" Type="http://schemas.openxmlformats.org/officeDocument/2006/relationships/hyperlink" Target="https://www.youtube.com/watch?v=_xxJKDZyRuE" TargetMode="External"/><Relationship Id="rId212" Type="http://schemas.openxmlformats.org/officeDocument/2006/relationships/hyperlink" Target="https://www.youtube.com/watch?v=F-ZzB9uBQNs" TargetMode="External"/><Relationship Id="rId333" Type="http://schemas.openxmlformats.org/officeDocument/2006/relationships/hyperlink" Target="https://www.youtube.com/watch?v=3eTjsY7w5kM" TargetMode="External"/><Relationship Id="rId454" Type="http://schemas.openxmlformats.org/officeDocument/2006/relationships/hyperlink" Target="https://www.youtube.com/watch?v=LEotomBnsQk" TargetMode="External"/><Relationship Id="rId575" Type="http://schemas.openxmlformats.org/officeDocument/2006/relationships/hyperlink" Target="https://www.youtube.com/watch?v=Kfvmj7QyAfQ" TargetMode="External"/><Relationship Id="rId696" Type="http://schemas.openxmlformats.org/officeDocument/2006/relationships/hyperlink" Target="https://www.youtube.com/watch?v=OI3nL5YCIO8" TargetMode="External"/><Relationship Id="rId211" Type="http://schemas.openxmlformats.org/officeDocument/2006/relationships/hyperlink" Target="https://www.youtube.com/watch?v=zVH1ZOi2_yk" TargetMode="External"/><Relationship Id="rId332" Type="http://schemas.openxmlformats.org/officeDocument/2006/relationships/hyperlink" Target="https://www.youtube.com/watch?v=liKAbE7beNI" TargetMode="External"/><Relationship Id="rId453" Type="http://schemas.openxmlformats.org/officeDocument/2006/relationships/hyperlink" Target="https://www.youtube.com/watch?v=t5tjD9qq-98" TargetMode="External"/><Relationship Id="rId574" Type="http://schemas.openxmlformats.org/officeDocument/2006/relationships/hyperlink" Target="https://www.youtube.com/watch?v=BsEY7XJTv70" TargetMode="External"/><Relationship Id="rId695" Type="http://schemas.openxmlformats.org/officeDocument/2006/relationships/hyperlink" Target="https://www.youtube.com/watch?v=4iGdwJ3nQcs&amp;t=38s" TargetMode="External"/><Relationship Id="rId210" Type="http://schemas.openxmlformats.org/officeDocument/2006/relationships/hyperlink" Target="https://www.youtube.com/watch?v=y-v-Ijc7W3Y" TargetMode="External"/><Relationship Id="rId331" Type="http://schemas.openxmlformats.org/officeDocument/2006/relationships/hyperlink" Target="https://www.youtube.com/watch?v=322EiuTqg7w" TargetMode="External"/><Relationship Id="rId452" Type="http://schemas.openxmlformats.org/officeDocument/2006/relationships/hyperlink" Target="https://www.youtube.com/watch?v=dSKwv3KOvN8" TargetMode="External"/><Relationship Id="rId573" Type="http://schemas.openxmlformats.org/officeDocument/2006/relationships/hyperlink" Target="https://www.youtube.com/watch?v=bGDeGR7DrFw" TargetMode="External"/><Relationship Id="rId694" Type="http://schemas.openxmlformats.org/officeDocument/2006/relationships/hyperlink" Target="https://www.youtube.com/watch?v=7AYmPqY5iF4" TargetMode="External"/><Relationship Id="rId370" Type="http://schemas.openxmlformats.org/officeDocument/2006/relationships/hyperlink" Target="https://www.youtube.com/watch?v=XCXsh2mfb3M" TargetMode="External"/><Relationship Id="rId491" Type="http://schemas.openxmlformats.org/officeDocument/2006/relationships/hyperlink" Target="https://www.youtube.com/watch?v=ejkbEib1Otk" TargetMode="External"/><Relationship Id="rId490" Type="http://schemas.openxmlformats.org/officeDocument/2006/relationships/hyperlink" Target="https://www.youtube.com/watch?v=iGqKIfGTc-s" TargetMode="External"/><Relationship Id="rId129" Type="http://schemas.openxmlformats.org/officeDocument/2006/relationships/hyperlink" Target="https://www.youtube.com/watch?v=JErwMUETzvU" TargetMode="External"/><Relationship Id="rId128" Type="http://schemas.openxmlformats.org/officeDocument/2006/relationships/hyperlink" Target="https://www.youtube.com/watch?v=08Xwx9vsy6w" TargetMode="External"/><Relationship Id="rId249" Type="http://schemas.openxmlformats.org/officeDocument/2006/relationships/hyperlink" Target="https://www.youtube.com/watch?v=R2XPp4eJXLk" TargetMode="External"/><Relationship Id="rId127" Type="http://schemas.openxmlformats.org/officeDocument/2006/relationships/hyperlink" Target="https://www.youtube.com/watch?v=6LOxjxiZ3NQ" TargetMode="External"/><Relationship Id="rId248" Type="http://schemas.openxmlformats.org/officeDocument/2006/relationships/hyperlink" Target="https://www.youtube.com/watch?v=jaw4U_s24zo" TargetMode="External"/><Relationship Id="rId369" Type="http://schemas.openxmlformats.org/officeDocument/2006/relationships/hyperlink" Target="https://www.youtube.com/watch?v=yMRw4TF7CAk" TargetMode="External"/><Relationship Id="rId126" Type="http://schemas.openxmlformats.org/officeDocument/2006/relationships/hyperlink" Target="https://www.youtube.com/watch?v=UrWQfScMALY" TargetMode="External"/><Relationship Id="rId247" Type="http://schemas.openxmlformats.org/officeDocument/2006/relationships/hyperlink" Target="https://www.youtube.com/watch?v=1_8y5fSSOlE" TargetMode="External"/><Relationship Id="rId368" Type="http://schemas.openxmlformats.org/officeDocument/2006/relationships/hyperlink" Target="https://www.youtube.com/watch?v=qY5oQOirve4" TargetMode="External"/><Relationship Id="rId489" Type="http://schemas.openxmlformats.org/officeDocument/2006/relationships/hyperlink" Target="https://www.youtube.com/watch?v=FQ3dpY5j5y8" TargetMode="External"/><Relationship Id="rId121" Type="http://schemas.openxmlformats.org/officeDocument/2006/relationships/hyperlink" Target="https://www.youtube.com/watch?v=v6It_CJ27bg" TargetMode="External"/><Relationship Id="rId242" Type="http://schemas.openxmlformats.org/officeDocument/2006/relationships/hyperlink" Target="https://www.youtube.com/watch?v=bEc29vVNLOc" TargetMode="External"/><Relationship Id="rId363" Type="http://schemas.openxmlformats.org/officeDocument/2006/relationships/hyperlink" Target="https://www.youtube.com/watch?v=DYtc95s7Kpc" TargetMode="External"/><Relationship Id="rId484" Type="http://schemas.openxmlformats.org/officeDocument/2006/relationships/hyperlink" Target="https://www.youtube.com/watch?v=pIn71L7Kv9Q" TargetMode="External"/><Relationship Id="rId120" Type="http://schemas.openxmlformats.org/officeDocument/2006/relationships/hyperlink" Target="https://www.youtube.com/watch?v=rdyZwjy8Wko" TargetMode="External"/><Relationship Id="rId241" Type="http://schemas.openxmlformats.org/officeDocument/2006/relationships/hyperlink" Target="https://www.youtube.com/watch?v=4H5piNrmsCU" TargetMode="External"/><Relationship Id="rId362" Type="http://schemas.openxmlformats.org/officeDocument/2006/relationships/hyperlink" Target="https://www.youtube.com/watch?v=QT3p6iGNrkU" TargetMode="External"/><Relationship Id="rId483" Type="http://schemas.openxmlformats.org/officeDocument/2006/relationships/hyperlink" Target="https://www.youtube.com/watch?v=xAx9rKxKjCk" TargetMode="External"/><Relationship Id="rId240" Type="http://schemas.openxmlformats.org/officeDocument/2006/relationships/hyperlink" Target="https://www.youtube.com/watch?v=pfw-rEK12IA" TargetMode="External"/><Relationship Id="rId361" Type="http://schemas.openxmlformats.org/officeDocument/2006/relationships/hyperlink" Target="https://www.youtube.com/watch?v=I6Nwopg3FIw" TargetMode="External"/><Relationship Id="rId482" Type="http://schemas.openxmlformats.org/officeDocument/2006/relationships/hyperlink" Target="https://www.youtube.com/watch?v=-HWLO-7d98U" TargetMode="External"/><Relationship Id="rId360" Type="http://schemas.openxmlformats.org/officeDocument/2006/relationships/hyperlink" Target="https://www.youtube.com/watch?v=Xml5nVm8bg0" TargetMode="External"/><Relationship Id="rId481" Type="http://schemas.openxmlformats.org/officeDocument/2006/relationships/hyperlink" Target="https://www.youtube.com/watch?v=Xsq9jAEpAY8" TargetMode="External"/><Relationship Id="rId125" Type="http://schemas.openxmlformats.org/officeDocument/2006/relationships/hyperlink" Target="https://www.youtube.com/watch?v=BF7tCmPOjs4" TargetMode="External"/><Relationship Id="rId246" Type="http://schemas.openxmlformats.org/officeDocument/2006/relationships/hyperlink" Target="https://www.youtube.com/watch?v=TbQkh6axHEM" TargetMode="External"/><Relationship Id="rId367" Type="http://schemas.openxmlformats.org/officeDocument/2006/relationships/hyperlink" Target="https://www.youtube.com/watch?v=w2e5eqI49cE" TargetMode="External"/><Relationship Id="rId488" Type="http://schemas.openxmlformats.org/officeDocument/2006/relationships/hyperlink" Target="https://www.youtube.com/watch?v=FTdLV7hcCvI" TargetMode="External"/><Relationship Id="rId124" Type="http://schemas.openxmlformats.org/officeDocument/2006/relationships/hyperlink" Target="https://www.youtube.com/watch?v=qDcBHNXLxdc" TargetMode="External"/><Relationship Id="rId245" Type="http://schemas.openxmlformats.org/officeDocument/2006/relationships/hyperlink" Target="https://www.youtube.com/watch?v=4gAHt9ki2xY" TargetMode="External"/><Relationship Id="rId366" Type="http://schemas.openxmlformats.org/officeDocument/2006/relationships/hyperlink" Target="https://www.youtube.com/watch?v=xA9TKhOjY24" TargetMode="External"/><Relationship Id="rId487" Type="http://schemas.openxmlformats.org/officeDocument/2006/relationships/hyperlink" Target="https://www.youtube.com/watch?v=G2ke7Higm-Y" TargetMode="External"/><Relationship Id="rId123" Type="http://schemas.openxmlformats.org/officeDocument/2006/relationships/hyperlink" Target="https://www.youtube.com/watch?v=67Y76FPHZ-g" TargetMode="External"/><Relationship Id="rId244" Type="http://schemas.openxmlformats.org/officeDocument/2006/relationships/hyperlink" Target="https://www.youtube.com/watch?v=3asYCknfoMo" TargetMode="External"/><Relationship Id="rId365" Type="http://schemas.openxmlformats.org/officeDocument/2006/relationships/hyperlink" Target="https://www.youtube.com/watch?v=ZpdQsUkjwMc" TargetMode="External"/><Relationship Id="rId486" Type="http://schemas.openxmlformats.org/officeDocument/2006/relationships/hyperlink" Target="https://www.youtube.com/watch?v=ZhuUYD3QvB8" TargetMode="External"/><Relationship Id="rId122" Type="http://schemas.openxmlformats.org/officeDocument/2006/relationships/hyperlink" Target="https://www.youtube.com/watch?v=vSLKEwGRgbY" TargetMode="External"/><Relationship Id="rId243" Type="http://schemas.openxmlformats.org/officeDocument/2006/relationships/hyperlink" Target="https://www.youtube.com/watch?v=7WA-8QBd5Tk" TargetMode="External"/><Relationship Id="rId364" Type="http://schemas.openxmlformats.org/officeDocument/2006/relationships/hyperlink" Target="https://www.youtube.com/watch?v=Lg0JLlBHCgA" TargetMode="External"/><Relationship Id="rId485" Type="http://schemas.openxmlformats.org/officeDocument/2006/relationships/hyperlink" Target="https://www.youtube.com/watch?v=9oRLNbl-DxI" TargetMode="External"/><Relationship Id="rId95" Type="http://schemas.openxmlformats.org/officeDocument/2006/relationships/hyperlink" Target="https://www.youtube.com/watch?v=fjD9BVlmPoA" TargetMode="External"/><Relationship Id="rId94" Type="http://schemas.openxmlformats.org/officeDocument/2006/relationships/hyperlink" Target="https://www.youtube.com/watch?v=0uPW7Jf9y7o" TargetMode="External"/><Relationship Id="rId97" Type="http://schemas.openxmlformats.org/officeDocument/2006/relationships/hyperlink" Target="https://www.youtube.com/watch?v=schP-IZS5Sw" TargetMode="External"/><Relationship Id="rId96" Type="http://schemas.openxmlformats.org/officeDocument/2006/relationships/hyperlink" Target="https://www.youtube.com/watch?v=iGpYgqX-p8c" TargetMode="External"/><Relationship Id="rId99" Type="http://schemas.openxmlformats.org/officeDocument/2006/relationships/hyperlink" Target="https://www.youtube.com/watch?v=-WPYCv8jdJc" TargetMode="External"/><Relationship Id="rId480" Type="http://schemas.openxmlformats.org/officeDocument/2006/relationships/hyperlink" Target="https://www.youtube.com/watch?v=EMznloyYysU" TargetMode="External"/><Relationship Id="rId98" Type="http://schemas.openxmlformats.org/officeDocument/2006/relationships/hyperlink" Target="https://www.youtube.com/watch?v=gmu_fBglk-A" TargetMode="External"/><Relationship Id="rId91" Type="http://schemas.openxmlformats.org/officeDocument/2006/relationships/hyperlink" Target="https://www.youtube.com/watch?v=O0wEzvYOTJw" TargetMode="External"/><Relationship Id="rId90" Type="http://schemas.openxmlformats.org/officeDocument/2006/relationships/hyperlink" Target="https://www.youtube.com/watch?v=Wrs0XEoFHAM" TargetMode="External"/><Relationship Id="rId93" Type="http://schemas.openxmlformats.org/officeDocument/2006/relationships/hyperlink" Target="https://www.youtube.com/watch?v=VP5gPVW3XDM" TargetMode="External"/><Relationship Id="rId92" Type="http://schemas.openxmlformats.org/officeDocument/2006/relationships/hyperlink" Target="https://www.youtube.com/watch?v=G3NpQQMh8jQ" TargetMode="External"/><Relationship Id="rId118" Type="http://schemas.openxmlformats.org/officeDocument/2006/relationships/hyperlink" Target="https://www.youtube.com/watch?v=TxC_8Xllf-M" TargetMode="External"/><Relationship Id="rId239" Type="http://schemas.openxmlformats.org/officeDocument/2006/relationships/hyperlink" Target="https://www.youtube.com/watch?v=QPVDHJcsv5U" TargetMode="External"/><Relationship Id="rId117" Type="http://schemas.openxmlformats.org/officeDocument/2006/relationships/hyperlink" Target="https://www.youtube.com/watch?v=vnw9dW2QgYk" TargetMode="External"/><Relationship Id="rId238" Type="http://schemas.openxmlformats.org/officeDocument/2006/relationships/hyperlink" Target="https://www.youtube.com/watch?v=GajqTVRZzfE" TargetMode="External"/><Relationship Id="rId359" Type="http://schemas.openxmlformats.org/officeDocument/2006/relationships/hyperlink" Target="https://www.youtube.com/watch?v=dgXtHzSngX0" TargetMode="External"/><Relationship Id="rId116" Type="http://schemas.openxmlformats.org/officeDocument/2006/relationships/hyperlink" Target="https://www.youtube.com/watch?v=eKtCOiQbVX0" TargetMode="External"/><Relationship Id="rId237" Type="http://schemas.openxmlformats.org/officeDocument/2006/relationships/hyperlink" Target="https://www.youtube.com/watch?v=DoYL7K2djDY" TargetMode="External"/><Relationship Id="rId358" Type="http://schemas.openxmlformats.org/officeDocument/2006/relationships/hyperlink" Target="https://www.youtube.com/watch?v=dlQfycnk550" TargetMode="External"/><Relationship Id="rId479" Type="http://schemas.openxmlformats.org/officeDocument/2006/relationships/hyperlink" Target="https://www.youtube.com/watch?v=47hxgUfQ8jo" TargetMode="External"/><Relationship Id="rId115" Type="http://schemas.openxmlformats.org/officeDocument/2006/relationships/hyperlink" Target="https://www.youtube.com/watch?v=iFLc0n8RSAA" TargetMode="External"/><Relationship Id="rId236" Type="http://schemas.openxmlformats.org/officeDocument/2006/relationships/hyperlink" Target="https://www.youtube.com/watch?v=KBA7GLExw3o" TargetMode="External"/><Relationship Id="rId357" Type="http://schemas.openxmlformats.org/officeDocument/2006/relationships/hyperlink" Target="https://www.youtube.com/watch?v=wKE7d6nLsDM" TargetMode="External"/><Relationship Id="rId478" Type="http://schemas.openxmlformats.org/officeDocument/2006/relationships/hyperlink" Target="https://www.youtube.com/watch?v=rAWCL2ENS90" TargetMode="External"/><Relationship Id="rId599" Type="http://schemas.openxmlformats.org/officeDocument/2006/relationships/hyperlink" Target="https://www.youtube.com/watch?v=ZkrWcJXqbGA" TargetMode="External"/><Relationship Id="rId119" Type="http://schemas.openxmlformats.org/officeDocument/2006/relationships/hyperlink" Target="https://www.youtube.com/watch?v=nbZhVwfCRMU" TargetMode="External"/><Relationship Id="rId110" Type="http://schemas.openxmlformats.org/officeDocument/2006/relationships/hyperlink" Target="https://www.youtube.com/watch?v=apOba1F4MT4" TargetMode="External"/><Relationship Id="rId231" Type="http://schemas.openxmlformats.org/officeDocument/2006/relationships/hyperlink" Target="https://www.youtube.com/watch?v=Cs9JbmZ0poM" TargetMode="External"/><Relationship Id="rId352" Type="http://schemas.openxmlformats.org/officeDocument/2006/relationships/hyperlink" Target="https://www.youtube.com/watch?v=YHee5lF9yPc" TargetMode="External"/><Relationship Id="rId473" Type="http://schemas.openxmlformats.org/officeDocument/2006/relationships/hyperlink" Target="https://www.youtube.com/watch?v=gF2CbaL7t6g" TargetMode="External"/><Relationship Id="rId594" Type="http://schemas.openxmlformats.org/officeDocument/2006/relationships/hyperlink" Target="https://www.youtube.com/watch?v=MqvZxu1TaSQ" TargetMode="External"/><Relationship Id="rId230" Type="http://schemas.openxmlformats.org/officeDocument/2006/relationships/hyperlink" Target="https://www.youtube.com/watch?v=oYXPvuD_ejM" TargetMode="External"/><Relationship Id="rId351" Type="http://schemas.openxmlformats.org/officeDocument/2006/relationships/hyperlink" Target="https://www.youtube.com/watch?v=zKr-cYKprD8" TargetMode="External"/><Relationship Id="rId472" Type="http://schemas.openxmlformats.org/officeDocument/2006/relationships/hyperlink" Target="https://www.youtube.com/watch?v=NRep5rGd_FU" TargetMode="External"/><Relationship Id="rId593" Type="http://schemas.openxmlformats.org/officeDocument/2006/relationships/hyperlink" Target="https://www.youtube.com/watch?v=B3K5KRgT0oE" TargetMode="External"/><Relationship Id="rId350" Type="http://schemas.openxmlformats.org/officeDocument/2006/relationships/hyperlink" Target="https://www.youtube.com/watch?v=fKsfq4rFzbA" TargetMode="External"/><Relationship Id="rId471" Type="http://schemas.openxmlformats.org/officeDocument/2006/relationships/hyperlink" Target="https://www.youtube.com/watch?v=GiNhw1WJNXc" TargetMode="External"/><Relationship Id="rId592" Type="http://schemas.openxmlformats.org/officeDocument/2006/relationships/hyperlink" Target="https://www.youtube.com/watch?v=Qh0tc43apsI" TargetMode="External"/><Relationship Id="rId470" Type="http://schemas.openxmlformats.org/officeDocument/2006/relationships/hyperlink" Target="https://www.youtube.com/watch?v=Deab_JE4fv4" TargetMode="External"/><Relationship Id="rId591" Type="http://schemas.openxmlformats.org/officeDocument/2006/relationships/hyperlink" Target="https://www.youtube.com/watch?v=k8zAYJDE01E" TargetMode="External"/><Relationship Id="rId114" Type="http://schemas.openxmlformats.org/officeDocument/2006/relationships/hyperlink" Target="https://www.youtube.com/watch?v=myZqody8PTw" TargetMode="External"/><Relationship Id="rId235" Type="http://schemas.openxmlformats.org/officeDocument/2006/relationships/hyperlink" Target="https://www.youtube.com/watch?v=iY88UCitwGY" TargetMode="External"/><Relationship Id="rId356" Type="http://schemas.openxmlformats.org/officeDocument/2006/relationships/hyperlink" Target="https://www.youtube.com/watch?v=hPD7CW4JiSA" TargetMode="External"/><Relationship Id="rId477" Type="http://schemas.openxmlformats.org/officeDocument/2006/relationships/hyperlink" Target="https://www.youtube.com/watch?v=Hqx5Pfe-4NI" TargetMode="External"/><Relationship Id="rId598" Type="http://schemas.openxmlformats.org/officeDocument/2006/relationships/hyperlink" Target="https://www.youtube.com/watch?v=MFeGLeUGf6Q" TargetMode="External"/><Relationship Id="rId113" Type="http://schemas.openxmlformats.org/officeDocument/2006/relationships/hyperlink" Target="https://www.youtube.com/watch?v=nQhpJFt2KG8" TargetMode="External"/><Relationship Id="rId234" Type="http://schemas.openxmlformats.org/officeDocument/2006/relationships/hyperlink" Target="https://www.youtube.com/watch?v=-rJtFWVJpjA" TargetMode="External"/><Relationship Id="rId355" Type="http://schemas.openxmlformats.org/officeDocument/2006/relationships/hyperlink" Target="https://www.youtube.com/watch?v=JkoZriLo3fA" TargetMode="External"/><Relationship Id="rId476" Type="http://schemas.openxmlformats.org/officeDocument/2006/relationships/hyperlink" Target="https://www.youtube.com/watch?v=VDqAX3plBww" TargetMode="External"/><Relationship Id="rId597" Type="http://schemas.openxmlformats.org/officeDocument/2006/relationships/hyperlink" Target="https://www.youtube.com/watch?v=m1RnPcyk_e0" TargetMode="External"/><Relationship Id="rId112" Type="http://schemas.openxmlformats.org/officeDocument/2006/relationships/hyperlink" Target="https://www.youtube.com/watch?v=61LvuBJ6Ojs" TargetMode="External"/><Relationship Id="rId233" Type="http://schemas.openxmlformats.org/officeDocument/2006/relationships/hyperlink" Target="https://www.youtube.com/watch?v=QfYz6BBYpWg" TargetMode="External"/><Relationship Id="rId354" Type="http://schemas.openxmlformats.org/officeDocument/2006/relationships/hyperlink" Target="https://www.youtube.com/watch?v=yp1ZVELrxIA" TargetMode="External"/><Relationship Id="rId475" Type="http://schemas.openxmlformats.org/officeDocument/2006/relationships/hyperlink" Target="https://www.youtube.com/watch?v=AB0KeX_0T2I" TargetMode="External"/><Relationship Id="rId596" Type="http://schemas.openxmlformats.org/officeDocument/2006/relationships/hyperlink" Target="https://www.youtube.com/watch?v=YtD-Ro9OJRQ" TargetMode="External"/><Relationship Id="rId111" Type="http://schemas.openxmlformats.org/officeDocument/2006/relationships/hyperlink" Target="https://www.youtube.com/watch?v=CtiARMXwI0Q" TargetMode="External"/><Relationship Id="rId232" Type="http://schemas.openxmlformats.org/officeDocument/2006/relationships/hyperlink" Target="https://www.youtube.com/watch?v=xGvABG6vfLg" TargetMode="External"/><Relationship Id="rId353" Type="http://schemas.openxmlformats.org/officeDocument/2006/relationships/hyperlink" Target="https://www.youtube.com/watch?v=8xbYHg11ROo" TargetMode="External"/><Relationship Id="rId474" Type="http://schemas.openxmlformats.org/officeDocument/2006/relationships/hyperlink" Target="https://www.youtube.com/watch?v=GB9g4sKWR0M" TargetMode="External"/><Relationship Id="rId595" Type="http://schemas.openxmlformats.org/officeDocument/2006/relationships/hyperlink" Target="https://www.youtube.com/watch?v=SmB_GUlrfzk" TargetMode="External"/><Relationship Id="rId305" Type="http://schemas.openxmlformats.org/officeDocument/2006/relationships/hyperlink" Target="https://www.youtube.com/watch?v=59-D2X_vmlA" TargetMode="External"/><Relationship Id="rId426" Type="http://schemas.openxmlformats.org/officeDocument/2006/relationships/hyperlink" Target="https://www.youtube.com/watch?v=5iT09vIaZOU" TargetMode="External"/><Relationship Id="rId547" Type="http://schemas.openxmlformats.org/officeDocument/2006/relationships/hyperlink" Target="https://www.youtube.com/watch?v=av1BWeMbl1Q" TargetMode="External"/><Relationship Id="rId668" Type="http://schemas.openxmlformats.org/officeDocument/2006/relationships/hyperlink" Target="https://www.youtube.com/watch?v=XfaMChybaCc" TargetMode="External"/><Relationship Id="rId304" Type="http://schemas.openxmlformats.org/officeDocument/2006/relationships/hyperlink" Target="https://www.youtube.com/watch?v=0DzUUFbFZHs" TargetMode="External"/><Relationship Id="rId425" Type="http://schemas.openxmlformats.org/officeDocument/2006/relationships/hyperlink" Target="https://www.youtube.com/watch?v=dzUx3zUv_yw" TargetMode="External"/><Relationship Id="rId546" Type="http://schemas.openxmlformats.org/officeDocument/2006/relationships/hyperlink" Target="https://www.youtube.com/watch?v=Aivw6qVhabo" TargetMode="External"/><Relationship Id="rId667" Type="http://schemas.openxmlformats.org/officeDocument/2006/relationships/hyperlink" Target="https://www.youtube.com/watch?v=EXkq2inhXiw" TargetMode="External"/><Relationship Id="rId303" Type="http://schemas.openxmlformats.org/officeDocument/2006/relationships/hyperlink" Target="https://www.youtube.com/watch?v=tNKCTknE59M" TargetMode="External"/><Relationship Id="rId424" Type="http://schemas.openxmlformats.org/officeDocument/2006/relationships/hyperlink" Target="https://www.youtube.com/watch?v=zV5AbsAy5m4" TargetMode="External"/><Relationship Id="rId545" Type="http://schemas.openxmlformats.org/officeDocument/2006/relationships/hyperlink" Target="https://www.youtube.com/watch?v=3dgPn1KOovw" TargetMode="External"/><Relationship Id="rId666" Type="http://schemas.openxmlformats.org/officeDocument/2006/relationships/hyperlink" Target="https://www.youtube.com/watch?v=MAt3aD51sUM" TargetMode="External"/><Relationship Id="rId302" Type="http://schemas.openxmlformats.org/officeDocument/2006/relationships/hyperlink" Target="https://www.youtube.com/watch?v=tBf6vZKjL9w" TargetMode="External"/><Relationship Id="rId423" Type="http://schemas.openxmlformats.org/officeDocument/2006/relationships/hyperlink" Target="https://www.youtube.com/watch?v=mK5DuxKw-I8" TargetMode="External"/><Relationship Id="rId544" Type="http://schemas.openxmlformats.org/officeDocument/2006/relationships/hyperlink" Target="https://www.youtube.com/watch?v=mxQpJeckKaU" TargetMode="External"/><Relationship Id="rId665" Type="http://schemas.openxmlformats.org/officeDocument/2006/relationships/hyperlink" Target="https://www.youtube.com/watch?v=sZGlmV--sG4" TargetMode="External"/><Relationship Id="rId309" Type="http://schemas.openxmlformats.org/officeDocument/2006/relationships/hyperlink" Target="https://www.youtube.com/watch?v=2RlQdQoP4mE" TargetMode="External"/><Relationship Id="rId308" Type="http://schemas.openxmlformats.org/officeDocument/2006/relationships/hyperlink" Target="https://www.youtube.com/watch?v=T-iBVjoTxpY" TargetMode="External"/><Relationship Id="rId429" Type="http://schemas.openxmlformats.org/officeDocument/2006/relationships/hyperlink" Target="https://www.youtube.com/watch?v=aASsLwbe6kY" TargetMode="External"/><Relationship Id="rId307" Type="http://schemas.openxmlformats.org/officeDocument/2006/relationships/hyperlink" Target="https://www.youtube.com/watch?v=7JNUG5Lyals" TargetMode="External"/><Relationship Id="rId428" Type="http://schemas.openxmlformats.org/officeDocument/2006/relationships/hyperlink" Target="https://www.youtube.com/watch?v=wXoImJcJYxQ" TargetMode="External"/><Relationship Id="rId549" Type="http://schemas.openxmlformats.org/officeDocument/2006/relationships/hyperlink" Target="https://www.youtube.com/watch?v=joPLKP546hk" TargetMode="External"/><Relationship Id="rId306" Type="http://schemas.openxmlformats.org/officeDocument/2006/relationships/hyperlink" Target="https://www.youtube.com/watch?v=NhDs3OPqMQ4" TargetMode="External"/><Relationship Id="rId427" Type="http://schemas.openxmlformats.org/officeDocument/2006/relationships/hyperlink" Target="https://www.youtube.com/watch?v=inpmzGJn2LU" TargetMode="External"/><Relationship Id="rId548" Type="http://schemas.openxmlformats.org/officeDocument/2006/relationships/hyperlink" Target="https://www.youtube.com/watch?v=dLQSHM_T-jI" TargetMode="External"/><Relationship Id="rId669" Type="http://schemas.openxmlformats.org/officeDocument/2006/relationships/hyperlink" Target="https://www.youtube.com/watch?v=D559dD7btfo" TargetMode="External"/><Relationship Id="rId660" Type="http://schemas.openxmlformats.org/officeDocument/2006/relationships/hyperlink" Target="https://www.youtube.com/watch?v=JjtvU2xQpaQ" TargetMode="External"/><Relationship Id="rId301" Type="http://schemas.openxmlformats.org/officeDocument/2006/relationships/hyperlink" Target="https://www.youtube.com/watch?v=OHn7cvWw5gE" TargetMode="External"/><Relationship Id="rId422" Type="http://schemas.openxmlformats.org/officeDocument/2006/relationships/hyperlink" Target="https://www.youtube.com/watch?v=G6rcMSQ1UVE" TargetMode="External"/><Relationship Id="rId543" Type="http://schemas.openxmlformats.org/officeDocument/2006/relationships/hyperlink" Target="https://www.youtube.com/watch?v=N20dY0-9Nio" TargetMode="External"/><Relationship Id="rId664" Type="http://schemas.openxmlformats.org/officeDocument/2006/relationships/hyperlink" Target="https://www.youtube.com/watch?v=LIl0C87tzGE" TargetMode="External"/><Relationship Id="rId300" Type="http://schemas.openxmlformats.org/officeDocument/2006/relationships/hyperlink" Target="https://www.youtube.com/watch?v=fyMRRD_YeRI" TargetMode="External"/><Relationship Id="rId421" Type="http://schemas.openxmlformats.org/officeDocument/2006/relationships/hyperlink" Target="https://www.youtube.com/watch?v=rbrxzObExNc" TargetMode="External"/><Relationship Id="rId542" Type="http://schemas.openxmlformats.org/officeDocument/2006/relationships/hyperlink" Target="https://www.youtube.com/watch?v=w1panKQ58dU" TargetMode="External"/><Relationship Id="rId663" Type="http://schemas.openxmlformats.org/officeDocument/2006/relationships/hyperlink" Target="https://www.youtube.com/watch?v=Ih4StVOa0Qs" TargetMode="External"/><Relationship Id="rId420" Type="http://schemas.openxmlformats.org/officeDocument/2006/relationships/hyperlink" Target="https://www.youtube.com/watch?v=KXamV4OZjYs" TargetMode="External"/><Relationship Id="rId541" Type="http://schemas.openxmlformats.org/officeDocument/2006/relationships/hyperlink" Target="https://www.youtube.com/watch?v=Wr_CIMPuH3I" TargetMode="External"/><Relationship Id="rId662" Type="http://schemas.openxmlformats.org/officeDocument/2006/relationships/hyperlink" Target="https://www.youtube.com/watch?v=strZVEaixcs" TargetMode="External"/><Relationship Id="rId540" Type="http://schemas.openxmlformats.org/officeDocument/2006/relationships/hyperlink" Target="https://www.youtube.com/watch?v=a30EnICYBUA" TargetMode="External"/><Relationship Id="rId661" Type="http://schemas.openxmlformats.org/officeDocument/2006/relationships/hyperlink" Target="https://www.youtube.com/watch?v=C6sAuCIhIzA" TargetMode="External"/><Relationship Id="rId415" Type="http://schemas.openxmlformats.org/officeDocument/2006/relationships/hyperlink" Target="https://www.youtube.com/watch?v=5tMCiwnQlXM" TargetMode="External"/><Relationship Id="rId536" Type="http://schemas.openxmlformats.org/officeDocument/2006/relationships/hyperlink" Target="https://www.youtube.com/watch?v=Y3j3g76ggFE" TargetMode="External"/><Relationship Id="rId657" Type="http://schemas.openxmlformats.org/officeDocument/2006/relationships/hyperlink" Target="https://www.youtube.com/watch?v=mScbp58xwJE" TargetMode="External"/><Relationship Id="rId414" Type="http://schemas.openxmlformats.org/officeDocument/2006/relationships/hyperlink" Target="https://www.youtube.com/watch?v=JDOBTQ94-S4" TargetMode="External"/><Relationship Id="rId535" Type="http://schemas.openxmlformats.org/officeDocument/2006/relationships/hyperlink" Target="https://www.youtube.com/watch?v=2yRygpW0RYY" TargetMode="External"/><Relationship Id="rId656" Type="http://schemas.openxmlformats.org/officeDocument/2006/relationships/hyperlink" Target="https://www.youtube.com/watch?v=N6IDjOR1OY0" TargetMode="External"/><Relationship Id="rId413" Type="http://schemas.openxmlformats.org/officeDocument/2006/relationships/hyperlink" Target="https://www.youtube.com/watch?v=_VfaX30ncIU" TargetMode="External"/><Relationship Id="rId534" Type="http://schemas.openxmlformats.org/officeDocument/2006/relationships/hyperlink" Target="https://www.youtube.com/watch?v=gzOZ5Lo3n9Y" TargetMode="External"/><Relationship Id="rId655" Type="http://schemas.openxmlformats.org/officeDocument/2006/relationships/hyperlink" Target="https://www.youtube.com/watch?v=7-JbRtATwHQ" TargetMode="External"/><Relationship Id="rId412" Type="http://schemas.openxmlformats.org/officeDocument/2006/relationships/hyperlink" Target="https://www.youtube.com/watch?v=F4X3ljkLFP8" TargetMode="External"/><Relationship Id="rId533" Type="http://schemas.openxmlformats.org/officeDocument/2006/relationships/hyperlink" Target="https://www.youtube.com/watch?v=74BW9K7eGtY&amp;t=21s" TargetMode="External"/><Relationship Id="rId654" Type="http://schemas.openxmlformats.org/officeDocument/2006/relationships/hyperlink" Target="https://www.youtube.com/watch?v=_D2sWZSHDqg&amp;t=834s" TargetMode="External"/><Relationship Id="rId419" Type="http://schemas.openxmlformats.org/officeDocument/2006/relationships/hyperlink" Target="https://www.youtube.com/watch?v=5c75GXSIdlM" TargetMode="External"/><Relationship Id="rId418" Type="http://schemas.openxmlformats.org/officeDocument/2006/relationships/hyperlink" Target="https://www.youtube.com/watch?v=bF-3L4O8Nq8" TargetMode="External"/><Relationship Id="rId539" Type="http://schemas.openxmlformats.org/officeDocument/2006/relationships/hyperlink" Target="https://www.youtube.com/watch?v=0W0XxcsCH_0" TargetMode="External"/><Relationship Id="rId417" Type="http://schemas.openxmlformats.org/officeDocument/2006/relationships/hyperlink" Target="https://www.youtube.com/watch?v=o4_iAmYXDzg" TargetMode="External"/><Relationship Id="rId538" Type="http://schemas.openxmlformats.org/officeDocument/2006/relationships/hyperlink" Target="https://www.youtube.com/watch?v=WzACbsbv3Mc" TargetMode="External"/><Relationship Id="rId659" Type="http://schemas.openxmlformats.org/officeDocument/2006/relationships/hyperlink" Target="https://www.youtube.com/watch?v=qzXGb7RIXmc" TargetMode="External"/><Relationship Id="rId416" Type="http://schemas.openxmlformats.org/officeDocument/2006/relationships/hyperlink" Target="https://www.youtube.com/watch?v=61VsCIaQhX4" TargetMode="External"/><Relationship Id="rId537" Type="http://schemas.openxmlformats.org/officeDocument/2006/relationships/hyperlink" Target="https://www.youtube.com/watch?v=bMOOUhzJreA" TargetMode="External"/><Relationship Id="rId658" Type="http://schemas.openxmlformats.org/officeDocument/2006/relationships/hyperlink" Target="https://www.youtube.com/watch?v=eQBirhrwc3E" TargetMode="External"/><Relationship Id="rId411" Type="http://schemas.openxmlformats.org/officeDocument/2006/relationships/hyperlink" Target="https://www.youtube.com/watch?v=OAcu0ZHtcXc" TargetMode="External"/><Relationship Id="rId532" Type="http://schemas.openxmlformats.org/officeDocument/2006/relationships/hyperlink" Target="https://www.youtube.com/watch?v=log0y9fRklc" TargetMode="External"/><Relationship Id="rId653" Type="http://schemas.openxmlformats.org/officeDocument/2006/relationships/hyperlink" Target="https://www.youtube.com/watch?v=DVcN5QXGA_w" TargetMode="External"/><Relationship Id="rId410" Type="http://schemas.openxmlformats.org/officeDocument/2006/relationships/hyperlink" Target="https://www.youtube.com/watch?v=5P0vjP1Hdvs" TargetMode="External"/><Relationship Id="rId531" Type="http://schemas.openxmlformats.org/officeDocument/2006/relationships/hyperlink" Target="https://www.youtube.com/watch?v=_nyKGkDh6WM" TargetMode="External"/><Relationship Id="rId652" Type="http://schemas.openxmlformats.org/officeDocument/2006/relationships/hyperlink" Target="https://www.youtube.com/watch?v=9FgUTz996bs" TargetMode="External"/><Relationship Id="rId530" Type="http://schemas.openxmlformats.org/officeDocument/2006/relationships/hyperlink" Target="https://www.youtube.com/watch?v=Q7TqlnXF3cA" TargetMode="External"/><Relationship Id="rId651" Type="http://schemas.openxmlformats.org/officeDocument/2006/relationships/hyperlink" Target="https://www.youtube.com/watch?v=mcxquOK_mY8" TargetMode="External"/><Relationship Id="rId650" Type="http://schemas.openxmlformats.org/officeDocument/2006/relationships/hyperlink" Target="https://www.youtube.com/watch?v=n5lHU4Qyfbk" TargetMode="External"/><Relationship Id="rId206" Type="http://schemas.openxmlformats.org/officeDocument/2006/relationships/hyperlink" Target="https://www.youtube.com/watch?v=t63m6GCrKbw" TargetMode="External"/><Relationship Id="rId327" Type="http://schemas.openxmlformats.org/officeDocument/2006/relationships/hyperlink" Target="https://www.youtube.com/watch?v=wXSD2PQznXI" TargetMode="External"/><Relationship Id="rId448" Type="http://schemas.openxmlformats.org/officeDocument/2006/relationships/hyperlink" Target="https://www.youtube.com/watch?v=xuKnWRKpLyM" TargetMode="External"/><Relationship Id="rId569" Type="http://schemas.openxmlformats.org/officeDocument/2006/relationships/hyperlink" Target="https://www.youtube.com/watch?v=aBwX_u__31I" TargetMode="External"/><Relationship Id="rId205" Type="http://schemas.openxmlformats.org/officeDocument/2006/relationships/hyperlink" Target="https://www.youtube.com/watch?v=182HueOxCaU" TargetMode="External"/><Relationship Id="rId326" Type="http://schemas.openxmlformats.org/officeDocument/2006/relationships/hyperlink" Target="https://www.youtube.com/watch?v=WkR5PD16sCg" TargetMode="External"/><Relationship Id="rId447" Type="http://schemas.openxmlformats.org/officeDocument/2006/relationships/hyperlink" Target="https://www.youtube.com/watch?v=2Hmcjz_IH8I" TargetMode="External"/><Relationship Id="rId568" Type="http://schemas.openxmlformats.org/officeDocument/2006/relationships/hyperlink" Target="https://www.youtube.com/watch?v=aEAK6N982oQ" TargetMode="External"/><Relationship Id="rId689" Type="http://schemas.openxmlformats.org/officeDocument/2006/relationships/hyperlink" Target="https://www.youtube.com/watch?v=xAicQnL_abA" TargetMode="External"/><Relationship Id="rId204" Type="http://schemas.openxmlformats.org/officeDocument/2006/relationships/hyperlink" Target="https://www.youtube.com/watch?v=XeCuvEX-tow" TargetMode="External"/><Relationship Id="rId325" Type="http://schemas.openxmlformats.org/officeDocument/2006/relationships/hyperlink" Target="https://www.youtube.com/watch?v=jQ47l4DT1BY" TargetMode="External"/><Relationship Id="rId446" Type="http://schemas.openxmlformats.org/officeDocument/2006/relationships/hyperlink" Target="https://www.youtube.com/watch?v=AgRVHML48XM" TargetMode="External"/><Relationship Id="rId567" Type="http://schemas.openxmlformats.org/officeDocument/2006/relationships/hyperlink" Target="https://www.youtube.com/watch?v=tlCqUXsDwDc" TargetMode="External"/><Relationship Id="rId688" Type="http://schemas.openxmlformats.org/officeDocument/2006/relationships/hyperlink" Target="https://www.youtube.com/watch?v=Fb11XAvWeyE" TargetMode="External"/><Relationship Id="rId203" Type="http://schemas.openxmlformats.org/officeDocument/2006/relationships/hyperlink" Target="https://www.youtube.com/watch?v=5YuNKvTZtdM" TargetMode="External"/><Relationship Id="rId324" Type="http://schemas.openxmlformats.org/officeDocument/2006/relationships/hyperlink" Target="https://www.youtube.com/watch?v=sdUuukDpj9s" TargetMode="External"/><Relationship Id="rId445" Type="http://schemas.openxmlformats.org/officeDocument/2006/relationships/hyperlink" Target="https://www.youtube.com/watch?v=Kfqplhug-eA" TargetMode="External"/><Relationship Id="rId566" Type="http://schemas.openxmlformats.org/officeDocument/2006/relationships/hyperlink" Target="https://www.youtube.com/watch?v=Z8Wd8i754cU" TargetMode="External"/><Relationship Id="rId687" Type="http://schemas.openxmlformats.org/officeDocument/2006/relationships/hyperlink" Target="https://www.youtube.com/watch?v=4ZkNnR--tMY" TargetMode="External"/><Relationship Id="rId209" Type="http://schemas.openxmlformats.org/officeDocument/2006/relationships/hyperlink" Target="https://www.youtube.com/watch?v=gU4jkSa9phY" TargetMode="External"/><Relationship Id="rId208" Type="http://schemas.openxmlformats.org/officeDocument/2006/relationships/hyperlink" Target="https://www.youtube.com/watch?v=RKYffxIB9EM" TargetMode="External"/><Relationship Id="rId329" Type="http://schemas.openxmlformats.org/officeDocument/2006/relationships/hyperlink" Target="https://www.youtube.com/watch?v=7bZemcM70W0" TargetMode="External"/><Relationship Id="rId207" Type="http://schemas.openxmlformats.org/officeDocument/2006/relationships/hyperlink" Target="https://www.youtube.com/watch?v=Dymxd9hAemA" TargetMode="External"/><Relationship Id="rId328" Type="http://schemas.openxmlformats.org/officeDocument/2006/relationships/hyperlink" Target="https://www.youtube.com/watch?v=p4NkqPPh2fk" TargetMode="External"/><Relationship Id="rId449" Type="http://schemas.openxmlformats.org/officeDocument/2006/relationships/hyperlink" Target="https://www.youtube.com/watch?v=2U1DVGO8vo4" TargetMode="External"/><Relationship Id="rId440" Type="http://schemas.openxmlformats.org/officeDocument/2006/relationships/hyperlink" Target="https://www.youtube.com/watch?v=-JT1qlD0wPQ" TargetMode="External"/><Relationship Id="rId561" Type="http://schemas.openxmlformats.org/officeDocument/2006/relationships/hyperlink" Target="https://www.youtube.com/watch?v=fZLoHeGF4XI" TargetMode="External"/><Relationship Id="rId682" Type="http://schemas.openxmlformats.org/officeDocument/2006/relationships/hyperlink" Target="https://www.youtube.com/watch?v=_CKZQa18hcY" TargetMode="External"/><Relationship Id="rId560" Type="http://schemas.openxmlformats.org/officeDocument/2006/relationships/hyperlink" Target="https://www.youtube.com/watch?v=Pe53dUS_mHE" TargetMode="External"/><Relationship Id="rId681" Type="http://schemas.openxmlformats.org/officeDocument/2006/relationships/hyperlink" Target="https://www.youtube.com/watch?v=BlNY-1vmqvA" TargetMode="External"/><Relationship Id="rId680" Type="http://schemas.openxmlformats.org/officeDocument/2006/relationships/hyperlink" Target="https://www.youtube.com/watch?v=RJSsEA6fpJE" TargetMode="External"/><Relationship Id="rId202" Type="http://schemas.openxmlformats.org/officeDocument/2006/relationships/hyperlink" Target="https://www.youtube.com/watch?v=9IzjjqFO5c8" TargetMode="External"/><Relationship Id="rId323" Type="http://schemas.openxmlformats.org/officeDocument/2006/relationships/hyperlink" Target="https://www.youtube.com/watch?v=RaNpNJVvWDI" TargetMode="External"/><Relationship Id="rId444" Type="http://schemas.openxmlformats.org/officeDocument/2006/relationships/hyperlink" Target="https://www.youtube.com/watch?v=a_HGSrmF_8w" TargetMode="External"/><Relationship Id="rId565" Type="http://schemas.openxmlformats.org/officeDocument/2006/relationships/hyperlink" Target="https://www.youtube.com/watch?v=udkwSpjJnGk" TargetMode="External"/><Relationship Id="rId686" Type="http://schemas.openxmlformats.org/officeDocument/2006/relationships/hyperlink" Target="https://www.youtube.com/watch?v=qY_yQIrKwRk" TargetMode="External"/><Relationship Id="rId201" Type="http://schemas.openxmlformats.org/officeDocument/2006/relationships/hyperlink" Target="https://www.youtube.com/watch?v=F95dqGlnggo" TargetMode="External"/><Relationship Id="rId322" Type="http://schemas.openxmlformats.org/officeDocument/2006/relationships/hyperlink" Target="https://www.youtube.com/watch?v=tD7VxQAIPLM" TargetMode="External"/><Relationship Id="rId443" Type="http://schemas.openxmlformats.org/officeDocument/2006/relationships/hyperlink" Target="https://www.youtube.com/watch?v=glBt8I5y1b8" TargetMode="External"/><Relationship Id="rId564" Type="http://schemas.openxmlformats.org/officeDocument/2006/relationships/hyperlink" Target="https://www.youtube.com/watch?v=4VaCcFKHkSY" TargetMode="External"/><Relationship Id="rId685" Type="http://schemas.openxmlformats.org/officeDocument/2006/relationships/hyperlink" Target="https://www.youtube.com/watch?v=vaRCmUwpmNk" TargetMode="External"/><Relationship Id="rId200" Type="http://schemas.openxmlformats.org/officeDocument/2006/relationships/hyperlink" Target="https://www.youtube.com/watch?v=ja-cxuo3ugc" TargetMode="External"/><Relationship Id="rId321" Type="http://schemas.openxmlformats.org/officeDocument/2006/relationships/hyperlink" Target="https://www.youtube.com/watch?v=XcIm7eWfJ_M" TargetMode="External"/><Relationship Id="rId442" Type="http://schemas.openxmlformats.org/officeDocument/2006/relationships/hyperlink" Target="https://www.youtube.com/watch?v=adov37an6hU" TargetMode="External"/><Relationship Id="rId563" Type="http://schemas.openxmlformats.org/officeDocument/2006/relationships/hyperlink" Target="https://www.youtube.com/watch?v=8M2LUwJGwHw" TargetMode="External"/><Relationship Id="rId684" Type="http://schemas.openxmlformats.org/officeDocument/2006/relationships/hyperlink" Target="https://www.youtube.com/watch?v=lkO1JaN7BoQ" TargetMode="External"/><Relationship Id="rId320" Type="http://schemas.openxmlformats.org/officeDocument/2006/relationships/hyperlink" Target="https://www.youtube.com/watch?v=fwbLw9W9GC8" TargetMode="External"/><Relationship Id="rId441" Type="http://schemas.openxmlformats.org/officeDocument/2006/relationships/hyperlink" Target="https://www.youtube.com/watch?v=kSNHRGhGt_Y" TargetMode="External"/><Relationship Id="rId562" Type="http://schemas.openxmlformats.org/officeDocument/2006/relationships/hyperlink" Target="https://www.youtube.com/watch?v=NaCx35vC5wg" TargetMode="External"/><Relationship Id="rId683" Type="http://schemas.openxmlformats.org/officeDocument/2006/relationships/hyperlink" Target="https://www.youtube.com/watch?v=iwaHs0-q9l8" TargetMode="External"/><Relationship Id="rId316" Type="http://schemas.openxmlformats.org/officeDocument/2006/relationships/hyperlink" Target="https://www.youtube.com/watch?v=r2uhf3x6oH8" TargetMode="External"/><Relationship Id="rId437" Type="http://schemas.openxmlformats.org/officeDocument/2006/relationships/hyperlink" Target="https://www.youtube.com/watch?v=7gTT37SeSUc" TargetMode="External"/><Relationship Id="rId558" Type="http://schemas.openxmlformats.org/officeDocument/2006/relationships/hyperlink" Target="https://www.youtube.com/watch?v=07rLdtPRbEE" TargetMode="External"/><Relationship Id="rId679" Type="http://schemas.openxmlformats.org/officeDocument/2006/relationships/hyperlink" Target="https://www.youtube.com/watch?v=edQr4IJQuEg" TargetMode="External"/><Relationship Id="rId315" Type="http://schemas.openxmlformats.org/officeDocument/2006/relationships/hyperlink" Target="https://www.youtube.com/watch?v=jB9efRnouaI" TargetMode="External"/><Relationship Id="rId436" Type="http://schemas.openxmlformats.org/officeDocument/2006/relationships/hyperlink" Target="https://www.youtube.com/watch?v=AefxKKTqv5I" TargetMode="External"/><Relationship Id="rId557" Type="http://schemas.openxmlformats.org/officeDocument/2006/relationships/hyperlink" Target="https://www.youtube.com/watch?v=FgVpxhtCQdA" TargetMode="External"/><Relationship Id="rId678" Type="http://schemas.openxmlformats.org/officeDocument/2006/relationships/hyperlink" Target="https://www.youtube.com/watch?v=Lrh5zQHEIk4" TargetMode="External"/><Relationship Id="rId314" Type="http://schemas.openxmlformats.org/officeDocument/2006/relationships/hyperlink" Target="https://www.youtube.com/watch?v=kpktr2ml8m8" TargetMode="External"/><Relationship Id="rId435" Type="http://schemas.openxmlformats.org/officeDocument/2006/relationships/hyperlink" Target="https://www.youtube.com/watch?v=txsij6WXt8s" TargetMode="External"/><Relationship Id="rId556" Type="http://schemas.openxmlformats.org/officeDocument/2006/relationships/hyperlink" Target="https://www.youtube.com/watch?v=3dYP3FhD3Po" TargetMode="External"/><Relationship Id="rId677" Type="http://schemas.openxmlformats.org/officeDocument/2006/relationships/hyperlink" Target="https://www.youtube.com/watch?v=bD-uUsBgY-w" TargetMode="External"/><Relationship Id="rId313" Type="http://schemas.openxmlformats.org/officeDocument/2006/relationships/hyperlink" Target="https://www.youtube.com/watch?v=Iimv8qJijTE" TargetMode="External"/><Relationship Id="rId434" Type="http://schemas.openxmlformats.org/officeDocument/2006/relationships/hyperlink" Target="https://www.youtube.com/watch?v=tRgTeYpgv8c" TargetMode="External"/><Relationship Id="rId555" Type="http://schemas.openxmlformats.org/officeDocument/2006/relationships/hyperlink" Target="https://www.youtube.com/watch?v=WtWOT6Hj2vM" TargetMode="External"/><Relationship Id="rId676" Type="http://schemas.openxmlformats.org/officeDocument/2006/relationships/hyperlink" Target="https://www.youtube.com/watch?v=1UnsEQPK3PQ" TargetMode="External"/><Relationship Id="rId319" Type="http://schemas.openxmlformats.org/officeDocument/2006/relationships/hyperlink" Target="https://www.youtube.com/watch?v=olQlPZuEWLY" TargetMode="External"/><Relationship Id="rId318" Type="http://schemas.openxmlformats.org/officeDocument/2006/relationships/hyperlink" Target="https://www.youtube.com/watch?v=hbcWYVaowqI" TargetMode="External"/><Relationship Id="rId439" Type="http://schemas.openxmlformats.org/officeDocument/2006/relationships/hyperlink" Target="https://www.youtube.com/watch?v=qYA9DVNkOCA" TargetMode="External"/><Relationship Id="rId317" Type="http://schemas.openxmlformats.org/officeDocument/2006/relationships/hyperlink" Target="https://www.youtube.com/watch?v=G-AjF_4Jc1I" TargetMode="External"/><Relationship Id="rId438" Type="http://schemas.openxmlformats.org/officeDocument/2006/relationships/hyperlink" Target="https://www.youtube.com/watch?v=o-395A-OrOQ" TargetMode="External"/><Relationship Id="rId559" Type="http://schemas.openxmlformats.org/officeDocument/2006/relationships/hyperlink" Target="https://www.youtube.com/watch?v=n0Ekb7yhf18" TargetMode="External"/><Relationship Id="rId550" Type="http://schemas.openxmlformats.org/officeDocument/2006/relationships/hyperlink" Target="https://www.youtube.com/watch?v=0ol6BUtHZu8" TargetMode="External"/><Relationship Id="rId671" Type="http://schemas.openxmlformats.org/officeDocument/2006/relationships/hyperlink" Target="https://www.youtube.com/watch?v=kvEIBfEnwXM" TargetMode="External"/><Relationship Id="rId670" Type="http://schemas.openxmlformats.org/officeDocument/2006/relationships/hyperlink" Target="https://www.youtube.com/watch?v=rt5w2HzSWc0" TargetMode="External"/><Relationship Id="rId312" Type="http://schemas.openxmlformats.org/officeDocument/2006/relationships/hyperlink" Target="https://www.youtube.com/watch?v=zm-fPGwlflY" TargetMode="External"/><Relationship Id="rId433" Type="http://schemas.openxmlformats.org/officeDocument/2006/relationships/hyperlink" Target="https://www.youtube.com/watch?v=6aJLKt2nXsg" TargetMode="External"/><Relationship Id="rId554" Type="http://schemas.openxmlformats.org/officeDocument/2006/relationships/hyperlink" Target="https://www.youtube.com/watch?v=R6bvpvI1_uY" TargetMode="External"/><Relationship Id="rId675" Type="http://schemas.openxmlformats.org/officeDocument/2006/relationships/hyperlink" Target="https://www.youtube.com/watch?v=eKSuEJqn2NI" TargetMode="External"/><Relationship Id="rId311" Type="http://schemas.openxmlformats.org/officeDocument/2006/relationships/hyperlink" Target="https://www.youtube.com/watch?v=t5AEphve0P8" TargetMode="External"/><Relationship Id="rId432" Type="http://schemas.openxmlformats.org/officeDocument/2006/relationships/hyperlink" Target="https://www.youtube.com/watch?v=S2ePhtW_O5A" TargetMode="External"/><Relationship Id="rId553" Type="http://schemas.openxmlformats.org/officeDocument/2006/relationships/hyperlink" Target="https://www.youtube.com/watch?v=eVhJjqlSE8s" TargetMode="External"/><Relationship Id="rId674" Type="http://schemas.openxmlformats.org/officeDocument/2006/relationships/hyperlink" Target="https://www.youtube.com/watch?v=vzoIHUTieE0" TargetMode="External"/><Relationship Id="rId310" Type="http://schemas.openxmlformats.org/officeDocument/2006/relationships/hyperlink" Target="https://www.youtube.com/watch?v=9eSzra79z-I" TargetMode="External"/><Relationship Id="rId431" Type="http://schemas.openxmlformats.org/officeDocument/2006/relationships/hyperlink" Target="https://www.youtube.com/watch?v=PWZrF-TGsWo" TargetMode="External"/><Relationship Id="rId552" Type="http://schemas.openxmlformats.org/officeDocument/2006/relationships/hyperlink" Target="https://www.youtube.com/watch?v=Zr29r9gnq6A" TargetMode="External"/><Relationship Id="rId673" Type="http://schemas.openxmlformats.org/officeDocument/2006/relationships/hyperlink" Target="https://www.youtube.com/watch?v=vB9JqlUiYUk" TargetMode="External"/><Relationship Id="rId430" Type="http://schemas.openxmlformats.org/officeDocument/2006/relationships/hyperlink" Target="https://www.youtube.com/watch?v=bFIqLn3c85c" TargetMode="External"/><Relationship Id="rId551" Type="http://schemas.openxmlformats.org/officeDocument/2006/relationships/hyperlink" Target="https://www.youtube.com/watch?v=N1wkN3CKqHY" TargetMode="External"/><Relationship Id="rId672" Type="http://schemas.openxmlformats.org/officeDocument/2006/relationships/hyperlink" Target="https://www.youtube.com/watch?v=lkDfIrZy2VY"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7.xml"/><Relationship Id="rId3"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youtube.com/watch?v=0-LZkVdXTnc" TargetMode="External"/><Relationship Id="rId194" Type="http://schemas.openxmlformats.org/officeDocument/2006/relationships/hyperlink" Target="https://www.youtube.com/watch?v=LI3VwCn-0WI" TargetMode="External"/><Relationship Id="rId193" Type="http://schemas.openxmlformats.org/officeDocument/2006/relationships/hyperlink" Target="https://www.youtube.com/watch?v=EWnc9FdyP7s" TargetMode="External"/><Relationship Id="rId192" Type="http://schemas.openxmlformats.org/officeDocument/2006/relationships/hyperlink" Target="https://www.youtube.com/watch?v=pAHRrR6eeDU" TargetMode="External"/><Relationship Id="rId191" Type="http://schemas.openxmlformats.org/officeDocument/2006/relationships/hyperlink" Target="https://www.youtube.com/watch?v=yIUwgFjMrg8" TargetMode="External"/><Relationship Id="rId187" Type="http://schemas.openxmlformats.org/officeDocument/2006/relationships/hyperlink" Target="https://www.youtube.com/watch?v=oeFU8Lk35BI" TargetMode="External"/><Relationship Id="rId186" Type="http://schemas.openxmlformats.org/officeDocument/2006/relationships/hyperlink" Target="https://www.youtube.com/watch?v=zqnotAbf-Cc" TargetMode="External"/><Relationship Id="rId185" Type="http://schemas.openxmlformats.org/officeDocument/2006/relationships/hyperlink" Target="https://www.youtube.com/watch?v=Wu9WbgwxgjI" TargetMode="External"/><Relationship Id="rId184" Type="http://schemas.openxmlformats.org/officeDocument/2006/relationships/hyperlink" Target="https://www.youtube.com/watch?v=MFVzVjuj90E" TargetMode="External"/><Relationship Id="rId189" Type="http://schemas.openxmlformats.org/officeDocument/2006/relationships/hyperlink" Target="https://www.youtube.com/watch?v=uNPifASaoFM" TargetMode="External"/><Relationship Id="rId188" Type="http://schemas.openxmlformats.org/officeDocument/2006/relationships/hyperlink" Target="https://www.youtube.com/watch?v=NfO_yqDrGWs" TargetMode="External"/><Relationship Id="rId183" Type="http://schemas.openxmlformats.org/officeDocument/2006/relationships/hyperlink" Target="https://www.youtube.com/watch?v=r5r1yU9O2ag" TargetMode="External"/><Relationship Id="rId182" Type="http://schemas.openxmlformats.org/officeDocument/2006/relationships/hyperlink" Target="https://www.youtube.com/watch?v=qsCWK-TQVsk" TargetMode="External"/><Relationship Id="rId181" Type="http://schemas.openxmlformats.org/officeDocument/2006/relationships/hyperlink" Target="https://www.youtube.com/watch?v=nCmJgIvSqfU" TargetMode="External"/><Relationship Id="rId180" Type="http://schemas.openxmlformats.org/officeDocument/2006/relationships/hyperlink" Target="https://www.youtube.com/watch?v=MBzty84VgRo" TargetMode="External"/><Relationship Id="rId176" Type="http://schemas.openxmlformats.org/officeDocument/2006/relationships/hyperlink" Target="https://www.youtube.com/watch?v=57-MHC42i7g" TargetMode="External"/><Relationship Id="rId297" Type="http://schemas.openxmlformats.org/officeDocument/2006/relationships/hyperlink" Target="https://www.youtube.com/watch?v=p3i_mI87a3E" TargetMode="External"/><Relationship Id="rId175" Type="http://schemas.openxmlformats.org/officeDocument/2006/relationships/hyperlink" Target="https://www.youtube.com/watch?v=MfzPrOKKZVo" TargetMode="External"/><Relationship Id="rId296" Type="http://schemas.openxmlformats.org/officeDocument/2006/relationships/hyperlink" Target="https://www.youtube.com/watch?v=c13ZN5rYckE" TargetMode="External"/><Relationship Id="rId174" Type="http://schemas.openxmlformats.org/officeDocument/2006/relationships/hyperlink" Target="https://www.youtube.com/watch?v=t_J24YUQNK4" TargetMode="External"/><Relationship Id="rId295" Type="http://schemas.openxmlformats.org/officeDocument/2006/relationships/hyperlink" Target="https://www.youtube.com/watch?v=yZ08CJsgurU" TargetMode="External"/><Relationship Id="rId173" Type="http://schemas.openxmlformats.org/officeDocument/2006/relationships/hyperlink" Target="https://www.youtube.com/watch?v=Au_HvuB2IQc" TargetMode="External"/><Relationship Id="rId294" Type="http://schemas.openxmlformats.org/officeDocument/2006/relationships/hyperlink" Target="https://www.youtube.com/watch?v=OXYcMlprdL4" TargetMode="External"/><Relationship Id="rId179" Type="http://schemas.openxmlformats.org/officeDocument/2006/relationships/hyperlink" Target="https://www.youtube.com/watch?v=cpZPvFvzNlc" TargetMode="External"/><Relationship Id="rId178" Type="http://schemas.openxmlformats.org/officeDocument/2006/relationships/hyperlink" Target="https://www.youtube.com/watch?v=17Jnr2hr0ro" TargetMode="External"/><Relationship Id="rId299" Type="http://schemas.openxmlformats.org/officeDocument/2006/relationships/hyperlink" Target="https://www.youtube.com/watch?v=kaJQx-nXg6M" TargetMode="External"/><Relationship Id="rId177" Type="http://schemas.openxmlformats.org/officeDocument/2006/relationships/hyperlink" Target="https://www.youtube.com/watch?v=pO9qCeA640E" TargetMode="External"/><Relationship Id="rId298" Type="http://schemas.openxmlformats.org/officeDocument/2006/relationships/hyperlink" Target="https://www.youtube.com/watch?v=FrXBeS9Vj40" TargetMode="External"/><Relationship Id="rId198" Type="http://schemas.openxmlformats.org/officeDocument/2006/relationships/hyperlink" Target="https://www.youtube.com/watch?v=wm8QHjKcDf8" TargetMode="External"/><Relationship Id="rId197" Type="http://schemas.openxmlformats.org/officeDocument/2006/relationships/hyperlink" Target="https://www.youtube.com/watch?v=L2rJctVLi3M" TargetMode="External"/><Relationship Id="rId196" Type="http://schemas.openxmlformats.org/officeDocument/2006/relationships/hyperlink" Target="https://www.youtube.com/watch?v=Yf6-fJ-LcU8" TargetMode="External"/><Relationship Id="rId195" Type="http://schemas.openxmlformats.org/officeDocument/2006/relationships/hyperlink" Target="https://www.youtube.com/watch?v=yVdcSMOWtxM" TargetMode="External"/><Relationship Id="rId199" Type="http://schemas.openxmlformats.org/officeDocument/2006/relationships/hyperlink" Target="https://www.youtube.com/watch?v=U37L8EPVc5s" TargetMode="External"/><Relationship Id="rId150" Type="http://schemas.openxmlformats.org/officeDocument/2006/relationships/hyperlink" Target="https://www.youtube.com/watch?v=T0iutxik1Eg" TargetMode="External"/><Relationship Id="rId271" Type="http://schemas.openxmlformats.org/officeDocument/2006/relationships/hyperlink" Target="https://www.youtube.com/watch?v=X4TDNzwe3s4" TargetMode="External"/><Relationship Id="rId392" Type="http://schemas.openxmlformats.org/officeDocument/2006/relationships/hyperlink" Target="https://www.youtube.com/watch?v=ebsBucPcYoU" TargetMode="External"/><Relationship Id="rId270" Type="http://schemas.openxmlformats.org/officeDocument/2006/relationships/hyperlink" Target="https://www.youtube.com/watch?v=k6dsew1B6SE" TargetMode="External"/><Relationship Id="rId391" Type="http://schemas.openxmlformats.org/officeDocument/2006/relationships/hyperlink" Target="https://www.youtube.com/watch?v=J2klGHwzFFo" TargetMode="External"/><Relationship Id="rId390" Type="http://schemas.openxmlformats.org/officeDocument/2006/relationships/hyperlink" Target="https://www.youtube.com/watch?v=gL_j5YKKN38" TargetMode="External"/><Relationship Id="rId1" Type="http://schemas.openxmlformats.org/officeDocument/2006/relationships/comments" Target="../comments1.xml"/><Relationship Id="rId2" Type="http://schemas.openxmlformats.org/officeDocument/2006/relationships/hyperlink" Target="https://www.youtube.com/watch?v=RD7JpM4UrUA" TargetMode="External"/><Relationship Id="rId3" Type="http://schemas.openxmlformats.org/officeDocument/2006/relationships/hyperlink" Target="https://www.youtube.com/watch?v=jKuCWHsoXmQ" TargetMode="External"/><Relationship Id="rId149" Type="http://schemas.openxmlformats.org/officeDocument/2006/relationships/hyperlink" Target="https://www.youtube.com/watch?v=sdhISUDYvX4" TargetMode="External"/><Relationship Id="rId4" Type="http://schemas.openxmlformats.org/officeDocument/2006/relationships/hyperlink" Target="https://www.youtube.com/watch?v=21ZKFBL-Yc0" TargetMode="External"/><Relationship Id="rId148" Type="http://schemas.openxmlformats.org/officeDocument/2006/relationships/hyperlink" Target="https://www.youtube.com/watch?v=cKIAV15AZcI" TargetMode="External"/><Relationship Id="rId269" Type="http://schemas.openxmlformats.org/officeDocument/2006/relationships/hyperlink" Target="https://www.youtube.com/watch?v=R_G2Gd70LiY" TargetMode="External"/><Relationship Id="rId9" Type="http://schemas.openxmlformats.org/officeDocument/2006/relationships/hyperlink" Target="https://www.youtube.com/watch?v=mjFek0gF97s" TargetMode="External"/><Relationship Id="rId143" Type="http://schemas.openxmlformats.org/officeDocument/2006/relationships/hyperlink" Target="https://www.youtube.com/watch?v=k54XQ5I1Nzo" TargetMode="External"/><Relationship Id="rId264" Type="http://schemas.openxmlformats.org/officeDocument/2006/relationships/hyperlink" Target="https://www.youtube.com/watch?v=ziCW-l-SXRM" TargetMode="External"/><Relationship Id="rId385" Type="http://schemas.openxmlformats.org/officeDocument/2006/relationships/hyperlink" Target="https://www.youtube.com/watch?v=G1vj3YNYQYg" TargetMode="External"/><Relationship Id="rId142" Type="http://schemas.openxmlformats.org/officeDocument/2006/relationships/hyperlink" Target="https://www.youtube.com/watch?v=OBViSvvLu-s" TargetMode="External"/><Relationship Id="rId263" Type="http://schemas.openxmlformats.org/officeDocument/2006/relationships/hyperlink" Target="https://www.youtube.com/watch?v=ZWkU2WQv4mM" TargetMode="External"/><Relationship Id="rId384" Type="http://schemas.openxmlformats.org/officeDocument/2006/relationships/hyperlink" Target="https://www.youtube.com/watch?v=4fTC0cZiBus" TargetMode="External"/><Relationship Id="rId141" Type="http://schemas.openxmlformats.org/officeDocument/2006/relationships/hyperlink" Target="https://www.youtube.com/watch?v=ANSSQQ6ZauM" TargetMode="External"/><Relationship Id="rId262" Type="http://schemas.openxmlformats.org/officeDocument/2006/relationships/hyperlink" Target="https://www.youtube.com/watch?v=CouNRYMLDmY" TargetMode="External"/><Relationship Id="rId383" Type="http://schemas.openxmlformats.org/officeDocument/2006/relationships/hyperlink" Target="https://www.youtube.com/watch?v=V-N1KdB7QTg" TargetMode="External"/><Relationship Id="rId140" Type="http://schemas.openxmlformats.org/officeDocument/2006/relationships/hyperlink" Target="https://www.youtube.com/watch?v=7ZD3D4mAoaE" TargetMode="External"/><Relationship Id="rId261" Type="http://schemas.openxmlformats.org/officeDocument/2006/relationships/hyperlink" Target="https://www.youtube.com/watch?v=WQObFfIG62Q" TargetMode="External"/><Relationship Id="rId382" Type="http://schemas.openxmlformats.org/officeDocument/2006/relationships/hyperlink" Target="https://www.youtube.com/watch?v=VJZ4LARPMJU&amp;t=79s" TargetMode="External"/><Relationship Id="rId5" Type="http://schemas.openxmlformats.org/officeDocument/2006/relationships/hyperlink" Target="https://www.youtube.com/watch?v=FytdS2vMJfU" TargetMode="External"/><Relationship Id="rId147" Type="http://schemas.openxmlformats.org/officeDocument/2006/relationships/hyperlink" Target="https://www.youtube.com/watch?v=p6HgGSKj2m8" TargetMode="External"/><Relationship Id="rId268" Type="http://schemas.openxmlformats.org/officeDocument/2006/relationships/hyperlink" Target="https://www.youtube.com/watch?v=yYhGJH2NjBA" TargetMode="External"/><Relationship Id="rId389" Type="http://schemas.openxmlformats.org/officeDocument/2006/relationships/hyperlink" Target="https://www.youtube.com/watch?v=hFK3wIxZt3g" TargetMode="External"/><Relationship Id="rId6" Type="http://schemas.openxmlformats.org/officeDocument/2006/relationships/hyperlink" Target="https://www.youtube.com/watch?v=7WsGnkGob7A" TargetMode="External"/><Relationship Id="rId146" Type="http://schemas.openxmlformats.org/officeDocument/2006/relationships/hyperlink" Target="https://www.youtube.com/watch?v=75OFJ9IX4tI" TargetMode="External"/><Relationship Id="rId267" Type="http://schemas.openxmlformats.org/officeDocument/2006/relationships/hyperlink" Target="https://www.youtube.com/watch?v=zyTsxv3NJzA" TargetMode="External"/><Relationship Id="rId388" Type="http://schemas.openxmlformats.org/officeDocument/2006/relationships/hyperlink" Target="https://www.youtube.com/watch?v=xjoBDX3u1Ys" TargetMode="External"/><Relationship Id="rId7" Type="http://schemas.openxmlformats.org/officeDocument/2006/relationships/hyperlink" Target="https://www.youtube.com/watch?v=WU456HIXN5U" TargetMode="External"/><Relationship Id="rId145" Type="http://schemas.openxmlformats.org/officeDocument/2006/relationships/hyperlink" Target="https://www.youtube.com/watch?v=q1K9wPDzMjU" TargetMode="External"/><Relationship Id="rId266" Type="http://schemas.openxmlformats.org/officeDocument/2006/relationships/hyperlink" Target="https://www.youtube.com/watch?v=hH3jbt-s4aY" TargetMode="External"/><Relationship Id="rId387" Type="http://schemas.openxmlformats.org/officeDocument/2006/relationships/hyperlink" Target="https://www.youtube.com/watch?v=yB7P6V4_zUw" TargetMode="External"/><Relationship Id="rId8" Type="http://schemas.openxmlformats.org/officeDocument/2006/relationships/hyperlink" Target="https://www.youtube.com/watch?v=PcNDlU0LyJk" TargetMode="External"/><Relationship Id="rId144" Type="http://schemas.openxmlformats.org/officeDocument/2006/relationships/hyperlink" Target="https://www.youtube.com/watch?v=vdwHHPZwNEo" TargetMode="External"/><Relationship Id="rId265" Type="http://schemas.openxmlformats.org/officeDocument/2006/relationships/hyperlink" Target="https://www.youtube.com/watch?v=mNRX-8C-RmY" TargetMode="External"/><Relationship Id="rId386" Type="http://schemas.openxmlformats.org/officeDocument/2006/relationships/hyperlink" Target="https://www.youtube.com/watch?v=Ly_KKukp01g" TargetMode="External"/><Relationship Id="rId260" Type="http://schemas.openxmlformats.org/officeDocument/2006/relationships/hyperlink" Target="https://www.youtube.com/watch?v=VwTbkm1NN4Y" TargetMode="External"/><Relationship Id="rId381" Type="http://schemas.openxmlformats.org/officeDocument/2006/relationships/hyperlink" Target="https://www.youtube.com/watch?v=_OTzuNIDOOA" TargetMode="External"/><Relationship Id="rId380" Type="http://schemas.openxmlformats.org/officeDocument/2006/relationships/hyperlink" Target="https://www.youtube.com/watch?v=Kg7UNGe9lik" TargetMode="External"/><Relationship Id="rId139" Type="http://schemas.openxmlformats.org/officeDocument/2006/relationships/hyperlink" Target="https://www.youtube.com/watch?v=agP31XI_FxA" TargetMode="External"/><Relationship Id="rId138" Type="http://schemas.openxmlformats.org/officeDocument/2006/relationships/hyperlink" Target="https://www.youtube.com/watch?v=2WYZtS_LLog" TargetMode="External"/><Relationship Id="rId259" Type="http://schemas.openxmlformats.org/officeDocument/2006/relationships/hyperlink" Target="https://www.youtube.com/watch?v=qGie_-i1j6o" TargetMode="External"/><Relationship Id="rId137" Type="http://schemas.openxmlformats.org/officeDocument/2006/relationships/hyperlink" Target="https://www.youtube.com/watch?v=qd7yTtTb_Fc" TargetMode="External"/><Relationship Id="rId258" Type="http://schemas.openxmlformats.org/officeDocument/2006/relationships/hyperlink" Target="https://www.youtube.com/watch?v=_xIbCmTtK8s" TargetMode="External"/><Relationship Id="rId379" Type="http://schemas.openxmlformats.org/officeDocument/2006/relationships/hyperlink" Target="https://www.youtube.com/watch?v=FQmwAFcJSpw" TargetMode="External"/><Relationship Id="rId132" Type="http://schemas.openxmlformats.org/officeDocument/2006/relationships/hyperlink" Target="https://www.youtube.com/watch?v=vHGejHQUoio" TargetMode="External"/><Relationship Id="rId253" Type="http://schemas.openxmlformats.org/officeDocument/2006/relationships/hyperlink" Target="https://www.youtube.com/watch?v=JNg9hu1QURw" TargetMode="External"/><Relationship Id="rId374" Type="http://schemas.openxmlformats.org/officeDocument/2006/relationships/hyperlink" Target="https://www.youtube.com/watch?v=A6j1KcojG0E" TargetMode="External"/><Relationship Id="rId495" Type="http://schemas.openxmlformats.org/officeDocument/2006/relationships/hyperlink" Target="https://www.youtube.com/watch?v=C-AklzjB96w" TargetMode="External"/><Relationship Id="rId131" Type="http://schemas.openxmlformats.org/officeDocument/2006/relationships/hyperlink" Target="https://www.youtube.com/watch?v=g-xyM5pVESg" TargetMode="External"/><Relationship Id="rId252" Type="http://schemas.openxmlformats.org/officeDocument/2006/relationships/hyperlink" Target="https://www.youtube.com/watch?v=yr_-UHm07rM" TargetMode="External"/><Relationship Id="rId373" Type="http://schemas.openxmlformats.org/officeDocument/2006/relationships/hyperlink" Target="https://www.youtube.com/watch?v=kKbQvD24QPY" TargetMode="External"/><Relationship Id="rId494" Type="http://schemas.openxmlformats.org/officeDocument/2006/relationships/hyperlink" Target="https://www.youtube.com/watch?v=s_eR4_6kip8" TargetMode="External"/><Relationship Id="rId130" Type="http://schemas.openxmlformats.org/officeDocument/2006/relationships/hyperlink" Target="https://www.youtube.com/watch?v=SS0UQNsxhus" TargetMode="External"/><Relationship Id="rId251" Type="http://schemas.openxmlformats.org/officeDocument/2006/relationships/hyperlink" Target="https://www.youtube.com/watch?v=Ow3nJA8fhhQ" TargetMode="External"/><Relationship Id="rId372" Type="http://schemas.openxmlformats.org/officeDocument/2006/relationships/hyperlink" Target="https://www.youtube.com/watch?v=VxI-y4zU4YE" TargetMode="External"/><Relationship Id="rId493" Type="http://schemas.openxmlformats.org/officeDocument/2006/relationships/hyperlink" Target="https://www.youtube.com/watch?v=9fu_xDvkBMk" TargetMode="External"/><Relationship Id="rId250" Type="http://schemas.openxmlformats.org/officeDocument/2006/relationships/hyperlink" Target="https://www.youtube.com/watch?v=d9iObjKR5yI" TargetMode="External"/><Relationship Id="rId371" Type="http://schemas.openxmlformats.org/officeDocument/2006/relationships/hyperlink" Target="https://www.youtube.com/watch?v=sTYcLqa56Z4" TargetMode="External"/><Relationship Id="rId492" Type="http://schemas.openxmlformats.org/officeDocument/2006/relationships/hyperlink" Target="https://www.youtube.com/watch?v=4PxIlOKBbng" TargetMode="External"/><Relationship Id="rId136" Type="http://schemas.openxmlformats.org/officeDocument/2006/relationships/hyperlink" Target="https://www.youtube.com/watch?v=7jIfpSOnmK8" TargetMode="External"/><Relationship Id="rId257" Type="http://schemas.openxmlformats.org/officeDocument/2006/relationships/hyperlink" Target="https://www.youtube.com/watch?v=_Anq0CTYGt8" TargetMode="External"/><Relationship Id="rId378" Type="http://schemas.openxmlformats.org/officeDocument/2006/relationships/hyperlink" Target="https://www.youtube.com/watch?v=AjEKOFHh4yM" TargetMode="External"/><Relationship Id="rId499" Type="http://schemas.openxmlformats.org/officeDocument/2006/relationships/hyperlink" Target="https://www.youtube.com/watch?v=KStzrk3h76o" TargetMode="External"/><Relationship Id="rId135" Type="http://schemas.openxmlformats.org/officeDocument/2006/relationships/hyperlink" Target="https://www.youtube.com/watch?v=hWBzG7eVqVg" TargetMode="External"/><Relationship Id="rId256" Type="http://schemas.openxmlformats.org/officeDocument/2006/relationships/hyperlink" Target="https://www.youtube.com/watch?v=6oKx_bFPSSA" TargetMode="External"/><Relationship Id="rId377" Type="http://schemas.openxmlformats.org/officeDocument/2006/relationships/hyperlink" Target="https://www.youtube.com/watch?v=0DBc4TKwgDc" TargetMode="External"/><Relationship Id="rId498" Type="http://schemas.openxmlformats.org/officeDocument/2006/relationships/hyperlink" Target="https://www.youtube.com/watch?v=4xWwhXcAjhU" TargetMode="External"/><Relationship Id="rId134" Type="http://schemas.openxmlformats.org/officeDocument/2006/relationships/hyperlink" Target="https://www.youtube.com/watch?v=kQP4pUPNjqs" TargetMode="External"/><Relationship Id="rId255" Type="http://schemas.openxmlformats.org/officeDocument/2006/relationships/hyperlink" Target="https://www.youtube.com/watch?v=xjZO-uNelDI" TargetMode="External"/><Relationship Id="rId376" Type="http://schemas.openxmlformats.org/officeDocument/2006/relationships/hyperlink" Target="https://www.youtube.com/watch?v=dJ9wpyiJSSI" TargetMode="External"/><Relationship Id="rId497" Type="http://schemas.openxmlformats.org/officeDocument/2006/relationships/hyperlink" Target="https://www.youtube.com/watch?v=5XqO9FCH3Xk" TargetMode="External"/><Relationship Id="rId133" Type="http://schemas.openxmlformats.org/officeDocument/2006/relationships/hyperlink" Target="https://www.youtube.com/watch?v=3f7b_ZE5B1Y" TargetMode="External"/><Relationship Id="rId254" Type="http://schemas.openxmlformats.org/officeDocument/2006/relationships/hyperlink" Target="https://www.youtube.com/watch?v=11Ben3IvDQ0" TargetMode="External"/><Relationship Id="rId375" Type="http://schemas.openxmlformats.org/officeDocument/2006/relationships/hyperlink" Target="https://www.youtube.com/watch?v=wzPkggokfLg" TargetMode="External"/><Relationship Id="rId496" Type="http://schemas.openxmlformats.org/officeDocument/2006/relationships/hyperlink" Target="https://www.youtube.com/watch?v=CLCX0mlWjw0" TargetMode="External"/><Relationship Id="rId172" Type="http://schemas.openxmlformats.org/officeDocument/2006/relationships/hyperlink" Target="https://www.youtube.com/watch?v=2Ew9deAuPwU" TargetMode="External"/><Relationship Id="rId293" Type="http://schemas.openxmlformats.org/officeDocument/2006/relationships/hyperlink" Target="https://www.youtube.com/watch?v=-fhrU0xoCgk" TargetMode="External"/><Relationship Id="rId171" Type="http://schemas.openxmlformats.org/officeDocument/2006/relationships/hyperlink" Target="https://www.youtube.com/watch?v=wgud4Fi47XA" TargetMode="External"/><Relationship Id="rId292" Type="http://schemas.openxmlformats.org/officeDocument/2006/relationships/hyperlink" Target="https://www.youtube.com/watch?v=fzzIeVO7-qk" TargetMode="External"/><Relationship Id="rId170" Type="http://schemas.openxmlformats.org/officeDocument/2006/relationships/hyperlink" Target="https://www.youtube.com/watch?v=fQxUVyFqzpA" TargetMode="External"/><Relationship Id="rId291" Type="http://schemas.openxmlformats.org/officeDocument/2006/relationships/hyperlink" Target="https://www.youtube.com/watch?v=zILqg37PouM" TargetMode="External"/><Relationship Id="rId290" Type="http://schemas.openxmlformats.org/officeDocument/2006/relationships/hyperlink" Target="https://www.youtube.com/watch?v=NQUbNykwFG4" TargetMode="External"/><Relationship Id="rId165" Type="http://schemas.openxmlformats.org/officeDocument/2006/relationships/hyperlink" Target="https://www.youtube.com/watch?v=wH8I0vSB-Os" TargetMode="External"/><Relationship Id="rId286" Type="http://schemas.openxmlformats.org/officeDocument/2006/relationships/hyperlink" Target="https://www.youtube.com/watch?v=JbxzX8kwig4" TargetMode="External"/><Relationship Id="rId164" Type="http://schemas.openxmlformats.org/officeDocument/2006/relationships/hyperlink" Target="https://www.youtube.com/watch?v=8iuVX1AkV_0" TargetMode="External"/><Relationship Id="rId285" Type="http://schemas.openxmlformats.org/officeDocument/2006/relationships/hyperlink" Target="https://www.youtube.com/watch?v=Q3ZGmGasWfc" TargetMode="External"/><Relationship Id="rId163" Type="http://schemas.openxmlformats.org/officeDocument/2006/relationships/hyperlink" Target="https://www.youtube.com/watch?v=hgdVPIrlSPU" TargetMode="External"/><Relationship Id="rId284" Type="http://schemas.openxmlformats.org/officeDocument/2006/relationships/hyperlink" Target="https://www.youtube.com/watch?v=O5i1SD7KFkI" TargetMode="External"/><Relationship Id="rId162" Type="http://schemas.openxmlformats.org/officeDocument/2006/relationships/hyperlink" Target="https://www.youtube.com/watch?v=yaOVnZ7W-Qc" TargetMode="External"/><Relationship Id="rId283" Type="http://schemas.openxmlformats.org/officeDocument/2006/relationships/hyperlink" Target="https://www.youtube.com/watch?v=dZCZp5udJeI" TargetMode="External"/><Relationship Id="rId169" Type="http://schemas.openxmlformats.org/officeDocument/2006/relationships/hyperlink" Target="https://www.youtube.com/watch?v=UuJzHq-Ont4" TargetMode="External"/><Relationship Id="rId168" Type="http://schemas.openxmlformats.org/officeDocument/2006/relationships/hyperlink" Target="https://www.youtube.com/watch?v=Z7B5IZZhoAI" TargetMode="External"/><Relationship Id="rId289" Type="http://schemas.openxmlformats.org/officeDocument/2006/relationships/hyperlink" Target="https://www.youtube.com/watch?v=j84sUcOTBRM" TargetMode="External"/><Relationship Id="rId167" Type="http://schemas.openxmlformats.org/officeDocument/2006/relationships/hyperlink" Target="https://www.youtube.com/watch?v=itgdRwuvtN0" TargetMode="External"/><Relationship Id="rId288" Type="http://schemas.openxmlformats.org/officeDocument/2006/relationships/hyperlink" Target="https://www.youtube.com/watch?v=0-Ishanuvj8" TargetMode="External"/><Relationship Id="rId166" Type="http://schemas.openxmlformats.org/officeDocument/2006/relationships/hyperlink" Target="https://www.youtube.com/watch?v=Um1LJAfSPoo" TargetMode="External"/><Relationship Id="rId287" Type="http://schemas.openxmlformats.org/officeDocument/2006/relationships/hyperlink" Target="https://www.youtube.com/watch?v=Uxcvh2BQu1g" TargetMode="External"/><Relationship Id="rId161" Type="http://schemas.openxmlformats.org/officeDocument/2006/relationships/hyperlink" Target="https://www.youtube.com/watch?v=Y1SUVA0PU1o" TargetMode="External"/><Relationship Id="rId282" Type="http://schemas.openxmlformats.org/officeDocument/2006/relationships/hyperlink" Target="https://www.youtube.com/watch?v=-cC-ErXYdnI" TargetMode="External"/><Relationship Id="rId160" Type="http://schemas.openxmlformats.org/officeDocument/2006/relationships/hyperlink" Target="https://www.youtube.com/watch?v=2uOiM67vK6A" TargetMode="External"/><Relationship Id="rId281" Type="http://schemas.openxmlformats.org/officeDocument/2006/relationships/hyperlink" Target="https://www.youtube.com/watch?v=EHQ6eLHDs78" TargetMode="External"/><Relationship Id="rId280" Type="http://schemas.openxmlformats.org/officeDocument/2006/relationships/hyperlink" Target="https://www.youtube.com/watch?v=FKg_FjS3qZw" TargetMode="External"/><Relationship Id="rId159" Type="http://schemas.openxmlformats.org/officeDocument/2006/relationships/hyperlink" Target="https://www.youtube.com/watch?v=4h6drLmYTr8" TargetMode="External"/><Relationship Id="rId154" Type="http://schemas.openxmlformats.org/officeDocument/2006/relationships/hyperlink" Target="https://www.youtube.com/watch?v=5K-nmVDwXW0" TargetMode="External"/><Relationship Id="rId275" Type="http://schemas.openxmlformats.org/officeDocument/2006/relationships/hyperlink" Target="https://www.youtube.com/watch?v=m9xF54UZFuY" TargetMode="External"/><Relationship Id="rId396" Type="http://schemas.openxmlformats.org/officeDocument/2006/relationships/hyperlink" Target="https://www.youtube.com/watch?v=1VZl4rtt2aU" TargetMode="External"/><Relationship Id="rId153" Type="http://schemas.openxmlformats.org/officeDocument/2006/relationships/hyperlink" Target="https://www.youtube.com/watch?v=vKGL9b0x_K8" TargetMode="External"/><Relationship Id="rId274" Type="http://schemas.openxmlformats.org/officeDocument/2006/relationships/hyperlink" Target="https://www.youtube.com/watch?v=NpqJHyWjh7A" TargetMode="External"/><Relationship Id="rId395" Type="http://schemas.openxmlformats.org/officeDocument/2006/relationships/hyperlink" Target="https://www.youtube.com/watch?v=dlfE6JbvIYI" TargetMode="External"/><Relationship Id="rId152" Type="http://schemas.openxmlformats.org/officeDocument/2006/relationships/hyperlink" Target="https://www.youtube.com/watch?v=HdBCunbR_jE" TargetMode="External"/><Relationship Id="rId273" Type="http://schemas.openxmlformats.org/officeDocument/2006/relationships/hyperlink" Target="https://www.youtube.com/watch?v=s1VIjn0qPQg" TargetMode="External"/><Relationship Id="rId394" Type="http://schemas.openxmlformats.org/officeDocument/2006/relationships/hyperlink" Target="https://www.youtube.com/watch?v=go47jpA5M1A" TargetMode="External"/><Relationship Id="rId151" Type="http://schemas.openxmlformats.org/officeDocument/2006/relationships/hyperlink" Target="https://www.youtube.com/watch?v=PjvzuUMMZs4" TargetMode="External"/><Relationship Id="rId272" Type="http://schemas.openxmlformats.org/officeDocument/2006/relationships/hyperlink" Target="https://www.youtube.com/watch?v=_OWY_haNDNI" TargetMode="External"/><Relationship Id="rId393" Type="http://schemas.openxmlformats.org/officeDocument/2006/relationships/hyperlink" Target="https://www.youtube.com/watch?v=orOA4dPxE98" TargetMode="External"/><Relationship Id="rId158" Type="http://schemas.openxmlformats.org/officeDocument/2006/relationships/hyperlink" Target="https://www.youtube.com/watch?v=d9KgrM48iGg" TargetMode="External"/><Relationship Id="rId279" Type="http://schemas.openxmlformats.org/officeDocument/2006/relationships/hyperlink" Target="https://www.youtube.com/watch?v=1GLaXQ6Rgcg" TargetMode="External"/><Relationship Id="rId157" Type="http://schemas.openxmlformats.org/officeDocument/2006/relationships/hyperlink" Target="https://www.youtube.com/watch?v=5bAuJCTjg8s" TargetMode="External"/><Relationship Id="rId278" Type="http://schemas.openxmlformats.org/officeDocument/2006/relationships/hyperlink" Target="https://www.youtube.com/watch?v=AuVaei10Du0" TargetMode="External"/><Relationship Id="rId399" Type="http://schemas.openxmlformats.org/officeDocument/2006/relationships/hyperlink" Target="https://www.youtube.com/watch?v=C3knBzrgTTY" TargetMode="External"/><Relationship Id="rId156" Type="http://schemas.openxmlformats.org/officeDocument/2006/relationships/hyperlink" Target="https://www.youtube.com/watch?v=ucgD3lqwZX0" TargetMode="External"/><Relationship Id="rId277" Type="http://schemas.openxmlformats.org/officeDocument/2006/relationships/hyperlink" Target="https://www.youtube.com/watch?v=w5KPpzfrQQY" TargetMode="External"/><Relationship Id="rId398" Type="http://schemas.openxmlformats.org/officeDocument/2006/relationships/hyperlink" Target="https://www.youtube.com/watch?v=BNly0XIZX6c" TargetMode="External"/><Relationship Id="rId155" Type="http://schemas.openxmlformats.org/officeDocument/2006/relationships/hyperlink" Target="https://www.youtube.com/watch?v=R7mzbp-9vbk" TargetMode="External"/><Relationship Id="rId276" Type="http://schemas.openxmlformats.org/officeDocument/2006/relationships/hyperlink" Target="https://www.youtube.com/watch?v=srr9jTynwdo" TargetMode="External"/><Relationship Id="rId397" Type="http://schemas.openxmlformats.org/officeDocument/2006/relationships/hyperlink" Target="https://www.youtube.com/watch?v=cUULt5zHp0k" TargetMode="External"/><Relationship Id="rId40" Type="http://schemas.openxmlformats.org/officeDocument/2006/relationships/hyperlink" Target="https://www.youtube.com/watch?v=iS7CE9mrtI4" TargetMode="External"/><Relationship Id="rId42" Type="http://schemas.openxmlformats.org/officeDocument/2006/relationships/hyperlink" Target="https://www.youtube.com/watch?v=6_9IYK6ZlyY" TargetMode="External"/><Relationship Id="rId41" Type="http://schemas.openxmlformats.org/officeDocument/2006/relationships/hyperlink" Target="https://www.youtube.com/watch?v=THua8SMPtK4" TargetMode="External"/><Relationship Id="rId44" Type="http://schemas.openxmlformats.org/officeDocument/2006/relationships/hyperlink" Target="https://www.youtube.com/watch?v=ufZ1BZcZzKI" TargetMode="External"/><Relationship Id="rId43" Type="http://schemas.openxmlformats.org/officeDocument/2006/relationships/hyperlink" Target="https://www.youtube.com/watch?v=LXrKKz7Mld8" TargetMode="External"/><Relationship Id="rId46" Type="http://schemas.openxmlformats.org/officeDocument/2006/relationships/hyperlink" Target="https://www.youtube.com/watch?v=FndfcBhZklU" TargetMode="External"/><Relationship Id="rId45" Type="http://schemas.openxmlformats.org/officeDocument/2006/relationships/hyperlink" Target="https://www.youtube.com/watch?v=rNhQIKC2jPM" TargetMode="External"/><Relationship Id="rId509" Type="http://schemas.openxmlformats.org/officeDocument/2006/relationships/hyperlink" Target="https://www.youtube.com/watch?v=ll-fhgVbj1I" TargetMode="External"/><Relationship Id="rId508" Type="http://schemas.openxmlformats.org/officeDocument/2006/relationships/hyperlink" Target="https://www.youtube.com/watch?v=xl6nyKVDNCQ" TargetMode="External"/><Relationship Id="rId629" Type="http://schemas.openxmlformats.org/officeDocument/2006/relationships/hyperlink" Target="https://www.youtube.com/watch?v=lnII4AH2rHw" TargetMode="External"/><Relationship Id="rId503" Type="http://schemas.openxmlformats.org/officeDocument/2006/relationships/hyperlink" Target="https://www.youtube.com/watch?v=a6bj2Qddmzk" TargetMode="External"/><Relationship Id="rId624" Type="http://schemas.openxmlformats.org/officeDocument/2006/relationships/hyperlink" Target="https://www.youtube.com/watch?v=HzuZ57Y3-VQ" TargetMode="External"/><Relationship Id="rId745" Type="http://schemas.openxmlformats.org/officeDocument/2006/relationships/hyperlink" Target="https://www.youtube.com/watch?v=xCLLCYBg7Zc" TargetMode="External"/><Relationship Id="rId502" Type="http://schemas.openxmlformats.org/officeDocument/2006/relationships/hyperlink" Target="https://www.youtube.com/watch?v=JkMKDP2BOlw&amp;t=169s" TargetMode="External"/><Relationship Id="rId623" Type="http://schemas.openxmlformats.org/officeDocument/2006/relationships/hyperlink" Target="https://www.youtube.com/watch?v=-pTe3fDFF7U" TargetMode="External"/><Relationship Id="rId744" Type="http://schemas.openxmlformats.org/officeDocument/2006/relationships/hyperlink" Target="https://www.youtube.com/watch?v=sy6xQyjX7qg" TargetMode="External"/><Relationship Id="rId501" Type="http://schemas.openxmlformats.org/officeDocument/2006/relationships/hyperlink" Target="https://www.youtube.com/watch?v=1UT4aCq24wA" TargetMode="External"/><Relationship Id="rId622" Type="http://schemas.openxmlformats.org/officeDocument/2006/relationships/hyperlink" Target="https://www.youtube.com/watch?v=JZ7LHVZfMwM" TargetMode="External"/><Relationship Id="rId743" Type="http://schemas.openxmlformats.org/officeDocument/2006/relationships/hyperlink" Target="https://www.youtube.com/watch?v=SPD35eCSgDk" TargetMode="External"/><Relationship Id="rId500" Type="http://schemas.openxmlformats.org/officeDocument/2006/relationships/hyperlink" Target="https://www.youtube.com/watch?v=udY03G3fVJQ" TargetMode="External"/><Relationship Id="rId621" Type="http://schemas.openxmlformats.org/officeDocument/2006/relationships/hyperlink" Target="https://www.youtube.com/watch?v=1k_PbRxkEqo" TargetMode="External"/><Relationship Id="rId742" Type="http://schemas.openxmlformats.org/officeDocument/2006/relationships/hyperlink" Target="https://www.youtube.com/watch?v=JlEmX46IYNY" TargetMode="External"/><Relationship Id="rId507" Type="http://schemas.openxmlformats.org/officeDocument/2006/relationships/hyperlink" Target="https://www.youtube.com/watch?v=8Fyp5gw_HGc&amp;t=19s" TargetMode="External"/><Relationship Id="rId628" Type="http://schemas.openxmlformats.org/officeDocument/2006/relationships/hyperlink" Target="https://www.youtube.com/watch?v=13shkRG4RMc" TargetMode="External"/><Relationship Id="rId749" Type="http://schemas.openxmlformats.org/officeDocument/2006/relationships/hyperlink" Target="https://www.youtube.com/watch?v=Bx9ffGtMMxo" TargetMode="External"/><Relationship Id="rId506" Type="http://schemas.openxmlformats.org/officeDocument/2006/relationships/hyperlink" Target="https://www.youtube.com/watch?v=REfOblHmn6Q" TargetMode="External"/><Relationship Id="rId627" Type="http://schemas.openxmlformats.org/officeDocument/2006/relationships/hyperlink" Target="https://www.youtube.com/watch?v=LAZPY_rTJLU" TargetMode="External"/><Relationship Id="rId748" Type="http://schemas.openxmlformats.org/officeDocument/2006/relationships/hyperlink" Target="https://www.youtube.com/watch?v=c50rfZlrNXU" TargetMode="External"/><Relationship Id="rId505" Type="http://schemas.openxmlformats.org/officeDocument/2006/relationships/hyperlink" Target="https://www.youtube.com/watch?v=v2dy-2T9kRE" TargetMode="External"/><Relationship Id="rId626" Type="http://schemas.openxmlformats.org/officeDocument/2006/relationships/hyperlink" Target="https://www.youtube.com/watch?v=6M1Mp5tvk-E" TargetMode="External"/><Relationship Id="rId747" Type="http://schemas.openxmlformats.org/officeDocument/2006/relationships/hyperlink" Target="https://www.youtube.com/watch?v=wfQX8QWcWgI" TargetMode="External"/><Relationship Id="rId504" Type="http://schemas.openxmlformats.org/officeDocument/2006/relationships/hyperlink" Target="https://www.youtube.com/watch?v=qEJJIhs02cI" TargetMode="External"/><Relationship Id="rId625" Type="http://schemas.openxmlformats.org/officeDocument/2006/relationships/hyperlink" Target="https://www.youtube.com/watch?v=b96t52xbmO8" TargetMode="External"/><Relationship Id="rId746" Type="http://schemas.openxmlformats.org/officeDocument/2006/relationships/hyperlink" Target="https://www.youtube.com/watch?v=s4vjcCAXvVI" TargetMode="External"/><Relationship Id="rId48" Type="http://schemas.openxmlformats.org/officeDocument/2006/relationships/hyperlink" Target="https://www.youtube.com/watch?v=K9s433rQloA" TargetMode="External"/><Relationship Id="rId47" Type="http://schemas.openxmlformats.org/officeDocument/2006/relationships/hyperlink" Target="https://www.youtube.com/watch?v=20u8yHim1tM" TargetMode="External"/><Relationship Id="rId49" Type="http://schemas.openxmlformats.org/officeDocument/2006/relationships/hyperlink" Target="https://www.youtube.com/watch?v=QEUeYDEFtsE" TargetMode="External"/><Relationship Id="rId620" Type="http://schemas.openxmlformats.org/officeDocument/2006/relationships/hyperlink" Target="https://www.youtube.com/watch?v=Vrv16kSoTLQ" TargetMode="External"/><Relationship Id="rId741" Type="http://schemas.openxmlformats.org/officeDocument/2006/relationships/hyperlink" Target="https://www.youtube.com/watch?v=VFJFvcNogFU" TargetMode="External"/><Relationship Id="rId740" Type="http://schemas.openxmlformats.org/officeDocument/2006/relationships/hyperlink" Target="https://www.youtube.com/watch?v=ZyApm_PJ-W8&amp;t=65s" TargetMode="External"/><Relationship Id="rId31" Type="http://schemas.openxmlformats.org/officeDocument/2006/relationships/hyperlink" Target="https://www.youtube.com/watch?v=dp7l5qmLHJI" TargetMode="External"/><Relationship Id="rId30" Type="http://schemas.openxmlformats.org/officeDocument/2006/relationships/hyperlink" Target="https://www.youtube.com/watch?v=C3_6Ub1GnfA" TargetMode="External"/><Relationship Id="rId33" Type="http://schemas.openxmlformats.org/officeDocument/2006/relationships/hyperlink" Target="https://www.youtube.com/watch?v=ryQMb29oX3s" TargetMode="External"/><Relationship Id="rId32" Type="http://schemas.openxmlformats.org/officeDocument/2006/relationships/hyperlink" Target="https://www.youtube.com/watch?v=elqL0Sr_sVU" TargetMode="External"/><Relationship Id="rId35" Type="http://schemas.openxmlformats.org/officeDocument/2006/relationships/hyperlink" Target="https://www.youtube.com/watch?v=lzMEDrUFlpw" TargetMode="External"/><Relationship Id="rId34" Type="http://schemas.openxmlformats.org/officeDocument/2006/relationships/hyperlink" Target="https://www.youtube.com/watch?v=BEz8X5SUwjY" TargetMode="External"/><Relationship Id="rId619" Type="http://schemas.openxmlformats.org/officeDocument/2006/relationships/hyperlink" Target="https://www.youtube.com/watch?v=kDDNkLWPpUc" TargetMode="External"/><Relationship Id="rId618" Type="http://schemas.openxmlformats.org/officeDocument/2006/relationships/hyperlink" Target="https://www.youtube.com/watch?v=SNAHZpRl3go" TargetMode="External"/><Relationship Id="rId739" Type="http://schemas.openxmlformats.org/officeDocument/2006/relationships/hyperlink" Target="https://www.youtube.com/watch?v=ZErxsCxSQsA" TargetMode="External"/><Relationship Id="rId613" Type="http://schemas.openxmlformats.org/officeDocument/2006/relationships/hyperlink" Target="https://www.youtube.com/watch?v=r0tSX3M-7oM&amp;t=41s" TargetMode="External"/><Relationship Id="rId734" Type="http://schemas.openxmlformats.org/officeDocument/2006/relationships/hyperlink" Target="https://www.youtube.com/watch?v=h4ZgKKlmUl0&amp;t=481s" TargetMode="External"/><Relationship Id="rId612" Type="http://schemas.openxmlformats.org/officeDocument/2006/relationships/hyperlink" Target="https://www.youtube.com/watch?v=RfiT3REVHxQ" TargetMode="External"/><Relationship Id="rId733" Type="http://schemas.openxmlformats.org/officeDocument/2006/relationships/hyperlink" Target="https://www.youtube.com/watch?v=lyiuoR-2E6I" TargetMode="External"/><Relationship Id="rId611" Type="http://schemas.openxmlformats.org/officeDocument/2006/relationships/hyperlink" Target="https://www.youtube.com/watch?v=8usGAaPq-WY" TargetMode="External"/><Relationship Id="rId732" Type="http://schemas.openxmlformats.org/officeDocument/2006/relationships/hyperlink" Target="https://www.youtube.com/watch?v=3Pat7agSMJU&amp;t=22s" TargetMode="External"/><Relationship Id="rId610" Type="http://schemas.openxmlformats.org/officeDocument/2006/relationships/hyperlink" Target="https://www.youtube.com/watch?v=4W3kmjNG_K8" TargetMode="External"/><Relationship Id="rId731" Type="http://schemas.openxmlformats.org/officeDocument/2006/relationships/hyperlink" Target="https://www.youtube.com/watch?v=1CJb6PuWDqk" TargetMode="External"/><Relationship Id="rId617" Type="http://schemas.openxmlformats.org/officeDocument/2006/relationships/hyperlink" Target="https://www.youtube.com/watch?v=Y5sHrOViVq0" TargetMode="External"/><Relationship Id="rId738" Type="http://schemas.openxmlformats.org/officeDocument/2006/relationships/hyperlink" Target="https://www.youtube.com/watch?v=qIQN0DtO2Z8" TargetMode="External"/><Relationship Id="rId616" Type="http://schemas.openxmlformats.org/officeDocument/2006/relationships/hyperlink" Target="https://www.youtube.com/watch?v=XWeFa6jUiPw" TargetMode="External"/><Relationship Id="rId737" Type="http://schemas.openxmlformats.org/officeDocument/2006/relationships/hyperlink" Target="https://www.youtube.com/watch?v=HQK8u4lh7y0" TargetMode="External"/><Relationship Id="rId615" Type="http://schemas.openxmlformats.org/officeDocument/2006/relationships/hyperlink" Target="https://www.youtube.com/watch?v=uiJHx80DJcw" TargetMode="External"/><Relationship Id="rId736" Type="http://schemas.openxmlformats.org/officeDocument/2006/relationships/hyperlink" Target="https://www.youtube.com/watch?v=aPfBxS4huSc" TargetMode="External"/><Relationship Id="rId614" Type="http://schemas.openxmlformats.org/officeDocument/2006/relationships/hyperlink" Target="https://www.youtube.com/watch?v=9hi4MG3BU0Y" TargetMode="External"/><Relationship Id="rId735" Type="http://schemas.openxmlformats.org/officeDocument/2006/relationships/hyperlink" Target="https://www.youtube.com/watch?v=8gCMYZ-alVw" TargetMode="External"/><Relationship Id="rId37" Type="http://schemas.openxmlformats.org/officeDocument/2006/relationships/hyperlink" Target="https://www.youtube.com/watch?v=ycnvyB8pDEM" TargetMode="External"/><Relationship Id="rId36" Type="http://schemas.openxmlformats.org/officeDocument/2006/relationships/hyperlink" Target="https://www.youtube.com/watch?v=qCG2vqnaUx4" TargetMode="External"/><Relationship Id="rId39" Type="http://schemas.openxmlformats.org/officeDocument/2006/relationships/hyperlink" Target="https://www.youtube.com/watch?v=VeR7IhIkDk0" TargetMode="External"/><Relationship Id="rId38" Type="http://schemas.openxmlformats.org/officeDocument/2006/relationships/hyperlink" Target="https://www.youtube.com/watch?v=xANxZaCCD70" TargetMode="External"/><Relationship Id="rId730" Type="http://schemas.openxmlformats.org/officeDocument/2006/relationships/hyperlink" Target="https://www.youtube.com/watch?v=7IXp156RgtQ" TargetMode="External"/><Relationship Id="rId20" Type="http://schemas.openxmlformats.org/officeDocument/2006/relationships/hyperlink" Target="https://www.youtube.com/watch?v=Wpkt3HpzBTs" TargetMode="External"/><Relationship Id="rId22" Type="http://schemas.openxmlformats.org/officeDocument/2006/relationships/hyperlink" Target="https://www.youtube.com/watch?v=DMG2XD9_nTI" TargetMode="External"/><Relationship Id="rId21" Type="http://schemas.openxmlformats.org/officeDocument/2006/relationships/hyperlink" Target="https://www.youtube.com/watch?v=_IcfDP-ezpo" TargetMode="External"/><Relationship Id="rId24" Type="http://schemas.openxmlformats.org/officeDocument/2006/relationships/hyperlink" Target="https://www.youtube.com/watch?v=5LJPOCxc3E8" TargetMode="External"/><Relationship Id="rId23" Type="http://schemas.openxmlformats.org/officeDocument/2006/relationships/hyperlink" Target="https://www.youtube.com/watch?v=Uq2PJjcHiqI" TargetMode="External"/><Relationship Id="rId409" Type="http://schemas.openxmlformats.org/officeDocument/2006/relationships/hyperlink" Target="https://www.youtube.com/watch?v=GDQ-FTObhak" TargetMode="External"/><Relationship Id="rId404" Type="http://schemas.openxmlformats.org/officeDocument/2006/relationships/hyperlink" Target="https://www.youtube.com/watch?v=QrVLpFoGRb4" TargetMode="External"/><Relationship Id="rId525" Type="http://schemas.openxmlformats.org/officeDocument/2006/relationships/hyperlink" Target="https://www.youtube.com/watch?v=GCo89ggyUKw" TargetMode="External"/><Relationship Id="rId646" Type="http://schemas.openxmlformats.org/officeDocument/2006/relationships/hyperlink" Target="https://www.youtube.com/watch?v=-pDxEjRprYM" TargetMode="External"/><Relationship Id="rId403" Type="http://schemas.openxmlformats.org/officeDocument/2006/relationships/hyperlink" Target="https://www.youtube.com/watch?v=3zpg3MGhmyI" TargetMode="External"/><Relationship Id="rId524" Type="http://schemas.openxmlformats.org/officeDocument/2006/relationships/hyperlink" Target="https://www.youtube.com/watch?v=VkyOIj4SQu4" TargetMode="External"/><Relationship Id="rId645" Type="http://schemas.openxmlformats.org/officeDocument/2006/relationships/hyperlink" Target="https://www.youtube.com/watch?v=1Gop0_4D5pE" TargetMode="External"/><Relationship Id="rId402" Type="http://schemas.openxmlformats.org/officeDocument/2006/relationships/hyperlink" Target="https://www.youtube.com/watch?v=JcNaFHIozC4" TargetMode="External"/><Relationship Id="rId523" Type="http://schemas.openxmlformats.org/officeDocument/2006/relationships/hyperlink" Target="https://www.youtube.com/watch?v=xkyySDtO5HU" TargetMode="External"/><Relationship Id="rId644" Type="http://schemas.openxmlformats.org/officeDocument/2006/relationships/hyperlink" Target="https://www.youtube.com/watch?v=Yb0AWtlb8-g" TargetMode="External"/><Relationship Id="rId401" Type="http://schemas.openxmlformats.org/officeDocument/2006/relationships/hyperlink" Target="https://www.youtube.com/watch?v=1-5q-Da6EHQ" TargetMode="External"/><Relationship Id="rId522" Type="http://schemas.openxmlformats.org/officeDocument/2006/relationships/hyperlink" Target="https://www.youtube.com/watch?v=uTyoGVNa7FA" TargetMode="External"/><Relationship Id="rId643" Type="http://schemas.openxmlformats.org/officeDocument/2006/relationships/hyperlink" Target="https://www.youtube.com/watch?v=69M5XJQEYX4" TargetMode="External"/><Relationship Id="rId408" Type="http://schemas.openxmlformats.org/officeDocument/2006/relationships/hyperlink" Target="https://www.youtube.com/watch?v=P1Eurn7tEJM" TargetMode="External"/><Relationship Id="rId529" Type="http://schemas.openxmlformats.org/officeDocument/2006/relationships/hyperlink" Target="https://www.youtube.com/watch?v=ozdJ_kTaZcc" TargetMode="External"/><Relationship Id="rId407" Type="http://schemas.openxmlformats.org/officeDocument/2006/relationships/hyperlink" Target="https://www.youtube.com/watch?v=AcHVZjv6cAs" TargetMode="External"/><Relationship Id="rId528" Type="http://schemas.openxmlformats.org/officeDocument/2006/relationships/hyperlink" Target="https://www.youtube.com/watch?v=iZ6Xk9YCaaY" TargetMode="External"/><Relationship Id="rId649" Type="http://schemas.openxmlformats.org/officeDocument/2006/relationships/hyperlink" Target="https://www.youtube.com/watch?v=F2WG7neA31s" TargetMode="External"/><Relationship Id="rId406" Type="http://schemas.openxmlformats.org/officeDocument/2006/relationships/hyperlink" Target="https://www.youtube.com/watch?v=c0qRokhkADI" TargetMode="External"/><Relationship Id="rId527" Type="http://schemas.openxmlformats.org/officeDocument/2006/relationships/hyperlink" Target="https://www.youtube.com/watch?v=aRzq_l_Rmcc" TargetMode="External"/><Relationship Id="rId648" Type="http://schemas.openxmlformats.org/officeDocument/2006/relationships/hyperlink" Target="https://www.youtube.com/watch?v=Voaw-uef3Tw" TargetMode="External"/><Relationship Id="rId405" Type="http://schemas.openxmlformats.org/officeDocument/2006/relationships/hyperlink" Target="https://www.youtube.com/watch?v=yCrftsxElf8" TargetMode="External"/><Relationship Id="rId526" Type="http://schemas.openxmlformats.org/officeDocument/2006/relationships/hyperlink" Target="https://www.youtube.com/watch?v=vOOkxcKaZEo" TargetMode="External"/><Relationship Id="rId647" Type="http://schemas.openxmlformats.org/officeDocument/2006/relationships/hyperlink" Target="https://www.youtube.com/watch?v=1P_XO3xfTCs" TargetMode="External"/><Relationship Id="rId26" Type="http://schemas.openxmlformats.org/officeDocument/2006/relationships/hyperlink" Target="https://www.youtube.com/watch?v=gbWoqwJKhbM" TargetMode="External"/><Relationship Id="rId25" Type="http://schemas.openxmlformats.org/officeDocument/2006/relationships/hyperlink" Target="https://www.youtube.com/watch?v=LdrmgXtd_rs" TargetMode="External"/><Relationship Id="rId28" Type="http://schemas.openxmlformats.org/officeDocument/2006/relationships/hyperlink" Target="https://www.youtube.com/watch?v=WsjxXfklatk" TargetMode="External"/><Relationship Id="rId27" Type="http://schemas.openxmlformats.org/officeDocument/2006/relationships/hyperlink" Target="https://www.youtube.com/watch?v=RdBz1kIwrqo" TargetMode="External"/><Relationship Id="rId400" Type="http://schemas.openxmlformats.org/officeDocument/2006/relationships/hyperlink" Target="https://www.youtube.com/watch?v=w1UAQGgnz4A" TargetMode="External"/><Relationship Id="rId521" Type="http://schemas.openxmlformats.org/officeDocument/2006/relationships/hyperlink" Target="https://www.youtube.com/watch?v=4pkD8CkJiIQ" TargetMode="External"/><Relationship Id="rId642" Type="http://schemas.openxmlformats.org/officeDocument/2006/relationships/hyperlink" Target="https://www.youtube.com/watch?v=0cvq3rbQ7Dw" TargetMode="External"/><Relationship Id="rId29" Type="http://schemas.openxmlformats.org/officeDocument/2006/relationships/hyperlink" Target="https://www.youtube.com/watch?v=N0PD3TuLvoo" TargetMode="External"/><Relationship Id="rId520" Type="http://schemas.openxmlformats.org/officeDocument/2006/relationships/hyperlink" Target="https://www.youtube.com/watch?v=EfHkupTL5wU" TargetMode="External"/><Relationship Id="rId641" Type="http://schemas.openxmlformats.org/officeDocument/2006/relationships/hyperlink" Target="https://www.youtube.com/watch?v=5Qbkf3waru8" TargetMode="External"/><Relationship Id="rId640" Type="http://schemas.openxmlformats.org/officeDocument/2006/relationships/hyperlink" Target="https://www.youtube.com/watch?v=Iz3TO-dXkSI" TargetMode="External"/><Relationship Id="rId760" Type="http://schemas.openxmlformats.org/officeDocument/2006/relationships/vmlDrawing" Target="../drawings/vmlDrawing1.vml"/><Relationship Id="rId11" Type="http://schemas.openxmlformats.org/officeDocument/2006/relationships/hyperlink" Target="https://www.youtube.com/watch?v=Kxuiy8OL30w" TargetMode="External"/><Relationship Id="rId10" Type="http://schemas.openxmlformats.org/officeDocument/2006/relationships/hyperlink" Target="https://www.youtube.com/watch?v=0_EJXPWJN4E" TargetMode="External"/><Relationship Id="rId13" Type="http://schemas.openxmlformats.org/officeDocument/2006/relationships/hyperlink" Target="https://www.youtube.com/watch?v=2UnJMns3fjs" TargetMode="External"/><Relationship Id="rId12" Type="http://schemas.openxmlformats.org/officeDocument/2006/relationships/hyperlink" Target="https://www.youtube.com/watch?v=jMgGGixmfus" TargetMode="External"/><Relationship Id="rId519" Type="http://schemas.openxmlformats.org/officeDocument/2006/relationships/hyperlink" Target="https://www.youtube.com/watch?v=D7yIybTWmmU" TargetMode="External"/><Relationship Id="rId514" Type="http://schemas.openxmlformats.org/officeDocument/2006/relationships/hyperlink" Target="https://www.youtube.com/watch?v=gPdm-EF13GU" TargetMode="External"/><Relationship Id="rId635" Type="http://schemas.openxmlformats.org/officeDocument/2006/relationships/hyperlink" Target="https://www.youtube.com/watch?v=GP0JLpTLOWU" TargetMode="External"/><Relationship Id="rId756" Type="http://schemas.openxmlformats.org/officeDocument/2006/relationships/hyperlink" Target="https://www.youtube.com/watch?v=9jjsiAFVdXc" TargetMode="External"/><Relationship Id="rId513" Type="http://schemas.openxmlformats.org/officeDocument/2006/relationships/hyperlink" Target="https://www.youtube.com/watch?v=3vhgcNKVRgY" TargetMode="External"/><Relationship Id="rId634" Type="http://schemas.openxmlformats.org/officeDocument/2006/relationships/hyperlink" Target="https://www.youtube.com/watch?v=6KN0GnYv6xQ" TargetMode="External"/><Relationship Id="rId755" Type="http://schemas.openxmlformats.org/officeDocument/2006/relationships/hyperlink" Target="https://www.youtube.com/watch?v=JB_lc00AWIE" TargetMode="External"/><Relationship Id="rId512" Type="http://schemas.openxmlformats.org/officeDocument/2006/relationships/hyperlink" Target="https://www.youtube.com/watch?v=NeCQOUox8zc" TargetMode="External"/><Relationship Id="rId633" Type="http://schemas.openxmlformats.org/officeDocument/2006/relationships/hyperlink" Target="https://www.youtube.com/watch?v=-c4KLljIDeo" TargetMode="External"/><Relationship Id="rId754" Type="http://schemas.openxmlformats.org/officeDocument/2006/relationships/hyperlink" Target="https://www.youtube.com/watch?v=ahKeSqFT0Nk" TargetMode="External"/><Relationship Id="rId511" Type="http://schemas.openxmlformats.org/officeDocument/2006/relationships/hyperlink" Target="https://www.youtube.com/watch?v=NMCXHN1fW9k" TargetMode="External"/><Relationship Id="rId632" Type="http://schemas.openxmlformats.org/officeDocument/2006/relationships/hyperlink" Target="https://www.youtube.com/watch?v=IS6hRiM7WuU" TargetMode="External"/><Relationship Id="rId753" Type="http://schemas.openxmlformats.org/officeDocument/2006/relationships/hyperlink" Target="https://www.youtube.com/watch?v=dvcJI5yAd6M&amp;t=122s" TargetMode="External"/><Relationship Id="rId518" Type="http://schemas.openxmlformats.org/officeDocument/2006/relationships/hyperlink" Target="https://www.youtube.com/watch?v=S9RImbEoWYA" TargetMode="External"/><Relationship Id="rId639" Type="http://schemas.openxmlformats.org/officeDocument/2006/relationships/hyperlink" Target="https://www.youtube.com/watch?v=NpCmOPhka6g" TargetMode="External"/><Relationship Id="rId517" Type="http://schemas.openxmlformats.org/officeDocument/2006/relationships/hyperlink" Target="https://www.youtube.com/watch?v=6ufhk6JL8x8" TargetMode="External"/><Relationship Id="rId638" Type="http://schemas.openxmlformats.org/officeDocument/2006/relationships/hyperlink" Target="https://www.youtube.com/watch?v=p08RUDejFXs" TargetMode="External"/><Relationship Id="rId759" Type="http://schemas.openxmlformats.org/officeDocument/2006/relationships/drawing" Target="../drawings/drawing2.xml"/><Relationship Id="rId516" Type="http://schemas.openxmlformats.org/officeDocument/2006/relationships/hyperlink" Target="https://www.youtube.com/watch?v=wu_ONpNjikY" TargetMode="External"/><Relationship Id="rId637" Type="http://schemas.openxmlformats.org/officeDocument/2006/relationships/hyperlink" Target="https://www.youtube.com/watch?v=ImpfhngYCCA" TargetMode="External"/><Relationship Id="rId758" Type="http://schemas.openxmlformats.org/officeDocument/2006/relationships/hyperlink" Target="https://www.youtube.com/watch?v=79r5KYH0nBI" TargetMode="External"/><Relationship Id="rId515" Type="http://schemas.openxmlformats.org/officeDocument/2006/relationships/hyperlink" Target="https://www.youtube.com/watch?v=wYCmU0vaKvc" TargetMode="External"/><Relationship Id="rId636" Type="http://schemas.openxmlformats.org/officeDocument/2006/relationships/hyperlink" Target="https://www.youtube.com/watch?v=OdRuRzl5pwg" TargetMode="External"/><Relationship Id="rId757" Type="http://schemas.openxmlformats.org/officeDocument/2006/relationships/hyperlink" Target="https://www.youtube.com/watch?v=9QSUsKZfoQA&amp;t=156s" TargetMode="External"/><Relationship Id="rId15" Type="http://schemas.openxmlformats.org/officeDocument/2006/relationships/hyperlink" Target="https://www.youtube.com/watch?v=Smd_3o5vtLo" TargetMode="External"/><Relationship Id="rId14" Type="http://schemas.openxmlformats.org/officeDocument/2006/relationships/hyperlink" Target="https://www.youtube.com/watch?v=KVDRl_wLqdM" TargetMode="External"/><Relationship Id="rId17" Type="http://schemas.openxmlformats.org/officeDocument/2006/relationships/hyperlink" Target="https://www.youtube.com/watch?v=NCOKqHoIW7M" TargetMode="External"/><Relationship Id="rId16" Type="http://schemas.openxmlformats.org/officeDocument/2006/relationships/hyperlink" Target="https://www.youtube.com/watch?v=iBwpK4_JtEw" TargetMode="External"/><Relationship Id="rId19" Type="http://schemas.openxmlformats.org/officeDocument/2006/relationships/hyperlink" Target="https://www.youtube.com/watch?v=0Y3z-QStbk8" TargetMode="External"/><Relationship Id="rId510" Type="http://schemas.openxmlformats.org/officeDocument/2006/relationships/hyperlink" Target="https://www.youtube.com/watch?v=1uNyxmccf1U" TargetMode="External"/><Relationship Id="rId631" Type="http://schemas.openxmlformats.org/officeDocument/2006/relationships/hyperlink" Target="https://www.youtube.com/watch?v=_zmgXM40afU" TargetMode="External"/><Relationship Id="rId752" Type="http://schemas.openxmlformats.org/officeDocument/2006/relationships/hyperlink" Target="https://www.youtube.com/watch?v=GtSbmTRia5Y" TargetMode="External"/><Relationship Id="rId18" Type="http://schemas.openxmlformats.org/officeDocument/2006/relationships/hyperlink" Target="https://www.youtube.com/watch?v=tkF_3Ixn02I" TargetMode="External"/><Relationship Id="rId630" Type="http://schemas.openxmlformats.org/officeDocument/2006/relationships/hyperlink" Target="https://www.youtube.com/watch?v=az7GJp1YAXw" TargetMode="External"/><Relationship Id="rId751" Type="http://schemas.openxmlformats.org/officeDocument/2006/relationships/hyperlink" Target="https://www.youtube.com/watch?v=dHQ-HMVdPyE" TargetMode="External"/><Relationship Id="rId750" Type="http://schemas.openxmlformats.org/officeDocument/2006/relationships/hyperlink" Target="https://www.youtube.com/watch?v=DL5cLBZou3I" TargetMode="External"/><Relationship Id="rId84" Type="http://schemas.openxmlformats.org/officeDocument/2006/relationships/hyperlink" Target="https://www.youtube.com/watch?v=3pxgnl2fHZg" TargetMode="External"/><Relationship Id="rId83" Type="http://schemas.openxmlformats.org/officeDocument/2006/relationships/hyperlink" Target="https://www.youtube.com/watch?v=knJJGEYwaZw" TargetMode="External"/><Relationship Id="rId86" Type="http://schemas.openxmlformats.org/officeDocument/2006/relationships/hyperlink" Target="https://www.youtube.com/watch?v=z1wT-GurohQ" TargetMode="External"/><Relationship Id="rId85" Type="http://schemas.openxmlformats.org/officeDocument/2006/relationships/hyperlink" Target="https://www.youtube.com/watch?v=TEUt7CVuFbI" TargetMode="External"/><Relationship Id="rId88" Type="http://schemas.openxmlformats.org/officeDocument/2006/relationships/hyperlink" Target="https://www.youtube.com/watch?v=BcDC-Op1hJc" TargetMode="External"/><Relationship Id="rId87" Type="http://schemas.openxmlformats.org/officeDocument/2006/relationships/hyperlink" Target="https://www.youtube.com/watch?v=f-XdG6v-RWk" TargetMode="External"/><Relationship Id="rId89" Type="http://schemas.openxmlformats.org/officeDocument/2006/relationships/hyperlink" Target="https://www.youtube.com/watch?v=lXmhJr1LDyI" TargetMode="External"/><Relationship Id="rId709" Type="http://schemas.openxmlformats.org/officeDocument/2006/relationships/hyperlink" Target="https://www.youtube.com/watch?v=DBYSIkWsAOI" TargetMode="External"/><Relationship Id="rId708" Type="http://schemas.openxmlformats.org/officeDocument/2006/relationships/hyperlink" Target="https://www.youtube.com/watch?v=k0FNC9LuJoo&amp;t=4s" TargetMode="External"/><Relationship Id="rId707" Type="http://schemas.openxmlformats.org/officeDocument/2006/relationships/hyperlink" Target="https://www.youtube.com/watch?v=KCUZ6hBgxc0" TargetMode="External"/><Relationship Id="rId706" Type="http://schemas.openxmlformats.org/officeDocument/2006/relationships/hyperlink" Target="https://www.youtube.com/watch?v=Zused4CGMw4" TargetMode="External"/><Relationship Id="rId80" Type="http://schemas.openxmlformats.org/officeDocument/2006/relationships/hyperlink" Target="https://www.youtube.com/watch?v=uDANJcQm-So" TargetMode="External"/><Relationship Id="rId82" Type="http://schemas.openxmlformats.org/officeDocument/2006/relationships/hyperlink" Target="https://www.youtube.com/watch?v=4eM5V0OXNNU" TargetMode="External"/><Relationship Id="rId81" Type="http://schemas.openxmlformats.org/officeDocument/2006/relationships/hyperlink" Target="https://www.youtube.com/watch?v=aXm-YqwVmbs" TargetMode="External"/><Relationship Id="rId701" Type="http://schemas.openxmlformats.org/officeDocument/2006/relationships/hyperlink" Target="https://www.youtube.com/watch?v=SNpVBfgzPmo" TargetMode="External"/><Relationship Id="rId700" Type="http://schemas.openxmlformats.org/officeDocument/2006/relationships/hyperlink" Target="https://www.youtube.com/watch?v=WzgR7yTQNzY" TargetMode="External"/><Relationship Id="rId705" Type="http://schemas.openxmlformats.org/officeDocument/2006/relationships/hyperlink" Target="https://www.youtube.com/watch?v=DMReaVWJGFE" TargetMode="External"/><Relationship Id="rId704" Type="http://schemas.openxmlformats.org/officeDocument/2006/relationships/hyperlink" Target="https://www.youtube.com/watch?v=lQph5joRdU8" TargetMode="External"/><Relationship Id="rId703" Type="http://schemas.openxmlformats.org/officeDocument/2006/relationships/hyperlink" Target="https://www.youtube.com/watch?v=g8GW7DlPr4g" TargetMode="External"/><Relationship Id="rId702" Type="http://schemas.openxmlformats.org/officeDocument/2006/relationships/hyperlink" Target="https://www.youtube.com/watch?v=MC9pK4dCHAs" TargetMode="External"/><Relationship Id="rId73" Type="http://schemas.openxmlformats.org/officeDocument/2006/relationships/hyperlink" Target="https://www.youtube.com/watch?v=MlTxtaiX1xI" TargetMode="External"/><Relationship Id="rId72" Type="http://schemas.openxmlformats.org/officeDocument/2006/relationships/hyperlink" Target="https://www.youtube.com/watch?v=OpsoPcAUMbw" TargetMode="External"/><Relationship Id="rId75" Type="http://schemas.openxmlformats.org/officeDocument/2006/relationships/hyperlink" Target="https://www.youtube.com/watch?v=YFmL65VsWdk" TargetMode="External"/><Relationship Id="rId74" Type="http://schemas.openxmlformats.org/officeDocument/2006/relationships/hyperlink" Target="https://www.youtube.com/watch?v=4yz6ZL-TC94" TargetMode="External"/><Relationship Id="rId77" Type="http://schemas.openxmlformats.org/officeDocument/2006/relationships/hyperlink" Target="https://www.youtube.com/watch?v=y1fdkGgCt64" TargetMode="External"/><Relationship Id="rId76" Type="http://schemas.openxmlformats.org/officeDocument/2006/relationships/hyperlink" Target="https://www.youtube.com/watch?v=29-xoooHPaw" TargetMode="External"/><Relationship Id="rId79" Type="http://schemas.openxmlformats.org/officeDocument/2006/relationships/hyperlink" Target="https://www.youtube.com/watch?v=54lSHTtU68A" TargetMode="External"/><Relationship Id="rId78" Type="http://schemas.openxmlformats.org/officeDocument/2006/relationships/hyperlink" Target="https://www.youtube.com/watch?v=FNqQxPkLmPI" TargetMode="External"/><Relationship Id="rId71" Type="http://schemas.openxmlformats.org/officeDocument/2006/relationships/hyperlink" Target="https://www.youtube.com/watch?v=J5mYtIH7Pho" TargetMode="External"/><Relationship Id="rId70" Type="http://schemas.openxmlformats.org/officeDocument/2006/relationships/hyperlink" Target="https://www.youtube.com/watch?v=M-zdPqtp9Kk" TargetMode="External"/><Relationship Id="rId62" Type="http://schemas.openxmlformats.org/officeDocument/2006/relationships/hyperlink" Target="https://www.youtube.com/watch?v=QZxRsM9xvK4" TargetMode="External"/><Relationship Id="rId61" Type="http://schemas.openxmlformats.org/officeDocument/2006/relationships/hyperlink" Target="https://www.youtube.com/watch?v=sc4OOSLMiQQ" TargetMode="External"/><Relationship Id="rId64" Type="http://schemas.openxmlformats.org/officeDocument/2006/relationships/hyperlink" Target="https://www.youtube.com/watch?v=-3rtVbNkNNQ" TargetMode="External"/><Relationship Id="rId63" Type="http://schemas.openxmlformats.org/officeDocument/2006/relationships/hyperlink" Target="https://www.youtube.com/watch?v=s3LVHHEe2vc" TargetMode="External"/><Relationship Id="rId66" Type="http://schemas.openxmlformats.org/officeDocument/2006/relationships/hyperlink" Target="https://www.youtube.com/watch?v=28dLjjiriJA" TargetMode="External"/><Relationship Id="rId65" Type="http://schemas.openxmlformats.org/officeDocument/2006/relationships/hyperlink" Target="https://www.youtube.com/watch?v=ytrFjytVgtk" TargetMode="External"/><Relationship Id="rId68" Type="http://schemas.openxmlformats.org/officeDocument/2006/relationships/hyperlink" Target="https://www.youtube.com/watch?v=HZ6X5Xt1nS8" TargetMode="External"/><Relationship Id="rId67" Type="http://schemas.openxmlformats.org/officeDocument/2006/relationships/hyperlink" Target="https://www.youtube.com/watch?v=mhHQNrL_bkM" TargetMode="External"/><Relationship Id="rId609" Type="http://schemas.openxmlformats.org/officeDocument/2006/relationships/hyperlink" Target="https://www.youtube.com/watch?v=1jVMegap8Ws" TargetMode="External"/><Relationship Id="rId608" Type="http://schemas.openxmlformats.org/officeDocument/2006/relationships/hyperlink" Target="https://www.youtube.com/watch?v=J2Z6w1bXfYc" TargetMode="External"/><Relationship Id="rId729" Type="http://schemas.openxmlformats.org/officeDocument/2006/relationships/hyperlink" Target="https://www.youtube.com/watch?v=s9g49kgd9ao" TargetMode="External"/><Relationship Id="rId607" Type="http://schemas.openxmlformats.org/officeDocument/2006/relationships/hyperlink" Target="https://www.youtube.com/watch?v=DrTFGS7SoCg" TargetMode="External"/><Relationship Id="rId728" Type="http://schemas.openxmlformats.org/officeDocument/2006/relationships/hyperlink" Target="https://www.youtube.com/watch?v=zEXu5K5eyCY" TargetMode="External"/><Relationship Id="rId60" Type="http://schemas.openxmlformats.org/officeDocument/2006/relationships/hyperlink" Target="https://www.youtube.com/watch?v=ByaheAphduQ" TargetMode="External"/><Relationship Id="rId602" Type="http://schemas.openxmlformats.org/officeDocument/2006/relationships/hyperlink" Target="https://www.youtube.com/watch?v=ZI3BJk08OWI" TargetMode="External"/><Relationship Id="rId723" Type="http://schemas.openxmlformats.org/officeDocument/2006/relationships/hyperlink" Target="https://www.youtube.com/watch?v=Ul-faWS75vA" TargetMode="External"/><Relationship Id="rId601" Type="http://schemas.openxmlformats.org/officeDocument/2006/relationships/hyperlink" Target="https://www.youtube.com/watch?v=j53ZVDx4pYc" TargetMode="External"/><Relationship Id="rId722" Type="http://schemas.openxmlformats.org/officeDocument/2006/relationships/hyperlink" Target="https://www.youtube.com/watch?v=tmCFtpj6IZc" TargetMode="External"/><Relationship Id="rId600" Type="http://schemas.openxmlformats.org/officeDocument/2006/relationships/hyperlink" Target="https://www.youtube.com/watch?v=ZoDHsv06lNI" TargetMode="External"/><Relationship Id="rId721" Type="http://schemas.openxmlformats.org/officeDocument/2006/relationships/hyperlink" Target="https://www.youtube.com/watch?v=sEg8fP2ckhI" TargetMode="External"/><Relationship Id="rId720" Type="http://schemas.openxmlformats.org/officeDocument/2006/relationships/hyperlink" Target="https://www.youtube.com/watch?v=tPgOVeqnOcc" TargetMode="External"/><Relationship Id="rId606" Type="http://schemas.openxmlformats.org/officeDocument/2006/relationships/hyperlink" Target="https://www.youtube.com/watch?v=EKyX0QsZVJc" TargetMode="External"/><Relationship Id="rId727" Type="http://schemas.openxmlformats.org/officeDocument/2006/relationships/hyperlink" Target="https://www.youtube.com/watch?v=5IYA6g6rNW0" TargetMode="External"/><Relationship Id="rId605" Type="http://schemas.openxmlformats.org/officeDocument/2006/relationships/hyperlink" Target="https://www.youtube.com/watch?v=0gtyqapBB3A" TargetMode="External"/><Relationship Id="rId726" Type="http://schemas.openxmlformats.org/officeDocument/2006/relationships/hyperlink" Target="https://www.youtube.com/watch?v=OmWUkxANoEk" TargetMode="External"/><Relationship Id="rId604" Type="http://schemas.openxmlformats.org/officeDocument/2006/relationships/hyperlink" Target="https://www.youtube.com/watch?v=sLe31yV0Fb4" TargetMode="External"/><Relationship Id="rId725" Type="http://schemas.openxmlformats.org/officeDocument/2006/relationships/hyperlink" Target="https://www.youtube.com/watch?v=4ej2lqB-kjM" TargetMode="External"/><Relationship Id="rId603" Type="http://schemas.openxmlformats.org/officeDocument/2006/relationships/hyperlink" Target="https://www.youtube.com/watch?v=84agoVdaycE" TargetMode="External"/><Relationship Id="rId724" Type="http://schemas.openxmlformats.org/officeDocument/2006/relationships/hyperlink" Target="https://www.youtube.com/watch?v=rP79c8rd-jE" TargetMode="External"/><Relationship Id="rId69" Type="http://schemas.openxmlformats.org/officeDocument/2006/relationships/hyperlink" Target="https://www.youtube.com/watch?v=IAmXafhUmYc" TargetMode="External"/><Relationship Id="rId51" Type="http://schemas.openxmlformats.org/officeDocument/2006/relationships/hyperlink" Target="https://www.youtube.com/watch?v=8qjQH_-WzyE" TargetMode="External"/><Relationship Id="rId50" Type="http://schemas.openxmlformats.org/officeDocument/2006/relationships/hyperlink" Target="https://www.youtube.com/watch?v=Yhp3rFuo5Cw" TargetMode="External"/><Relationship Id="rId53" Type="http://schemas.openxmlformats.org/officeDocument/2006/relationships/hyperlink" Target="https://www.youtube.com/watch?v=-udb2VYB5uo" TargetMode="External"/><Relationship Id="rId52" Type="http://schemas.openxmlformats.org/officeDocument/2006/relationships/hyperlink" Target="https://www.youtube.com/watch?v=vHWsmGyjOk0" TargetMode="External"/><Relationship Id="rId55" Type="http://schemas.openxmlformats.org/officeDocument/2006/relationships/hyperlink" Target="https://www.youtube.com/watch?v=m3jwqSSyVkg" TargetMode="External"/><Relationship Id="rId54" Type="http://schemas.openxmlformats.org/officeDocument/2006/relationships/hyperlink" Target="https://www.youtube.com/watch?v=f-MLHIb4dFU" TargetMode="External"/><Relationship Id="rId57" Type="http://schemas.openxmlformats.org/officeDocument/2006/relationships/hyperlink" Target="https://www.youtube.com/watch?v=JXjMYvGqqDE" TargetMode="External"/><Relationship Id="rId56" Type="http://schemas.openxmlformats.org/officeDocument/2006/relationships/hyperlink" Target="https://www.youtube.com/watch?v=QWaXqmcxm94" TargetMode="External"/><Relationship Id="rId719" Type="http://schemas.openxmlformats.org/officeDocument/2006/relationships/hyperlink" Target="https://www.youtube.com/watch?v=3ytmTvor21A" TargetMode="External"/><Relationship Id="rId718" Type="http://schemas.openxmlformats.org/officeDocument/2006/relationships/hyperlink" Target="https://www.youtube.com/watch?v=Owv0FewW5Bo" TargetMode="External"/><Relationship Id="rId717" Type="http://schemas.openxmlformats.org/officeDocument/2006/relationships/hyperlink" Target="https://www.youtube.com/watch?v=oLCI7vQ7WFk" TargetMode="External"/><Relationship Id="rId712" Type="http://schemas.openxmlformats.org/officeDocument/2006/relationships/hyperlink" Target="https://www.youtube.com/watch?v=wKoUB00RmE0" TargetMode="External"/><Relationship Id="rId711" Type="http://schemas.openxmlformats.org/officeDocument/2006/relationships/hyperlink" Target="https://www.youtube.com/watch?v=uaTb9-4kT2Y" TargetMode="External"/><Relationship Id="rId710" Type="http://schemas.openxmlformats.org/officeDocument/2006/relationships/hyperlink" Target="https://www.youtube.com/watch?v=VKbVHIgKbbo" TargetMode="External"/><Relationship Id="rId716" Type="http://schemas.openxmlformats.org/officeDocument/2006/relationships/hyperlink" Target="https://www.youtube.com/watch?v=1wYg5d-4aVg" TargetMode="External"/><Relationship Id="rId715" Type="http://schemas.openxmlformats.org/officeDocument/2006/relationships/hyperlink" Target="https://www.youtube.com/watch?v=inDcB8LwlqI" TargetMode="External"/><Relationship Id="rId714" Type="http://schemas.openxmlformats.org/officeDocument/2006/relationships/hyperlink" Target="https://www.youtube.com/watch?v=Ts09Fp7M53k" TargetMode="External"/><Relationship Id="rId713" Type="http://schemas.openxmlformats.org/officeDocument/2006/relationships/hyperlink" Target="https://www.youtube.com/watch?v=sI2xSENomQY" TargetMode="External"/><Relationship Id="rId59" Type="http://schemas.openxmlformats.org/officeDocument/2006/relationships/hyperlink" Target="https://www.youtube.com/watch?v=xtHzknvaS7s" TargetMode="External"/><Relationship Id="rId58" Type="http://schemas.openxmlformats.org/officeDocument/2006/relationships/hyperlink" Target="https://www.youtube.com/watch?v=TGgYE0Ui0co" TargetMode="External"/><Relationship Id="rId590" Type="http://schemas.openxmlformats.org/officeDocument/2006/relationships/hyperlink" Target="https://www.youtube.com/watch?v=9qgkONu6nbk" TargetMode="External"/><Relationship Id="rId107" Type="http://schemas.openxmlformats.org/officeDocument/2006/relationships/hyperlink" Target="https://www.youtube.com/watch?v=tUBrwCmKx8s" TargetMode="External"/><Relationship Id="rId228" Type="http://schemas.openxmlformats.org/officeDocument/2006/relationships/hyperlink" Target="https://www.youtube.com/watch?v=7RTlRYpr7o8" TargetMode="External"/><Relationship Id="rId349" Type="http://schemas.openxmlformats.org/officeDocument/2006/relationships/hyperlink" Target="https://www.youtube.com/watch?v=5U64D5B9-O0" TargetMode="External"/><Relationship Id="rId106" Type="http://schemas.openxmlformats.org/officeDocument/2006/relationships/hyperlink" Target="https://www.youtube.com/watch?v=k_PhmmAyLFg" TargetMode="External"/><Relationship Id="rId227" Type="http://schemas.openxmlformats.org/officeDocument/2006/relationships/hyperlink" Target="https://www.youtube.com/watch?v=7zvf9bnLgs8" TargetMode="External"/><Relationship Id="rId348" Type="http://schemas.openxmlformats.org/officeDocument/2006/relationships/hyperlink" Target="https://www.youtube.com/watch?v=M8Xez56Bg9c" TargetMode="External"/><Relationship Id="rId469" Type="http://schemas.openxmlformats.org/officeDocument/2006/relationships/hyperlink" Target="https://www.youtube.com/watch?v=NNu6sJz2cPI" TargetMode="External"/><Relationship Id="rId105" Type="http://schemas.openxmlformats.org/officeDocument/2006/relationships/hyperlink" Target="https://www.youtube.com/watch?v=MOkWSa69NKA" TargetMode="External"/><Relationship Id="rId226" Type="http://schemas.openxmlformats.org/officeDocument/2006/relationships/hyperlink" Target="https://www.youtube.com/watch?v=v6x52noLJOo" TargetMode="External"/><Relationship Id="rId347" Type="http://schemas.openxmlformats.org/officeDocument/2006/relationships/hyperlink" Target="https://www.youtube.com/watch?v=7cA62ZHlWx0" TargetMode="External"/><Relationship Id="rId468" Type="http://schemas.openxmlformats.org/officeDocument/2006/relationships/hyperlink" Target="https://www.youtube.com/watch?v=_vKbwIOfXy0" TargetMode="External"/><Relationship Id="rId589" Type="http://schemas.openxmlformats.org/officeDocument/2006/relationships/hyperlink" Target="https://www.youtube.com/watch?v=6WJO3QlTEpg" TargetMode="External"/><Relationship Id="rId104" Type="http://schemas.openxmlformats.org/officeDocument/2006/relationships/hyperlink" Target="https://www.youtube.com/watch?v=8RSu4ymCgp4" TargetMode="External"/><Relationship Id="rId225" Type="http://schemas.openxmlformats.org/officeDocument/2006/relationships/hyperlink" Target="https://www.youtube.com/watch?v=myyrtrylWQs" TargetMode="External"/><Relationship Id="rId346" Type="http://schemas.openxmlformats.org/officeDocument/2006/relationships/hyperlink" Target="https://www.youtube.com/watch?v=spEEA-o1zlE" TargetMode="External"/><Relationship Id="rId467" Type="http://schemas.openxmlformats.org/officeDocument/2006/relationships/hyperlink" Target="https://www.youtube.com/watch?v=WfJvOgXp9SM" TargetMode="External"/><Relationship Id="rId588" Type="http://schemas.openxmlformats.org/officeDocument/2006/relationships/hyperlink" Target="https://www.youtube.com/watch?v=zNgyoAjVDhk" TargetMode="External"/><Relationship Id="rId109" Type="http://schemas.openxmlformats.org/officeDocument/2006/relationships/hyperlink" Target="https://www.youtube.com/watch?v=WMf0Mau2TzE" TargetMode="External"/><Relationship Id="rId108" Type="http://schemas.openxmlformats.org/officeDocument/2006/relationships/hyperlink" Target="https://www.youtube.com/watch?v=Vf5BOYF0S3Y" TargetMode="External"/><Relationship Id="rId229" Type="http://schemas.openxmlformats.org/officeDocument/2006/relationships/hyperlink" Target="https://www.youtube.com/watch?v=Th1s8XrKhnk" TargetMode="External"/><Relationship Id="rId220" Type="http://schemas.openxmlformats.org/officeDocument/2006/relationships/hyperlink" Target="https://www.youtube.com/watch?v=dXkhbNnOMy0" TargetMode="External"/><Relationship Id="rId341" Type="http://schemas.openxmlformats.org/officeDocument/2006/relationships/hyperlink" Target="https://www.youtube.com/watch?v=cuauchPBFCY" TargetMode="External"/><Relationship Id="rId462" Type="http://schemas.openxmlformats.org/officeDocument/2006/relationships/hyperlink" Target="https://www.youtube.com/watch?v=9Zummy0j6Ws" TargetMode="External"/><Relationship Id="rId583" Type="http://schemas.openxmlformats.org/officeDocument/2006/relationships/hyperlink" Target="https://www.youtube.com/watch?v=B1KtIwSP4_U" TargetMode="External"/><Relationship Id="rId340" Type="http://schemas.openxmlformats.org/officeDocument/2006/relationships/hyperlink" Target="https://www.youtube.com/watch?v=LkTTH9gGQwA" TargetMode="External"/><Relationship Id="rId461" Type="http://schemas.openxmlformats.org/officeDocument/2006/relationships/hyperlink" Target="https://www.youtube.com/watch?v=KdiEMEbTV1M" TargetMode="External"/><Relationship Id="rId582" Type="http://schemas.openxmlformats.org/officeDocument/2006/relationships/hyperlink" Target="https://www.youtube.com/watch?v=vTz9mFEgYQU" TargetMode="External"/><Relationship Id="rId460" Type="http://schemas.openxmlformats.org/officeDocument/2006/relationships/hyperlink" Target="https://www.youtube.com/watch?v=5HrBZvxcPmY" TargetMode="External"/><Relationship Id="rId581" Type="http://schemas.openxmlformats.org/officeDocument/2006/relationships/hyperlink" Target="https://www.youtube.com/watch?v=HmKETjjGv0E" TargetMode="External"/><Relationship Id="rId580" Type="http://schemas.openxmlformats.org/officeDocument/2006/relationships/hyperlink" Target="https://www.youtube.com/watch?v=6PUBS8MXVzc" TargetMode="External"/><Relationship Id="rId103" Type="http://schemas.openxmlformats.org/officeDocument/2006/relationships/hyperlink" Target="https://www.youtube.com/watch?v=NPNImjeRrF8" TargetMode="External"/><Relationship Id="rId224" Type="http://schemas.openxmlformats.org/officeDocument/2006/relationships/hyperlink" Target="https://www.youtube.com/watch?v=kmJLZRzZhUA" TargetMode="External"/><Relationship Id="rId345" Type="http://schemas.openxmlformats.org/officeDocument/2006/relationships/hyperlink" Target="https://www.youtube.com/watch?v=Uk3mD3cAFXg" TargetMode="External"/><Relationship Id="rId466" Type="http://schemas.openxmlformats.org/officeDocument/2006/relationships/hyperlink" Target="https://www.youtube.com/watch?v=ohUG8LIy7Cs" TargetMode="External"/><Relationship Id="rId587" Type="http://schemas.openxmlformats.org/officeDocument/2006/relationships/hyperlink" Target="https://www.youtube.com/watch?v=EfQbirNpLM8" TargetMode="External"/><Relationship Id="rId102" Type="http://schemas.openxmlformats.org/officeDocument/2006/relationships/hyperlink" Target="https://www.youtube.com/watch?v=nmbYnYYpa6g" TargetMode="External"/><Relationship Id="rId223" Type="http://schemas.openxmlformats.org/officeDocument/2006/relationships/hyperlink" Target="https://www.youtube.com/watch?v=cshbkDak_p0" TargetMode="External"/><Relationship Id="rId344" Type="http://schemas.openxmlformats.org/officeDocument/2006/relationships/hyperlink" Target="https://www.youtube.com/watch?v=Cv8kec-TugY" TargetMode="External"/><Relationship Id="rId465" Type="http://schemas.openxmlformats.org/officeDocument/2006/relationships/hyperlink" Target="https://www.youtube.com/watch?v=fmVDyQnLFe4" TargetMode="External"/><Relationship Id="rId586" Type="http://schemas.openxmlformats.org/officeDocument/2006/relationships/hyperlink" Target="https://www.youtube.com/watch?v=Nattb-ZPK4g" TargetMode="External"/><Relationship Id="rId101" Type="http://schemas.openxmlformats.org/officeDocument/2006/relationships/hyperlink" Target="https://www.youtube.com/watch?v=SrCfhdoTLfg" TargetMode="External"/><Relationship Id="rId222" Type="http://schemas.openxmlformats.org/officeDocument/2006/relationships/hyperlink" Target="https://www.youtube.com/watch?v=mLEhBqCBBYE" TargetMode="External"/><Relationship Id="rId343" Type="http://schemas.openxmlformats.org/officeDocument/2006/relationships/hyperlink" Target="https://www.youtube.com/watch?v=vEdOCEkdY9Q" TargetMode="External"/><Relationship Id="rId464" Type="http://schemas.openxmlformats.org/officeDocument/2006/relationships/hyperlink" Target="https://www.youtube.com/watch?v=ZwiLQGKP--A" TargetMode="External"/><Relationship Id="rId585" Type="http://schemas.openxmlformats.org/officeDocument/2006/relationships/hyperlink" Target="https://www.youtube.com/watch?v=sGXLoCpynsU" TargetMode="External"/><Relationship Id="rId100" Type="http://schemas.openxmlformats.org/officeDocument/2006/relationships/hyperlink" Target="https://www.youtube.com/watch?v=91dtNzk71IA" TargetMode="External"/><Relationship Id="rId221" Type="http://schemas.openxmlformats.org/officeDocument/2006/relationships/hyperlink" Target="https://www.youtube.com/watch?v=YD-IKZbbHeU" TargetMode="External"/><Relationship Id="rId342" Type="http://schemas.openxmlformats.org/officeDocument/2006/relationships/hyperlink" Target="https://www.youtube.com/watch?v=oeJfmsvMRBs" TargetMode="External"/><Relationship Id="rId463" Type="http://schemas.openxmlformats.org/officeDocument/2006/relationships/hyperlink" Target="https://www.youtube.com/watch?v=9VsQzAI5PLo" TargetMode="External"/><Relationship Id="rId584" Type="http://schemas.openxmlformats.org/officeDocument/2006/relationships/hyperlink" Target="https://www.youtube.com/watch?v=nUfn2eRsHgo" TargetMode="External"/><Relationship Id="rId217" Type="http://schemas.openxmlformats.org/officeDocument/2006/relationships/hyperlink" Target="https://www.youtube.com/watch?v=2p91-Fy5A6Q" TargetMode="External"/><Relationship Id="rId338" Type="http://schemas.openxmlformats.org/officeDocument/2006/relationships/hyperlink" Target="https://www.youtube.com/watch?v=MP4mGKSR2-0" TargetMode="External"/><Relationship Id="rId459" Type="http://schemas.openxmlformats.org/officeDocument/2006/relationships/hyperlink" Target="https://www.youtube.com/watch?v=kZVT_WU4Pm4" TargetMode="External"/><Relationship Id="rId216" Type="http://schemas.openxmlformats.org/officeDocument/2006/relationships/hyperlink" Target="https://www.youtube.com/watch?v=gKt4SG-pAmw" TargetMode="External"/><Relationship Id="rId337" Type="http://schemas.openxmlformats.org/officeDocument/2006/relationships/hyperlink" Target="https://www.youtube.com/watch?v=Xk3tQcQ1QcQ" TargetMode="External"/><Relationship Id="rId458" Type="http://schemas.openxmlformats.org/officeDocument/2006/relationships/hyperlink" Target="https://www.youtube.com/watch?v=xVrbpqr1LEE" TargetMode="External"/><Relationship Id="rId579" Type="http://schemas.openxmlformats.org/officeDocument/2006/relationships/hyperlink" Target="https://www.youtube.com/watch?v=wEalKzas5Ig" TargetMode="External"/><Relationship Id="rId215" Type="http://schemas.openxmlformats.org/officeDocument/2006/relationships/hyperlink" Target="https://www.youtube.com/watch?v=9ScY3DQ8lnM" TargetMode="External"/><Relationship Id="rId336" Type="http://schemas.openxmlformats.org/officeDocument/2006/relationships/hyperlink" Target="https://www.youtube.com/watch?v=zgOMSgegwGk" TargetMode="External"/><Relationship Id="rId457" Type="http://schemas.openxmlformats.org/officeDocument/2006/relationships/hyperlink" Target="https://www.youtube.com/watch?v=IQCY6tVgZ9s" TargetMode="External"/><Relationship Id="rId578" Type="http://schemas.openxmlformats.org/officeDocument/2006/relationships/hyperlink" Target="https://www.youtube.com/watch?v=qiir-ZWT6yI" TargetMode="External"/><Relationship Id="rId699" Type="http://schemas.openxmlformats.org/officeDocument/2006/relationships/hyperlink" Target="https://www.youtube.com/watch?v=vmOlaD1O5rg" TargetMode="External"/><Relationship Id="rId214" Type="http://schemas.openxmlformats.org/officeDocument/2006/relationships/hyperlink" Target="https://www.youtube.com/watch?v=8ZJ9Ubv74Fc" TargetMode="External"/><Relationship Id="rId335" Type="http://schemas.openxmlformats.org/officeDocument/2006/relationships/hyperlink" Target="https://www.youtube.com/watch?v=gtDa8NLyc74" TargetMode="External"/><Relationship Id="rId456" Type="http://schemas.openxmlformats.org/officeDocument/2006/relationships/hyperlink" Target="https://www.youtube.com/watch?v=Cuelsn9VyZQ" TargetMode="External"/><Relationship Id="rId577" Type="http://schemas.openxmlformats.org/officeDocument/2006/relationships/hyperlink" Target="https://www.youtube.com/watch?v=ANDhhofT1w0" TargetMode="External"/><Relationship Id="rId698" Type="http://schemas.openxmlformats.org/officeDocument/2006/relationships/hyperlink" Target="https://www.youtube.com/watch?v=vhlPSbFlxPI" TargetMode="External"/><Relationship Id="rId219" Type="http://schemas.openxmlformats.org/officeDocument/2006/relationships/hyperlink" Target="https://www.youtube.com/watch?v=nEEhdprZ-EE" TargetMode="External"/><Relationship Id="rId218" Type="http://schemas.openxmlformats.org/officeDocument/2006/relationships/hyperlink" Target="https://www.youtube.com/watch?v=30958J1ez4k" TargetMode="External"/><Relationship Id="rId339" Type="http://schemas.openxmlformats.org/officeDocument/2006/relationships/hyperlink" Target="https://www.youtube.com/watch?v=55sjF1l4Hu0" TargetMode="External"/><Relationship Id="rId330" Type="http://schemas.openxmlformats.org/officeDocument/2006/relationships/hyperlink" Target="https://www.youtube.com/watch?v=GpEk4HU0r2Y" TargetMode="External"/><Relationship Id="rId451" Type="http://schemas.openxmlformats.org/officeDocument/2006/relationships/hyperlink" Target="https://www.youtube.com/watch?v=lJLoAHZxMWE" TargetMode="External"/><Relationship Id="rId572" Type="http://schemas.openxmlformats.org/officeDocument/2006/relationships/hyperlink" Target="https://www.youtube.com/watch?v=BKG8mWyOvuw" TargetMode="External"/><Relationship Id="rId693" Type="http://schemas.openxmlformats.org/officeDocument/2006/relationships/hyperlink" Target="https://www.youtube.com/watch?v=gtJ9OzJIB_c" TargetMode="External"/><Relationship Id="rId450" Type="http://schemas.openxmlformats.org/officeDocument/2006/relationships/hyperlink" Target="https://www.youtube.com/watch?v=xhcu0nbcfy0" TargetMode="External"/><Relationship Id="rId571" Type="http://schemas.openxmlformats.org/officeDocument/2006/relationships/hyperlink" Target="https://www.youtube.com/watch?v=KYhdz2LiDLA" TargetMode="External"/><Relationship Id="rId692" Type="http://schemas.openxmlformats.org/officeDocument/2006/relationships/hyperlink" Target="https://www.youtube.com/watch?v=0RYS6V76lRQ" TargetMode="External"/><Relationship Id="rId570" Type="http://schemas.openxmlformats.org/officeDocument/2006/relationships/hyperlink" Target="https://www.youtube.com/watch?v=i24adZlRCZk" TargetMode="External"/><Relationship Id="rId691" Type="http://schemas.openxmlformats.org/officeDocument/2006/relationships/hyperlink" Target="https://www.youtube.com/watch?v=qqDl6coS7wg" TargetMode="External"/><Relationship Id="rId690" Type="http://schemas.openxmlformats.org/officeDocument/2006/relationships/hyperlink" Target="https://www.youtube.com/watch?v=kcbL1wC9PEg" TargetMode="External"/><Relationship Id="rId213" Type="http://schemas.openxmlformats.org/officeDocument/2006/relationships/hyperlink" Target="https://www.youtube.com/watch?v=AOQPqjRx-0c" TargetMode="External"/><Relationship Id="rId334" Type="http://schemas.openxmlformats.org/officeDocument/2006/relationships/hyperlink" Target="https://www.youtube.com/watch?v=afXofZLlzB4" TargetMode="External"/><Relationship Id="rId455" Type="http://schemas.openxmlformats.org/officeDocument/2006/relationships/hyperlink" Target="https://www.youtube.com/watch?v=tpUBWJjtzrA" TargetMode="External"/><Relationship Id="rId576" Type="http://schemas.openxmlformats.org/officeDocument/2006/relationships/hyperlink" Target="https://www.youtube.com/watch?v=C6XbkLOcyVs" TargetMode="External"/><Relationship Id="rId697" Type="http://schemas.openxmlformats.org/officeDocument/2006/relationships/hyperlink" Target="https://www.youtube.com/watch?v=_xxJKDZyRuE" TargetMode="External"/><Relationship Id="rId212" Type="http://schemas.openxmlformats.org/officeDocument/2006/relationships/hyperlink" Target="https://www.youtube.com/watch?v=F-ZzB9uBQNs" TargetMode="External"/><Relationship Id="rId333" Type="http://schemas.openxmlformats.org/officeDocument/2006/relationships/hyperlink" Target="https://www.youtube.com/watch?v=3eTjsY7w5kM" TargetMode="External"/><Relationship Id="rId454" Type="http://schemas.openxmlformats.org/officeDocument/2006/relationships/hyperlink" Target="https://www.youtube.com/watch?v=LEotomBnsQk" TargetMode="External"/><Relationship Id="rId575" Type="http://schemas.openxmlformats.org/officeDocument/2006/relationships/hyperlink" Target="https://www.youtube.com/watch?v=Kfvmj7QyAfQ" TargetMode="External"/><Relationship Id="rId696" Type="http://schemas.openxmlformats.org/officeDocument/2006/relationships/hyperlink" Target="https://www.youtube.com/watch?v=OI3nL5YCIO8" TargetMode="External"/><Relationship Id="rId211" Type="http://schemas.openxmlformats.org/officeDocument/2006/relationships/hyperlink" Target="https://www.youtube.com/watch?v=zVH1ZOi2_yk" TargetMode="External"/><Relationship Id="rId332" Type="http://schemas.openxmlformats.org/officeDocument/2006/relationships/hyperlink" Target="https://www.youtube.com/watch?v=liKAbE7beNI" TargetMode="External"/><Relationship Id="rId453" Type="http://schemas.openxmlformats.org/officeDocument/2006/relationships/hyperlink" Target="https://www.youtube.com/watch?v=t5tjD9qq-98" TargetMode="External"/><Relationship Id="rId574" Type="http://schemas.openxmlformats.org/officeDocument/2006/relationships/hyperlink" Target="https://www.youtube.com/watch?v=BsEY7XJTv70" TargetMode="External"/><Relationship Id="rId695" Type="http://schemas.openxmlformats.org/officeDocument/2006/relationships/hyperlink" Target="https://www.youtube.com/watch?v=4iGdwJ3nQcs&amp;t=38s" TargetMode="External"/><Relationship Id="rId210" Type="http://schemas.openxmlformats.org/officeDocument/2006/relationships/hyperlink" Target="https://www.youtube.com/watch?v=y-v-Ijc7W3Y" TargetMode="External"/><Relationship Id="rId331" Type="http://schemas.openxmlformats.org/officeDocument/2006/relationships/hyperlink" Target="https://www.youtube.com/watch?v=322EiuTqg7w" TargetMode="External"/><Relationship Id="rId452" Type="http://schemas.openxmlformats.org/officeDocument/2006/relationships/hyperlink" Target="https://www.youtube.com/watch?v=dSKwv3KOvN8" TargetMode="External"/><Relationship Id="rId573" Type="http://schemas.openxmlformats.org/officeDocument/2006/relationships/hyperlink" Target="https://www.youtube.com/watch?v=bGDeGR7DrFw" TargetMode="External"/><Relationship Id="rId694" Type="http://schemas.openxmlformats.org/officeDocument/2006/relationships/hyperlink" Target="https://www.youtube.com/watch?v=7AYmPqY5iF4" TargetMode="External"/><Relationship Id="rId370" Type="http://schemas.openxmlformats.org/officeDocument/2006/relationships/hyperlink" Target="https://www.youtube.com/watch?v=XCXsh2mfb3M" TargetMode="External"/><Relationship Id="rId491" Type="http://schemas.openxmlformats.org/officeDocument/2006/relationships/hyperlink" Target="https://www.youtube.com/watch?v=ejkbEib1Otk" TargetMode="External"/><Relationship Id="rId490" Type="http://schemas.openxmlformats.org/officeDocument/2006/relationships/hyperlink" Target="https://www.youtube.com/watch?v=iGqKIfGTc-s" TargetMode="External"/><Relationship Id="rId129" Type="http://schemas.openxmlformats.org/officeDocument/2006/relationships/hyperlink" Target="https://www.youtube.com/watch?v=JErwMUETzvU" TargetMode="External"/><Relationship Id="rId128" Type="http://schemas.openxmlformats.org/officeDocument/2006/relationships/hyperlink" Target="https://www.youtube.com/watch?v=08Xwx9vsy6w" TargetMode="External"/><Relationship Id="rId249" Type="http://schemas.openxmlformats.org/officeDocument/2006/relationships/hyperlink" Target="https://www.youtube.com/watch?v=R2XPp4eJXLk" TargetMode="External"/><Relationship Id="rId127" Type="http://schemas.openxmlformats.org/officeDocument/2006/relationships/hyperlink" Target="https://www.youtube.com/watch?v=6LOxjxiZ3NQ" TargetMode="External"/><Relationship Id="rId248" Type="http://schemas.openxmlformats.org/officeDocument/2006/relationships/hyperlink" Target="https://www.youtube.com/watch?v=jaw4U_s24zo" TargetMode="External"/><Relationship Id="rId369" Type="http://schemas.openxmlformats.org/officeDocument/2006/relationships/hyperlink" Target="https://www.youtube.com/watch?v=yMRw4TF7CAk" TargetMode="External"/><Relationship Id="rId126" Type="http://schemas.openxmlformats.org/officeDocument/2006/relationships/hyperlink" Target="https://www.youtube.com/watch?v=UrWQfScMALY" TargetMode="External"/><Relationship Id="rId247" Type="http://schemas.openxmlformats.org/officeDocument/2006/relationships/hyperlink" Target="https://www.youtube.com/watch?v=1_8y5fSSOlE" TargetMode="External"/><Relationship Id="rId368" Type="http://schemas.openxmlformats.org/officeDocument/2006/relationships/hyperlink" Target="https://www.youtube.com/watch?v=qY5oQOirve4" TargetMode="External"/><Relationship Id="rId489" Type="http://schemas.openxmlformats.org/officeDocument/2006/relationships/hyperlink" Target="https://www.youtube.com/watch?v=FQ3dpY5j5y8" TargetMode="External"/><Relationship Id="rId121" Type="http://schemas.openxmlformats.org/officeDocument/2006/relationships/hyperlink" Target="https://www.youtube.com/watch?v=v6It_CJ27bg" TargetMode="External"/><Relationship Id="rId242" Type="http://schemas.openxmlformats.org/officeDocument/2006/relationships/hyperlink" Target="https://www.youtube.com/watch?v=bEc29vVNLOc" TargetMode="External"/><Relationship Id="rId363" Type="http://schemas.openxmlformats.org/officeDocument/2006/relationships/hyperlink" Target="https://www.youtube.com/watch?v=DYtc95s7Kpc" TargetMode="External"/><Relationship Id="rId484" Type="http://schemas.openxmlformats.org/officeDocument/2006/relationships/hyperlink" Target="https://www.youtube.com/watch?v=pIn71L7Kv9Q" TargetMode="External"/><Relationship Id="rId120" Type="http://schemas.openxmlformats.org/officeDocument/2006/relationships/hyperlink" Target="https://www.youtube.com/watch?v=rdyZwjy8Wko" TargetMode="External"/><Relationship Id="rId241" Type="http://schemas.openxmlformats.org/officeDocument/2006/relationships/hyperlink" Target="https://www.youtube.com/watch?v=4H5piNrmsCU" TargetMode="External"/><Relationship Id="rId362" Type="http://schemas.openxmlformats.org/officeDocument/2006/relationships/hyperlink" Target="https://www.youtube.com/watch?v=QT3p6iGNrkU" TargetMode="External"/><Relationship Id="rId483" Type="http://schemas.openxmlformats.org/officeDocument/2006/relationships/hyperlink" Target="https://www.youtube.com/watch?v=xAx9rKxKjCk" TargetMode="External"/><Relationship Id="rId240" Type="http://schemas.openxmlformats.org/officeDocument/2006/relationships/hyperlink" Target="https://www.youtube.com/watch?v=pfw-rEK12IA" TargetMode="External"/><Relationship Id="rId361" Type="http://schemas.openxmlformats.org/officeDocument/2006/relationships/hyperlink" Target="https://www.youtube.com/watch?v=I6Nwopg3FIw" TargetMode="External"/><Relationship Id="rId482" Type="http://schemas.openxmlformats.org/officeDocument/2006/relationships/hyperlink" Target="https://www.youtube.com/watch?v=-HWLO-7d98U" TargetMode="External"/><Relationship Id="rId360" Type="http://schemas.openxmlformats.org/officeDocument/2006/relationships/hyperlink" Target="https://www.youtube.com/watch?v=Xml5nVm8bg0" TargetMode="External"/><Relationship Id="rId481" Type="http://schemas.openxmlformats.org/officeDocument/2006/relationships/hyperlink" Target="https://www.youtube.com/watch?v=Xsq9jAEpAY8" TargetMode="External"/><Relationship Id="rId125" Type="http://schemas.openxmlformats.org/officeDocument/2006/relationships/hyperlink" Target="https://www.youtube.com/watch?v=BF7tCmPOjs4" TargetMode="External"/><Relationship Id="rId246" Type="http://schemas.openxmlformats.org/officeDocument/2006/relationships/hyperlink" Target="https://www.youtube.com/watch?v=TbQkh6axHEM" TargetMode="External"/><Relationship Id="rId367" Type="http://schemas.openxmlformats.org/officeDocument/2006/relationships/hyperlink" Target="https://www.youtube.com/watch?v=w2e5eqI49cE" TargetMode="External"/><Relationship Id="rId488" Type="http://schemas.openxmlformats.org/officeDocument/2006/relationships/hyperlink" Target="https://www.youtube.com/watch?v=FTdLV7hcCvI" TargetMode="External"/><Relationship Id="rId124" Type="http://schemas.openxmlformats.org/officeDocument/2006/relationships/hyperlink" Target="https://www.youtube.com/watch?v=qDcBHNXLxdc" TargetMode="External"/><Relationship Id="rId245" Type="http://schemas.openxmlformats.org/officeDocument/2006/relationships/hyperlink" Target="https://www.youtube.com/watch?v=4gAHt9ki2xY" TargetMode="External"/><Relationship Id="rId366" Type="http://schemas.openxmlformats.org/officeDocument/2006/relationships/hyperlink" Target="https://www.youtube.com/watch?v=xA9TKhOjY24" TargetMode="External"/><Relationship Id="rId487" Type="http://schemas.openxmlformats.org/officeDocument/2006/relationships/hyperlink" Target="https://www.youtube.com/watch?v=G2ke7Higm-Y" TargetMode="External"/><Relationship Id="rId123" Type="http://schemas.openxmlformats.org/officeDocument/2006/relationships/hyperlink" Target="https://www.youtube.com/watch?v=67Y76FPHZ-g" TargetMode="External"/><Relationship Id="rId244" Type="http://schemas.openxmlformats.org/officeDocument/2006/relationships/hyperlink" Target="https://www.youtube.com/watch?v=3asYCknfoMo" TargetMode="External"/><Relationship Id="rId365" Type="http://schemas.openxmlformats.org/officeDocument/2006/relationships/hyperlink" Target="https://www.youtube.com/watch?v=ZpdQsUkjwMc" TargetMode="External"/><Relationship Id="rId486" Type="http://schemas.openxmlformats.org/officeDocument/2006/relationships/hyperlink" Target="https://www.youtube.com/watch?v=ZhuUYD3QvB8" TargetMode="External"/><Relationship Id="rId122" Type="http://schemas.openxmlformats.org/officeDocument/2006/relationships/hyperlink" Target="https://www.youtube.com/watch?v=vSLKEwGRgbY" TargetMode="External"/><Relationship Id="rId243" Type="http://schemas.openxmlformats.org/officeDocument/2006/relationships/hyperlink" Target="https://www.youtube.com/watch?v=7WA-8QBd5Tk" TargetMode="External"/><Relationship Id="rId364" Type="http://schemas.openxmlformats.org/officeDocument/2006/relationships/hyperlink" Target="https://www.youtube.com/watch?v=Lg0JLlBHCgA" TargetMode="External"/><Relationship Id="rId485" Type="http://schemas.openxmlformats.org/officeDocument/2006/relationships/hyperlink" Target="https://www.youtube.com/watch?v=9oRLNbl-DxI" TargetMode="External"/><Relationship Id="rId95" Type="http://schemas.openxmlformats.org/officeDocument/2006/relationships/hyperlink" Target="https://www.youtube.com/watch?v=fjD9BVlmPoA" TargetMode="External"/><Relationship Id="rId94" Type="http://schemas.openxmlformats.org/officeDocument/2006/relationships/hyperlink" Target="https://www.youtube.com/watch?v=0uPW7Jf9y7o" TargetMode="External"/><Relationship Id="rId97" Type="http://schemas.openxmlformats.org/officeDocument/2006/relationships/hyperlink" Target="https://www.youtube.com/watch?v=schP-IZS5Sw" TargetMode="External"/><Relationship Id="rId96" Type="http://schemas.openxmlformats.org/officeDocument/2006/relationships/hyperlink" Target="https://www.youtube.com/watch?v=iGpYgqX-p8c" TargetMode="External"/><Relationship Id="rId99" Type="http://schemas.openxmlformats.org/officeDocument/2006/relationships/hyperlink" Target="https://www.youtube.com/watch?v=-WPYCv8jdJc" TargetMode="External"/><Relationship Id="rId480" Type="http://schemas.openxmlformats.org/officeDocument/2006/relationships/hyperlink" Target="https://www.youtube.com/watch?v=EMznloyYysU" TargetMode="External"/><Relationship Id="rId98" Type="http://schemas.openxmlformats.org/officeDocument/2006/relationships/hyperlink" Target="https://www.youtube.com/watch?v=gmu_fBglk-A" TargetMode="External"/><Relationship Id="rId91" Type="http://schemas.openxmlformats.org/officeDocument/2006/relationships/hyperlink" Target="https://www.youtube.com/watch?v=O0wEzvYOTJw" TargetMode="External"/><Relationship Id="rId90" Type="http://schemas.openxmlformats.org/officeDocument/2006/relationships/hyperlink" Target="https://www.youtube.com/watch?v=Wrs0XEoFHAM" TargetMode="External"/><Relationship Id="rId93" Type="http://schemas.openxmlformats.org/officeDocument/2006/relationships/hyperlink" Target="https://www.youtube.com/watch?v=VP5gPVW3XDM" TargetMode="External"/><Relationship Id="rId92" Type="http://schemas.openxmlformats.org/officeDocument/2006/relationships/hyperlink" Target="https://www.youtube.com/watch?v=G3NpQQMh8jQ" TargetMode="External"/><Relationship Id="rId118" Type="http://schemas.openxmlformats.org/officeDocument/2006/relationships/hyperlink" Target="https://www.youtube.com/watch?v=TxC_8Xllf-M" TargetMode="External"/><Relationship Id="rId239" Type="http://schemas.openxmlformats.org/officeDocument/2006/relationships/hyperlink" Target="https://www.youtube.com/watch?v=QPVDHJcsv5U" TargetMode="External"/><Relationship Id="rId117" Type="http://schemas.openxmlformats.org/officeDocument/2006/relationships/hyperlink" Target="https://www.youtube.com/watch?v=vnw9dW2QgYk" TargetMode="External"/><Relationship Id="rId238" Type="http://schemas.openxmlformats.org/officeDocument/2006/relationships/hyperlink" Target="https://www.youtube.com/watch?v=GajqTVRZzfE" TargetMode="External"/><Relationship Id="rId359" Type="http://schemas.openxmlformats.org/officeDocument/2006/relationships/hyperlink" Target="https://www.youtube.com/watch?v=dgXtHzSngX0" TargetMode="External"/><Relationship Id="rId116" Type="http://schemas.openxmlformats.org/officeDocument/2006/relationships/hyperlink" Target="https://www.youtube.com/watch?v=eKtCOiQbVX0" TargetMode="External"/><Relationship Id="rId237" Type="http://schemas.openxmlformats.org/officeDocument/2006/relationships/hyperlink" Target="https://www.youtube.com/watch?v=DoYL7K2djDY" TargetMode="External"/><Relationship Id="rId358" Type="http://schemas.openxmlformats.org/officeDocument/2006/relationships/hyperlink" Target="https://www.youtube.com/watch?v=dlQfycnk550" TargetMode="External"/><Relationship Id="rId479" Type="http://schemas.openxmlformats.org/officeDocument/2006/relationships/hyperlink" Target="https://www.youtube.com/watch?v=47hxgUfQ8jo" TargetMode="External"/><Relationship Id="rId115" Type="http://schemas.openxmlformats.org/officeDocument/2006/relationships/hyperlink" Target="https://www.youtube.com/watch?v=iFLc0n8RSAA" TargetMode="External"/><Relationship Id="rId236" Type="http://schemas.openxmlformats.org/officeDocument/2006/relationships/hyperlink" Target="https://www.youtube.com/watch?v=KBA7GLExw3o" TargetMode="External"/><Relationship Id="rId357" Type="http://schemas.openxmlformats.org/officeDocument/2006/relationships/hyperlink" Target="https://www.youtube.com/watch?v=wKE7d6nLsDM" TargetMode="External"/><Relationship Id="rId478" Type="http://schemas.openxmlformats.org/officeDocument/2006/relationships/hyperlink" Target="https://www.youtube.com/watch?v=rAWCL2ENS90" TargetMode="External"/><Relationship Id="rId599" Type="http://schemas.openxmlformats.org/officeDocument/2006/relationships/hyperlink" Target="https://www.youtube.com/watch?v=ZkrWcJXqbGA" TargetMode="External"/><Relationship Id="rId119" Type="http://schemas.openxmlformats.org/officeDocument/2006/relationships/hyperlink" Target="https://www.youtube.com/watch?v=nbZhVwfCRMU" TargetMode="External"/><Relationship Id="rId110" Type="http://schemas.openxmlformats.org/officeDocument/2006/relationships/hyperlink" Target="https://www.youtube.com/watch?v=apOba1F4MT4" TargetMode="External"/><Relationship Id="rId231" Type="http://schemas.openxmlformats.org/officeDocument/2006/relationships/hyperlink" Target="https://www.youtube.com/watch?v=Cs9JbmZ0poM" TargetMode="External"/><Relationship Id="rId352" Type="http://schemas.openxmlformats.org/officeDocument/2006/relationships/hyperlink" Target="https://www.youtube.com/watch?v=YHee5lF9yPc" TargetMode="External"/><Relationship Id="rId473" Type="http://schemas.openxmlformats.org/officeDocument/2006/relationships/hyperlink" Target="https://www.youtube.com/watch?v=gF2CbaL7t6g" TargetMode="External"/><Relationship Id="rId594" Type="http://schemas.openxmlformats.org/officeDocument/2006/relationships/hyperlink" Target="https://www.youtube.com/watch?v=MqvZxu1TaSQ" TargetMode="External"/><Relationship Id="rId230" Type="http://schemas.openxmlformats.org/officeDocument/2006/relationships/hyperlink" Target="https://www.youtube.com/watch?v=oYXPvuD_ejM" TargetMode="External"/><Relationship Id="rId351" Type="http://schemas.openxmlformats.org/officeDocument/2006/relationships/hyperlink" Target="https://www.youtube.com/watch?v=zKr-cYKprD8" TargetMode="External"/><Relationship Id="rId472" Type="http://schemas.openxmlformats.org/officeDocument/2006/relationships/hyperlink" Target="https://www.youtube.com/watch?v=NRep5rGd_FU" TargetMode="External"/><Relationship Id="rId593" Type="http://schemas.openxmlformats.org/officeDocument/2006/relationships/hyperlink" Target="https://www.youtube.com/watch?v=B3K5KRgT0oE" TargetMode="External"/><Relationship Id="rId350" Type="http://schemas.openxmlformats.org/officeDocument/2006/relationships/hyperlink" Target="https://www.youtube.com/watch?v=fKsfq4rFzbA" TargetMode="External"/><Relationship Id="rId471" Type="http://schemas.openxmlformats.org/officeDocument/2006/relationships/hyperlink" Target="https://www.youtube.com/watch?v=GiNhw1WJNXc" TargetMode="External"/><Relationship Id="rId592" Type="http://schemas.openxmlformats.org/officeDocument/2006/relationships/hyperlink" Target="https://www.youtube.com/watch?v=Qh0tc43apsI" TargetMode="External"/><Relationship Id="rId470" Type="http://schemas.openxmlformats.org/officeDocument/2006/relationships/hyperlink" Target="https://www.youtube.com/watch?v=Deab_JE4fv4" TargetMode="External"/><Relationship Id="rId591" Type="http://schemas.openxmlformats.org/officeDocument/2006/relationships/hyperlink" Target="https://www.youtube.com/watch?v=k8zAYJDE01E" TargetMode="External"/><Relationship Id="rId114" Type="http://schemas.openxmlformats.org/officeDocument/2006/relationships/hyperlink" Target="https://www.youtube.com/watch?v=myZqody8PTw" TargetMode="External"/><Relationship Id="rId235" Type="http://schemas.openxmlformats.org/officeDocument/2006/relationships/hyperlink" Target="https://www.youtube.com/watch?v=iY88UCitwGY" TargetMode="External"/><Relationship Id="rId356" Type="http://schemas.openxmlformats.org/officeDocument/2006/relationships/hyperlink" Target="https://www.youtube.com/watch?v=hPD7CW4JiSA" TargetMode="External"/><Relationship Id="rId477" Type="http://schemas.openxmlformats.org/officeDocument/2006/relationships/hyperlink" Target="https://www.youtube.com/watch?v=Hqx5Pfe-4NI" TargetMode="External"/><Relationship Id="rId598" Type="http://schemas.openxmlformats.org/officeDocument/2006/relationships/hyperlink" Target="https://www.youtube.com/watch?v=MFeGLeUGf6Q" TargetMode="External"/><Relationship Id="rId113" Type="http://schemas.openxmlformats.org/officeDocument/2006/relationships/hyperlink" Target="https://www.youtube.com/watch?v=nQhpJFt2KG8" TargetMode="External"/><Relationship Id="rId234" Type="http://schemas.openxmlformats.org/officeDocument/2006/relationships/hyperlink" Target="https://www.youtube.com/watch?v=-rJtFWVJpjA" TargetMode="External"/><Relationship Id="rId355" Type="http://schemas.openxmlformats.org/officeDocument/2006/relationships/hyperlink" Target="https://www.youtube.com/watch?v=JkoZriLo3fA" TargetMode="External"/><Relationship Id="rId476" Type="http://schemas.openxmlformats.org/officeDocument/2006/relationships/hyperlink" Target="https://www.youtube.com/watch?v=VDqAX3plBww" TargetMode="External"/><Relationship Id="rId597" Type="http://schemas.openxmlformats.org/officeDocument/2006/relationships/hyperlink" Target="https://www.youtube.com/watch?v=m1RnPcyk_e0" TargetMode="External"/><Relationship Id="rId112" Type="http://schemas.openxmlformats.org/officeDocument/2006/relationships/hyperlink" Target="https://www.youtube.com/watch?v=61LvuBJ6Ojs" TargetMode="External"/><Relationship Id="rId233" Type="http://schemas.openxmlformats.org/officeDocument/2006/relationships/hyperlink" Target="https://www.youtube.com/watch?v=QfYz6BBYpWg" TargetMode="External"/><Relationship Id="rId354" Type="http://schemas.openxmlformats.org/officeDocument/2006/relationships/hyperlink" Target="https://www.youtube.com/watch?v=yp1ZVELrxIA" TargetMode="External"/><Relationship Id="rId475" Type="http://schemas.openxmlformats.org/officeDocument/2006/relationships/hyperlink" Target="https://www.youtube.com/watch?v=AB0KeX_0T2I" TargetMode="External"/><Relationship Id="rId596" Type="http://schemas.openxmlformats.org/officeDocument/2006/relationships/hyperlink" Target="https://www.youtube.com/watch?v=YtD-Ro9OJRQ" TargetMode="External"/><Relationship Id="rId111" Type="http://schemas.openxmlformats.org/officeDocument/2006/relationships/hyperlink" Target="https://www.youtube.com/watch?v=CtiARMXwI0Q" TargetMode="External"/><Relationship Id="rId232" Type="http://schemas.openxmlformats.org/officeDocument/2006/relationships/hyperlink" Target="https://www.youtube.com/watch?v=xGvABG6vfLg" TargetMode="External"/><Relationship Id="rId353" Type="http://schemas.openxmlformats.org/officeDocument/2006/relationships/hyperlink" Target="https://www.youtube.com/watch?v=8xbYHg11ROo" TargetMode="External"/><Relationship Id="rId474" Type="http://schemas.openxmlformats.org/officeDocument/2006/relationships/hyperlink" Target="https://www.youtube.com/watch?v=GB9g4sKWR0M" TargetMode="External"/><Relationship Id="rId595" Type="http://schemas.openxmlformats.org/officeDocument/2006/relationships/hyperlink" Target="https://www.youtube.com/watch?v=SmB_GUlrfzk" TargetMode="External"/><Relationship Id="rId305" Type="http://schemas.openxmlformats.org/officeDocument/2006/relationships/hyperlink" Target="https://www.youtube.com/watch?v=59-D2X_vmlA" TargetMode="External"/><Relationship Id="rId426" Type="http://schemas.openxmlformats.org/officeDocument/2006/relationships/hyperlink" Target="https://www.youtube.com/watch?v=5iT09vIaZOU" TargetMode="External"/><Relationship Id="rId547" Type="http://schemas.openxmlformats.org/officeDocument/2006/relationships/hyperlink" Target="https://www.youtube.com/watch?v=av1BWeMbl1Q" TargetMode="External"/><Relationship Id="rId668" Type="http://schemas.openxmlformats.org/officeDocument/2006/relationships/hyperlink" Target="https://www.youtube.com/watch?v=XfaMChybaCc" TargetMode="External"/><Relationship Id="rId304" Type="http://schemas.openxmlformats.org/officeDocument/2006/relationships/hyperlink" Target="https://www.youtube.com/watch?v=0DzUUFbFZHs" TargetMode="External"/><Relationship Id="rId425" Type="http://schemas.openxmlformats.org/officeDocument/2006/relationships/hyperlink" Target="https://www.youtube.com/watch?v=dzUx3zUv_yw" TargetMode="External"/><Relationship Id="rId546" Type="http://schemas.openxmlformats.org/officeDocument/2006/relationships/hyperlink" Target="https://www.youtube.com/watch?v=Aivw6qVhabo" TargetMode="External"/><Relationship Id="rId667" Type="http://schemas.openxmlformats.org/officeDocument/2006/relationships/hyperlink" Target="https://www.youtube.com/watch?v=EXkq2inhXiw" TargetMode="External"/><Relationship Id="rId303" Type="http://schemas.openxmlformats.org/officeDocument/2006/relationships/hyperlink" Target="https://www.youtube.com/watch?v=tNKCTknE59M" TargetMode="External"/><Relationship Id="rId424" Type="http://schemas.openxmlformats.org/officeDocument/2006/relationships/hyperlink" Target="https://www.youtube.com/watch?v=zV5AbsAy5m4" TargetMode="External"/><Relationship Id="rId545" Type="http://schemas.openxmlformats.org/officeDocument/2006/relationships/hyperlink" Target="https://www.youtube.com/watch?v=3dgPn1KOovw" TargetMode="External"/><Relationship Id="rId666" Type="http://schemas.openxmlformats.org/officeDocument/2006/relationships/hyperlink" Target="https://www.youtube.com/watch?v=MAt3aD51sUM" TargetMode="External"/><Relationship Id="rId302" Type="http://schemas.openxmlformats.org/officeDocument/2006/relationships/hyperlink" Target="https://www.youtube.com/watch?v=tBf6vZKjL9w" TargetMode="External"/><Relationship Id="rId423" Type="http://schemas.openxmlformats.org/officeDocument/2006/relationships/hyperlink" Target="https://www.youtube.com/watch?v=mK5DuxKw-I8" TargetMode="External"/><Relationship Id="rId544" Type="http://schemas.openxmlformats.org/officeDocument/2006/relationships/hyperlink" Target="https://www.youtube.com/watch?v=mxQpJeckKaU" TargetMode="External"/><Relationship Id="rId665" Type="http://schemas.openxmlformats.org/officeDocument/2006/relationships/hyperlink" Target="https://www.youtube.com/watch?v=sZGlmV--sG4" TargetMode="External"/><Relationship Id="rId309" Type="http://schemas.openxmlformats.org/officeDocument/2006/relationships/hyperlink" Target="https://www.youtube.com/watch?v=2RlQdQoP4mE" TargetMode="External"/><Relationship Id="rId308" Type="http://schemas.openxmlformats.org/officeDocument/2006/relationships/hyperlink" Target="https://www.youtube.com/watch?v=T-iBVjoTxpY" TargetMode="External"/><Relationship Id="rId429" Type="http://schemas.openxmlformats.org/officeDocument/2006/relationships/hyperlink" Target="https://www.youtube.com/watch?v=aASsLwbe6kY" TargetMode="External"/><Relationship Id="rId307" Type="http://schemas.openxmlformats.org/officeDocument/2006/relationships/hyperlink" Target="https://www.youtube.com/watch?v=7JNUG5Lyals" TargetMode="External"/><Relationship Id="rId428" Type="http://schemas.openxmlformats.org/officeDocument/2006/relationships/hyperlink" Target="https://www.youtube.com/watch?v=wXoImJcJYxQ" TargetMode="External"/><Relationship Id="rId549" Type="http://schemas.openxmlformats.org/officeDocument/2006/relationships/hyperlink" Target="https://www.youtube.com/watch?v=joPLKP546hk" TargetMode="External"/><Relationship Id="rId306" Type="http://schemas.openxmlformats.org/officeDocument/2006/relationships/hyperlink" Target="https://www.youtube.com/watch?v=NhDs3OPqMQ4" TargetMode="External"/><Relationship Id="rId427" Type="http://schemas.openxmlformats.org/officeDocument/2006/relationships/hyperlink" Target="https://www.youtube.com/watch?v=inpmzGJn2LU" TargetMode="External"/><Relationship Id="rId548" Type="http://schemas.openxmlformats.org/officeDocument/2006/relationships/hyperlink" Target="https://www.youtube.com/watch?v=dLQSHM_T-jI" TargetMode="External"/><Relationship Id="rId669" Type="http://schemas.openxmlformats.org/officeDocument/2006/relationships/hyperlink" Target="https://www.youtube.com/watch?v=D559dD7btfo" TargetMode="External"/><Relationship Id="rId660" Type="http://schemas.openxmlformats.org/officeDocument/2006/relationships/hyperlink" Target="https://www.youtube.com/watch?v=JjtvU2xQpaQ" TargetMode="External"/><Relationship Id="rId301" Type="http://schemas.openxmlformats.org/officeDocument/2006/relationships/hyperlink" Target="https://www.youtube.com/watch?v=OHn7cvWw5gE" TargetMode="External"/><Relationship Id="rId422" Type="http://schemas.openxmlformats.org/officeDocument/2006/relationships/hyperlink" Target="https://www.youtube.com/watch?v=G6rcMSQ1UVE" TargetMode="External"/><Relationship Id="rId543" Type="http://schemas.openxmlformats.org/officeDocument/2006/relationships/hyperlink" Target="https://www.youtube.com/watch?v=N20dY0-9Nio" TargetMode="External"/><Relationship Id="rId664" Type="http://schemas.openxmlformats.org/officeDocument/2006/relationships/hyperlink" Target="https://www.youtube.com/watch?v=LIl0C87tzGE" TargetMode="External"/><Relationship Id="rId300" Type="http://schemas.openxmlformats.org/officeDocument/2006/relationships/hyperlink" Target="https://www.youtube.com/watch?v=fyMRRD_YeRI" TargetMode="External"/><Relationship Id="rId421" Type="http://schemas.openxmlformats.org/officeDocument/2006/relationships/hyperlink" Target="https://www.youtube.com/watch?v=rbrxzObExNc" TargetMode="External"/><Relationship Id="rId542" Type="http://schemas.openxmlformats.org/officeDocument/2006/relationships/hyperlink" Target="https://www.youtube.com/watch?v=w1panKQ58dU" TargetMode="External"/><Relationship Id="rId663" Type="http://schemas.openxmlformats.org/officeDocument/2006/relationships/hyperlink" Target="https://www.youtube.com/watch?v=Ih4StVOa0Qs" TargetMode="External"/><Relationship Id="rId420" Type="http://schemas.openxmlformats.org/officeDocument/2006/relationships/hyperlink" Target="https://www.youtube.com/watch?v=KXamV4OZjYs" TargetMode="External"/><Relationship Id="rId541" Type="http://schemas.openxmlformats.org/officeDocument/2006/relationships/hyperlink" Target="https://www.youtube.com/watch?v=Wr_CIMPuH3I" TargetMode="External"/><Relationship Id="rId662" Type="http://schemas.openxmlformats.org/officeDocument/2006/relationships/hyperlink" Target="https://www.youtube.com/watch?v=strZVEaixcs" TargetMode="External"/><Relationship Id="rId540" Type="http://schemas.openxmlformats.org/officeDocument/2006/relationships/hyperlink" Target="https://www.youtube.com/watch?v=a30EnICYBUA" TargetMode="External"/><Relationship Id="rId661" Type="http://schemas.openxmlformats.org/officeDocument/2006/relationships/hyperlink" Target="https://www.youtube.com/watch?v=C6sAuCIhIzA" TargetMode="External"/><Relationship Id="rId415" Type="http://schemas.openxmlformats.org/officeDocument/2006/relationships/hyperlink" Target="https://www.youtube.com/watch?v=5tMCiwnQlXM" TargetMode="External"/><Relationship Id="rId536" Type="http://schemas.openxmlformats.org/officeDocument/2006/relationships/hyperlink" Target="https://www.youtube.com/watch?v=Y3j3g76ggFE" TargetMode="External"/><Relationship Id="rId657" Type="http://schemas.openxmlformats.org/officeDocument/2006/relationships/hyperlink" Target="https://www.youtube.com/watch?v=mScbp58xwJE" TargetMode="External"/><Relationship Id="rId414" Type="http://schemas.openxmlformats.org/officeDocument/2006/relationships/hyperlink" Target="https://www.youtube.com/watch?v=JDOBTQ94-S4" TargetMode="External"/><Relationship Id="rId535" Type="http://schemas.openxmlformats.org/officeDocument/2006/relationships/hyperlink" Target="https://www.youtube.com/watch?v=2yRygpW0RYY" TargetMode="External"/><Relationship Id="rId656" Type="http://schemas.openxmlformats.org/officeDocument/2006/relationships/hyperlink" Target="https://www.youtube.com/watch?v=N6IDjOR1OY0" TargetMode="External"/><Relationship Id="rId413" Type="http://schemas.openxmlformats.org/officeDocument/2006/relationships/hyperlink" Target="https://www.youtube.com/watch?v=_VfaX30ncIU" TargetMode="External"/><Relationship Id="rId534" Type="http://schemas.openxmlformats.org/officeDocument/2006/relationships/hyperlink" Target="https://www.youtube.com/watch?v=gzOZ5Lo3n9Y" TargetMode="External"/><Relationship Id="rId655" Type="http://schemas.openxmlformats.org/officeDocument/2006/relationships/hyperlink" Target="https://www.youtube.com/watch?v=7-JbRtATwHQ" TargetMode="External"/><Relationship Id="rId412" Type="http://schemas.openxmlformats.org/officeDocument/2006/relationships/hyperlink" Target="https://www.youtube.com/watch?v=F4X3ljkLFP8" TargetMode="External"/><Relationship Id="rId533" Type="http://schemas.openxmlformats.org/officeDocument/2006/relationships/hyperlink" Target="https://www.youtube.com/watch?v=74BW9K7eGtY&amp;t=21s" TargetMode="External"/><Relationship Id="rId654" Type="http://schemas.openxmlformats.org/officeDocument/2006/relationships/hyperlink" Target="https://www.youtube.com/watch?v=_D2sWZSHDqg&amp;t=834s" TargetMode="External"/><Relationship Id="rId419" Type="http://schemas.openxmlformats.org/officeDocument/2006/relationships/hyperlink" Target="https://www.youtube.com/watch?v=5c75GXSIdlM" TargetMode="External"/><Relationship Id="rId418" Type="http://schemas.openxmlformats.org/officeDocument/2006/relationships/hyperlink" Target="https://www.youtube.com/watch?v=bF-3L4O8Nq8" TargetMode="External"/><Relationship Id="rId539" Type="http://schemas.openxmlformats.org/officeDocument/2006/relationships/hyperlink" Target="https://www.youtube.com/watch?v=0W0XxcsCH_0" TargetMode="External"/><Relationship Id="rId417" Type="http://schemas.openxmlformats.org/officeDocument/2006/relationships/hyperlink" Target="https://www.youtube.com/watch?v=o4_iAmYXDzg" TargetMode="External"/><Relationship Id="rId538" Type="http://schemas.openxmlformats.org/officeDocument/2006/relationships/hyperlink" Target="https://www.youtube.com/watch?v=WzACbsbv3Mc" TargetMode="External"/><Relationship Id="rId659" Type="http://schemas.openxmlformats.org/officeDocument/2006/relationships/hyperlink" Target="https://www.youtube.com/watch?v=qzXGb7RIXmc" TargetMode="External"/><Relationship Id="rId416" Type="http://schemas.openxmlformats.org/officeDocument/2006/relationships/hyperlink" Target="https://www.youtube.com/watch?v=61VsCIaQhX4" TargetMode="External"/><Relationship Id="rId537" Type="http://schemas.openxmlformats.org/officeDocument/2006/relationships/hyperlink" Target="https://www.youtube.com/watch?v=bMOOUhzJreA" TargetMode="External"/><Relationship Id="rId658" Type="http://schemas.openxmlformats.org/officeDocument/2006/relationships/hyperlink" Target="https://www.youtube.com/watch?v=eQBirhrwc3E" TargetMode="External"/><Relationship Id="rId411" Type="http://schemas.openxmlformats.org/officeDocument/2006/relationships/hyperlink" Target="https://www.youtube.com/watch?v=OAcu0ZHtcXc" TargetMode="External"/><Relationship Id="rId532" Type="http://schemas.openxmlformats.org/officeDocument/2006/relationships/hyperlink" Target="https://www.youtube.com/watch?v=log0y9fRklc" TargetMode="External"/><Relationship Id="rId653" Type="http://schemas.openxmlformats.org/officeDocument/2006/relationships/hyperlink" Target="https://www.youtube.com/watch?v=DVcN5QXGA_w" TargetMode="External"/><Relationship Id="rId410" Type="http://schemas.openxmlformats.org/officeDocument/2006/relationships/hyperlink" Target="https://www.youtube.com/watch?v=5P0vjP1Hdvs" TargetMode="External"/><Relationship Id="rId531" Type="http://schemas.openxmlformats.org/officeDocument/2006/relationships/hyperlink" Target="https://www.youtube.com/watch?v=_nyKGkDh6WM" TargetMode="External"/><Relationship Id="rId652" Type="http://schemas.openxmlformats.org/officeDocument/2006/relationships/hyperlink" Target="https://www.youtube.com/watch?v=9FgUTz996bs" TargetMode="External"/><Relationship Id="rId530" Type="http://schemas.openxmlformats.org/officeDocument/2006/relationships/hyperlink" Target="https://www.youtube.com/watch?v=Q7TqlnXF3cA" TargetMode="External"/><Relationship Id="rId651" Type="http://schemas.openxmlformats.org/officeDocument/2006/relationships/hyperlink" Target="https://www.youtube.com/watch?v=mcxquOK_mY8" TargetMode="External"/><Relationship Id="rId650" Type="http://schemas.openxmlformats.org/officeDocument/2006/relationships/hyperlink" Target="https://www.youtube.com/watch?v=n5lHU4Qyfbk" TargetMode="External"/><Relationship Id="rId206" Type="http://schemas.openxmlformats.org/officeDocument/2006/relationships/hyperlink" Target="https://www.youtube.com/watch?v=t63m6GCrKbw" TargetMode="External"/><Relationship Id="rId327" Type="http://schemas.openxmlformats.org/officeDocument/2006/relationships/hyperlink" Target="https://www.youtube.com/watch?v=wXSD2PQznXI" TargetMode="External"/><Relationship Id="rId448" Type="http://schemas.openxmlformats.org/officeDocument/2006/relationships/hyperlink" Target="https://www.youtube.com/watch?v=xuKnWRKpLyM" TargetMode="External"/><Relationship Id="rId569" Type="http://schemas.openxmlformats.org/officeDocument/2006/relationships/hyperlink" Target="https://www.youtube.com/watch?v=aBwX_u__31I" TargetMode="External"/><Relationship Id="rId205" Type="http://schemas.openxmlformats.org/officeDocument/2006/relationships/hyperlink" Target="https://www.youtube.com/watch?v=182HueOxCaU" TargetMode="External"/><Relationship Id="rId326" Type="http://schemas.openxmlformats.org/officeDocument/2006/relationships/hyperlink" Target="https://www.youtube.com/watch?v=WkR5PD16sCg" TargetMode="External"/><Relationship Id="rId447" Type="http://schemas.openxmlformats.org/officeDocument/2006/relationships/hyperlink" Target="https://www.youtube.com/watch?v=2Hmcjz_IH8I" TargetMode="External"/><Relationship Id="rId568" Type="http://schemas.openxmlformats.org/officeDocument/2006/relationships/hyperlink" Target="https://www.youtube.com/watch?v=aEAK6N982oQ" TargetMode="External"/><Relationship Id="rId689" Type="http://schemas.openxmlformats.org/officeDocument/2006/relationships/hyperlink" Target="https://www.youtube.com/watch?v=xAicQnL_abA" TargetMode="External"/><Relationship Id="rId204" Type="http://schemas.openxmlformats.org/officeDocument/2006/relationships/hyperlink" Target="https://www.youtube.com/watch?v=XeCuvEX-tow" TargetMode="External"/><Relationship Id="rId325" Type="http://schemas.openxmlformats.org/officeDocument/2006/relationships/hyperlink" Target="https://www.youtube.com/watch?v=jQ47l4DT1BY" TargetMode="External"/><Relationship Id="rId446" Type="http://schemas.openxmlformats.org/officeDocument/2006/relationships/hyperlink" Target="https://www.youtube.com/watch?v=AgRVHML48XM" TargetMode="External"/><Relationship Id="rId567" Type="http://schemas.openxmlformats.org/officeDocument/2006/relationships/hyperlink" Target="https://www.youtube.com/watch?v=tlCqUXsDwDc" TargetMode="External"/><Relationship Id="rId688" Type="http://schemas.openxmlformats.org/officeDocument/2006/relationships/hyperlink" Target="https://www.youtube.com/watch?v=Fb11XAvWeyE" TargetMode="External"/><Relationship Id="rId203" Type="http://schemas.openxmlformats.org/officeDocument/2006/relationships/hyperlink" Target="https://www.youtube.com/watch?v=5YuNKvTZtdM" TargetMode="External"/><Relationship Id="rId324" Type="http://schemas.openxmlformats.org/officeDocument/2006/relationships/hyperlink" Target="https://www.youtube.com/watch?v=sdUuukDpj9s" TargetMode="External"/><Relationship Id="rId445" Type="http://schemas.openxmlformats.org/officeDocument/2006/relationships/hyperlink" Target="https://www.youtube.com/watch?v=Kfqplhug-eA" TargetMode="External"/><Relationship Id="rId566" Type="http://schemas.openxmlformats.org/officeDocument/2006/relationships/hyperlink" Target="https://www.youtube.com/watch?v=Z8Wd8i754cU" TargetMode="External"/><Relationship Id="rId687" Type="http://schemas.openxmlformats.org/officeDocument/2006/relationships/hyperlink" Target="https://www.youtube.com/watch?v=4ZkNnR--tMY" TargetMode="External"/><Relationship Id="rId209" Type="http://schemas.openxmlformats.org/officeDocument/2006/relationships/hyperlink" Target="https://www.youtube.com/watch?v=gU4jkSa9phY" TargetMode="External"/><Relationship Id="rId208" Type="http://schemas.openxmlformats.org/officeDocument/2006/relationships/hyperlink" Target="https://www.youtube.com/watch?v=RKYffxIB9EM" TargetMode="External"/><Relationship Id="rId329" Type="http://schemas.openxmlformats.org/officeDocument/2006/relationships/hyperlink" Target="https://www.youtube.com/watch?v=7bZemcM70W0" TargetMode="External"/><Relationship Id="rId207" Type="http://schemas.openxmlformats.org/officeDocument/2006/relationships/hyperlink" Target="https://www.youtube.com/watch?v=Dymxd9hAemA" TargetMode="External"/><Relationship Id="rId328" Type="http://schemas.openxmlformats.org/officeDocument/2006/relationships/hyperlink" Target="https://www.youtube.com/watch?v=p4NkqPPh2fk" TargetMode="External"/><Relationship Id="rId449" Type="http://schemas.openxmlformats.org/officeDocument/2006/relationships/hyperlink" Target="https://www.youtube.com/watch?v=2U1DVGO8vo4" TargetMode="External"/><Relationship Id="rId440" Type="http://schemas.openxmlformats.org/officeDocument/2006/relationships/hyperlink" Target="https://www.youtube.com/watch?v=-JT1qlD0wPQ" TargetMode="External"/><Relationship Id="rId561" Type="http://schemas.openxmlformats.org/officeDocument/2006/relationships/hyperlink" Target="https://www.youtube.com/watch?v=fZLoHeGF4XI" TargetMode="External"/><Relationship Id="rId682" Type="http://schemas.openxmlformats.org/officeDocument/2006/relationships/hyperlink" Target="https://www.youtube.com/watch?v=_CKZQa18hcY" TargetMode="External"/><Relationship Id="rId560" Type="http://schemas.openxmlformats.org/officeDocument/2006/relationships/hyperlink" Target="https://www.youtube.com/watch?v=Pe53dUS_mHE" TargetMode="External"/><Relationship Id="rId681" Type="http://schemas.openxmlformats.org/officeDocument/2006/relationships/hyperlink" Target="https://www.youtube.com/watch?v=BlNY-1vmqvA" TargetMode="External"/><Relationship Id="rId680" Type="http://schemas.openxmlformats.org/officeDocument/2006/relationships/hyperlink" Target="https://www.youtube.com/watch?v=RJSsEA6fpJE" TargetMode="External"/><Relationship Id="rId202" Type="http://schemas.openxmlformats.org/officeDocument/2006/relationships/hyperlink" Target="https://www.youtube.com/watch?v=9IzjjqFO5c8" TargetMode="External"/><Relationship Id="rId323" Type="http://schemas.openxmlformats.org/officeDocument/2006/relationships/hyperlink" Target="https://www.youtube.com/watch?v=RaNpNJVvWDI" TargetMode="External"/><Relationship Id="rId444" Type="http://schemas.openxmlformats.org/officeDocument/2006/relationships/hyperlink" Target="https://www.youtube.com/watch?v=a_HGSrmF_8w" TargetMode="External"/><Relationship Id="rId565" Type="http://schemas.openxmlformats.org/officeDocument/2006/relationships/hyperlink" Target="https://www.youtube.com/watch?v=udkwSpjJnGk" TargetMode="External"/><Relationship Id="rId686" Type="http://schemas.openxmlformats.org/officeDocument/2006/relationships/hyperlink" Target="https://www.youtube.com/watch?v=qY_yQIrKwRk" TargetMode="External"/><Relationship Id="rId201" Type="http://schemas.openxmlformats.org/officeDocument/2006/relationships/hyperlink" Target="https://www.youtube.com/watch?v=F95dqGlnggo" TargetMode="External"/><Relationship Id="rId322" Type="http://schemas.openxmlformats.org/officeDocument/2006/relationships/hyperlink" Target="https://www.youtube.com/watch?v=tD7VxQAIPLM" TargetMode="External"/><Relationship Id="rId443" Type="http://schemas.openxmlformats.org/officeDocument/2006/relationships/hyperlink" Target="https://www.youtube.com/watch?v=glBt8I5y1b8" TargetMode="External"/><Relationship Id="rId564" Type="http://schemas.openxmlformats.org/officeDocument/2006/relationships/hyperlink" Target="https://www.youtube.com/watch?v=4VaCcFKHkSY" TargetMode="External"/><Relationship Id="rId685" Type="http://schemas.openxmlformats.org/officeDocument/2006/relationships/hyperlink" Target="https://www.youtube.com/watch?v=vaRCmUwpmNk" TargetMode="External"/><Relationship Id="rId200" Type="http://schemas.openxmlformats.org/officeDocument/2006/relationships/hyperlink" Target="https://www.youtube.com/watch?v=ja-cxuo3ugc" TargetMode="External"/><Relationship Id="rId321" Type="http://schemas.openxmlformats.org/officeDocument/2006/relationships/hyperlink" Target="https://www.youtube.com/watch?v=XcIm7eWfJ_M" TargetMode="External"/><Relationship Id="rId442" Type="http://schemas.openxmlformats.org/officeDocument/2006/relationships/hyperlink" Target="https://www.youtube.com/watch?v=adov37an6hU" TargetMode="External"/><Relationship Id="rId563" Type="http://schemas.openxmlformats.org/officeDocument/2006/relationships/hyperlink" Target="https://www.youtube.com/watch?v=8M2LUwJGwHw" TargetMode="External"/><Relationship Id="rId684" Type="http://schemas.openxmlformats.org/officeDocument/2006/relationships/hyperlink" Target="https://www.youtube.com/watch?v=lkO1JaN7BoQ" TargetMode="External"/><Relationship Id="rId320" Type="http://schemas.openxmlformats.org/officeDocument/2006/relationships/hyperlink" Target="https://www.youtube.com/watch?v=fwbLw9W9GC8" TargetMode="External"/><Relationship Id="rId441" Type="http://schemas.openxmlformats.org/officeDocument/2006/relationships/hyperlink" Target="https://www.youtube.com/watch?v=kSNHRGhGt_Y" TargetMode="External"/><Relationship Id="rId562" Type="http://schemas.openxmlformats.org/officeDocument/2006/relationships/hyperlink" Target="https://www.youtube.com/watch?v=NaCx35vC5wg" TargetMode="External"/><Relationship Id="rId683" Type="http://schemas.openxmlformats.org/officeDocument/2006/relationships/hyperlink" Target="https://www.youtube.com/watch?v=iwaHs0-q9l8" TargetMode="External"/><Relationship Id="rId316" Type="http://schemas.openxmlformats.org/officeDocument/2006/relationships/hyperlink" Target="https://www.youtube.com/watch?v=r2uhf3x6oH8" TargetMode="External"/><Relationship Id="rId437" Type="http://schemas.openxmlformats.org/officeDocument/2006/relationships/hyperlink" Target="https://www.youtube.com/watch?v=7gTT37SeSUc" TargetMode="External"/><Relationship Id="rId558" Type="http://schemas.openxmlformats.org/officeDocument/2006/relationships/hyperlink" Target="https://www.youtube.com/watch?v=07rLdtPRbEE" TargetMode="External"/><Relationship Id="rId679" Type="http://schemas.openxmlformats.org/officeDocument/2006/relationships/hyperlink" Target="https://www.youtube.com/watch?v=edQr4IJQuEg" TargetMode="External"/><Relationship Id="rId315" Type="http://schemas.openxmlformats.org/officeDocument/2006/relationships/hyperlink" Target="https://www.youtube.com/watch?v=jB9efRnouaI" TargetMode="External"/><Relationship Id="rId436" Type="http://schemas.openxmlformats.org/officeDocument/2006/relationships/hyperlink" Target="https://www.youtube.com/watch?v=AefxKKTqv5I" TargetMode="External"/><Relationship Id="rId557" Type="http://schemas.openxmlformats.org/officeDocument/2006/relationships/hyperlink" Target="https://www.youtube.com/watch?v=FgVpxhtCQdA" TargetMode="External"/><Relationship Id="rId678" Type="http://schemas.openxmlformats.org/officeDocument/2006/relationships/hyperlink" Target="https://www.youtube.com/watch?v=Lrh5zQHEIk4" TargetMode="External"/><Relationship Id="rId314" Type="http://schemas.openxmlformats.org/officeDocument/2006/relationships/hyperlink" Target="https://www.youtube.com/watch?v=kpktr2ml8m8" TargetMode="External"/><Relationship Id="rId435" Type="http://schemas.openxmlformats.org/officeDocument/2006/relationships/hyperlink" Target="https://www.youtube.com/watch?v=txsij6WXt8s" TargetMode="External"/><Relationship Id="rId556" Type="http://schemas.openxmlformats.org/officeDocument/2006/relationships/hyperlink" Target="https://www.youtube.com/watch?v=3dYP3FhD3Po" TargetMode="External"/><Relationship Id="rId677" Type="http://schemas.openxmlformats.org/officeDocument/2006/relationships/hyperlink" Target="https://www.youtube.com/watch?v=bD-uUsBgY-w" TargetMode="External"/><Relationship Id="rId313" Type="http://schemas.openxmlformats.org/officeDocument/2006/relationships/hyperlink" Target="https://www.youtube.com/watch?v=Iimv8qJijTE" TargetMode="External"/><Relationship Id="rId434" Type="http://schemas.openxmlformats.org/officeDocument/2006/relationships/hyperlink" Target="https://www.youtube.com/watch?v=tRgTeYpgv8c" TargetMode="External"/><Relationship Id="rId555" Type="http://schemas.openxmlformats.org/officeDocument/2006/relationships/hyperlink" Target="https://www.youtube.com/watch?v=WtWOT6Hj2vM" TargetMode="External"/><Relationship Id="rId676" Type="http://schemas.openxmlformats.org/officeDocument/2006/relationships/hyperlink" Target="https://www.youtube.com/watch?v=1UnsEQPK3PQ" TargetMode="External"/><Relationship Id="rId319" Type="http://schemas.openxmlformats.org/officeDocument/2006/relationships/hyperlink" Target="https://www.youtube.com/watch?v=olQlPZuEWLY" TargetMode="External"/><Relationship Id="rId318" Type="http://schemas.openxmlformats.org/officeDocument/2006/relationships/hyperlink" Target="https://www.youtube.com/watch?v=hbcWYVaowqI" TargetMode="External"/><Relationship Id="rId439" Type="http://schemas.openxmlformats.org/officeDocument/2006/relationships/hyperlink" Target="https://www.youtube.com/watch?v=qYA9DVNkOCA" TargetMode="External"/><Relationship Id="rId317" Type="http://schemas.openxmlformats.org/officeDocument/2006/relationships/hyperlink" Target="https://www.youtube.com/watch?v=G-AjF_4Jc1I" TargetMode="External"/><Relationship Id="rId438" Type="http://schemas.openxmlformats.org/officeDocument/2006/relationships/hyperlink" Target="https://www.youtube.com/watch?v=o-395A-OrOQ" TargetMode="External"/><Relationship Id="rId559" Type="http://schemas.openxmlformats.org/officeDocument/2006/relationships/hyperlink" Target="https://www.youtube.com/watch?v=n0Ekb7yhf18" TargetMode="External"/><Relationship Id="rId550" Type="http://schemas.openxmlformats.org/officeDocument/2006/relationships/hyperlink" Target="https://www.youtube.com/watch?v=0ol6BUtHZu8" TargetMode="External"/><Relationship Id="rId671" Type="http://schemas.openxmlformats.org/officeDocument/2006/relationships/hyperlink" Target="https://www.youtube.com/watch?v=kvEIBfEnwXM" TargetMode="External"/><Relationship Id="rId670" Type="http://schemas.openxmlformats.org/officeDocument/2006/relationships/hyperlink" Target="https://www.youtube.com/watch?v=rt5w2HzSWc0" TargetMode="External"/><Relationship Id="rId312" Type="http://schemas.openxmlformats.org/officeDocument/2006/relationships/hyperlink" Target="https://www.youtube.com/watch?v=zm-fPGwlflY" TargetMode="External"/><Relationship Id="rId433" Type="http://schemas.openxmlformats.org/officeDocument/2006/relationships/hyperlink" Target="https://www.youtube.com/watch?v=6aJLKt2nXsg" TargetMode="External"/><Relationship Id="rId554" Type="http://schemas.openxmlformats.org/officeDocument/2006/relationships/hyperlink" Target="https://www.youtube.com/watch?v=R6bvpvI1_uY" TargetMode="External"/><Relationship Id="rId675" Type="http://schemas.openxmlformats.org/officeDocument/2006/relationships/hyperlink" Target="https://www.youtube.com/watch?v=eKSuEJqn2NI" TargetMode="External"/><Relationship Id="rId311" Type="http://schemas.openxmlformats.org/officeDocument/2006/relationships/hyperlink" Target="https://www.youtube.com/watch?v=t5AEphve0P8" TargetMode="External"/><Relationship Id="rId432" Type="http://schemas.openxmlformats.org/officeDocument/2006/relationships/hyperlink" Target="https://www.youtube.com/watch?v=S2ePhtW_O5A" TargetMode="External"/><Relationship Id="rId553" Type="http://schemas.openxmlformats.org/officeDocument/2006/relationships/hyperlink" Target="https://www.youtube.com/watch?v=eVhJjqlSE8s" TargetMode="External"/><Relationship Id="rId674" Type="http://schemas.openxmlformats.org/officeDocument/2006/relationships/hyperlink" Target="https://www.youtube.com/watch?v=vzoIHUTieE0" TargetMode="External"/><Relationship Id="rId310" Type="http://schemas.openxmlformats.org/officeDocument/2006/relationships/hyperlink" Target="https://www.youtube.com/watch?v=9eSzra79z-I" TargetMode="External"/><Relationship Id="rId431" Type="http://schemas.openxmlformats.org/officeDocument/2006/relationships/hyperlink" Target="https://www.youtube.com/watch?v=PWZrF-TGsWo" TargetMode="External"/><Relationship Id="rId552" Type="http://schemas.openxmlformats.org/officeDocument/2006/relationships/hyperlink" Target="https://www.youtube.com/watch?v=Zr29r9gnq6A" TargetMode="External"/><Relationship Id="rId673" Type="http://schemas.openxmlformats.org/officeDocument/2006/relationships/hyperlink" Target="https://www.youtube.com/watch?v=vB9JqlUiYUk" TargetMode="External"/><Relationship Id="rId430" Type="http://schemas.openxmlformats.org/officeDocument/2006/relationships/hyperlink" Target="https://www.youtube.com/watch?v=bFIqLn3c85c" TargetMode="External"/><Relationship Id="rId551" Type="http://schemas.openxmlformats.org/officeDocument/2006/relationships/hyperlink" Target="https://www.youtube.com/watch?v=N1wkN3CKqHY" TargetMode="External"/><Relationship Id="rId672" Type="http://schemas.openxmlformats.org/officeDocument/2006/relationships/hyperlink" Target="https://www.youtube.com/watch?v=lkDfIrZy2V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RD7JpM4UrUA" TargetMode="External"/><Relationship Id="rId3" Type="http://schemas.openxmlformats.org/officeDocument/2006/relationships/hyperlink" Target="https://www.youtube.com/watch?v=jKuCWHsoXmQ" TargetMode="External"/><Relationship Id="rId4" Type="http://schemas.openxmlformats.org/officeDocument/2006/relationships/hyperlink" Target="https://www.youtube.com/watch?v=21ZKFBL-Yc0" TargetMode="External"/><Relationship Id="rId9" Type="http://schemas.openxmlformats.org/officeDocument/2006/relationships/hyperlink" Target="https://www.youtube.com/watch?v=mjFek0gF97s" TargetMode="External"/><Relationship Id="rId5" Type="http://schemas.openxmlformats.org/officeDocument/2006/relationships/hyperlink" Target="https://www.youtube.com/watch?v=FytdS2vMJfU" TargetMode="External"/><Relationship Id="rId6" Type="http://schemas.openxmlformats.org/officeDocument/2006/relationships/hyperlink" Target="https://www.youtube.com/watch?v=7WsGnkGob7A" TargetMode="External"/><Relationship Id="rId7" Type="http://schemas.openxmlformats.org/officeDocument/2006/relationships/hyperlink" Target="https://www.youtube.com/watch?v=WU456HIXN5U" TargetMode="External"/><Relationship Id="rId8" Type="http://schemas.openxmlformats.org/officeDocument/2006/relationships/hyperlink" Target="https://www.youtube.com/watch?v=PcNDlU0LyJk" TargetMode="External"/><Relationship Id="rId20" Type="http://schemas.openxmlformats.org/officeDocument/2006/relationships/hyperlink" Target="https://www.youtube.com/watch?v=YFmL65VsWdk" TargetMode="External"/><Relationship Id="rId22" Type="http://schemas.openxmlformats.org/officeDocument/2006/relationships/hyperlink" Target="https://www.youtube.com/watch?v=8RSu4ymCgp4" TargetMode="External"/><Relationship Id="rId21" Type="http://schemas.openxmlformats.org/officeDocument/2006/relationships/hyperlink" Target="https://www.youtube.com/watch?v=NPNImjeRrF8" TargetMode="External"/><Relationship Id="rId24" Type="http://schemas.openxmlformats.org/officeDocument/2006/relationships/hyperlink" Target="https://www.youtube.com/watch?v=uDANJcQm-So" TargetMode="External"/><Relationship Id="rId23" Type="http://schemas.openxmlformats.org/officeDocument/2006/relationships/hyperlink" Target="https://www.youtube.com/watch?v=Vf5BOYF0S3Y" TargetMode="External"/><Relationship Id="rId26" Type="http://schemas.openxmlformats.org/officeDocument/2006/relationships/hyperlink" Target="https://www.youtube.com/watch?v=cpZPvFvzNlc" TargetMode="External"/><Relationship Id="rId25" Type="http://schemas.openxmlformats.org/officeDocument/2006/relationships/hyperlink" Target="https://www.youtube.com/watch?v=fjD9BVlmPoA" TargetMode="External"/><Relationship Id="rId28" Type="http://schemas.openxmlformats.org/officeDocument/2006/relationships/drawing" Target="../drawings/drawing3.xml"/><Relationship Id="rId27" Type="http://schemas.openxmlformats.org/officeDocument/2006/relationships/hyperlink" Target="https://www.youtube.com/watch?v=Wrs0XEoFHAM" TargetMode="External"/><Relationship Id="rId29" Type="http://schemas.openxmlformats.org/officeDocument/2006/relationships/vmlDrawing" Target="../drawings/vmlDrawing2.vml"/><Relationship Id="rId11" Type="http://schemas.openxmlformats.org/officeDocument/2006/relationships/hyperlink" Target="https://www.youtube.com/watch?v=Kxuiy8OL30w" TargetMode="External"/><Relationship Id="rId10" Type="http://schemas.openxmlformats.org/officeDocument/2006/relationships/hyperlink" Target="https://www.youtube.com/watch?v=0_EJXPWJN4E" TargetMode="External"/><Relationship Id="rId13" Type="http://schemas.openxmlformats.org/officeDocument/2006/relationships/hyperlink" Target="https://www.youtube.com/watch?v=2UnJMns3fjs" TargetMode="External"/><Relationship Id="rId12" Type="http://schemas.openxmlformats.org/officeDocument/2006/relationships/hyperlink" Target="https://www.youtube.com/watch?v=jMgGGixmfus" TargetMode="External"/><Relationship Id="rId15" Type="http://schemas.openxmlformats.org/officeDocument/2006/relationships/hyperlink" Target="https://www.youtube.com/watch?v=Smd_3o5vtLo" TargetMode="External"/><Relationship Id="rId14" Type="http://schemas.openxmlformats.org/officeDocument/2006/relationships/hyperlink" Target="https://www.youtube.com/watch?v=KVDRl_wLqdM" TargetMode="External"/><Relationship Id="rId17" Type="http://schemas.openxmlformats.org/officeDocument/2006/relationships/hyperlink" Target="https://www.youtube.com/watch?v=NCOKqHoIW7M" TargetMode="External"/><Relationship Id="rId16" Type="http://schemas.openxmlformats.org/officeDocument/2006/relationships/hyperlink" Target="https://www.youtube.com/watch?v=iBwpK4_JtEw" TargetMode="External"/><Relationship Id="rId19" Type="http://schemas.openxmlformats.org/officeDocument/2006/relationships/hyperlink" Target="https://www.youtube.com/watch?v=s3LVHHEe2vc" TargetMode="External"/><Relationship Id="rId18" Type="http://schemas.openxmlformats.org/officeDocument/2006/relationships/hyperlink" Target="https://www.youtube.com/watch?v=ByaheAphduQ"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youtube.com/watch?v=_IcfDP-ezpo" TargetMode="External"/><Relationship Id="rId3" Type="http://schemas.openxmlformats.org/officeDocument/2006/relationships/hyperlink" Target="https://www.youtube.com/watch?v=Uq2PJjcHiqI" TargetMode="External"/><Relationship Id="rId4" Type="http://schemas.openxmlformats.org/officeDocument/2006/relationships/hyperlink" Target="https://www.youtube.com/watch?v=5LJPOCxc3E8" TargetMode="External"/><Relationship Id="rId9" Type="http://schemas.openxmlformats.org/officeDocument/2006/relationships/hyperlink" Target="https://www.youtube.com/watch?v=G3NpQQMh8jQ" TargetMode="External"/><Relationship Id="rId5" Type="http://schemas.openxmlformats.org/officeDocument/2006/relationships/hyperlink" Target="https://www.youtube.com/watch?v=RdBz1kIwrqo" TargetMode="External"/><Relationship Id="rId6" Type="http://schemas.openxmlformats.org/officeDocument/2006/relationships/hyperlink" Target="https://www.youtube.com/watch?v=WsjxXfklatk" TargetMode="External"/><Relationship Id="rId7" Type="http://schemas.openxmlformats.org/officeDocument/2006/relationships/hyperlink" Target="https://www.youtube.com/watch?v=N0PD3TuLvoo" TargetMode="External"/><Relationship Id="rId8" Type="http://schemas.openxmlformats.org/officeDocument/2006/relationships/hyperlink" Target="https://www.youtube.com/watch?v=C3_6Ub1GnfA" TargetMode="External"/><Relationship Id="rId20" Type="http://schemas.openxmlformats.org/officeDocument/2006/relationships/hyperlink" Target="https://www.youtube.com/watch?v=-udb2VYB5uo" TargetMode="External"/><Relationship Id="rId22" Type="http://schemas.openxmlformats.org/officeDocument/2006/relationships/hyperlink" Target="https://www.youtube.com/watch?v=VP5gPVW3XDM" TargetMode="External"/><Relationship Id="rId21" Type="http://schemas.openxmlformats.org/officeDocument/2006/relationships/hyperlink" Target="https://www.youtube.com/watch?v=f-MLHIb4dFU" TargetMode="External"/><Relationship Id="rId24" Type="http://schemas.openxmlformats.org/officeDocument/2006/relationships/hyperlink" Target="https://www.youtube.com/watch?v=MOkWSa69NKA" TargetMode="External"/><Relationship Id="rId23" Type="http://schemas.openxmlformats.org/officeDocument/2006/relationships/hyperlink" Target="https://www.youtube.com/watch?v=0uPW7Jf9y7o" TargetMode="External"/><Relationship Id="rId26" Type="http://schemas.openxmlformats.org/officeDocument/2006/relationships/drawing" Target="../drawings/drawing4.xml"/><Relationship Id="rId25" Type="http://schemas.openxmlformats.org/officeDocument/2006/relationships/hyperlink" Target="https://www.youtube.com/watch?v=k_PhmmAyLFg" TargetMode="External"/><Relationship Id="rId27" Type="http://schemas.openxmlformats.org/officeDocument/2006/relationships/vmlDrawing" Target="../drawings/vmlDrawing3.vml"/><Relationship Id="rId11" Type="http://schemas.openxmlformats.org/officeDocument/2006/relationships/hyperlink" Target="https://www.youtube.com/watch?v=gbWoqwJKhbM" TargetMode="External"/><Relationship Id="rId10" Type="http://schemas.openxmlformats.org/officeDocument/2006/relationships/hyperlink" Target="https://www.youtube.com/watch?v=LdrmgXtd_rs" TargetMode="External"/><Relationship Id="rId13" Type="http://schemas.openxmlformats.org/officeDocument/2006/relationships/hyperlink" Target="https://www.youtube.com/watch?v=lzMEDrUFlpw" TargetMode="External"/><Relationship Id="rId12" Type="http://schemas.openxmlformats.org/officeDocument/2006/relationships/hyperlink" Target="https://www.youtube.com/watch?v=BEz8X5SUwjY" TargetMode="External"/><Relationship Id="rId15" Type="http://schemas.openxmlformats.org/officeDocument/2006/relationships/hyperlink" Target="https://www.youtube.com/watch?v=ycnvyB8pDEM" TargetMode="External"/><Relationship Id="rId14" Type="http://schemas.openxmlformats.org/officeDocument/2006/relationships/hyperlink" Target="https://www.youtube.com/watch?v=qCG2vqnaUx4" TargetMode="External"/><Relationship Id="rId17" Type="http://schemas.openxmlformats.org/officeDocument/2006/relationships/hyperlink" Target="https://www.youtube.com/watch?v=VeR7IhIkDk0" TargetMode="External"/><Relationship Id="rId16" Type="http://schemas.openxmlformats.org/officeDocument/2006/relationships/hyperlink" Target="https://www.youtube.com/watch?v=xANxZaCCD70" TargetMode="External"/><Relationship Id="rId19" Type="http://schemas.openxmlformats.org/officeDocument/2006/relationships/hyperlink" Target="https://www.youtube.com/watch?v=vHWsmGyjOk0" TargetMode="External"/><Relationship Id="rId18" Type="http://schemas.openxmlformats.org/officeDocument/2006/relationships/hyperlink" Target="https://www.youtube.com/watch?v=8qjQH_-Wzy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youtube.com/watch?v=79r5KYH0nBI" TargetMode="External"/><Relationship Id="rId3" Type="http://schemas.openxmlformats.org/officeDocument/2006/relationships/hyperlink" Target="https://www.youtube.com/watch?v=iS7CE9mrtI4" TargetMode="External"/><Relationship Id="rId4" Type="http://schemas.openxmlformats.org/officeDocument/2006/relationships/hyperlink" Target="https://www.youtube.com/watch?v=THua8SMPtK4" TargetMode="External"/><Relationship Id="rId9" Type="http://schemas.openxmlformats.org/officeDocument/2006/relationships/hyperlink" Target="https://www.youtube.com/watch?v=FndfcBhZklU" TargetMode="External"/><Relationship Id="rId5" Type="http://schemas.openxmlformats.org/officeDocument/2006/relationships/hyperlink" Target="https://www.youtube.com/watch?v=6_9IYK6ZlyY" TargetMode="External"/><Relationship Id="rId6" Type="http://schemas.openxmlformats.org/officeDocument/2006/relationships/hyperlink" Target="https://www.youtube.com/watch?v=LXrKKz7Mld8" TargetMode="External"/><Relationship Id="rId7" Type="http://schemas.openxmlformats.org/officeDocument/2006/relationships/hyperlink" Target="https://www.youtube.com/watch?v=ufZ1BZcZzKI" TargetMode="External"/><Relationship Id="rId8" Type="http://schemas.openxmlformats.org/officeDocument/2006/relationships/hyperlink" Target="https://www.youtube.com/watch?v=rNhQIKC2jPM" TargetMode="External"/><Relationship Id="rId20" Type="http://schemas.openxmlformats.org/officeDocument/2006/relationships/hyperlink" Target="https://www.youtube.com/watch?v=2uOiM67vK6A" TargetMode="External"/><Relationship Id="rId22" Type="http://schemas.openxmlformats.org/officeDocument/2006/relationships/hyperlink" Target="https://www.youtube.com/watch?v=yaOVnZ7W-Qc" TargetMode="External"/><Relationship Id="rId21" Type="http://schemas.openxmlformats.org/officeDocument/2006/relationships/hyperlink" Target="https://www.youtube.com/watch?v=Y1SUVA0PU1o" TargetMode="External"/><Relationship Id="rId24" Type="http://schemas.openxmlformats.org/officeDocument/2006/relationships/hyperlink" Target="https://www.youtube.com/watch?v=8iuVX1AkV_0" TargetMode="External"/><Relationship Id="rId23" Type="http://schemas.openxmlformats.org/officeDocument/2006/relationships/hyperlink" Target="https://www.youtube.com/watch?v=hgdVPIrlSPU" TargetMode="External"/><Relationship Id="rId26" Type="http://schemas.openxmlformats.org/officeDocument/2006/relationships/drawing" Target="../drawings/drawing5.xml"/><Relationship Id="rId25" Type="http://schemas.openxmlformats.org/officeDocument/2006/relationships/hyperlink" Target="https://www.youtube.com/watch?v=wH8I0vSB-Os" TargetMode="External"/><Relationship Id="rId27" Type="http://schemas.openxmlformats.org/officeDocument/2006/relationships/vmlDrawing" Target="../drawings/vmlDrawing4.vml"/><Relationship Id="rId11" Type="http://schemas.openxmlformats.org/officeDocument/2006/relationships/hyperlink" Target="https://www.youtube.com/watch?v=K9s433rQloA" TargetMode="External"/><Relationship Id="rId10" Type="http://schemas.openxmlformats.org/officeDocument/2006/relationships/hyperlink" Target="https://www.youtube.com/watch?v=20u8yHim1tM" TargetMode="External"/><Relationship Id="rId13" Type="http://schemas.openxmlformats.org/officeDocument/2006/relationships/hyperlink" Target="https://www.youtube.com/watch?v=Yhp3rFuo5Cw" TargetMode="External"/><Relationship Id="rId12" Type="http://schemas.openxmlformats.org/officeDocument/2006/relationships/hyperlink" Target="https://www.youtube.com/watch?v=QEUeYDEFtsE" TargetMode="External"/><Relationship Id="rId15" Type="http://schemas.openxmlformats.org/officeDocument/2006/relationships/hyperlink" Target="https://www.youtube.com/watch?v=T0iutxik1Eg" TargetMode="External"/><Relationship Id="rId14" Type="http://schemas.openxmlformats.org/officeDocument/2006/relationships/hyperlink" Target="https://www.youtube.com/watch?v=4yz6ZL-TC94" TargetMode="External"/><Relationship Id="rId17" Type="http://schemas.openxmlformats.org/officeDocument/2006/relationships/hyperlink" Target="https://www.youtube.com/watch?v=5bAuJCTjg8s" TargetMode="External"/><Relationship Id="rId16" Type="http://schemas.openxmlformats.org/officeDocument/2006/relationships/hyperlink" Target="https://www.youtube.com/watch?v=ucgD3lqwZX0" TargetMode="External"/><Relationship Id="rId19" Type="http://schemas.openxmlformats.org/officeDocument/2006/relationships/hyperlink" Target="https://www.youtube.com/watch?v=4h6drLmYTr8" TargetMode="External"/><Relationship Id="rId18" Type="http://schemas.openxmlformats.org/officeDocument/2006/relationships/hyperlink" Target="https://www.youtube.com/watch?v=d9KgrM48iG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youtube.com/watch?v=7bZemcM70W0" TargetMode="External"/><Relationship Id="rId3" Type="http://schemas.openxmlformats.org/officeDocument/2006/relationships/hyperlink" Target="https://www.youtube.com/watch?v=dHQ-HMVdPyE" TargetMode="External"/><Relationship Id="rId4" Type="http://schemas.openxmlformats.org/officeDocument/2006/relationships/hyperlink" Target="https://www.youtube.com/watch?v=VFJFvcNogFU" TargetMode="External"/><Relationship Id="rId9" Type="http://schemas.openxmlformats.org/officeDocument/2006/relationships/hyperlink" Target="https://www.youtube.com/watch?v=zgOMSgegwGk" TargetMode="External"/><Relationship Id="rId5" Type="http://schemas.openxmlformats.org/officeDocument/2006/relationships/hyperlink" Target="https://www.youtube.com/watch?v=SNpVBfgzPmo" TargetMode="External"/><Relationship Id="rId6" Type="http://schemas.openxmlformats.org/officeDocument/2006/relationships/hyperlink" Target="https://www.youtube.com/watch?v=tUBrwCmKx8s" TargetMode="External"/><Relationship Id="rId7" Type="http://schemas.openxmlformats.org/officeDocument/2006/relationships/hyperlink" Target="https://www.youtube.com/watch?v=WMf0Mau2TzE" TargetMode="External"/><Relationship Id="rId8" Type="http://schemas.openxmlformats.org/officeDocument/2006/relationships/hyperlink" Target="https://www.youtube.com/watch?v=TbQkh6axHEM" TargetMode="External"/><Relationship Id="rId11" Type="http://schemas.openxmlformats.org/officeDocument/2006/relationships/hyperlink" Target="https://www.youtube.com/watch?v=FgVpxhtCQdA" TargetMode="External"/><Relationship Id="rId10" Type="http://schemas.openxmlformats.org/officeDocument/2006/relationships/hyperlink" Target="https://www.youtube.com/watch?v=AefxKKTqv5I" TargetMode="External"/><Relationship Id="rId13" Type="http://schemas.openxmlformats.org/officeDocument/2006/relationships/drawing" Target="../drawings/drawing6.xml"/><Relationship Id="rId12" Type="http://schemas.openxmlformats.org/officeDocument/2006/relationships/hyperlink" Target="https://www.youtube.com/watch?v=b96t52xbmO8" TargetMode="External"/><Relationship Id="rId14" Type="http://schemas.openxmlformats.org/officeDocument/2006/relationships/vmlDrawing" Target="../drawings/vmlDrawing5.vml"/><Relationship Id="rId16"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youtube.com/watch?v=tkF_3Ixn02I" TargetMode="External"/><Relationship Id="rId3" Type="http://schemas.openxmlformats.org/officeDocument/2006/relationships/hyperlink" Target="https://www.youtube.com/watch?v=Wpkt3HpzBTs" TargetMode="External"/><Relationship Id="rId4" Type="http://schemas.openxmlformats.org/officeDocument/2006/relationships/hyperlink" Target="https://www.youtube.com/watch?v=dp7l5qmLHJI" TargetMode="External"/><Relationship Id="rId9" Type="http://schemas.openxmlformats.org/officeDocument/2006/relationships/hyperlink" Target="https://www.youtube.com/watch?v=TGgYE0Ui0co" TargetMode="External"/><Relationship Id="rId5" Type="http://schemas.openxmlformats.org/officeDocument/2006/relationships/hyperlink" Target="https://www.youtube.com/watch?v=ryQMb29oX3s" TargetMode="External"/><Relationship Id="rId6" Type="http://schemas.openxmlformats.org/officeDocument/2006/relationships/hyperlink" Target="https://www.youtube.com/watch?v=m3jwqSSyVkg" TargetMode="External"/><Relationship Id="rId7" Type="http://schemas.openxmlformats.org/officeDocument/2006/relationships/hyperlink" Target="https://www.youtube.com/watch?v=QWaXqmcxm94" TargetMode="External"/><Relationship Id="rId8" Type="http://schemas.openxmlformats.org/officeDocument/2006/relationships/hyperlink" Target="https://www.youtube.com/watch?v=JXjMYvGqqDE" TargetMode="External"/><Relationship Id="rId20" Type="http://schemas.openxmlformats.org/officeDocument/2006/relationships/hyperlink" Target="https://www.youtube.com/watch?v=-HWLO-7d98U" TargetMode="External"/><Relationship Id="rId22" Type="http://schemas.openxmlformats.org/officeDocument/2006/relationships/drawing" Target="../drawings/drawing7.xml"/><Relationship Id="rId21" Type="http://schemas.openxmlformats.org/officeDocument/2006/relationships/hyperlink" Target="https://www.youtube.com/watch?v=GtSbmTRia5Y" TargetMode="External"/><Relationship Id="rId23" Type="http://schemas.openxmlformats.org/officeDocument/2006/relationships/vmlDrawing" Target="../drawings/vmlDrawing6.vml"/><Relationship Id="rId11" Type="http://schemas.openxmlformats.org/officeDocument/2006/relationships/hyperlink" Target="https://www.youtube.com/watch?v=sc4OOSLMiQQ" TargetMode="External"/><Relationship Id="rId10" Type="http://schemas.openxmlformats.org/officeDocument/2006/relationships/hyperlink" Target="https://www.youtube.com/watch?v=xtHzknvaS7s" TargetMode="External"/><Relationship Id="rId13" Type="http://schemas.openxmlformats.org/officeDocument/2006/relationships/hyperlink" Target="https://www.youtube.com/watch?v=mhHQNrL_bkM" TargetMode="External"/><Relationship Id="rId12" Type="http://schemas.openxmlformats.org/officeDocument/2006/relationships/hyperlink" Target="https://www.youtube.com/watch?v=QZxRsM9xvK4" TargetMode="External"/><Relationship Id="rId15" Type="http://schemas.openxmlformats.org/officeDocument/2006/relationships/hyperlink" Target="https://www.youtube.com/watch?v=_OWY_haNDNI" TargetMode="External"/><Relationship Id="rId14" Type="http://schemas.openxmlformats.org/officeDocument/2006/relationships/hyperlink" Target="https://www.youtube.com/watch?v=HZ6X5Xt1nS8" TargetMode="External"/><Relationship Id="rId17" Type="http://schemas.openxmlformats.org/officeDocument/2006/relationships/hyperlink" Target="https://www.youtube.com/watch?v=m9xF54UZFuY" TargetMode="External"/><Relationship Id="rId16" Type="http://schemas.openxmlformats.org/officeDocument/2006/relationships/hyperlink" Target="https://www.youtube.com/watch?v=NpqJHyWjh7A" TargetMode="External"/><Relationship Id="rId19" Type="http://schemas.openxmlformats.org/officeDocument/2006/relationships/hyperlink" Target="https://www.youtube.com/watch?v=w5KPpzfrQQY" TargetMode="External"/><Relationship Id="rId18" Type="http://schemas.openxmlformats.org/officeDocument/2006/relationships/hyperlink" Target="https://www.youtube.com/watch?v=srr9jTynwdo"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youtube.com/watch?v=-3rtVbNkNNQ" TargetMode="External"/><Relationship Id="rId3" Type="http://schemas.openxmlformats.org/officeDocument/2006/relationships/hyperlink" Target="https://www.youtube.com/watch?v=ytrFjytVgtk" TargetMode="External"/><Relationship Id="rId4" Type="http://schemas.openxmlformats.org/officeDocument/2006/relationships/hyperlink" Target="https://www.youtube.com/watch?v=28dLjjiriJA" TargetMode="External"/><Relationship Id="rId5" Type="http://schemas.openxmlformats.org/officeDocument/2006/relationships/hyperlink" Target="https://www.youtube.com/watch?v=IAmXafhUmYc" TargetMode="External"/><Relationship Id="rId6" Type="http://schemas.openxmlformats.org/officeDocument/2006/relationships/hyperlink" Target="https://www.youtube.com/watch?v=M-zdPqtp9Kk" TargetMode="External"/><Relationship Id="rId7" Type="http://schemas.openxmlformats.org/officeDocument/2006/relationships/drawing" Target="../drawings/drawing8.xml"/><Relationship Id="rId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2.63" defaultRowHeight="15.0"/>
  <cols>
    <col customWidth="1" min="1" max="1" width="7.13"/>
    <col customWidth="1" min="2" max="2" width="12.5"/>
    <col customWidth="1" min="3" max="3" width="107.25"/>
    <col customWidth="1" min="4" max="27" width="11.0"/>
  </cols>
  <sheetData>
    <row r="1">
      <c r="A1" s="2" t="s">
        <v>1</v>
      </c>
      <c r="B1" s="3" t="s">
        <v>2</v>
      </c>
    </row>
    <row r="2">
      <c r="A2" s="4">
        <v>1.0</v>
      </c>
      <c r="B2" s="5" t="str">
        <f>HYPERLINK("#rangeid=1985494498","Please work only with your sheets and do not temper with any other sheet. First Two letters are your sheet name")</f>
        <v>Please work only with your sheets and do not temper with any other sheet. First Two letters are your sheet name</v>
      </c>
      <c r="C2" s="7"/>
    </row>
    <row r="3">
      <c r="A3" s="4">
        <v>2.0</v>
      </c>
      <c r="B3" s="14" t="s">
        <v>3</v>
      </c>
      <c r="C3" s="7"/>
    </row>
    <row r="4">
      <c r="A4" s="4">
        <v>3.0</v>
      </c>
      <c r="B4" s="4" t="s">
        <v>9</v>
      </c>
      <c r="C4" s="7"/>
    </row>
    <row r="5">
      <c r="A5" s="4">
        <v>4.0</v>
      </c>
      <c r="B5" s="16" t="s">
        <v>10</v>
      </c>
      <c r="C5" s="7"/>
    </row>
    <row r="6">
      <c r="A6" s="4">
        <v>4.01</v>
      </c>
      <c r="C6" s="4" t="s">
        <v>12</v>
      </c>
    </row>
    <row r="7">
      <c r="A7" s="4">
        <v>4.02</v>
      </c>
      <c r="C7" s="4" t="s">
        <v>13</v>
      </c>
    </row>
    <row r="8">
      <c r="A8" s="4">
        <v>4.03</v>
      </c>
      <c r="C8" s="18" t="s">
        <v>14</v>
      </c>
    </row>
    <row r="9">
      <c r="A9" s="4">
        <v>4.04</v>
      </c>
      <c r="C9" s="4" t="s">
        <v>17</v>
      </c>
    </row>
    <row r="10">
      <c r="A10" s="4">
        <v>4.05</v>
      </c>
      <c r="C10" s="4" t="s">
        <v>18</v>
      </c>
    </row>
    <row r="11">
      <c r="A11" s="4">
        <v>4.06</v>
      </c>
      <c r="C11" s="16" t="s">
        <v>19</v>
      </c>
    </row>
    <row r="12">
      <c r="A12" s="4">
        <v>4.07</v>
      </c>
      <c r="C12" s="16" t="s">
        <v>20</v>
      </c>
    </row>
    <row r="13">
      <c r="A13" s="4">
        <v>4.08</v>
      </c>
      <c r="C13" s="16" t="s">
        <v>21</v>
      </c>
    </row>
    <row r="14">
      <c r="A14" s="20">
        <v>4.09</v>
      </c>
      <c r="B14" s="16"/>
      <c r="C14" s="22" t="s">
        <v>24</v>
      </c>
    </row>
    <row r="15">
      <c r="A15" s="20">
        <v>4.1</v>
      </c>
      <c r="B15" s="16"/>
      <c r="C15" s="24" t="s">
        <v>30</v>
      </c>
    </row>
    <row r="16">
      <c r="A16" s="20">
        <v>4.11</v>
      </c>
      <c r="B16" s="16"/>
      <c r="C16" s="27" t="s">
        <v>34</v>
      </c>
    </row>
    <row r="17">
      <c r="A17" s="20">
        <v>4.12</v>
      </c>
      <c r="B17" s="16"/>
      <c r="C17" s="28" t="s">
        <v>36</v>
      </c>
    </row>
    <row r="18">
      <c r="A18" s="20">
        <v>4.13</v>
      </c>
      <c r="B18" s="16"/>
      <c r="C18" s="30" t="s">
        <v>37</v>
      </c>
    </row>
    <row r="19">
      <c r="A19" s="20">
        <v>4.14</v>
      </c>
      <c r="B19" s="16"/>
      <c r="C19" s="32" t="str">
        <f>HYPERLINK("#gid=905707677&amp;range=A1","Update the Final Status accordingly for the clip")</f>
        <v>Update the Final Status accordingly for the clip</v>
      </c>
    </row>
    <row r="20">
      <c r="A20" s="4">
        <v>4.15</v>
      </c>
      <c r="B20" s="16"/>
      <c r="C20" s="35" t="str">
        <f>HYPERLINK("#gid=905707677&amp;range=D1:E1","Update Content Owner Column accordingly, your intials against the clip")</f>
        <v>Update Content Owner Column accordingly, your intials against the clip</v>
      </c>
    </row>
    <row r="21">
      <c r="A21" s="4">
        <v>4.16</v>
      </c>
      <c r="B21" s="16"/>
      <c r="C21" s="4" t="s">
        <v>41</v>
      </c>
    </row>
    <row r="22">
      <c r="A22" s="4">
        <v>4.17</v>
      </c>
      <c r="B22" s="16"/>
      <c r="C22" s="22" t="s">
        <v>42</v>
      </c>
    </row>
    <row r="23">
      <c r="A23" s="4">
        <v>4.18</v>
      </c>
      <c r="B23" s="16"/>
      <c r="C23" s="22" t="s">
        <v>43</v>
      </c>
    </row>
    <row r="24">
      <c r="A24" s="4">
        <v>4.19</v>
      </c>
      <c r="B24" s="16"/>
      <c r="C24" s="22" t="s">
        <v>44</v>
      </c>
    </row>
    <row r="25">
      <c r="B25" s="16"/>
    </row>
    <row r="26">
      <c r="A26" s="4"/>
      <c r="B26" s="16"/>
      <c r="C26" s="7"/>
    </row>
    <row r="27">
      <c r="A27" s="4"/>
      <c r="B27" s="16"/>
      <c r="C27" s="7"/>
    </row>
    <row r="28">
      <c r="A28" s="4">
        <v>5.0</v>
      </c>
      <c r="B28" s="16" t="s">
        <v>45</v>
      </c>
      <c r="C28" s="7"/>
    </row>
    <row r="29">
      <c r="A29" s="4">
        <v>5.01</v>
      </c>
      <c r="C29" s="4" t="s">
        <v>46</v>
      </c>
    </row>
    <row r="30">
      <c r="A30" s="4"/>
      <c r="C30" s="7"/>
    </row>
    <row r="31">
      <c r="A31" s="4">
        <v>6.0</v>
      </c>
      <c r="B31" s="16" t="s">
        <v>47</v>
      </c>
      <c r="C31" s="7"/>
    </row>
    <row r="32">
      <c r="A32" s="4">
        <v>6.01</v>
      </c>
      <c r="C32" s="16" t="s">
        <v>48</v>
      </c>
    </row>
    <row r="33">
      <c r="A33" s="4"/>
      <c r="C33" s="7"/>
    </row>
    <row r="34">
      <c r="A34" s="4">
        <v>7.0</v>
      </c>
      <c r="B34" s="16" t="s">
        <v>50</v>
      </c>
      <c r="C34" s="16" t="s">
        <v>51</v>
      </c>
    </row>
    <row r="35">
      <c r="A35" s="4">
        <v>7.01</v>
      </c>
      <c r="C35" s="16" t="s">
        <v>52</v>
      </c>
    </row>
    <row r="36">
      <c r="A36" s="4">
        <v>7.02</v>
      </c>
      <c r="C36" s="16" t="s">
        <v>53</v>
      </c>
    </row>
    <row r="37">
      <c r="A37" s="4">
        <v>7.03</v>
      </c>
      <c r="C37" s="40" t="s">
        <v>54</v>
      </c>
    </row>
    <row r="38">
      <c r="C38" s="7"/>
    </row>
    <row r="39">
      <c r="C39" s="7"/>
    </row>
    <row r="40">
      <c r="C40" s="7"/>
    </row>
    <row r="41">
      <c r="C41" s="7"/>
    </row>
    <row r="42">
      <c r="C42" s="7"/>
    </row>
    <row r="43">
      <c r="C43" s="7"/>
    </row>
    <row r="44">
      <c r="C44" s="7"/>
    </row>
    <row r="45">
      <c r="C45" s="7"/>
    </row>
    <row r="46">
      <c r="C46" s="7"/>
    </row>
    <row r="47">
      <c r="C47" s="7"/>
    </row>
    <row r="48">
      <c r="C48" s="7"/>
    </row>
    <row r="49">
      <c r="C49" s="7"/>
    </row>
    <row r="50">
      <c r="C50" s="7"/>
    </row>
    <row r="51">
      <c r="C51" s="7"/>
    </row>
    <row r="52">
      <c r="C52" s="7"/>
    </row>
    <row r="53">
      <c r="C53" s="7"/>
    </row>
    <row r="54">
      <c r="C54" s="7"/>
    </row>
    <row r="55">
      <c r="C55" s="7"/>
    </row>
    <row r="56">
      <c r="C56" s="7"/>
    </row>
    <row r="57">
      <c r="C57" s="7"/>
    </row>
    <row r="58">
      <c r="C58" s="7"/>
    </row>
    <row r="59">
      <c r="C59" s="7"/>
    </row>
    <row r="60">
      <c r="C60" s="7"/>
    </row>
    <row r="61">
      <c r="C61" s="7"/>
    </row>
    <row r="62">
      <c r="C62" s="7"/>
    </row>
    <row r="63">
      <c r="C63" s="7"/>
    </row>
    <row r="64">
      <c r="C64" s="7"/>
    </row>
    <row r="65">
      <c r="C65" s="7"/>
    </row>
    <row r="66">
      <c r="C66" s="7"/>
    </row>
    <row r="67">
      <c r="C67" s="7"/>
    </row>
    <row r="68">
      <c r="C68" s="7"/>
    </row>
    <row r="69">
      <c r="C69" s="7"/>
    </row>
    <row r="70">
      <c r="C70" s="7"/>
    </row>
    <row r="71">
      <c r="C71" s="7"/>
    </row>
    <row r="72">
      <c r="C72" s="7"/>
    </row>
    <row r="73">
      <c r="C73" s="7"/>
    </row>
    <row r="74">
      <c r="C74" s="7"/>
    </row>
    <row r="75">
      <c r="C75" s="7"/>
    </row>
    <row r="76">
      <c r="C76" s="7"/>
    </row>
    <row r="77">
      <c r="C77" s="7"/>
    </row>
    <row r="78">
      <c r="C78" s="7"/>
    </row>
    <row r="79">
      <c r="C79" s="7"/>
    </row>
    <row r="80">
      <c r="C80" s="7"/>
    </row>
    <row r="81">
      <c r="C81" s="7"/>
    </row>
    <row r="82">
      <c r="C82" s="7"/>
    </row>
    <row r="83">
      <c r="C83" s="7"/>
    </row>
    <row r="84">
      <c r="C84" s="7"/>
    </row>
    <row r="85">
      <c r="C85" s="7"/>
    </row>
    <row r="86">
      <c r="C86" s="7"/>
    </row>
    <row r="87">
      <c r="C87" s="7"/>
    </row>
    <row r="88">
      <c r="C88" s="7"/>
    </row>
    <row r="89">
      <c r="C89" s="7"/>
    </row>
    <row r="90">
      <c r="C90" s="7"/>
    </row>
    <row r="91">
      <c r="C91" s="7"/>
    </row>
    <row r="92">
      <c r="C92" s="7"/>
    </row>
    <row r="93">
      <c r="C93" s="7"/>
    </row>
    <row r="94">
      <c r="C94" s="7"/>
    </row>
    <row r="95">
      <c r="C95" s="7"/>
    </row>
    <row r="96">
      <c r="C96" s="7"/>
    </row>
    <row r="97">
      <c r="C97" s="7"/>
    </row>
    <row r="98">
      <c r="C98" s="7"/>
    </row>
    <row r="99">
      <c r="C99" s="7"/>
    </row>
    <row r="100">
      <c r="C100" s="7"/>
    </row>
    <row r="101">
      <c r="C101" s="7"/>
    </row>
    <row r="102">
      <c r="C102" s="7"/>
    </row>
    <row r="103">
      <c r="C103" s="7"/>
    </row>
    <row r="104">
      <c r="C104" s="7"/>
    </row>
    <row r="105">
      <c r="C105" s="7"/>
    </row>
    <row r="106">
      <c r="C106" s="7"/>
    </row>
    <row r="107">
      <c r="C107" s="7"/>
    </row>
    <row r="108">
      <c r="C108" s="7"/>
    </row>
    <row r="109">
      <c r="C109" s="7"/>
    </row>
    <row r="110">
      <c r="C110" s="7"/>
    </row>
    <row r="111">
      <c r="C111" s="7"/>
    </row>
    <row r="112">
      <c r="C112" s="7"/>
    </row>
    <row r="113">
      <c r="C113" s="7"/>
    </row>
    <row r="114">
      <c r="C114" s="7"/>
    </row>
    <row r="115">
      <c r="C115" s="7"/>
    </row>
    <row r="116">
      <c r="C116" s="7"/>
    </row>
    <row r="117">
      <c r="C117" s="7"/>
    </row>
    <row r="118">
      <c r="C118" s="7"/>
    </row>
    <row r="119">
      <c r="C119" s="7"/>
    </row>
    <row r="120">
      <c r="C120" s="7"/>
    </row>
    <row r="121">
      <c r="C121" s="7"/>
    </row>
    <row r="122">
      <c r="C122" s="7"/>
    </row>
    <row r="123">
      <c r="C123" s="7"/>
    </row>
    <row r="124">
      <c r="C124" s="7"/>
    </row>
    <row r="125">
      <c r="C125" s="7"/>
    </row>
    <row r="126">
      <c r="C126" s="7"/>
    </row>
    <row r="127">
      <c r="C127" s="7"/>
    </row>
    <row r="128">
      <c r="C128" s="7"/>
    </row>
    <row r="129">
      <c r="C129" s="7"/>
    </row>
    <row r="130">
      <c r="C130" s="7"/>
    </row>
    <row r="131">
      <c r="C131" s="7"/>
    </row>
    <row r="132">
      <c r="C132" s="7"/>
    </row>
    <row r="133">
      <c r="C133" s="7"/>
    </row>
    <row r="134">
      <c r="C134" s="7"/>
    </row>
    <row r="135">
      <c r="C135" s="7"/>
    </row>
    <row r="136">
      <c r="C136" s="7"/>
    </row>
    <row r="137">
      <c r="C137" s="7"/>
    </row>
    <row r="138">
      <c r="C138" s="7"/>
    </row>
    <row r="139">
      <c r="C139" s="7"/>
    </row>
    <row r="140">
      <c r="C140" s="7"/>
    </row>
    <row r="141">
      <c r="C141" s="7"/>
    </row>
    <row r="142">
      <c r="C142" s="7"/>
    </row>
    <row r="143">
      <c r="C143" s="7"/>
    </row>
    <row r="144">
      <c r="C144" s="7"/>
    </row>
    <row r="145">
      <c r="C145" s="7"/>
    </row>
    <row r="146">
      <c r="C146" s="7"/>
    </row>
    <row r="147">
      <c r="C147" s="7"/>
    </row>
    <row r="148">
      <c r="C148" s="7"/>
    </row>
    <row r="149">
      <c r="C149" s="7"/>
    </row>
    <row r="150">
      <c r="C150" s="7"/>
    </row>
    <row r="151">
      <c r="C151" s="7"/>
    </row>
    <row r="152">
      <c r="C152" s="7"/>
    </row>
    <row r="153">
      <c r="C153" s="7"/>
    </row>
    <row r="154">
      <c r="C154" s="7"/>
    </row>
    <row r="155">
      <c r="C155" s="7"/>
    </row>
    <row r="156">
      <c r="C156" s="7"/>
    </row>
    <row r="157">
      <c r="C157" s="7"/>
    </row>
    <row r="158">
      <c r="C158" s="7"/>
    </row>
    <row r="159">
      <c r="C159" s="7"/>
    </row>
    <row r="160">
      <c r="C160" s="7"/>
    </row>
    <row r="161">
      <c r="C161" s="7"/>
    </row>
    <row r="162">
      <c r="C162" s="7"/>
    </row>
    <row r="163">
      <c r="C163" s="7"/>
    </row>
    <row r="164">
      <c r="C164" s="7"/>
    </row>
    <row r="165">
      <c r="C165" s="7"/>
    </row>
    <row r="166">
      <c r="C166" s="7"/>
    </row>
    <row r="167">
      <c r="C167" s="7"/>
    </row>
    <row r="168">
      <c r="C168" s="7"/>
    </row>
    <row r="169">
      <c r="C169" s="7"/>
    </row>
    <row r="170">
      <c r="C170" s="7"/>
    </row>
    <row r="171">
      <c r="C171" s="7"/>
    </row>
    <row r="172">
      <c r="C172" s="7"/>
    </row>
    <row r="173">
      <c r="C173" s="7"/>
    </row>
    <row r="174">
      <c r="C174" s="7"/>
    </row>
    <row r="175">
      <c r="C175" s="7"/>
    </row>
    <row r="176">
      <c r="C176" s="7"/>
    </row>
    <row r="177">
      <c r="C177" s="7"/>
    </row>
    <row r="178">
      <c r="C178" s="7"/>
    </row>
    <row r="179">
      <c r="C179" s="7"/>
    </row>
    <row r="180">
      <c r="C180" s="7"/>
    </row>
    <row r="181">
      <c r="C181" s="7"/>
    </row>
    <row r="182">
      <c r="C182" s="7"/>
    </row>
    <row r="183">
      <c r="C183" s="7"/>
    </row>
    <row r="184">
      <c r="C184" s="7"/>
    </row>
    <row r="185">
      <c r="C185" s="7"/>
    </row>
    <row r="186">
      <c r="C186" s="7"/>
    </row>
    <row r="187">
      <c r="C187" s="7"/>
    </row>
    <row r="188">
      <c r="C188" s="7"/>
    </row>
    <row r="189">
      <c r="C189" s="7"/>
    </row>
    <row r="190">
      <c r="C190" s="7"/>
    </row>
    <row r="191">
      <c r="C191" s="7"/>
    </row>
    <row r="192">
      <c r="C192" s="7"/>
    </row>
    <row r="193">
      <c r="C193" s="7"/>
    </row>
    <row r="194">
      <c r="C194" s="7"/>
    </row>
    <row r="195">
      <c r="C195" s="7"/>
    </row>
    <row r="196">
      <c r="C196" s="7"/>
    </row>
    <row r="197">
      <c r="C197" s="7"/>
    </row>
    <row r="198">
      <c r="C198" s="7"/>
    </row>
    <row r="199">
      <c r="C199" s="7"/>
    </row>
    <row r="200">
      <c r="C200" s="7"/>
    </row>
    <row r="201">
      <c r="C201" s="7"/>
    </row>
    <row r="202">
      <c r="C202" s="7"/>
    </row>
    <row r="203">
      <c r="C203" s="7"/>
    </row>
    <row r="204">
      <c r="C204" s="7"/>
    </row>
    <row r="205">
      <c r="C205" s="7"/>
    </row>
    <row r="206">
      <c r="C206" s="7"/>
    </row>
    <row r="207">
      <c r="C207" s="7"/>
    </row>
    <row r="208">
      <c r="C208" s="7"/>
    </row>
    <row r="209">
      <c r="C209" s="7"/>
    </row>
    <row r="210">
      <c r="C210" s="7"/>
    </row>
    <row r="211">
      <c r="C211" s="7"/>
    </row>
    <row r="212">
      <c r="C212" s="7"/>
    </row>
    <row r="213">
      <c r="C213" s="7"/>
    </row>
    <row r="214">
      <c r="C214" s="7"/>
    </row>
    <row r="215">
      <c r="C215" s="7"/>
    </row>
    <row r="216">
      <c r="C216" s="7"/>
    </row>
    <row r="217">
      <c r="C217" s="7"/>
    </row>
    <row r="218">
      <c r="C218" s="7"/>
    </row>
    <row r="219">
      <c r="C219" s="7"/>
    </row>
    <row r="220">
      <c r="C220" s="7"/>
    </row>
    <row r="221">
      <c r="C221" s="7"/>
    </row>
    <row r="222">
      <c r="C222" s="7"/>
    </row>
    <row r="223">
      <c r="C223" s="7"/>
    </row>
    <row r="224">
      <c r="C224" s="7"/>
    </row>
    <row r="225">
      <c r="C225" s="7"/>
    </row>
    <row r="226">
      <c r="C226" s="7"/>
    </row>
    <row r="227">
      <c r="C227" s="7"/>
    </row>
    <row r="228">
      <c r="C228" s="7"/>
    </row>
    <row r="229">
      <c r="C229" s="7"/>
    </row>
    <row r="230">
      <c r="C230" s="7"/>
    </row>
    <row r="231">
      <c r="C231" s="7"/>
    </row>
    <row r="232">
      <c r="C232" s="7"/>
    </row>
    <row r="233">
      <c r="C233" s="7"/>
    </row>
    <row r="234">
      <c r="C234" s="7"/>
    </row>
    <row r="235">
      <c r="C235" s="7"/>
    </row>
    <row r="236">
      <c r="C236" s="7"/>
    </row>
    <row r="237">
      <c r="C237" s="7"/>
    </row>
    <row r="238">
      <c r="C238" s="7"/>
    </row>
    <row r="239">
      <c r="C239" s="7"/>
    </row>
    <row r="240">
      <c r="C240" s="7"/>
    </row>
    <row r="241">
      <c r="C241" s="7"/>
    </row>
    <row r="242">
      <c r="C242" s="7"/>
    </row>
    <row r="243">
      <c r="C243" s="7"/>
    </row>
    <row r="244">
      <c r="C244" s="7"/>
    </row>
    <row r="245">
      <c r="C245" s="7"/>
    </row>
    <row r="246">
      <c r="C246" s="7"/>
    </row>
    <row r="247">
      <c r="C247" s="7"/>
    </row>
    <row r="248">
      <c r="C248" s="7"/>
    </row>
    <row r="249">
      <c r="C249" s="7"/>
    </row>
    <row r="250">
      <c r="C250" s="7"/>
    </row>
    <row r="251">
      <c r="C251" s="7"/>
    </row>
    <row r="252">
      <c r="C252" s="7"/>
    </row>
    <row r="253">
      <c r="C253" s="7"/>
    </row>
    <row r="254">
      <c r="C254" s="7"/>
    </row>
    <row r="255">
      <c r="C255" s="7"/>
    </row>
    <row r="256">
      <c r="C256" s="7"/>
    </row>
    <row r="257">
      <c r="C257" s="7"/>
    </row>
    <row r="258">
      <c r="C258" s="7"/>
    </row>
    <row r="259">
      <c r="C259" s="7"/>
    </row>
    <row r="260">
      <c r="C260" s="7"/>
    </row>
    <row r="261">
      <c r="C261" s="7"/>
    </row>
    <row r="262">
      <c r="C262" s="7"/>
    </row>
    <row r="263">
      <c r="C263" s="7"/>
    </row>
    <row r="264">
      <c r="C264" s="7"/>
    </row>
    <row r="265">
      <c r="C265" s="7"/>
    </row>
    <row r="266">
      <c r="C266" s="7"/>
    </row>
    <row r="267">
      <c r="C267" s="7"/>
    </row>
    <row r="268">
      <c r="C268" s="7"/>
    </row>
    <row r="269">
      <c r="C269" s="7"/>
    </row>
    <row r="270">
      <c r="C270" s="7"/>
    </row>
    <row r="271">
      <c r="C271" s="7"/>
    </row>
    <row r="272">
      <c r="C272" s="7"/>
    </row>
    <row r="273">
      <c r="C273" s="7"/>
    </row>
    <row r="274">
      <c r="C274" s="7"/>
    </row>
    <row r="275">
      <c r="C275" s="7"/>
    </row>
    <row r="276">
      <c r="C276" s="7"/>
    </row>
    <row r="277">
      <c r="C277" s="7"/>
    </row>
    <row r="278">
      <c r="C278" s="7"/>
    </row>
    <row r="279">
      <c r="C279" s="7"/>
    </row>
    <row r="280">
      <c r="C280" s="7"/>
    </row>
    <row r="281">
      <c r="C281" s="7"/>
    </row>
    <row r="282">
      <c r="C282" s="7"/>
    </row>
    <row r="283">
      <c r="C283" s="7"/>
    </row>
    <row r="284">
      <c r="C284" s="7"/>
    </row>
    <row r="285">
      <c r="C285" s="7"/>
    </row>
    <row r="286">
      <c r="C286" s="7"/>
    </row>
    <row r="287">
      <c r="C287" s="7"/>
    </row>
    <row r="288">
      <c r="C288" s="7"/>
    </row>
    <row r="289">
      <c r="C289" s="7"/>
    </row>
    <row r="290">
      <c r="C290" s="7"/>
    </row>
    <row r="291">
      <c r="C291" s="7"/>
    </row>
    <row r="292">
      <c r="C292" s="7"/>
    </row>
    <row r="293">
      <c r="C293" s="7"/>
    </row>
    <row r="294">
      <c r="C294" s="7"/>
    </row>
    <row r="295">
      <c r="C295" s="7"/>
    </row>
    <row r="296">
      <c r="C296" s="7"/>
    </row>
    <row r="297">
      <c r="C297" s="7"/>
    </row>
    <row r="298">
      <c r="C298" s="7"/>
    </row>
    <row r="299">
      <c r="C299" s="7"/>
    </row>
    <row r="300">
      <c r="C300" s="7"/>
    </row>
    <row r="301">
      <c r="C301" s="7"/>
    </row>
    <row r="302">
      <c r="C302" s="7"/>
    </row>
    <row r="303">
      <c r="C303" s="7"/>
    </row>
    <row r="304">
      <c r="C304" s="7"/>
    </row>
    <row r="305">
      <c r="C305" s="7"/>
    </row>
    <row r="306">
      <c r="C306" s="7"/>
    </row>
    <row r="307">
      <c r="C307" s="7"/>
    </row>
    <row r="308">
      <c r="C308" s="7"/>
    </row>
    <row r="309">
      <c r="C309" s="7"/>
    </row>
    <row r="310">
      <c r="C310" s="7"/>
    </row>
    <row r="311">
      <c r="C311" s="7"/>
    </row>
    <row r="312">
      <c r="C312" s="7"/>
    </row>
    <row r="313">
      <c r="C313" s="7"/>
    </row>
    <row r="314">
      <c r="C314" s="7"/>
    </row>
    <row r="315">
      <c r="C315" s="7"/>
    </row>
    <row r="316">
      <c r="C316" s="7"/>
    </row>
    <row r="317">
      <c r="C317" s="7"/>
    </row>
    <row r="318">
      <c r="C318" s="7"/>
    </row>
    <row r="319">
      <c r="C319" s="7"/>
    </row>
    <row r="320">
      <c r="C320" s="7"/>
    </row>
    <row r="321">
      <c r="C321" s="7"/>
    </row>
    <row r="322">
      <c r="C322" s="7"/>
    </row>
    <row r="323">
      <c r="C323" s="7"/>
    </row>
    <row r="324">
      <c r="C324" s="7"/>
    </row>
    <row r="325">
      <c r="C325" s="7"/>
    </row>
    <row r="326">
      <c r="C326" s="7"/>
    </row>
    <row r="327">
      <c r="C327" s="7"/>
    </row>
    <row r="328">
      <c r="C328" s="7"/>
    </row>
    <row r="329">
      <c r="C329" s="7"/>
    </row>
    <row r="330">
      <c r="C330" s="7"/>
    </row>
    <row r="331">
      <c r="C331" s="7"/>
    </row>
    <row r="332">
      <c r="C332" s="7"/>
    </row>
    <row r="333">
      <c r="C333" s="7"/>
    </row>
    <row r="334">
      <c r="C334" s="7"/>
    </row>
    <row r="335">
      <c r="C335" s="7"/>
    </row>
    <row r="336">
      <c r="C336" s="7"/>
    </row>
    <row r="337">
      <c r="C337" s="7"/>
    </row>
    <row r="338">
      <c r="C338" s="7"/>
    </row>
    <row r="339">
      <c r="C339" s="7"/>
    </row>
    <row r="340">
      <c r="C340" s="7"/>
    </row>
    <row r="341">
      <c r="C341" s="7"/>
    </row>
    <row r="342">
      <c r="C342" s="7"/>
    </row>
    <row r="343">
      <c r="C343" s="7"/>
    </row>
    <row r="344">
      <c r="C344" s="7"/>
    </row>
    <row r="345">
      <c r="C345" s="7"/>
    </row>
    <row r="346">
      <c r="C346" s="7"/>
    </row>
    <row r="347">
      <c r="C347" s="7"/>
    </row>
    <row r="348">
      <c r="C348" s="7"/>
    </row>
    <row r="349">
      <c r="C349" s="7"/>
    </row>
    <row r="350">
      <c r="C350" s="7"/>
    </row>
    <row r="351">
      <c r="C351" s="7"/>
    </row>
    <row r="352">
      <c r="C352" s="7"/>
    </row>
    <row r="353">
      <c r="C353" s="7"/>
    </row>
    <row r="354">
      <c r="C354" s="7"/>
    </row>
    <row r="355">
      <c r="C355" s="7"/>
    </row>
    <row r="356">
      <c r="C356" s="7"/>
    </row>
    <row r="357">
      <c r="C357" s="7"/>
    </row>
    <row r="358">
      <c r="C358" s="7"/>
    </row>
    <row r="359">
      <c r="C359" s="7"/>
    </row>
    <row r="360">
      <c r="C360" s="7"/>
    </row>
    <row r="361">
      <c r="C361" s="7"/>
    </row>
    <row r="362">
      <c r="C362" s="7"/>
    </row>
    <row r="363">
      <c r="C363" s="7"/>
    </row>
    <row r="364">
      <c r="C364" s="7"/>
    </row>
    <row r="365">
      <c r="C365" s="7"/>
    </row>
    <row r="366">
      <c r="C366" s="7"/>
    </row>
    <row r="367">
      <c r="C367" s="7"/>
    </row>
    <row r="368">
      <c r="C368" s="7"/>
    </row>
    <row r="369">
      <c r="C369" s="7"/>
    </row>
    <row r="370">
      <c r="C370" s="7"/>
    </row>
    <row r="371">
      <c r="C371" s="7"/>
    </row>
    <row r="372">
      <c r="C372" s="7"/>
    </row>
    <row r="373">
      <c r="C373" s="7"/>
    </row>
    <row r="374">
      <c r="C374" s="7"/>
    </row>
    <row r="375">
      <c r="C375" s="7"/>
    </row>
    <row r="376">
      <c r="C376" s="7"/>
    </row>
    <row r="377">
      <c r="C377" s="7"/>
    </row>
    <row r="378">
      <c r="C378" s="7"/>
    </row>
    <row r="379">
      <c r="C379" s="7"/>
    </row>
    <row r="380">
      <c r="C380" s="7"/>
    </row>
    <row r="381">
      <c r="C381" s="7"/>
    </row>
    <row r="382">
      <c r="C382" s="7"/>
    </row>
    <row r="383">
      <c r="C383" s="7"/>
    </row>
    <row r="384">
      <c r="C384" s="7"/>
    </row>
    <row r="385">
      <c r="C385" s="7"/>
    </row>
    <row r="386">
      <c r="C386" s="7"/>
    </row>
    <row r="387">
      <c r="C387" s="7"/>
    </row>
    <row r="388">
      <c r="C388" s="7"/>
    </row>
    <row r="389">
      <c r="C389" s="7"/>
    </row>
    <row r="390">
      <c r="C390" s="7"/>
    </row>
    <row r="391">
      <c r="C391" s="7"/>
    </row>
    <row r="392">
      <c r="C392" s="7"/>
    </row>
    <row r="393">
      <c r="C393" s="7"/>
    </row>
    <row r="394">
      <c r="C394" s="7"/>
    </row>
    <row r="395">
      <c r="C395" s="7"/>
    </row>
    <row r="396">
      <c r="C396" s="7"/>
    </row>
    <row r="397">
      <c r="C397" s="7"/>
    </row>
    <row r="398">
      <c r="C398" s="7"/>
    </row>
    <row r="399">
      <c r="C399" s="7"/>
    </row>
    <row r="400">
      <c r="C400" s="7"/>
    </row>
    <row r="401">
      <c r="C401" s="7"/>
    </row>
    <row r="402">
      <c r="C402" s="7"/>
    </row>
    <row r="403">
      <c r="C403" s="7"/>
    </row>
    <row r="404">
      <c r="C404" s="7"/>
    </row>
    <row r="405">
      <c r="C405" s="7"/>
    </row>
    <row r="406">
      <c r="C406" s="7"/>
    </row>
    <row r="407">
      <c r="C407" s="7"/>
    </row>
    <row r="408">
      <c r="C408" s="7"/>
    </row>
    <row r="409">
      <c r="C409" s="7"/>
    </row>
    <row r="410">
      <c r="C410" s="7"/>
    </row>
    <row r="411">
      <c r="C411" s="7"/>
    </row>
    <row r="412">
      <c r="C412" s="7"/>
    </row>
    <row r="413">
      <c r="C413" s="7"/>
    </row>
    <row r="414">
      <c r="C414" s="7"/>
    </row>
    <row r="415">
      <c r="C415" s="7"/>
    </row>
    <row r="416">
      <c r="C416" s="7"/>
    </row>
    <row r="417">
      <c r="C417" s="7"/>
    </row>
    <row r="418">
      <c r="C418" s="7"/>
    </row>
    <row r="419">
      <c r="C419" s="7"/>
    </row>
    <row r="420">
      <c r="C420" s="7"/>
    </row>
    <row r="421">
      <c r="C421" s="7"/>
    </row>
    <row r="422">
      <c r="C422" s="7"/>
    </row>
    <row r="423">
      <c r="C423" s="7"/>
    </row>
    <row r="424">
      <c r="C424" s="7"/>
    </row>
    <row r="425">
      <c r="C425" s="7"/>
    </row>
    <row r="426">
      <c r="C426" s="7"/>
    </row>
    <row r="427">
      <c r="C427" s="7"/>
    </row>
    <row r="428">
      <c r="C428" s="7"/>
    </row>
    <row r="429">
      <c r="C429" s="7"/>
    </row>
    <row r="430">
      <c r="C430" s="7"/>
    </row>
    <row r="431">
      <c r="C431" s="7"/>
    </row>
    <row r="432">
      <c r="C432" s="7"/>
    </row>
    <row r="433">
      <c r="C433" s="7"/>
    </row>
    <row r="434">
      <c r="C434" s="7"/>
    </row>
    <row r="435">
      <c r="C435" s="7"/>
    </row>
    <row r="436">
      <c r="C436" s="7"/>
    </row>
    <row r="437">
      <c r="C437" s="7"/>
    </row>
    <row r="438">
      <c r="C438" s="7"/>
    </row>
    <row r="439">
      <c r="C439" s="7"/>
    </row>
    <row r="440">
      <c r="C440" s="7"/>
    </row>
    <row r="441">
      <c r="C441" s="7"/>
    </row>
    <row r="442">
      <c r="C442" s="7"/>
    </row>
    <row r="443">
      <c r="C443" s="7"/>
    </row>
    <row r="444">
      <c r="C444" s="7"/>
    </row>
    <row r="445">
      <c r="C445" s="7"/>
    </row>
    <row r="446">
      <c r="C446" s="7"/>
    </row>
    <row r="447">
      <c r="C447" s="7"/>
    </row>
    <row r="448">
      <c r="C448" s="7"/>
    </row>
    <row r="449">
      <c r="C449" s="7"/>
    </row>
    <row r="450">
      <c r="C450" s="7"/>
    </row>
    <row r="451">
      <c r="C451" s="7"/>
    </row>
    <row r="452">
      <c r="C452" s="7"/>
    </row>
    <row r="453">
      <c r="C453" s="7"/>
    </row>
    <row r="454">
      <c r="C454" s="7"/>
    </row>
    <row r="455">
      <c r="C455" s="7"/>
    </row>
    <row r="456">
      <c r="C456" s="7"/>
    </row>
    <row r="457">
      <c r="C457" s="7"/>
    </row>
    <row r="458">
      <c r="C458" s="7"/>
    </row>
    <row r="459">
      <c r="C459" s="7"/>
    </row>
    <row r="460">
      <c r="C460" s="7"/>
    </row>
    <row r="461">
      <c r="C461" s="7"/>
    </row>
    <row r="462">
      <c r="C462" s="7"/>
    </row>
    <row r="463">
      <c r="C463" s="7"/>
    </row>
    <row r="464">
      <c r="C464" s="7"/>
    </row>
    <row r="465">
      <c r="C465" s="7"/>
    </row>
    <row r="466">
      <c r="C466" s="7"/>
    </row>
    <row r="467">
      <c r="C467" s="7"/>
    </row>
    <row r="468">
      <c r="C468" s="7"/>
    </row>
    <row r="469">
      <c r="C469" s="7"/>
    </row>
    <row r="470">
      <c r="C470" s="7"/>
    </row>
    <row r="471">
      <c r="C471" s="7"/>
    </row>
    <row r="472">
      <c r="C472" s="7"/>
    </row>
    <row r="473">
      <c r="C473" s="7"/>
    </row>
    <row r="474">
      <c r="C474" s="7"/>
    </row>
    <row r="475">
      <c r="C475" s="7"/>
    </row>
    <row r="476">
      <c r="C476" s="7"/>
    </row>
    <row r="477">
      <c r="C477" s="7"/>
    </row>
    <row r="478">
      <c r="C478" s="7"/>
    </row>
    <row r="479">
      <c r="C479" s="7"/>
    </row>
    <row r="480">
      <c r="C480" s="7"/>
    </row>
    <row r="481">
      <c r="C481" s="7"/>
    </row>
    <row r="482">
      <c r="C482" s="7"/>
    </row>
    <row r="483">
      <c r="C483" s="7"/>
    </row>
    <row r="484">
      <c r="C484" s="7"/>
    </row>
    <row r="485">
      <c r="C485" s="7"/>
    </row>
    <row r="486">
      <c r="C486" s="7"/>
    </row>
    <row r="487">
      <c r="C487" s="7"/>
    </row>
    <row r="488">
      <c r="C488" s="7"/>
    </row>
    <row r="489">
      <c r="C489" s="7"/>
    </row>
    <row r="490">
      <c r="C490" s="7"/>
    </row>
    <row r="491">
      <c r="C491" s="7"/>
    </row>
    <row r="492">
      <c r="C492" s="7"/>
    </row>
    <row r="493">
      <c r="C493" s="7"/>
    </row>
    <row r="494">
      <c r="C494" s="7"/>
    </row>
    <row r="495">
      <c r="C495" s="7"/>
    </row>
    <row r="496">
      <c r="C496" s="7"/>
    </row>
    <row r="497">
      <c r="C497" s="7"/>
    </row>
    <row r="498">
      <c r="C498" s="7"/>
    </row>
    <row r="499">
      <c r="C499" s="7"/>
    </row>
    <row r="500">
      <c r="C500" s="7"/>
    </row>
    <row r="501">
      <c r="C501" s="7"/>
    </row>
    <row r="502">
      <c r="C502" s="7"/>
    </row>
    <row r="503">
      <c r="C503" s="7"/>
    </row>
    <row r="504">
      <c r="C504" s="7"/>
    </row>
    <row r="505">
      <c r="C505" s="7"/>
    </row>
    <row r="506">
      <c r="C506" s="7"/>
    </row>
    <row r="507">
      <c r="C507" s="7"/>
    </row>
    <row r="508">
      <c r="C508" s="7"/>
    </row>
    <row r="509">
      <c r="C509" s="7"/>
    </row>
    <row r="510">
      <c r="C510" s="7"/>
    </row>
    <row r="511">
      <c r="C511" s="7"/>
    </row>
    <row r="512">
      <c r="C512" s="7"/>
    </row>
    <row r="513">
      <c r="C513" s="7"/>
    </row>
    <row r="514">
      <c r="C514" s="7"/>
    </row>
    <row r="515">
      <c r="C515" s="7"/>
    </row>
    <row r="516">
      <c r="C516" s="7"/>
    </row>
    <row r="517">
      <c r="C517" s="7"/>
    </row>
    <row r="518">
      <c r="C518" s="7"/>
    </row>
    <row r="519">
      <c r="C519" s="7"/>
    </row>
    <row r="520">
      <c r="C520" s="7"/>
    </row>
    <row r="521">
      <c r="C521" s="7"/>
    </row>
    <row r="522">
      <c r="C522" s="7"/>
    </row>
    <row r="523">
      <c r="C523" s="7"/>
    </row>
    <row r="524">
      <c r="C524" s="7"/>
    </row>
    <row r="525">
      <c r="C525" s="7"/>
    </row>
    <row r="526">
      <c r="C526" s="7"/>
    </row>
    <row r="527">
      <c r="C527" s="7"/>
    </row>
    <row r="528">
      <c r="C528" s="7"/>
    </row>
    <row r="529">
      <c r="C529" s="7"/>
    </row>
    <row r="530">
      <c r="C530" s="7"/>
    </row>
    <row r="531">
      <c r="C531" s="7"/>
    </row>
    <row r="532">
      <c r="C532" s="7"/>
    </row>
    <row r="533">
      <c r="C533" s="7"/>
    </row>
    <row r="534">
      <c r="C534" s="7"/>
    </row>
    <row r="535">
      <c r="C535" s="7"/>
    </row>
    <row r="536">
      <c r="C536" s="7"/>
    </row>
    <row r="537">
      <c r="C537" s="7"/>
    </row>
    <row r="538">
      <c r="C538" s="7"/>
    </row>
    <row r="539">
      <c r="C539" s="7"/>
    </row>
    <row r="540">
      <c r="C540" s="7"/>
    </row>
    <row r="541">
      <c r="C541" s="7"/>
    </row>
    <row r="542">
      <c r="C542" s="7"/>
    </row>
    <row r="543">
      <c r="C543" s="7"/>
    </row>
    <row r="544">
      <c r="C544" s="7"/>
    </row>
    <row r="545">
      <c r="C545" s="7"/>
    </row>
    <row r="546">
      <c r="C546" s="7"/>
    </row>
    <row r="547">
      <c r="C547" s="7"/>
    </row>
    <row r="548">
      <c r="C548" s="7"/>
    </row>
    <row r="549">
      <c r="C549" s="7"/>
    </row>
    <row r="550">
      <c r="C550" s="7"/>
    </row>
    <row r="551">
      <c r="C551" s="7"/>
    </row>
    <row r="552">
      <c r="C552" s="7"/>
    </row>
    <row r="553">
      <c r="C553" s="7"/>
    </row>
    <row r="554">
      <c r="C554" s="7"/>
    </row>
    <row r="555">
      <c r="C555" s="7"/>
    </row>
    <row r="556">
      <c r="C556" s="7"/>
    </row>
    <row r="557">
      <c r="C557" s="7"/>
    </row>
    <row r="558">
      <c r="C558" s="7"/>
    </row>
    <row r="559">
      <c r="C559" s="7"/>
    </row>
    <row r="560">
      <c r="C560" s="7"/>
    </row>
    <row r="561">
      <c r="C561" s="7"/>
    </row>
    <row r="562">
      <c r="C562" s="7"/>
    </row>
    <row r="563">
      <c r="C563" s="7"/>
    </row>
    <row r="564">
      <c r="C564" s="7"/>
    </row>
    <row r="565">
      <c r="C565" s="7"/>
    </row>
    <row r="566">
      <c r="C566" s="7"/>
    </row>
    <row r="567">
      <c r="C567" s="7"/>
    </row>
    <row r="568">
      <c r="C568" s="7"/>
    </row>
    <row r="569">
      <c r="C569" s="7"/>
    </row>
    <row r="570">
      <c r="C570" s="7"/>
    </row>
    <row r="571">
      <c r="C571" s="7"/>
    </row>
    <row r="572">
      <c r="C572" s="7"/>
    </row>
    <row r="573">
      <c r="C573" s="7"/>
    </row>
    <row r="574">
      <c r="C574" s="7"/>
    </row>
    <row r="575">
      <c r="C575" s="7"/>
    </row>
    <row r="576">
      <c r="C576" s="7"/>
    </row>
    <row r="577">
      <c r="C577" s="7"/>
    </row>
    <row r="578">
      <c r="C578" s="7"/>
    </row>
    <row r="579">
      <c r="C579" s="7"/>
    </row>
    <row r="580">
      <c r="C580" s="7"/>
    </row>
    <row r="581">
      <c r="C581" s="7"/>
    </row>
    <row r="582">
      <c r="C582" s="7"/>
    </row>
    <row r="583">
      <c r="C583" s="7"/>
    </row>
    <row r="584">
      <c r="C584" s="7"/>
    </row>
    <row r="585">
      <c r="C585" s="7"/>
    </row>
    <row r="586">
      <c r="C586" s="7"/>
    </row>
    <row r="587">
      <c r="C587" s="7"/>
    </row>
    <row r="588">
      <c r="C588" s="7"/>
    </row>
    <row r="589">
      <c r="C589" s="7"/>
    </row>
    <row r="590">
      <c r="C590" s="7"/>
    </row>
    <row r="591">
      <c r="C591" s="7"/>
    </row>
    <row r="592">
      <c r="C592" s="7"/>
    </row>
    <row r="593">
      <c r="C593" s="7"/>
    </row>
    <row r="594">
      <c r="C594" s="7"/>
    </row>
    <row r="595">
      <c r="C595" s="7"/>
    </row>
    <row r="596">
      <c r="C596" s="7"/>
    </row>
    <row r="597">
      <c r="C597" s="7"/>
    </row>
    <row r="598">
      <c r="C598" s="7"/>
    </row>
    <row r="599">
      <c r="C599" s="7"/>
    </row>
    <row r="600">
      <c r="C600" s="7"/>
    </row>
    <row r="601">
      <c r="C601" s="7"/>
    </row>
    <row r="602">
      <c r="C602" s="7"/>
    </row>
    <row r="603">
      <c r="C603" s="7"/>
    </row>
    <row r="604">
      <c r="C604" s="7"/>
    </row>
    <row r="605">
      <c r="C605" s="7"/>
    </row>
    <row r="606">
      <c r="C606" s="7"/>
    </row>
    <row r="607">
      <c r="C607" s="7"/>
    </row>
    <row r="608">
      <c r="C608" s="7"/>
    </row>
    <row r="609">
      <c r="C609" s="7"/>
    </row>
    <row r="610">
      <c r="C610" s="7"/>
    </row>
    <row r="611">
      <c r="C611" s="7"/>
    </row>
    <row r="612">
      <c r="C612" s="7"/>
    </row>
    <row r="613">
      <c r="C613" s="7"/>
    </row>
    <row r="614">
      <c r="C614" s="7"/>
    </row>
    <row r="615">
      <c r="C615" s="7"/>
    </row>
    <row r="616">
      <c r="C616" s="7"/>
    </row>
    <row r="617">
      <c r="C617" s="7"/>
    </row>
    <row r="618">
      <c r="C618" s="7"/>
    </row>
    <row r="619">
      <c r="C619" s="7"/>
    </row>
    <row r="620">
      <c r="C620" s="7"/>
    </row>
    <row r="621">
      <c r="C621" s="7"/>
    </row>
    <row r="622">
      <c r="C622" s="7"/>
    </row>
    <row r="623">
      <c r="C623" s="7"/>
    </row>
    <row r="624">
      <c r="C624" s="7"/>
    </row>
    <row r="625">
      <c r="C625" s="7"/>
    </row>
    <row r="626">
      <c r="C626" s="7"/>
    </row>
    <row r="627">
      <c r="C627" s="7"/>
    </row>
    <row r="628">
      <c r="C628" s="7"/>
    </row>
    <row r="629">
      <c r="C629" s="7"/>
    </row>
    <row r="630">
      <c r="C630" s="7"/>
    </row>
    <row r="631">
      <c r="C631" s="7"/>
    </row>
    <row r="632">
      <c r="C632" s="7"/>
    </row>
    <row r="633">
      <c r="C633" s="7"/>
    </row>
    <row r="634">
      <c r="C634" s="7"/>
    </row>
    <row r="635">
      <c r="C635" s="7"/>
    </row>
    <row r="636">
      <c r="C636" s="7"/>
    </row>
    <row r="637">
      <c r="C637" s="7"/>
    </row>
    <row r="638">
      <c r="C638" s="7"/>
    </row>
    <row r="639">
      <c r="C639" s="7"/>
    </row>
    <row r="640">
      <c r="C640" s="7"/>
    </row>
    <row r="641">
      <c r="C641" s="7"/>
    </row>
    <row r="642">
      <c r="C642" s="7"/>
    </row>
    <row r="643">
      <c r="C643" s="7"/>
    </row>
    <row r="644">
      <c r="C644" s="7"/>
    </row>
    <row r="645">
      <c r="C645" s="7"/>
    </row>
    <row r="646">
      <c r="C646" s="7"/>
    </row>
    <row r="647">
      <c r="C647" s="7"/>
    </row>
    <row r="648">
      <c r="C648" s="7"/>
    </row>
    <row r="649">
      <c r="C649" s="7"/>
    </row>
    <row r="650">
      <c r="C650" s="7"/>
    </row>
    <row r="651">
      <c r="C651" s="7"/>
    </row>
    <row r="652">
      <c r="C652" s="7"/>
    </row>
    <row r="653">
      <c r="C653" s="7"/>
    </row>
    <row r="654">
      <c r="C654" s="7"/>
    </row>
    <row r="655">
      <c r="C655" s="7"/>
    </row>
    <row r="656">
      <c r="C656" s="7"/>
    </row>
    <row r="657">
      <c r="C657" s="7"/>
    </row>
    <row r="658">
      <c r="C658" s="7"/>
    </row>
    <row r="659">
      <c r="C659" s="7"/>
    </row>
    <row r="660">
      <c r="C660" s="7"/>
    </row>
    <row r="661">
      <c r="C661" s="7"/>
    </row>
    <row r="662">
      <c r="C662" s="7"/>
    </row>
    <row r="663">
      <c r="C663" s="7"/>
    </row>
    <row r="664">
      <c r="C664" s="7"/>
    </row>
    <row r="665">
      <c r="C665" s="7"/>
    </row>
    <row r="666">
      <c r="C666" s="7"/>
    </row>
    <row r="667">
      <c r="C667" s="7"/>
    </row>
    <row r="668">
      <c r="C668" s="7"/>
    </row>
    <row r="669">
      <c r="C669" s="7"/>
    </row>
    <row r="670">
      <c r="C670" s="7"/>
    </row>
    <row r="671">
      <c r="C671" s="7"/>
    </row>
    <row r="672">
      <c r="C672" s="7"/>
    </row>
    <row r="673">
      <c r="C673" s="7"/>
    </row>
    <row r="674">
      <c r="C674" s="7"/>
    </row>
    <row r="675">
      <c r="C675" s="7"/>
    </row>
    <row r="676">
      <c r="C676" s="7"/>
    </row>
    <row r="677">
      <c r="C677" s="7"/>
    </row>
    <row r="678">
      <c r="C678" s="7"/>
    </row>
    <row r="679">
      <c r="C679" s="7"/>
    </row>
    <row r="680">
      <c r="C680" s="7"/>
    </row>
    <row r="681">
      <c r="C681" s="7"/>
    </row>
    <row r="682">
      <c r="C682" s="7"/>
    </row>
    <row r="683">
      <c r="C683" s="7"/>
    </row>
    <row r="684">
      <c r="C684" s="7"/>
    </row>
    <row r="685">
      <c r="C685" s="7"/>
    </row>
    <row r="686">
      <c r="C686" s="7"/>
    </row>
    <row r="687">
      <c r="C687" s="7"/>
    </row>
    <row r="688">
      <c r="C688" s="7"/>
    </row>
    <row r="689">
      <c r="C689" s="7"/>
    </row>
    <row r="690">
      <c r="C690" s="7"/>
    </row>
    <row r="691">
      <c r="C691" s="7"/>
    </row>
    <row r="692">
      <c r="C692" s="7"/>
    </row>
    <row r="693">
      <c r="C693" s="7"/>
    </row>
    <row r="694">
      <c r="C694" s="7"/>
    </row>
    <row r="695">
      <c r="C695" s="7"/>
    </row>
    <row r="696">
      <c r="C696" s="7"/>
    </row>
    <row r="697">
      <c r="C697" s="7"/>
    </row>
    <row r="698">
      <c r="C698" s="7"/>
    </row>
    <row r="699">
      <c r="C699" s="7"/>
    </row>
    <row r="700">
      <c r="C700" s="7"/>
    </row>
    <row r="701">
      <c r="C701" s="7"/>
    </row>
    <row r="702">
      <c r="C702" s="7"/>
    </row>
    <row r="703">
      <c r="C703" s="7"/>
    </row>
    <row r="704">
      <c r="C704" s="7"/>
    </row>
    <row r="705">
      <c r="C705" s="7"/>
    </row>
    <row r="706">
      <c r="C706" s="7"/>
    </row>
    <row r="707">
      <c r="C707" s="7"/>
    </row>
    <row r="708">
      <c r="C708" s="7"/>
    </row>
    <row r="709">
      <c r="C709" s="7"/>
    </row>
    <row r="710">
      <c r="C710" s="7"/>
    </row>
    <row r="711">
      <c r="C711" s="7"/>
    </row>
    <row r="712">
      <c r="C712" s="7"/>
    </row>
    <row r="713">
      <c r="C713" s="7"/>
    </row>
    <row r="714">
      <c r="C714" s="7"/>
    </row>
    <row r="715">
      <c r="C715" s="7"/>
    </row>
    <row r="716">
      <c r="C716" s="7"/>
    </row>
    <row r="717">
      <c r="C717" s="7"/>
    </row>
    <row r="718">
      <c r="C718" s="7"/>
    </row>
    <row r="719">
      <c r="C719" s="7"/>
    </row>
    <row r="720">
      <c r="C720" s="7"/>
    </row>
    <row r="721">
      <c r="C721" s="7"/>
    </row>
    <row r="722">
      <c r="C722" s="7"/>
    </row>
    <row r="723">
      <c r="C723" s="7"/>
    </row>
    <row r="724">
      <c r="C724" s="7"/>
    </row>
    <row r="725">
      <c r="C725" s="7"/>
    </row>
    <row r="726">
      <c r="C726" s="7"/>
    </row>
    <row r="727">
      <c r="C727" s="7"/>
    </row>
    <row r="728">
      <c r="C728" s="7"/>
    </row>
    <row r="729">
      <c r="C729" s="7"/>
    </row>
    <row r="730">
      <c r="C730" s="7"/>
    </row>
    <row r="731">
      <c r="C731" s="7"/>
    </row>
    <row r="732">
      <c r="C732" s="7"/>
    </row>
    <row r="733">
      <c r="C733" s="7"/>
    </row>
    <row r="734">
      <c r="C734" s="7"/>
    </row>
    <row r="735">
      <c r="C735" s="7"/>
    </row>
    <row r="736">
      <c r="C736" s="7"/>
    </row>
    <row r="737">
      <c r="C737" s="7"/>
    </row>
    <row r="738">
      <c r="C738" s="7"/>
    </row>
    <row r="739">
      <c r="C739" s="7"/>
    </row>
    <row r="740">
      <c r="C740" s="7"/>
    </row>
    <row r="741">
      <c r="C741" s="7"/>
    </row>
    <row r="742">
      <c r="C742" s="7"/>
    </row>
    <row r="743">
      <c r="C743" s="7"/>
    </row>
    <row r="744">
      <c r="C744" s="7"/>
    </row>
    <row r="745">
      <c r="C745" s="7"/>
    </row>
    <row r="746">
      <c r="C746" s="7"/>
    </row>
    <row r="747">
      <c r="C747" s="7"/>
    </row>
    <row r="748">
      <c r="C748" s="7"/>
    </row>
    <row r="749">
      <c r="C749" s="7"/>
    </row>
    <row r="750">
      <c r="C750" s="7"/>
    </row>
    <row r="751">
      <c r="C751" s="7"/>
    </row>
    <row r="752">
      <c r="C752" s="7"/>
    </row>
    <row r="753">
      <c r="C753" s="7"/>
    </row>
    <row r="754">
      <c r="C754" s="7"/>
    </row>
    <row r="755">
      <c r="C755" s="7"/>
    </row>
    <row r="756">
      <c r="C756" s="7"/>
    </row>
    <row r="757">
      <c r="C757" s="7"/>
    </row>
    <row r="758">
      <c r="C758" s="7"/>
    </row>
    <row r="759">
      <c r="C759" s="7"/>
    </row>
    <row r="760">
      <c r="C760" s="7"/>
    </row>
    <row r="761">
      <c r="C761" s="7"/>
    </row>
    <row r="762">
      <c r="C762" s="7"/>
    </row>
    <row r="763">
      <c r="C763" s="7"/>
    </row>
    <row r="764">
      <c r="C764" s="7"/>
    </row>
    <row r="765">
      <c r="C765" s="7"/>
    </row>
    <row r="766">
      <c r="C766" s="7"/>
    </row>
    <row r="767">
      <c r="C767" s="7"/>
    </row>
    <row r="768">
      <c r="C768" s="7"/>
    </row>
    <row r="769">
      <c r="C769" s="7"/>
    </row>
    <row r="770">
      <c r="C770" s="7"/>
    </row>
    <row r="771">
      <c r="C771" s="7"/>
    </row>
    <row r="772">
      <c r="C772" s="7"/>
    </row>
    <row r="773">
      <c r="C773" s="7"/>
    </row>
    <row r="774">
      <c r="C774" s="7"/>
    </row>
    <row r="775">
      <c r="C775" s="7"/>
    </row>
    <row r="776">
      <c r="C776" s="7"/>
    </row>
    <row r="777">
      <c r="C777" s="7"/>
    </row>
    <row r="778">
      <c r="C778" s="7"/>
    </row>
    <row r="779">
      <c r="C779" s="7"/>
    </row>
    <row r="780">
      <c r="C780" s="7"/>
    </row>
    <row r="781">
      <c r="C781" s="7"/>
    </row>
    <row r="782">
      <c r="C782" s="7"/>
    </row>
    <row r="783">
      <c r="C783" s="7"/>
    </row>
    <row r="784">
      <c r="C784" s="7"/>
    </row>
    <row r="785">
      <c r="C785" s="7"/>
    </row>
    <row r="786">
      <c r="C786" s="7"/>
    </row>
    <row r="787">
      <c r="C787" s="7"/>
    </row>
    <row r="788">
      <c r="C788" s="7"/>
    </row>
    <row r="789">
      <c r="C789" s="7"/>
    </row>
    <row r="790">
      <c r="C790" s="7"/>
    </row>
    <row r="791">
      <c r="C791" s="7"/>
    </row>
    <row r="792">
      <c r="C792" s="7"/>
    </row>
    <row r="793">
      <c r="C793" s="7"/>
    </row>
    <row r="794">
      <c r="C794" s="7"/>
    </row>
    <row r="795">
      <c r="C795" s="7"/>
    </row>
    <row r="796">
      <c r="C796" s="7"/>
    </row>
    <row r="797">
      <c r="C797" s="7"/>
    </row>
    <row r="798">
      <c r="C798" s="7"/>
    </row>
    <row r="799">
      <c r="C799" s="7"/>
    </row>
    <row r="800">
      <c r="C800" s="7"/>
    </row>
    <row r="801">
      <c r="C801" s="7"/>
    </row>
    <row r="802">
      <c r="C802" s="7"/>
    </row>
    <row r="803">
      <c r="C803" s="7"/>
    </row>
    <row r="804">
      <c r="C804" s="7"/>
    </row>
    <row r="805">
      <c r="C805" s="7"/>
    </row>
    <row r="806">
      <c r="C806" s="7"/>
    </row>
    <row r="807">
      <c r="C807" s="7"/>
    </row>
    <row r="808">
      <c r="C808" s="7"/>
    </row>
    <row r="809">
      <c r="C809" s="7"/>
    </row>
    <row r="810">
      <c r="C810" s="7"/>
    </row>
    <row r="811">
      <c r="C811" s="7"/>
    </row>
    <row r="812">
      <c r="C812" s="7"/>
    </row>
    <row r="813">
      <c r="C813" s="7"/>
    </row>
    <row r="814">
      <c r="C814" s="7"/>
    </row>
    <row r="815">
      <c r="C815" s="7"/>
    </row>
    <row r="816">
      <c r="C816" s="7"/>
    </row>
    <row r="817">
      <c r="C817" s="7"/>
    </row>
    <row r="818">
      <c r="C818" s="7"/>
    </row>
    <row r="819">
      <c r="C819" s="7"/>
    </row>
    <row r="820">
      <c r="C820" s="7"/>
    </row>
    <row r="821">
      <c r="C821" s="7"/>
    </row>
    <row r="822">
      <c r="C822" s="7"/>
    </row>
    <row r="823">
      <c r="C823" s="7"/>
    </row>
    <row r="824">
      <c r="C824" s="7"/>
    </row>
    <row r="825">
      <c r="C825" s="7"/>
    </row>
    <row r="826">
      <c r="C826" s="7"/>
    </row>
    <row r="827">
      <c r="C827" s="7"/>
    </row>
    <row r="828">
      <c r="C828" s="7"/>
    </row>
    <row r="829">
      <c r="C829" s="7"/>
    </row>
    <row r="830">
      <c r="C830" s="7"/>
    </row>
    <row r="831">
      <c r="C831" s="7"/>
    </row>
    <row r="832">
      <c r="C832" s="7"/>
    </row>
    <row r="833">
      <c r="C833" s="7"/>
    </row>
    <row r="834">
      <c r="C834" s="7"/>
    </row>
    <row r="835">
      <c r="C835" s="7"/>
    </row>
    <row r="836">
      <c r="C836" s="7"/>
    </row>
    <row r="837">
      <c r="C837" s="7"/>
    </row>
    <row r="838">
      <c r="C838" s="7"/>
    </row>
    <row r="839">
      <c r="C839" s="7"/>
    </row>
    <row r="840">
      <c r="C840" s="7"/>
    </row>
    <row r="841">
      <c r="C841" s="7"/>
    </row>
    <row r="842">
      <c r="C842" s="7"/>
    </row>
    <row r="843">
      <c r="C843" s="7"/>
    </row>
    <row r="844">
      <c r="C844" s="7"/>
    </row>
    <row r="845">
      <c r="C845" s="7"/>
    </row>
    <row r="846">
      <c r="C846" s="7"/>
    </row>
    <row r="847">
      <c r="C847" s="7"/>
    </row>
    <row r="848">
      <c r="C848" s="7"/>
    </row>
    <row r="849">
      <c r="C849" s="7"/>
    </row>
    <row r="850">
      <c r="C850" s="7"/>
    </row>
    <row r="851">
      <c r="C851" s="7"/>
    </row>
    <row r="852">
      <c r="C852" s="7"/>
    </row>
    <row r="853">
      <c r="C853" s="7"/>
    </row>
    <row r="854">
      <c r="C854" s="7"/>
    </row>
    <row r="855">
      <c r="C855" s="7"/>
    </row>
    <row r="856">
      <c r="C856" s="7"/>
    </row>
    <row r="857">
      <c r="C857" s="7"/>
    </row>
    <row r="858">
      <c r="C858" s="7"/>
    </row>
    <row r="859">
      <c r="C859" s="7"/>
    </row>
    <row r="860">
      <c r="C860" s="7"/>
    </row>
    <row r="861">
      <c r="C861" s="7"/>
    </row>
    <row r="862">
      <c r="C862" s="7"/>
    </row>
    <row r="863">
      <c r="C863" s="7"/>
    </row>
    <row r="864">
      <c r="C864" s="7"/>
    </row>
    <row r="865">
      <c r="C865" s="7"/>
    </row>
    <row r="866">
      <c r="C866" s="7"/>
    </row>
    <row r="867">
      <c r="C867" s="7"/>
    </row>
    <row r="868">
      <c r="C868" s="7"/>
    </row>
    <row r="869">
      <c r="C869" s="7"/>
    </row>
    <row r="870">
      <c r="C870" s="7"/>
    </row>
    <row r="871">
      <c r="C871" s="7"/>
    </row>
    <row r="872">
      <c r="C872" s="7"/>
    </row>
    <row r="873">
      <c r="C873" s="7"/>
    </row>
    <row r="874">
      <c r="C874" s="7"/>
    </row>
    <row r="875">
      <c r="C875" s="7"/>
    </row>
    <row r="876">
      <c r="C876" s="7"/>
    </row>
    <row r="877">
      <c r="C877" s="7"/>
    </row>
    <row r="878">
      <c r="C878" s="7"/>
    </row>
    <row r="879">
      <c r="C879" s="7"/>
    </row>
    <row r="880">
      <c r="C880" s="7"/>
    </row>
    <row r="881">
      <c r="C881" s="7"/>
    </row>
    <row r="882">
      <c r="C882" s="7"/>
    </row>
    <row r="883">
      <c r="C883" s="7"/>
    </row>
    <row r="884">
      <c r="C884" s="7"/>
    </row>
    <row r="885">
      <c r="C885" s="7"/>
    </row>
    <row r="886">
      <c r="C886" s="7"/>
    </row>
    <row r="887">
      <c r="C887" s="7"/>
    </row>
    <row r="888">
      <c r="C888" s="7"/>
    </row>
    <row r="889">
      <c r="C889" s="7"/>
    </row>
    <row r="890">
      <c r="C890" s="7"/>
    </row>
    <row r="891">
      <c r="C891" s="7"/>
    </row>
    <row r="892">
      <c r="C892" s="7"/>
    </row>
    <row r="893">
      <c r="C893" s="7"/>
    </row>
    <row r="894">
      <c r="C894" s="7"/>
    </row>
    <row r="895">
      <c r="C895" s="7"/>
    </row>
    <row r="896">
      <c r="C896" s="7"/>
    </row>
    <row r="897">
      <c r="C897" s="7"/>
    </row>
    <row r="898">
      <c r="C898" s="7"/>
    </row>
    <row r="899">
      <c r="C899" s="7"/>
    </row>
    <row r="900">
      <c r="C900" s="7"/>
    </row>
    <row r="901">
      <c r="C901" s="7"/>
    </row>
    <row r="902">
      <c r="C902" s="7"/>
    </row>
    <row r="903">
      <c r="C903" s="7"/>
    </row>
    <row r="904">
      <c r="C904" s="7"/>
    </row>
    <row r="905">
      <c r="C905" s="7"/>
    </row>
    <row r="906">
      <c r="C906" s="7"/>
    </row>
    <row r="907">
      <c r="C907" s="7"/>
    </row>
    <row r="908">
      <c r="C908" s="7"/>
    </row>
    <row r="909">
      <c r="C909" s="7"/>
    </row>
    <row r="910">
      <c r="C910" s="7"/>
    </row>
    <row r="911">
      <c r="C911" s="7"/>
    </row>
    <row r="912">
      <c r="C912" s="7"/>
    </row>
    <row r="913">
      <c r="C913" s="7"/>
    </row>
    <row r="914">
      <c r="C914" s="7"/>
    </row>
    <row r="915">
      <c r="C915" s="7"/>
    </row>
    <row r="916">
      <c r="C916" s="7"/>
    </row>
    <row r="917">
      <c r="C917" s="7"/>
    </row>
    <row r="918">
      <c r="C918" s="7"/>
    </row>
    <row r="919">
      <c r="C919" s="7"/>
    </row>
    <row r="920">
      <c r="C920" s="7"/>
    </row>
    <row r="921">
      <c r="C921" s="7"/>
    </row>
    <row r="922">
      <c r="C922" s="7"/>
    </row>
    <row r="923">
      <c r="C923" s="7"/>
    </row>
    <row r="924">
      <c r="C924" s="7"/>
    </row>
    <row r="925">
      <c r="C925" s="7"/>
    </row>
    <row r="926">
      <c r="C926" s="7"/>
    </row>
    <row r="927">
      <c r="C927" s="7"/>
    </row>
    <row r="928">
      <c r="C928" s="7"/>
    </row>
    <row r="929">
      <c r="C929" s="7"/>
    </row>
    <row r="930">
      <c r="C930" s="7"/>
    </row>
    <row r="931">
      <c r="C931" s="7"/>
    </row>
    <row r="932">
      <c r="C932" s="7"/>
    </row>
    <row r="933">
      <c r="C933" s="7"/>
    </row>
    <row r="934">
      <c r="C934" s="7"/>
    </row>
    <row r="935">
      <c r="C935" s="7"/>
    </row>
    <row r="936">
      <c r="C936" s="7"/>
    </row>
    <row r="937">
      <c r="C937" s="7"/>
    </row>
    <row r="938">
      <c r="C938" s="7"/>
    </row>
    <row r="939">
      <c r="C939" s="7"/>
    </row>
    <row r="940">
      <c r="C940" s="7"/>
    </row>
    <row r="941">
      <c r="C941" s="7"/>
    </row>
    <row r="942">
      <c r="C942" s="7"/>
    </row>
    <row r="943">
      <c r="C943" s="7"/>
    </row>
    <row r="944">
      <c r="C944" s="7"/>
    </row>
    <row r="945">
      <c r="C945" s="7"/>
    </row>
    <row r="946">
      <c r="C946" s="7"/>
    </row>
    <row r="947">
      <c r="C947" s="7"/>
    </row>
    <row r="948">
      <c r="C948" s="7"/>
    </row>
    <row r="949">
      <c r="C949" s="7"/>
    </row>
    <row r="950">
      <c r="C950" s="7"/>
    </row>
    <row r="951">
      <c r="C951" s="7"/>
    </row>
    <row r="952">
      <c r="C952" s="7"/>
    </row>
    <row r="953">
      <c r="C953" s="7"/>
    </row>
    <row r="954">
      <c r="C954" s="7"/>
    </row>
    <row r="955">
      <c r="C955" s="7"/>
    </row>
    <row r="956">
      <c r="C956" s="7"/>
    </row>
    <row r="957">
      <c r="C957" s="7"/>
    </row>
    <row r="958">
      <c r="C958" s="7"/>
    </row>
    <row r="959">
      <c r="C959" s="7"/>
    </row>
    <row r="960">
      <c r="C960" s="7"/>
    </row>
    <row r="961">
      <c r="C961" s="7"/>
    </row>
    <row r="962">
      <c r="C962" s="7"/>
    </row>
    <row r="963">
      <c r="C963" s="7"/>
    </row>
    <row r="964">
      <c r="C964" s="7"/>
    </row>
    <row r="965">
      <c r="C965" s="7"/>
    </row>
    <row r="966">
      <c r="C966" s="7"/>
    </row>
    <row r="967">
      <c r="C967" s="7"/>
    </row>
    <row r="968">
      <c r="C968" s="7"/>
    </row>
    <row r="969">
      <c r="C969" s="7"/>
    </row>
    <row r="970">
      <c r="C970" s="7"/>
    </row>
    <row r="971">
      <c r="C971" s="7"/>
    </row>
    <row r="972">
      <c r="C972" s="7"/>
    </row>
    <row r="973">
      <c r="C973" s="7"/>
    </row>
    <row r="974">
      <c r="C974" s="7"/>
    </row>
    <row r="975">
      <c r="C975" s="7"/>
    </row>
    <row r="976">
      <c r="C976" s="7"/>
    </row>
    <row r="977">
      <c r="C977" s="7"/>
    </row>
    <row r="978">
      <c r="C978" s="7"/>
    </row>
    <row r="979">
      <c r="C979" s="7"/>
    </row>
    <row r="980">
      <c r="C980" s="7"/>
    </row>
    <row r="981">
      <c r="C981" s="7"/>
    </row>
    <row r="982">
      <c r="C982" s="7"/>
    </row>
    <row r="983">
      <c r="C983" s="7"/>
    </row>
    <row r="984">
      <c r="C984" s="7"/>
    </row>
    <row r="985">
      <c r="C985" s="7"/>
    </row>
    <row r="986">
      <c r="C986" s="7"/>
    </row>
    <row r="987">
      <c r="C987" s="7"/>
    </row>
    <row r="988">
      <c r="C988" s="7"/>
    </row>
    <row r="989">
      <c r="C989" s="7"/>
    </row>
    <row r="990">
      <c r="C990" s="7"/>
    </row>
    <row r="991">
      <c r="C991" s="7"/>
    </row>
    <row r="992">
      <c r="C992" s="7"/>
    </row>
    <row r="993">
      <c r="C993" s="7"/>
    </row>
    <row r="994">
      <c r="C994" s="7"/>
    </row>
    <row r="995">
      <c r="C995" s="7"/>
    </row>
    <row r="996">
      <c r="C996" s="7"/>
    </row>
    <row r="997">
      <c r="C997" s="7"/>
    </row>
    <row r="998">
      <c r="C998" s="7"/>
    </row>
    <row r="999">
      <c r="C999" s="7"/>
    </row>
    <row r="1000">
      <c r="C1000" s="7"/>
    </row>
    <row r="1001">
      <c r="C1001" s="7"/>
    </row>
    <row r="1002">
      <c r="C1002" s="7"/>
    </row>
    <row r="1003">
      <c r="C1003" s="7"/>
    </row>
    <row r="1004">
      <c r="C1004" s="7"/>
    </row>
    <row r="1005">
      <c r="C1005" s="7"/>
    </row>
    <row r="1006">
      <c r="C1006" s="7"/>
    </row>
    <row r="1007">
      <c r="C1007" s="7"/>
    </row>
    <row r="1008">
      <c r="C1008" s="7"/>
    </row>
    <row r="1009">
      <c r="C1009" s="7"/>
    </row>
    <row r="1010">
      <c r="C1010" s="7"/>
    </row>
    <row r="1011">
      <c r="C1011" s="7"/>
    </row>
    <row r="1012">
      <c r="C1012" s="7"/>
    </row>
    <row r="1013">
      <c r="C1013" s="7"/>
    </row>
    <row r="1014">
      <c r="C1014" s="7"/>
    </row>
    <row r="1015">
      <c r="C1015" s="7"/>
    </row>
    <row r="1016">
      <c r="C1016" s="7"/>
    </row>
    <row r="1017">
      <c r="C1017" s="7"/>
    </row>
    <row r="1018">
      <c r="C1018" s="7"/>
    </row>
    <row r="1019">
      <c r="C1019" s="7"/>
    </row>
    <row r="1020">
      <c r="C1020" s="7"/>
    </row>
  </sheetData>
  <mergeCells count="1">
    <mergeCell ref="B1:C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2.63" defaultRowHeight="15.0"/>
  <cols>
    <col customWidth="1" min="1" max="1" width="5.13"/>
    <col customWidth="1" min="2" max="2" width="6.25"/>
    <col customWidth="1" min="3" max="3" width="5.5"/>
    <col customWidth="1" min="4" max="4" width="13.75"/>
    <col customWidth="1" min="5" max="5" width="3.13"/>
    <col customWidth="1" min="6" max="6" width="24.5"/>
    <col customWidth="1" min="7" max="7" width="24.88"/>
    <col customWidth="1" min="8" max="8" width="12.5"/>
    <col customWidth="1" min="9" max="10" width="7.38"/>
    <col customWidth="1" min="11" max="11" width="6.5"/>
    <col customWidth="1" min="12" max="12" width="8.5"/>
    <col customWidth="1" min="13" max="14" width="6.5"/>
    <col customWidth="1" min="15" max="16" width="7.38"/>
    <col customWidth="1" min="17" max="17" width="18.25"/>
    <col customWidth="1" min="18" max="18" width="5.75"/>
    <col customWidth="1" min="19" max="19" width="5.63"/>
    <col customWidth="1" min="20" max="20" width="6.63"/>
    <col customWidth="1" min="21" max="21" width="6.88"/>
    <col customWidth="1" min="22" max="22" width="7.75"/>
    <col customWidth="1" min="23" max="23" width="6.63"/>
    <col customWidth="1" min="24" max="24" width="7.63"/>
    <col customWidth="1" min="25" max="26" width="42.88"/>
    <col customWidth="1" min="27" max="33" width="11.0"/>
  </cols>
  <sheetData>
    <row r="1" ht="45.0" customHeight="1">
      <c r="A1" s="169" t="s">
        <v>0</v>
      </c>
      <c r="B1" s="170" t="str">
        <f>HYPERLINK("#rangeid=2086300674","Content Owner")</f>
        <v>Content Owner</v>
      </c>
      <c r="C1" s="171" t="str">
        <f>HYPERLINK("#rangeid=632369931","Video Owner")</f>
        <v>Video Owner</v>
      </c>
      <c r="D1" s="172" t="s">
        <v>4</v>
      </c>
      <c r="E1" s="173" t="s">
        <v>5</v>
      </c>
      <c r="F1" s="174" t="s">
        <v>6</v>
      </c>
      <c r="G1" s="169" t="s">
        <v>7</v>
      </c>
      <c r="H1" s="175" t="str">
        <f>HYPERLINK("#rangeid=906849400","Description")</f>
        <v>Description</v>
      </c>
      <c r="I1" s="176" t="s">
        <v>11</v>
      </c>
      <c r="J1" s="169" t="s">
        <v>15</v>
      </c>
      <c r="K1" s="177" t="s">
        <v>16</v>
      </c>
      <c r="L1" s="169" t="s">
        <v>22</v>
      </c>
      <c r="M1" s="169" t="s">
        <v>23</v>
      </c>
      <c r="N1" s="169" t="s">
        <v>25</v>
      </c>
      <c r="O1" s="169" t="s">
        <v>26</v>
      </c>
      <c r="P1" s="169" t="s">
        <v>27</v>
      </c>
      <c r="Q1" s="169" t="s">
        <v>28</v>
      </c>
      <c r="R1" s="178" t="s">
        <v>29</v>
      </c>
      <c r="S1" s="178" t="s">
        <v>31</v>
      </c>
      <c r="T1" s="178" t="s">
        <v>32</v>
      </c>
      <c r="U1" s="178" t="s">
        <v>33</v>
      </c>
      <c r="V1" s="178" t="s">
        <v>35</v>
      </c>
      <c r="W1" s="179" t="str">
        <f>HYPERLINK("#rangeid=120001109","Replay")</f>
        <v>Replay</v>
      </c>
      <c r="X1" s="180" t="s">
        <v>38</v>
      </c>
      <c r="Y1" s="181" t="s">
        <v>39</v>
      </c>
      <c r="Z1" s="180" t="s">
        <v>40</v>
      </c>
      <c r="AA1" s="176"/>
      <c r="AB1" s="176"/>
      <c r="AC1" s="182"/>
      <c r="AD1" s="183"/>
      <c r="AE1" s="183"/>
      <c r="AF1" s="183"/>
      <c r="AG1" s="183"/>
    </row>
    <row r="2">
      <c r="A2" s="184"/>
      <c r="B2" s="184"/>
      <c r="C2" s="184"/>
      <c r="D2" s="184"/>
      <c r="E2" s="184"/>
      <c r="F2" s="184"/>
      <c r="G2" s="184"/>
      <c r="H2" s="184"/>
      <c r="I2" s="184"/>
      <c r="J2" s="184"/>
      <c r="K2" s="184"/>
      <c r="L2" s="184"/>
      <c r="M2" s="184"/>
      <c r="N2" s="184"/>
      <c r="O2" s="184"/>
      <c r="P2" s="184"/>
      <c r="Q2" s="185"/>
      <c r="R2" s="186"/>
      <c r="S2" s="186"/>
      <c r="T2" s="186"/>
      <c r="U2" s="187"/>
      <c r="V2" s="188"/>
      <c r="W2" s="189"/>
      <c r="X2" s="190"/>
      <c r="Y2" s="184"/>
      <c r="Z2" s="184"/>
      <c r="AA2" s="191"/>
      <c r="AB2" s="191"/>
      <c r="AC2" s="191"/>
      <c r="AD2" s="191"/>
      <c r="AE2" s="191"/>
      <c r="AF2" s="191"/>
      <c r="AG2" s="191"/>
    </row>
    <row r="3">
      <c r="A3" s="184">
        <v>589.0</v>
      </c>
      <c r="B3" s="192" t="s">
        <v>516</v>
      </c>
      <c r="C3" s="192"/>
      <c r="D3" s="192" t="s">
        <v>145</v>
      </c>
      <c r="E3" s="184" t="s">
        <v>1521</v>
      </c>
      <c r="F3" s="193" t="s">
        <v>1522</v>
      </c>
      <c r="G3" s="194"/>
      <c r="H3" s="194"/>
      <c r="I3" s="194"/>
      <c r="J3" s="194"/>
      <c r="K3" s="194"/>
      <c r="L3" s="194"/>
      <c r="M3" s="194"/>
      <c r="N3" s="194"/>
      <c r="O3" s="194"/>
      <c r="P3" s="194"/>
      <c r="Q3" s="194"/>
      <c r="R3" s="194"/>
      <c r="S3" s="194"/>
      <c r="T3" s="194"/>
      <c r="U3" s="194"/>
      <c r="V3" s="194"/>
      <c r="W3" s="194"/>
      <c r="X3" s="194"/>
      <c r="Y3" s="194"/>
      <c r="Z3" s="194"/>
      <c r="AA3" s="194"/>
      <c r="AB3" s="194"/>
      <c r="AC3" s="194"/>
      <c r="AD3" s="191"/>
      <c r="AE3" s="191"/>
      <c r="AF3" s="191"/>
      <c r="AG3" s="191"/>
    </row>
    <row r="4">
      <c r="A4" s="192">
        <v>589.1</v>
      </c>
      <c r="B4" s="184"/>
      <c r="C4" s="184"/>
      <c r="D4" s="184"/>
      <c r="E4" s="184"/>
      <c r="F4" s="184"/>
      <c r="G4" s="195" t="s">
        <v>1523</v>
      </c>
      <c r="H4" s="196"/>
      <c r="I4" s="184"/>
      <c r="J4" s="184">
        <f>25*1000</f>
        <v>25000</v>
      </c>
      <c r="K4" s="197">
        <v>0.06903935185185185</v>
      </c>
      <c r="L4" s="198" t="s">
        <v>1528</v>
      </c>
      <c r="M4" s="199">
        <v>0.20277777777777778</v>
      </c>
      <c r="N4" s="199">
        <v>0.2798611111111111</v>
      </c>
      <c r="O4" s="184"/>
      <c r="P4" s="192" t="s">
        <v>1529</v>
      </c>
      <c r="Q4" s="185" t="str">
        <f>HYPERLINK(IF(INT(A3)-A3=0,"",REPLACE(INDIRECT("MasterList!e"&amp;INT(A3)+1),25,8,"embed/")&amp;"?start="&amp;HOUR(M4)*3600+MINUTE(M4)*60+SECOND(M4)&amp;"&amp;end="&amp;HOUR(N4)*3600+MINUTE(N4)*60+SECOND(N4)&amp;"&amp;autoplay=1"))</f>
        <v/>
      </c>
      <c r="R4" s="200"/>
      <c r="S4" s="200"/>
      <c r="T4" s="200"/>
      <c r="U4" s="201"/>
      <c r="V4" s="202"/>
      <c r="W4" s="203"/>
      <c r="X4" s="190"/>
      <c r="Y4" s="184"/>
      <c r="Z4" s="184"/>
      <c r="AA4" s="192"/>
      <c r="AB4" s="192"/>
      <c r="AC4" s="191"/>
      <c r="AD4" s="191"/>
      <c r="AE4" s="191"/>
      <c r="AF4" s="191"/>
      <c r="AG4" s="191"/>
    </row>
    <row r="5">
      <c r="A5" s="192">
        <v>589.2</v>
      </c>
      <c r="B5" s="184"/>
      <c r="C5" s="184"/>
      <c r="D5" s="184"/>
      <c r="E5" s="184"/>
      <c r="F5" s="184"/>
      <c r="G5" s="192" t="s">
        <v>1536</v>
      </c>
      <c r="H5" s="184"/>
      <c r="I5" s="184"/>
      <c r="J5" s="184"/>
      <c r="K5" s="184"/>
      <c r="L5" s="184"/>
      <c r="M5" s="199">
        <v>0.31527777777777777</v>
      </c>
      <c r="N5" s="199">
        <v>0.40694444444444444</v>
      </c>
      <c r="O5" s="184"/>
      <c r="P5" s="192" t="s">
        <v>1529</v>
      </c>
      <c r="Q5" s="184"/>
      <c r="R5" s="184"/>
      <c r="S5" s="184"/>
      <c r="T5" s="184"/>
      <c r="U5" s="184"/>
      <c r="V5" s="184"/>
      <c r="W5" s="184"/>
      <c r="X5" s="184"/>
      <c r="Y5" s="184"/>
      <c r="Z5" s="184"/>
      <c r="AA5" s="184"/>
      <c r="AB5" s="184"/>
      <c r="AC5" s="184"/>
      <c r="AD5" s="184"/>
      <c r="AE5" s="184"/>
      <c r="AF5" s="184"/>
      <c r="AG5" s="184"/>
    </row>
    <row r="6">
      <c r="A6" s="192">
        <v>589.3</v>
      </c>
      <c r="B6" s="184"/>
      <c r="C6" s="184"/>
      <c r="D6" s="194"/>
      <c r="E6" s="184"/>
      <c r="F6" s="184"/>
      <c r="G6" s="192" t="s">
        <v>1537</v>
      </c>
      <c r="H6" s="184"/>
      <c r="I6" s="184"/>
      <c r="J6" s="184"/>
      <c r="K6" s="184"/>
      <c r="L6" s="184"/>
      <c r="M6" s="199">
        <v>0.4083333333333333</v>
      </c>
      <c r="N6" s="199">
        <v>0.4597222222222222</v>
      </c>
      <c r="O6" s="184"/>
      <c r="P6" s="192" t="s">
        <v>1529</v>
      </c>
      <c r="Q6" s="184"/>
      <c r="R6" s="184"/>
      <c r="S6" s="184"/>
      <c r="T6" s="184"/>
      <c r="U6" s="184"/>
      <c r="V6" s="184"/>
      <c r="W6" s="184"/>
      <c r="X6" s="184"/>
      <c r="Y6" s="184"/>
      <c r="Z6" s="184"/>
      <c r="AA6" s="184"/>
      <c r="AB6" s="184"/>
      <c r="AC6" s="184"/>
      <c r="AD6" s="184"/>
      <c r="AE6" s="184"/>
      <c r="AF6" s="184"/>
      <c r="AG6" s="184"/>
    </row>
    <row r="7">
      <c r="A7" s="192">
        <v>589.4</v>
      </c>
      <c r="B7" s="184"/>
      <c r="C7" s="184"/>
      <c r="D7" s="184"/>
      <c r="E7" s="184"/>
      <c r="F7" s="184"/>
      <c r="G7" s="192" t="s">
        <v>1538</v>
      </c>
      <c r="H7" s="184"/>
      <c r="I7" s="184"/>
      <c r="J7" s="184"/>
      <c r="K7" s="184"/>
      <c r="L7" s="184"/>
      <c r="M7" s="199">
        <v>0.4847222222222222</v>
      </c>
      <c r="N7" s="199">
        <v>0.5722222222222222</v>
      </c>
      <c r="O7" s="184"/>
      <c r="P7" s="192" t="s">
        <v>1529</v>
      </c>
      <c r="Q7" s="184"/>
      <c r="R7" s="184"/>
      <c r="S7" s="184"/>
      <c r="T7" s="184"/>
      <c r="U7" s="184"/>
      <c r="V7" s="184"/>
      <c r="W7" s="184"/>
      <c r="X7" s="184"/>
      <c r="Y7" s="184"/>
      <c r="Z7" s="184"/>
      <c r="AA7" s="184"/>
      <c r="AB7" s="184"/>
      <c r="AC7" s="184"/>
      <c r="AD7" s="184"/>
      <c r="AE7" s="184"/>
      <c r="AF7" s="184"/>
      <c r="AG7" s="184"/>
    </row>
    <row r="8">
      <c r="A8" s="192">
        <v>589.5</v>
      </c>
      <c r="B8" s="184"/>
      <c r="C8" s="184"/>
      <c r="D8" s="184"/>
      <c r="E8" s="184"/>
      <c r="F8" s="184"/>
      <c r="G8" s="192" t="s">
        <v>1541</v>
      </c>
      <c r="H8" s="184"/>
      <c r="I8" s="184"/>
      <c r="J8" s="184"/>
      <c r="K8" s="184"/>
      <c r="L8" s="184"/>
      <c r="M8" s="199">
        <v>0.5729166666666666</v>
      </c>
      <c r="N8" s="199">
        <v>0.7326388888888888</v>
      </c>
      <c r="O8" s="184"/>
      <c r="P8" s="192" t="s">
        <v>1529</v>
      </c>
      <c r="Q8" s="184"/>
      <c r="R8" s="184"/>
      <c r="S8" s="184"/>
      <c r="T8" s="184"/>
      <c r="U8" s="184"/>
      <c r="V8" s="184"/>
      <c r="W8" s="184"/>
      <c r="X8" s="184"/>
      <c r="Y8" s="184"/>
      <c r="Z8" s="184"/>
      <c r="AA8" s="184"/>
      <c r="AB8" s="184"/>
      <c r="AC8" s="184"/>
      <c r="AD8" s="184"/>
      <c r="AE8" s="184"/>
      <c r="AF8" s="184"/>
      <c r="AG8" s="184"/>
    </row>
    <row r="9">
      <c r="A9" s="192">
        <v>589.6</v>
      </c>
      <c r="B9" s="184"/>
      <c r="C9" s="184"/>
      <c r="D9" s="184"/>
      <c r="E9" s="184"/>
      <c r="F9" s="184"/>
      <c r="G9" s="192" t="s">
        <v>1542</v>
      </c>
      <c r="H9" s="184"/>
      <c r="I9" s="184"/>
      <c r="J9" s="184"/>
      <c r="K9" s="184"/>
      <c r="L9" s="184"/>
      <c r="M9" s="204">
        <v>1.1875</v>
      </c>
      <c r="N9" s="204">
        <v>1.2652777777777777</v>
      </c>
      <c r="O9" s="184"/>
      <c r="P9" s="192" t="s">
        <v>1543</v>
      </c>
      <c r="Q9" s="184"/>
      <c r="R9" s="184"/>
      <c r="S9" s="184"/>
      <c r="T9" s="184"/>
      <c r="U9" s="184"/>
      <c r="V9" s="184"/>
      <c r="W9" s="184"/>
      <c r="X9" s="184"/>
      <c r="Y9" s="184"/>
      <c r="Z9" s="184"/>
      <c r="AA9" s="184"/>
      <c r="AB9" s="184"/>
      <c r="AC9" s="184"/>
      <c r="AD9" s="184"/>
      <c r="AE9" s="184"/>
      <c r="AF9" s="184"/>
      <c r="AG9" s="184"/>
    </row>
    <row r="10">
      <c r="A10" s="192">
        <v>589.7</v>
      </c>
      <c r="B10" s="184"/>
      <c r="C10" s="184"/>
      <c r="D10" s="192"/>
      <c r="E10" s="184"/>
      <c r="F10" s="184"/>
      <c r="G10" s="205" t="s">
        <v>1546</v>
      </c>
      <c r="H10" s="184"/>
      <c r="I10" s="192"/>
      <c r="J10" s="184"/>
      <c r="K10" s="184"/>
      <c r="L10" s="184"/>
      <c r="M10" s="204">
        <v>1.3819444444444444</v>
      </c>
      <c r="N10" s="204">
        <v>1.5381944444444444</v>
      </c>
      <c r="O10" s="184"/>
      <c r="P10" s="192" t="s">
        <v>1543</v>
      </c>
      <c r="Q10" s="185"/>
      <c r="R10" s="200"/>
      <c r="S10" s="200"/>
      <c r="T10" s="200"/>
      <c r="U10" s="201"/>
      <c r="V10" s="202"/>
      <c r="W10" s="203"/>
      <c r="X10" s="190"/>
      <c r="Y10" s="184"/>
      <c r="Z10" s="184"/>
      <c r="AA10" s="191"/>
      <c r="AB10" s="191"/>
      <c r="AC10" s="191"/>
      <c r="AD10" s="191"/>
      <c r="AE10" s="191"/>
      <c r="AF10" s="191"/>
      <c r="AG10" s="191"/>
    </row>
    <row r="11">
      <c r="A11" s="192">
        <v>589.8</v>
      </c>
      <c r="B11" s="184"/>
      <c r="C11" s="184"/>
      <c r="D11" s="192"/>
      <c r="E11" s="184"/>
      <c r="F11" s="184"/>
      <c r="G11" s="205" t="s">
        <v>1547</v>
      </c>
      <c r="H11" s="184"/>
      <c r="I11" s="192"/>
      <c r="J11" s="184"/>
      <c r="K11" s="184"/>
      <c r="L11" s="184"/>
      <c r="M11" s="204">
        <v>1.6458333333333333</v>
      </c>
      <c r="N11" s="204">
        <v>1.7333333333333334</v>
      </c>
      <c r="O11" s="184"/>
      <c r="P11" s="192" t="s">
        <v>1543</v>
      </c>
      <c r="Q11" s="185"/>
      <c r="R11" s="200"/>
      <c r="S11" s="200"/>
      <c r="T11" s="200"/>
      <c r="U11" s="201"/>
      <c r="V11" s="202"/>
      <c r="W11" s="203"/>
      <c r="X11" s="190"/>
      <c r="Y11" s="184"/>
      <c r="Z11" s="184"/>
      <c r="AA11" s="191"/>
      <c r="AB11" s="191"/>
      <c r="AC11" s="191"/>
      <c r="AD11" s="191"/>
      <c r="AE11" s="191"/>
      <c r="AF11" s="191"/>
      <c r="AG11" s="191"/>
    </row>
    <row r="12">
      <c r="A12" s="184"/>
      <c r="B12" s="184"/>
      <c r="C12" s="184"/>
      <c r="D12" s="192"/>
      <c r="E12" s="184"/>
      <c r="F12" s="184"/>
      <c r="G12" s="205"/>
      <c r="H12" s="184"/>
      <c r="I12" s="192"/>
      <c r="J12" s="184"/>
      <c r="K12" s="184"/>
      <c r="L12" s="184"/>
      <c r="M12" s="184"/>
      <c r="N12" s="184"/>
      <c r="O12" s="184"/>
      <c r="P12" s="184"/>
      <c r="Q12" s="185"/>
      <c r="R12" s="200"/>
      <c r="S12" s="200"/>
      <c r="T12" s="200"/>
      <c r="U12" s="201"/>
      <c r="V12" s="202"/>
      <c r="W12" s="203"/>
      <c r="X12" s="190"/>
      <c r="Y12" s="184"/>
      <c r="Z12" s="184"/>
      <c r="AA12" s="191"/>
      <c r="AB12" s="191"/>
      <c r="AC12" s="191"/>
      <c r="AD12" s="191"/>
      <c r="AE12" s="191"/>
      <c r="AF12" s="191"/>
      <c r="AG12" s="191"/>
    </row>
    <row r="13">
      <c r="A13" s="184"/>
      <c r="B13" s="184"/>
      <c r="C13" s="184"/>
      <c r="D13" s="192"/>
      <c r="E13" s="184"/>
      <c r="F13" s="184"/>
      <c r="G13" s="205"/>
      <c r="H13" s="184"/>
      <c r="I13" s="192"/>
      <c r="J13" s="184"/>
      <c r="K13" s="184"/>
      <c r="L13" s="184"/>
      <c r="M13" s="184"/>
      <c r="N13" s="184"/>
      <c r="O13" s="184"/>
      <c r="P13" s="184"/>
      <c r="Q13" s="185"/>
      <c r="R13" s="200"/>
      <c r="S13" s="200"/>
      <c r="T13" s="200"/>
      <c r="U13" s="201"/>
      <c r="V13" s="202"/>
      <c r="W13" s="203"/>
      <c r="X13" s="190"/>
      <c r="Y13" s="184"/>
      <c r="Z13" s="184"/>
      <c r="AA13" s="191"/>
      <c r="AB13" s="191"/>
      <c r="AC13" s="191"/>
      <c r="AD13" s="191"/>
      <c r="AE13" s="191"/>
      <c r="AF13" s="191"/>
      <c r="AG13" s="191"/>
    </row>
    <row r="14">
      <c r="A14" s="184"/>
      <c r="B14" s="184"/>
      <c r="C14" s="184"/>
      <c r="D14" s="192" t="s">
        <v>1550</v>
      </c>
      <c r="E14" s="184"/>
      <c r="F14" s="184"/>
      <c r="G14" s="205"/>
      <c r="H14" s="184"/>
      <c r="I14" s="192"/>
      <c r="J14" s="184"/>
      <c r="K14" s="184"/>
      <c r="L14" s="184"/>
      <c r="M14" s="184"/>
      <c r="N14" s="184"/>
      <c r="O14" s="184"/>
      <c r="P14" s="184"/>
      <c r="Q14" s="185"/>
      <c r="R14" s="186"/>
      <c r="S14" s="186"/>
      <c r="T14" s="186"/>
      <c r="U14" s="187"/>
      <c r="V14" s="188"/>
      <c r="W14" s="189"/>
      <c r="X14" s="190"/>
      <c r="Y14" s="184"/>
      <c r="Z14" s="184"/>
      <c r="AA14" s="191"/>
      <c r="AB14" s="191"/>
      <c r="AC14" s="191"/>
      <c r="AD14" s="191"/>
      <c r="AE14" s="191"/>
      <c r="AF14" s="191"/>
      <c r="AG14" s="191"/>
    </row>
    <row r="15">
      <c r="A15" s="184"/>
      <c r="B15" s="184"/>
      <c r="C15" s="184"/>
      <c r="D15" s="184"/>
      <c r="E15" s="184"/>
      <c r="F15" s="184"/>
      <c r="G15" s="184"/>
      <c r="H15" s="184"/>
      <c r="I15" s="184"/>
      <c r="J15" s="184"/>
      <c r="K15" s="184"/>
      <c r="L15" s="184"/>
      <c r="M15" s="184"/>
      <c r="N15" s="184"/>
      <c r="O15" s="184"/>
      <c r="P15" s="184"/>
      <c r="Q15" s="185"/>
      <c r="R15" s="186"/>
      <c r="S15" s="186"/>
      <c r="T15" s="186"/>
      <c r="U15" s="187"/>
      <c r="V15" s="188"/>
      <c r="W15" s="189"/>
      <c r="X15" s="190"/>
      <c r="Y15" s="184"/>
      <c r="Z15" s="184"/>
      <c r="AA15" s="191"/>
      <c r="AB15" s="191"/>
      <c r="AC15" s="191"/>
      <c r="AD15" s="191"/>
      <c r="AE15" s="191"/>
      <c r="AF15" s="191"/>
      <c r="AG15" s="191"/>
    </row>
    <row r="16">
      <c r="A16" s="184">
        <v>739.0</v>
      </c>
      <c r="B16" s="206" t="s">
        <v>516</v>
      </c>
      <c r="C16" s="201"/>
      <c r="D16" s="192" t="s">
        <v>145</v>
      </c>
      <c r="E16" s="184" t="s">
        <v>1553</v>
      </c>
      <c r="F16" s="193" t="s">
        <v>1554</v>
      </c>
      <c r="G16" s="207"/>
      <c r="H16" s="196"/>
      <c r="I16" s="184"/>
      <c r="J16" s="184">
        <f>14*1000</f>
        <v>14000</v>
      </c>
      <c r="K16" s="197">
        <v>0.03953703703703703</v>
      </c>
      <c r="L16" s="198" t="s">
        <v>1093</v>
      </c>
      <c r="Q16" s="185" t="str">
        <f>HYPERLINK(IF(INT(A16)-A16=0,"",REPLACE(INDIRECT("MasterList!e"&amp;INT(A16)+1),25,8,"embed/")&amp;"?start="&amp;HOUR(M17)*3600+MINUTE(M17)*60+SECOND(M17)&amp;"&amp;end="&amp;HOUR(N17)*3600+MINUTE(N17)*60+SECOND(N17)&amp;"&amp;autoplay=1"))</f>
        <v/>
      </c>
      <c r="R16" s="200"/>
      <c r="S16" s="200"/>
      <c r="T16" s="200"/>
      <c r="U16" s="201"/>
      <c r="V16" s="202"/>
      <c r="W16" s="203"/>
      <c r="X16" s="190"/>
      <c r="Y16" s="208"/>
      <c r="Z16" s="208"/>
      <c r="AA16" s="208"/>
      <c r="AB16" s="208"/>
      <c r="AC16" s="191"/>
      <c r="AD16" s="191"/>
      <c r="AE16" s="191"/>
      <c r="AF16" s="191"/>
      <c r="AG16" s="191"/>
    </row>
    <row r="17">
      <c r="A17" s="192">
        <v>739.1</v>
      </c>
      <c r="B17" s="184"/>
      <c r="C17" s="184"/>
      <c r="D17" s="184"/>
      <c r="E17" s="184"/>
      <c r="F17" s="192" t="s">
        <v>1559</v>
      </c>
      <c r="G17" s="184"/>
      <c r="H17" s="184"/>
      <c r="I17" s="184"/>
      <c r="J17" s="184"/>
      <c r="K17" s="184"/>
      <c r="L17" s="184"/>
      <c r="M17" s="199">
        <v>0.7638888888888888</v>
      </c>
      <c r="N17" s="199">
        <v>0.8597222222222223</v>
      </c>
      <c r="O17" s="184"/>
      <c r="P17" s="192" t="s">
        <v>1561</v>
      </c>
      <c r="Q17" s="185"/>
      <c r="R17" s="186"/>
      <c r="S17" s="186"/>
      <c r="T17" s="186"/>
      <c r="U17" s="187"/>
      <c r="V17" s="188"/>
      <c r="W17" s="189"/>
      <c r="X17" s="190"/>
      <c r="Y17" s="184"/>
      <c r="Z17" s="184"/>
      <c r="AA17" s="191"/>
      <c r="AB17" s="191"/>
      <c r="AC17" s="191"/>
      <c r="AD17" s="191"/>
      <c r="AE17" s="191"/>
      <c r="AF17" s="191"/>
      <c r="AG17" s="191"/>
    </row>
    <row r="18">
      <c r="A18" s="192">
        <v>739.2</v>
      </c>
      <c r="B18" s="184"/>
      <c r="C18" s="184"/>
      <c r="D18" s="184"/>
      <c r="E18" s="184"/>
      <c r="F18" s="18" t="s">
        <v>1563</v>
      </c>
      <c r="J18" s="184"/>
      <c r="K18" s="184"/>
      <c r="L18" s="184"/>
      <c r="M18" s="199">
        <v>0.8604166666666667</v>
      </c>
      <c r="N18" s="199">
        <v>0.9847222222222223</v>
      </c>
      <c r="O18" s="184"/>
      <c r="P18" s="192" t="s">
        <v>1561</v>
      </c>
      <c r="Q18" s="185"/>
      <c r="R18" s="186"/>
      <c r="S18" s="186"/>
      <c r="T18" s="186"/>
      <c r="U18" s="187"/>
      <c r="V18" s="188"/>
      <c r="W18" s="189"/>
      <c r="X18" s="190"/>
      <c r="Y18" s="184"/>
      <c r="Z18" s="184"/>
      <c r="AA18" s="191"/>
      <c r="AB18" s="191"/>
      <c r="AC18" s="191"/>
      <c r="AD18" s="191"/>
      <c r="AE18" s="191"/>
      <c r="AF18" s="191"/>
      <c r="AG18" s="191"/>
    </row>
    <row r="19">
      <c r="A19" s="192">
        <v>739.3</v>
      </c>
      <c r="B19" s="184"/>
      <c r="C19" s="184"/>
      <c r="D19" s="184"/>
      <c r="E19" s="184"/>
      <c r="F19" s="192" t="s">
        <v>1564</v>
      </c>
      <c r="G19" s="204">
        <v>1.0777777777777777</v>
      </c>
      <c r="H19" s="184"/>
      <c r="I19" s="204">
        <v>1.2708333333333333</v>
      </c>
      <c r="J19" s="184"/>
      <c r="K19" s="184"/>
      <c r="L19" s="184"/>
      <c r="M19" s="199"/>
      <c r="N19" s="199"/>
      <c r="O19" s="184"/>
      <c r="P19" s="192" t="s">
        <v>1561</v>
      </c>
      <c r="Q19" s="185"/>
      <c r="R19" s="186"/>
      <c r="S19" s="186"/>
      <c r="T19" s="186"/>
      <c r="U19" s="187"/>
      <c r="V19" s="188"/>
      <c r="W19" s="189"/>
      <c r="X19" s="190"/>
      <c r="Y19" s="184"/>
      <c r="Z19" s="184"/>
      <c r="AA19" s="191"/>
      <c r="AB19" s="191"/>
      <c r="AC19" s="191"/>
      <c r="AD19" s="191"/>
      <c r="AE19" s="191"/>
      <c r="AF19" s="191"/>
      <c r="AG19" s="191"/>
    </row>
    <row r="20">
      <c r="A20" s="192">
        <v>739.4</v>
      </c>
      <c r="B20" s="184"/>
      <c r="C20" s="184"/>
      <c r="D20" s="184"/>
      <c r="E20" s="184"/>
      <c r="F20" s="192" t="s">
        <v>1565</v>
      </c>
      <c r="G20" s="204">
        <v>1.2715277777777778</v>
      </c>
      <c r="H20" s="184"/>
      <c r="I20" s="204">
        <v>1.3909722222222223</v>
      </c>
      <c r="J20" s="184"/>
      <c r="K20" s="184"/>
      <c r="L20" s="184"/>
      <c r="M20" s="199"/>
      <c r="N20" s="199"/>
      <c r="O20" s="184"/>
      <c r="P20" s="192" t="s">
        <v>1561</v>
      </c>
      <c r="Q20" s="185"/>
      <c r="R20" s="186"/>
      <c r="S20" s="186"/>
      <c r="T20" s="186"/>
      <c r="U20" s="187"/>
      <c r="V20" s="188"/>
      <c r="W20" s="189"/>
      <c r="X20" s="190"/>
      <c r="Y20" s="184"/>
      <c r="Z20" s="184"/>
      <c r="AA20" s="191"/>
      <c r="AB20" s="191"/>
      <c r="AC20" s="191"/>
      <c r="AD20" s="191"/>
      <c r="AE20" s="191"/>
      <c r="AF20" s="191"/>
      <c r="AG20" s="191"/>
    </row>
    <row r="21">
      <c r="B21" s="184"/>
      <c r="C21" s="184"/>
      <c r="D21" s="184"/>
      <c r="E21" s="184"/>
      <c r="F21" s="184"/>
      <c r="J21" s="184"/>
      <c r="K21" s="184"/>
      <c r="L21" s="184"/>
      <c r="M21" s="199"/>
      <c r="N21" s="199"/>
      <c r="O21" s="184"/>
      <c r="P21" s="184"/>
      <c r="Q21" s="185"/>
      <c r="R21" s="186"/>
      <c r="S21" s="186"/>
      <c r="T21" s="186"/>
      <c r="U21" s="187"/>
      <c r="V21" s="188"/>
      <c r="W21" s="189"/>
      <c r="X21" s="190"/>
      <c r="Y21" s="184"/>
      <c r="Z21" s="184"/>
      <c r="AA21" s="191"/>
      <c r="AB21" s="191"/>
      <c r="AC21" s="191"/>
      <c r="AD21" s="191"/>
      <c r="AE21" s="191"/>
      <c r="AF21" s="191"/>
      <c r="AG21" s="191"/>
    </row>
    <row r="22">
      <c r="A22" s="38">
        <v>742.0</v>
      </c>
      <c r="B22" s="63" t="s">
        <v>516</v>
      </c>
      <c r="C22" s="51"/>
      <c r="D22" s="39" t="s">
        <v>145</v>
      </c>
      <c r="E22" s="38" t="s">
        <v>1568</v>
      </c>
      <c r="F22" s="41" t="s">
        <v>1569</v>
      </c>
      <c r="G22" s="43"/>
      <c r="H22" s="45"/>
      <c r="I22" s="38"/>
      <c r="J22" s="38">
        <f>18*1000</f>
        <v>18000</v>
      </c>
      <c r="K22" s="46">
        <v>0.04446759259259259</v>
      </c>
      <c r="L22" s="47" t="s">
        <v>1093</v>
      </c>
      <c r="M22" s="48"/>
      <c r="N22" s="48"/>
      <c r="O22" s="38"/>
      <c r="P22" s="89">
        <v>43019.0</v>
      </c>
      <c r="Q22" s="12" t="str">
        <f t="shared" ref="Q22:Q23" si="1">HYPERLINK(IF(INT(A22)-A22=0,"",REPLACE(INDIRECT("MasterList!e"&amp;INT(A22)+1),25,8,"embed/")&amp;"?start="&amp;HOUR(M22)*3600+MINUTE(M22)*60+SECOND(M22)&amp;"&amp;end="&amp;HOUR(N22)*3600+MINUTE(N22)*60+SECOND(N22)&amp;"&amp;autoplay=1"))</f>
        <v/>
      </c>
      <c r="R22" s="42"/>
      <c r="S22" s="42"/>
      <c r="T22" s="42"/>
      <c r="U22" s="51"/>
      <c r="V22" s="52"/>
      <c r="W22" s="81" t="s">
        <v>62</v>
      </c>
      <c r="X22" s="57"/>
      <c r="Y22" s="106"/>
      <c r="Z22" s="106"/>
      <c r="AA22" s="106"/>
      <c r="AB22" s="106"/>
      <c r="AC22" s="191"/>
      <c r="AD22" s="191"/>
      <c r="AE22" s="191"/>
      <c r="AF22" s="191"/>
      <c r="AG22" s="191"/>
    </row>
    <row r="23">
      <c r="A23" s="192">
        <v>742.01</v>
      </c>
      <c r="B23" s="63" t="s">
        <v>516</v>
      </c>
      <c r="C23" s="51"/>
      <c r="D23" s="39" t="s">
        <v>145</v>
      </c>
      <c r="E23" s="38"/>
      <c r="F23" s="184"/>
      <c r="G23" s="192" t="s">
        <v>1574</v>
      </c>
      <c r="H23" s="192" t="s">
        <v>1575</v>
      </c>
      <c r="I23" s="184"/>
      <c r="J23" s="184"/>
      <c r="K23" s="184"/>
      <c r="L23" s="184"/>
      <c r="M23" s="125">
        <v>0.001736111111111111</v>
      </c>
      <c r="N23" s="125">
        <v>0.003148148148148148</v>
      </c>
      <c r="O23" s="209">
        <f>N23-M23</f>
        <v>0.001412037037</v>
      </c>
      <c r="P23" s="89">
        <v>43019.0</v>
      </c>
      <c r="Q23" s="61" t="str">
        <f t="shared" si="1"/>
        <v>https://www.youtube.com/embed/SPD35eCSgDk?start=150&amp;end=272&amp;autoplay=1</v>
      </c>
      <c r="R23" s="210" t="s">
        <v>1579</v>
      </c>
      <c r="S23" s="210" t="s">
        <v>1579</v>
      </c>
      <c r="T23" s="210" t="s">
        <v>1579</v>
      </c>
      <c r="U23" s="211" t="s">
        <v>1581</v>
      </c>
      <c r="V23" s="188"/>
      <c r="W23" s="212" t="s">
        <v>62</v>
      </c>
      <c r="X23" s="213" t="s">
        <v>62</v>
      </c>
      <c r="Y23" s="184"/>
      <c r="Z23" s="184"/>
      <c r="AA23" s="191"/>
      <c r="AB23" s="191"/>
      <c r="AC23" s="191"/>
      <c r="AD23" s="191"/>
      <c r="AE23" s="191"/>
      <c r="AF23" s="191"/>
      <c r="AG23" s="191"/>
    </row>
    <row r="24">
      <c r="A24" s="184"/>
      <c r="B24" s="184"/>
      <c r="C24" s="184"/>
      <c r="D24" s="184"/>
      <c r="E24" s="184"/>
      <c r="F24" s="184"/>
      <c r="G24" s="184"/>
      <c r="H24" s="184"/>
      <c r="I24" s="184"/>
      <c r="J24" s="184"/>
      <c r="K24" s="184"/>
      <c r="L24" s="184"/>
      <c r="M24" s="48"/>
      <c r="N24" s="48"/>
      <c r="O24" s="184"/>
      <c r="P24" s="184"/>
      <c r="Q24" s="185"/>
      <c r="R24" s="186"/>
      <c r="S24" s="186"/>
      <c r="T24" s="186"/>
      <c r="U24" s="187"/>
      <c r="V24" s="188"/>
      <c r="W24" s="189"/>
      <c r="X24" s="190"/>
      <c r="Y24" s="184"/>
      <c r="Z24" s="184"/>
      <c r="AA24" s="191"/>
      <c r="AB24" s="191"/>
      <c r="AC24" s="191"/>
      <c r="AD24" s="191"/>
      <c r="AE24" s="191"/>
      <c r="AF24" s="191"/>
      <c r="AG24" s="191"/>
    </row>
    <row r="25">
      <c r="A25" s="184"/>
      <c r="B25" s="184"/>
      <c r="C25" s="184"/>
      <c r="D25" s="184"/>
      <c r="E25" s="184"/>
      <c r="F25" s="214"/>
      <c r="G25" s="184"/>
      <c r="H25" s="184"/>
      <c r="I25" s="184"/>
      <c r="J25" s="184"/>
      <c r="K25" s="184"/>
      <c r="L25" s="184"/>
      <c r="M25" s="48"/>
      <c r="N25" s="48"/>
      <c r="O25" s="184"/>
      <c r="P25" s="184"/>
      <c r="Q25" s="185"/>
      <c r="R25" s="186"/>
      <c r="S25" s="186"/>
      <c r="T25" s="186"/>
      <c r="U25" s="187"/>
      <c r="V25" s="188"/>
      <c r="W25" s="189"/>
      <c r="X25" s="190"/>
      <c r="Y25" s="184"/>
      <c r="Z25" s="184"/>
      <c r="AA25" s="191"/>
      <c r="AB25" s="191"/>
      <c r="AC25" s="191"/>
      <c r="AD25" s="191"/>
      <c r="AE25" s="191"/>
      <c r="AF25" s="191"/>
      <c r="AG25" s="191"/>
    </row>
    <row r="26">
      <c r="A26" s="184"/>
      <c r="B26" s="184"/>
      <c r="C26" s="184"/>
      <c r="D26" s="184"/>
      <c r="E26" s="184"/>
      <c r="F26" s="194"/>
      <c r="G26" s="184"/>
      <c r="H26" s="184"/>
      <c r="I26" s="184"/>
      <c r="J26" s="184"/>
      <c r="K26" s="184"/>
      <c r="L26" s="184"/>
      <c r="M26" s="48"/>
      <c r="N26" s="48"/>
      <c r="O26" s="184"/>
      <c r="P26" s="184"/>
      <c r="Q26" s="185"/>
      <c r="R26" s="186"/>
      <c r="S26" s="186"/>
      <c r="T26" s="186"/>
      <c r="U26" s="187"/>
      <c r="V26" s="188"/>
      <c r="W26" s="189"/>
      <c r="X26" s="190"/>
      <c r="Y26" s="184"/>
      <c r="Z26" s="184"/>
      <c r="AA26" s="191"/>
      <c r="AB26" s="191"/>
      <c r="AC26" s="191"/>
      <c r="AD26" s="191"/>
      <c r="AE26" s="191"/>
      <c r="AF26" s="191"/>
      <c r="AG26" s="191"/>
    </row>
    <row r="27">
      <c r="A27" s="184"/>
      <c r="B27" s="184"/>
      <c r="C27" s="184"/>
      <c r="D27" s="184"/>
      <c r="E27" s="184"/>
      <c r="F27" s="214"/>
      <c r="G27" s="184"/>
      <c r="H27" s="184"/>
      <c r="I27" s="184"/>
      <c r="J27" s="184"/>
      <c r="K27" s="184"/>
      <c r="L27" s="184"/>
      <c r="M27" s="184"/>
      <c r="N27" s="184"/>
      <c r="O27" s="184"/>
      <c r="P27" s="184"/>
      <c r="Q27" s="185"/>
      <c r="R27" s="186"/>
      <c r="S27" s="186"/>
      <c r="T27" s="186"/>
      <c r="U27" s="187"/>
      <c r="V27" s="188"/>
      <c r="W27" s="189"/>
      <c r="X27" s="190"/>
      <c r="Y27" s="184"/>
      <c r="Z27" s="184"/>
      <c r="AA27" s="191"/>
      <c r="AB27" s="191"/>
      <c r="AC27" s="191"/>
      <c r="AD27" s="191"/>
      <c r="AE27" s="191"/>
      <c r="AF27" s="191"/>
      <c r="AG27" s="191"/>
    </row>
    <row r="28">
      <c r="A28" s="184"/>
      <c r="B28" s="184"/>
      <c r="C28" s="184"/>
      <c r="D28" s="184"/>
      <c r="E28" s="184"/>
      <c r="F28" s="194"/>
      <c r="G28" s="184"/>
      <c r="H28" s="184"/>
      <c r="I28" s="184"/>
      <c r="J28" s="184"/>
      <c r="K28" s="184"/>
      <c r="L28" s="184"/>
      <c r="M28" s="184"/>
      <c r="N28" s="184"/>
      <c r="O28" s="184"/>
      <c r="P28" s="184"/>
      <c r="Q28" s="185"/>
      <c r="R28" s="186"/>
      <c r="S28" s="186"/>
      <c r="T28" s="186"/>
      <c r="U28" s="187"/>
      <c r="V28" s="188"/>
      <c r="W28" s="189"/>
      <c r="X28" s="190"/>
      <c r="Y28" s="184"/>
      <c r="Z28" s="184"/>
      <c r="AA28" s="191"/>
      <c r="AB28" s="191"/>
      <c r="AC28" s="191"/>
      <c r="AD28" s="191"/>
      <c r="AE28" s="191"/>
      <c r="AF28" s="191"/>
      <c r="AG28" s="191"/>
    </row>
    <row r="29">
      <c r="A29" s="184"/>
      <c r="B29" s="184"/>
      <c r="C29" s="184"/>
      <c r="D29" s="184"/>
      <c r="E29" s="184"/>
      <c r="F29" s="214"/>
      <c r="G29" s="184"/>
      <c r="H29" s="184"/>
      <c r="I29" s="184"/>
      <c r="J29" s="184"/>
      <c r="K29" s="184"/>
      <c r="L29" s="184"/>
      <c r="M29" s="184"/>
      <c r="N29" s="184"/>
      <c r="O29" s="184"/>
      <c r="P29" s="184"/>
      <c r="Q29" s="185"/>
      <c r="R29" s="186"/>
      <c r="S29" s="186"/>
      <c r="T29" s="186"/>
      <c r="U29" s="187"/>
      <c r="V29" s="188"/>
      <c r="W29" s="189"/>
      <c r="X29" s="190"/>
      <c r="Y29" s="184"/>
      <c r="Z29" s="184"/>
      <c r="AA29" s="191"/>
      <c r="AB29" s="191"/>
      <c r="AC29" s="191"/>
      <c r="AD29" s="191"/>
      <c r="AE29" s="191"/>
      <c r="AF29" s="191"/>
      <c r="AG29" s="191"/>
    </row>
    <row r="30">
      <c r="A30" s="184"/>
      <c r="B30" s="184"/>
      <c r="C30" s="184"/>
      <c r="D30" s="184"/>
      <c r="E30" s="184"/>
      <c r="F30" s="214"/>
      <c r="G30" s="184"/>
      <c r="H30" s="184"/>
      <c r="I30" s="184"/>
      <c r="J30" s="184"/>
      <c r="K30" s="184"/>
      <c r="L30" s="184"/>
      <c r="M30" s="184"/>
      <c r="N30" s="184"/>
      <c r="O30" s="184"/>
      <c r="P30" s="184"/>
      <c r="Q30" s="185"/>
      <c r="R30" s="186"/>
      <c r="S30" s="186"/>
      <c r="T30" s="186"/>
      <c r="U30" s="187"/>
      <c r="V30" s="188"/>
      <c r="W30" s="189"/>
      <c r="X30" s="190"/>
      <c r="Y30" s="184"/>
      <c r="Z30" s="184"/>
      <c r="AA30" s="191"/>
      <c r="AB30" s="191"/>
      <c r="AC30" s="191"/>
      <c r="AD30" s="191"/>
      <c r="AE30" s="191"/>
      <c r="AF30" s="191"/>
      <c r="AG30" s="191"/>
    </row>
    <row r="31">
      <c r="A31" s="184"/>
      <c r="B31" s="184"/>
      <c r="C31" s="184"/>
      <c r="D31" s="184"/>
      <c r="E31" s="184"/>
      <c r="F31" s="194"/>
      <c r="G31" s="184"/>
      <c r="H31" s="184"/>
      <c r="I31" s="184"/>
      <c r="J31" s="184"/>
      <c r="K31" s="184"/>
      <c r="L31" s="184"/>
      <c r="M31" s="184"/>
      <c r="N31" s="184"/>
      <c r="O31" s="184"/>
      <c r="P31" s="184"/>
      <c r="Q31" s="185"/>
      <c r="R31" s="186"/>
      <c r="S31" s="186"/>
      <c r="T31" s="186"/>
      <c r="U31" s="187"/>
      <c r="V31" s="188"/>
      <c r="W31" s="189"/>
      <c r="X31" s="190"/>
      <c r="Y31" s="184"/>
      <c r="Z31" s="184"/>
      <c r="AA31" s="191"/>
      <c r="AB31" s="191"/>
      <c r="AC31" s="191"/>
      <c r="AD31" s="191"/>
      <c r="AE31" s="191"/>
      <c r="AF31" s="191"/>
      <c r="AG31" s="191"/>
    </row>
    <row r="32">
      <c r="A32" s="184"/>
      <c r="B32" s="184"/>
      <c r="C32" s="184"/>
      <c r="D32" s="184"/>
      <c r="E32" s="184"/>
      <c r="F32" s="214"/>
      <c r="G32" s="184"/>
      <c r="H32" s="184"/>
      <c r="I32" s="184"/>
      <c r="J32" s="184"/>
      <c r="K32" s="184"/>
      <c r="L32" s="184"/>
      <c r="M32" s="184"/>
      <c r="N32" s="184"/>
      <c r="O32" s="184"/>
      <c r="P32" s="184"/>
      <c r="Q32" s="185"/>
      <c r="R32" s="186"/>
      <c r="S32" s="186"/>
      <c r="T32" s="186"/>
      <c r="U32" s="187"/>
      <c r="V32" s="188"/>
      <c r="W32" s="189"/>
      <c r="X32" s="190"/>
      <c r="Y32" s="184"/>
      <c r="Z32" s="184"/>
      <c r="AA32" s="191"/>
      <c r="AB32" s="191"/>
      <c r="AC32" s="191"/>
      <c r="AD32" s="191"/>
      <c r="AE32" s="191"/>
      <c r="AF32" s="191"/>
      <c r="AG32" s="191"/>
    </row>
    <row r="33">
      <c r="A33" s="184"/>
      <c r="B33" s="184"/>
      <c r="C33" s="184"/>
      <c r="D33" s="184"/>
      <c r="E33" s="184"/>
      <c r="F33" s="194"/>
      <c r="G33" s="184"/>
      <c r="H33" s="184"/>
      <c r="I33" s="184"/>
      <c r="J33" s="184"/>
      <c r="K33" s="184"/>
      <c r="L33" s="184"/>
      <c r="M33" s="184"/>
      <c r="N33" s="184"/>
      <c r="O33" s="184"/>
      <c r="P33" s="184"/>
      <c r="Q33" s="185"/>
      <c r="R33" s="186"/>
      <c r="S33" s="186"/>
      <c r="T33" s="186"/>
      <c r="U33" s="187"/>
      <c r="V33" s="188"/>
      <c r="W33" s="189"/>
      <c r="X33" s="190"/>
      <c r="Y33" s="184"/>
      <c r="Z33" s="184"/>
      <c r="AA33" s="191"/>
      <c r="AB33" s="191"/>
      <c r="AC33" s="191"/>
      <c r="AD33" s="191"/>
      <c r="AE33" s="191"/>
      <c r="AF33" s="191"/>
      <c r="AG33" s="191"/>
    </row>
    <row r="34">
      <c r="A34" s="184"/>
      <c r="B34" s="184"/>
      <c r="C34" s="184"/>
      <c r="D34" s="184"/>
      <c r="E34" s="184"/>
      <c r="F34" s="214"/>
      <c r="G34" s="184"/>
      <c r="H34" s="184"/>
      <c r="I34" s="184"/>
      <c r="J34" s="184"/>
      <c r="K34" s="184"/>
      <c r="L34" s="184"/>
      <c r="M34" s="184"/>
      <c r="N34" s="184"/>
      <c r="O34" s="184"/>
      <c r="P34" s="184"/>
      <c r="Q34" s="185"/>
      <c r="R34" s="186"/>
      <c r="S34" s="186"/>
      <c r="T34" s="186"/>
      <c r="U34" s="187"/>
      <c r="V34" s="188"/>
      <c r="W34" s="189"/>
      <c r="X34" s="190"/>
      <c r="Y34" s="184"/>
      <c r="Z34" s="184"/>
      <c r="AA34" s="191"/>
      <c r="AB34" s="191"/>
      <c r="AC34" s="191"/>
      <c r="AD34" s="191"/>
      <c r="AE34" s="191"/>
      <c r="AF34" s="191"/>
      <c r="AG34" s="191"/>
    </row>
    <row r="35">
      <c r="A35" s="184"/>
      <c r="B35" s="184"/>
      <c r="C35" s="184"/>
      <c r="D35" s="184"/>
      <c r="E35" s="184"/>
      <c r="F35" s="194"/>
      <c r="G35" s="184"/>
      <c r="H35" s="184"/>
      <c r="I35" s="184"/>
      <c r="J35" s="184"/>
      <c r="K35" s="184"/>
      <c r="L35" s="184"/>
      <c r="M35" s="184"/>
      <c r="N35" s="184"/>
      <c r="O35" s="184"/>
      <c r="P35" s="184"/>
      <c r="Q35" s="185"/>
      <c r="R35" s="186"/>
      <c r="S35" s="186"/>
      <c r="T35" s="186"/>
      <c r="U35" s="187"/>
      <c r="V35" s="188"/>
      <c r="W35" s="189"/>
      <c r="X35" s="190"/>
      <c r="Y35" s="184"/>
      <c r="Z35" s="184"/>
      <c r="AA35" s="191"/>
      <c r="AB35" s="191"/>
      <c r="AC35" s="191"/>
      <c r="AD35" s="191"/>
      <c r="AE35" s="191"/>
      <c r="AF35" s="191"/>
      <c r="AG35" s="191"/>
    </row>
    <row r="36">
      <c r="A36" s="184"/>
      <c r="B36" s="184"/>
      <c r="C36" s="184"/>
      <c r="D36" s="184"/>
      <c r="E36" s="184"/>
      <c r="F36" s="214"/>
      <c r="G36" s="184"/>
      <c r="H36" s="184"/>
      <c r="I36" s="184"/>
      <c r="J36" s="184"/>
      <c r="K36" s="184"/>
      <c r="L36" s="184"/>
      <c r="M36" s="184"/>
      <c r="N36" s="184"/>
      <c r="O36" s="184"/>
      <c r="P36" s="184"/>
      <c r="Q36" s="185"/>
      <c r="R36" s="186"/>
      <c r="S36" s="186"/>
      <c r="T36" s="186"/>
      <c r="U36" s="187"/>
      <c r="V36" s="188"/>
      <c r="W36" s="189"/>
      <c r="X36" s="190"/>
      <c r="Y36" s="184"/>
      <c r="Z36" s="184"/>
      <c r="AA36" s="191"/>
      <c r="AB36" s="191"/>
      <c r="AC36" s="191"/>
      <c r="AD36" s="191"/>
      <c r="AE36" s="191"/>
      <c r="AF36" s="191"/>
      <c r="AG36" s="191"/>
    </row>
    <row r="37">
      <c r="A37" s="184"/>
      <c r="B37" s="184"/>
      <c r="C37" s="184"/>
      <c r="D37" s="184"/>
      <c r="E37" s="184"/>
      <c r="F37" s="194"/>
      <c r="G37" s="184"/>
      <c r="H37" s="184"/>
      <c r="I37" s="184"/>
      <c r="J37" s="184"/>
      <c r="K37" s="184"/>
      <c r="L37" s="184"/>
      <c r="M37" s="184"/>
      <c r="N37" s="184"/>
      <c r="O37" s="184"/>
      <c r="P37" s="184"/>
      <c r="Q37" s="185"/>
      <c r="R37" s="186"/>
      <c r="S37" s="186"/>
      <c r="T37" s="186"/>
      <c r="U37" s="187"/>
      <c r="V37" s="188"/>
      <c r="W37" s="189"/>
      <c r="X37" s="190"/>
      <c r="Y37" s="184"/>
      <c r="Z37" s="184"/>
      <c r="AA37" s="191"/>
      <c r="AB37" s="191"/>
      <c r="AC37" s="191"/>
      <c r="AD37" s="191"/>
      <c r="AE37" s="191"/>
      <c r="AF37" s="191"/>
      <c r="AG37" s="191"/>
    </row>
    <row r="38">
      <c r="A38" s="184"/>
      <c r="B38" s="184"/>
      <c r="C38" s="184"/>
      <c r="D38" s="184"/>
      <c r="E38" s="184"/>
      <c r="F38" s="214"/>
      <c r="G38" s="184"/>
      <c r="H38" s="184"/>
      <c r="I38" s="184"/>
      <c r="J38" s="184"/>
      <c r="K38" s="184"/>
      <c r="L38" s="184"/>
      <c r="M38" s="184"/>
      <c r="N38" s="184"/>
      <c r="O38" s="184"/>
      <c r="P38" s="184"/>
      <c r="Q38" s="185"/>
      <c r="R38" s="200"/>
      <c r="S38" s="200"/>
      <c r="T38" s="200"/>
      <c r="U38" s="201"/>
      <c r="V38" s="202"/>
      <c r="W38" s="203"/>
      <c r="X38" s="190"/>
      <c r="Y38" s="184"/>
      <c r="Z38" s="184"/>
      <c r="AA38" s="191"/>
      <c r="AB38" s="191"/>
      <c r="AC38" s="191"/>
      <c r="AD38" s="191"/>
      <c r="AE38" s="191"/>
      <c r="AF38" s="191"/>
      <c r="AG38" s="191"/>
    </row>
    <row r="39">
      <c r="A39" s="184"/>
      <c r="B39" s="184"/>
      <c r="C39" s="184"/>
      <c r="D39" s="184"/>
      <c r="E39" s="184"/>
      <c r="F39" s="194"/>
      <c r="G39" s="184"/>
      <c r="H39" s="184"/>
      <c r="I39" s="184"/>
      <c r="J39" s="184"/>
      <c r="K39" s="184"/>
      <c r="L39" s="184"/>
      <c r="M39" s="184"/>
      <c r="N39" s="184"/>
      <c r="O39" s="184"/>
      <c r="P39" s="184"/>
      <c r="Q39" s="185"/>
      <c r="R39" s="200"/>
      <c r="S39" s="200"/>
      <c r="T39" s="200"/>
      <c r="U39" s="201"/>
      <c r="V39" s="202"/>
      <c r="W39" s="203"/>
      <c r="X39" s="190"/>
      <c r="Y39" s="184"/>
      <c r="Z39" s="184"/>
      <c r="AA39" s="191"/>
      <c r="AB39" s="191"/>
      <c r="AC39" s="191"/>
      <c r="AD39" s="191"/>
      <c r="AE39" s="191"/>
      <c r="AF39" s="191"/>
      <c r="AG39" s="191"/>
    </row>
    <row r="40">
      <c r="A40" s="184"/>
      <c r="B40" s="184"/>
      <c r="C40" s="184"/>
      <c r="D40" s="184"/>
      <c r="E40" s="184"/>
      <c r="F40" s="214"/>
      <c r="G40" s="184"/>
      <c r="H40" s="184"/>
      <c r="I40" s="184"/>
      <c r="J40" s="184"/>
      <c r="K40" s="184"/>
      <c r="L40" s="184"/>
      <c r="M40" s="184"/>
      <c r="N40" s="184"/>
      <c r="O40" s="184"/>
      <c r="P40" s="184"/>
      <c r="Q40" s="185"/>
      <c r="R40" s="200"/>
      <c r="S40" s="200"/>
      <c r="T40" s="200"/>
      <c r="U40" s="201"/>
      <c r="V40" s="202"/>
      <c r="W40" s="203"/>
      <c r="X40" s="190"/>
      <c r="Y40" s="184"/>
      <c r="Z40" s="184"/>
      <c r="AA40" s="191"/>
      <c r="AB40" s="191"/>
      <c r="AC40" s="191"/>
      <c r="AD40" s="191"/>
      <c r="AE40" s="191"/>
      <c r="AF40" s="191"/>
      <c r="AG40" s="191"/>
    </row>
    <row r="41">
      <c r="A41" s="184"/>
      <c r="B41" s="184"/>
      <c r="C41" s="184"/>
      <c r="D41" s="184"/>
      <c r="E41" s="184"/>
      <c r="F41" s="194"/>
      <c r="G41" s="184"/>
      <c r="H41" s="184"/>
      <c r="I41" s="184"/>
      <c r="J41" s="184"/>
      <c r="K41" s="184"/>
      <c r="L41" s="184"/>
      <c r="M41" s="184"/>
      <c r="N41" s="184"/>
      <c r="O41" s="184"/>
      <c r="P41" s="184"/>
      <c r="Q41" s="185"/>
      <c r="R41" s="200"/>
      <c r="S41" s="200"/>
      <c r="T41" s="200"/>
      <c r="U41" s="201"/>
      <c r="V41" s="202"/>
      <c r="W41" s="203"/>
      <c r="X41" s="190"/>
      <c r="Y41" s="184"/>
      <c r="Z41" s="184"/>
      <c r="AA41" s="191"/>
      <c r="AB41" s="191"/>
      <c r="AC41" s="191"/>
      <c r="AD41" s="191"/>
      <c r="AE41" s="191"/>
      <c r="AF41" s="191"/>
      <c r="AG41" s="191"/>
    </row>
    <row r="42">
      <c r="A42" s="184"/>
      <c r="B42" s="184"/>
      <c r="C42" s="184"/>
      <c r="D42" s="184"/>
      <c r="E42" s="184"/>
      <c r="F42" s="214"/>
      <c r="G42" s="184"/>
      <c r="H42" s="184"/>
      <c r="I42" s="184"/>
      <c r="J42" s="184"/>
      <c r="K42" s="184"/>
      <c r="L42" s="184"/>
      <c r="M42" s="184"/>
      <c r="N42" s="184"/>
      <c r="O42" s="184"/>
      <c r="P42" s="184"/>
      <c r="Q42" s="185"/>
      <c r="R42" s="200"/>
      <c r="S42" s="200"/>
      <c r="T42" s="200"/>
      <c r="U42" s="201"/>
      <c r="V42" s="202"/>
      <c r="W42" s="203"/>
      <c r="X42" s="190"/>
      <c r="Y42" s="184"/>
      <c r="Z42" s="184"/>
      <c r="AA42" s="191"/>
      <c r="AB42" s="191"/>
      <c r="AC42" s="191"/>
      <c r="AD42" s="191"/>
      <c r="AE42" s="191"/>
      <c r="AF42" s="191"/>
      <c r="AG42" s="191"/>
    </row>
    <row r="43">
      <c r="A43" s="184"/>
      <c r="B43" s="184"/>
      <c r="C43" s="184"/>
      <c r="D43" s="184"/>
      <c r="E43" s="184"/>
      <c r="F43" s="194"/>
      <c r="G43" s="184"/>
      <c r="H43" s="184"/>
      <c r="I43" s="184"/>
      <c r="J43" s="184"/>
      <c r="K43" s="184"/>
      <c r="L43" s="184"/>
      <c r="M43" s="184"/>
      <c r="N43" s="184"/>
      <c r="O43" s="184"/>
      <c r="P43" s="184"/>
      <c r="Q43" s="185"/>
      <c r="R43" s="200"/>
      <c r="S43" s="200"/>
      <c r="T43" s="200"/>
      <c r="U43" s="201"/>
      <c r="V43" s="202"/>
      <c r="W43" s="203"/>
      <c r="X43" s="190"/>
      <c r="Y43" s="184"/>
      <c r="Z43" s="184"/>
      <c r="AA43" s="191"/>
      <c r="AB43" s="191"/>
      <c r="AC43" s="191"/>
      <c r="AD43" s="191"/>
      <c r="AE43" s="191"/>
      <c r="AF43" s="191"/>
      <c r="AG43" s="191"/>
    </row>
    <row r="44">
      <c r="A44" s="184"/>
      <c r="B44" s="184"/>
      <c r="C44" s="184"/>
      <c r="D44" s="184"/>
      <c r="E44" s="184"/>
      <c r="F44" s="214"/>
      <c r="G44" s="184"/>
      <c r="H44" s="184"/>
      <c r="I44" s="184"/>
      <c r="J44" s="184"/>
      <c r="K44" s="184"/>
      <c r="L44" s="184"/>
      <c r="M44" s="184"/>
      <c r="N44" s="184"/>
      <c r="O44" s="184"/>
      <c r="P44" s="184"/>
      <c r="Q44" s="185"/>
      <c r="R44" s="200"/>
      <c r="S44" s="200"/>
      <c r="T44" s="200"/>
      <c r="U44" s="201"/>
      <c r="V44" s="202"/>
      <c r="W44" s="203"/>
      <c r="X44" s="190"/>
      <c r="Y44" s="184"/>
      <c r="Z44" s="184"/>
      <c r="AA44" s="191"/>
      <c r="AB44" s="191"/>
      <c r="AC44" s="191"/>
      <c r="AD44" s="191"/>
      <c r="AE44" s="191"/>
      <c r="AF44" s="191"/>
      <c r="AG44" s="191"/>
    </row>
    <row r="45">
      <c r="A45" s="184"/>
      <c r="B45" s="184"/>
      <c r="C45" s="184"/>
      <c r="D45" s="184"/>
      <c r="E45" s="184"/>
      <c r="F45" s="194"/>
      <c r="G45" s="184"/>
      <c r="H45" s="184"/>
      <c r="I45" s="184"/>
      <c r="J45" s="184"/>
      <c r="K45" s="184"/>
      <c r="L45" s="184"/>
      <c r="M45" s="184"/>
      <c r="N45" s="184"/>
      <c r="O45" s="184"/>
      <c r="P45" s="184"/>
      <c r="Q45" s="185"/>
      <c r="R45" s="200"/>
      <c r="S45" s="200"/>
      <c r="T45" s="200"/>
      <c r="U45" s="201"/>
      <c r="V45" s="202"/>
      <c r="W45" s="203"/>
      <c r="X45" s="190"/>
      <c r="Y45" s="184"/>
      <c r="Z45" s="184"/>
      <c r="AA45" s="191"/>
      <c r="AB45" s="191"/>
      <c r="AC45" s="191"/>
      <c r="AD45" s="191"/>
      <c r="AE45" s="191"/>
      <c r="AF45" s="191"/>
      <c r="AG45" s="191"/>
    </row>
    <row r="46">
      <c r="A46" s="184"/>
      <c r="B46" s="184"/>
      <c r="C46" s="184"/>
      <c r="D46" s="184"/>
      <c r="E46" s="184"/>
      <c r="F46" s="214"/>
      <c r="G46" s="184"/>
      <c r="H46" s="184"/>
      <c r="I46" s="184"/>
      <c r="J46" s="184"/>
      <c r="K46" s="184"/>
      <c r="L46" s="184"/>
      <c r="M46" s="184"/>
      <c r="N46" s="184"/>
      <c r="O46" s="184"/>
      <c r="P46" s="184"/>
      <c r="Q46" s="185"/>
      <c r="R46" s="200"/>
      <c r="S46" s="200"/>
      <c r="T46" s="200"/>
      <c r="U46" s="201"/>
      <c r="V46" s="202"/>
      <c r="W46" s="203"/>
      <c r="X46" s="190"/>
      <c r="Y46" s="184"/>
      <c r="Z46" s="184"/>
      <c r="AA46" s="191"/>
      <c r="AB46" s="191"/>
      <c r="AC46" s="191"/>
      <c r="AD46" s="191"/>
      <c r="AE46" s="191"/>
      <c r="AF46" s="191"/>
      <c r="AG46" s="191"/>
    </row>
    <row r="47">
      <c r="A47" s="184"/>
      <c r="B47" s="184"/>
      <c r="C47" s="184"/>
      <c r="D47" s="184"/>
      <c r="E47" s="184"/>
      <c r="F47" s="194"/>
      <c r="G47" s="184"/>
      <c r="H47" s="184"/>
      <c r="I47" s="184"/>
      <c r="J47" s="184"/>
      <c r="K47" s="184"/>
      <c r="L47" s="184"/>
      <c r="M47" s="184"/>
      <c r="N47" s="184"/>
      <c r="O47" s="184"/>
      <c r="P47" s="184"/>
      <c r="Q47" s="185"/>
      <c r="R47" s="200"/>
      <c r="S47" s="200"/>
      <c r="T47" s="200"/>
      <c r="U47" s="201"/>
      <c r="V47" s="202"/>
      <c r="W47" s="203"/>
      <c r="X47" s="190"/>
      <c r="Y47" s="184"/>
      <c r="Z47" s="184"/>
      <c r="AA47" s="191"/>
      <c r="AB47" s="191"/>
      <c r="AC47" s="191"/>
      <c r="AD47" s="191"/>
      <c r="AE47" s="191"/>
      <c r="AF47" s="191"/>
      <c r="AG47" s="191"/>
    </row>
    <row r="48">
      <c r="A48" s="184"/>
      <c r="B48" s="184"/>
      <c r="C48" s="184"/>
      <c r="D48" s="184"/>
      <c r="E48" s="184"/>
      <c r="F48" s="214"/>
      <c r="G48" s="184"/>
      <c r="H48" s="184"/>
      <c r="I48" s="184"/>
      <c r="J48" s="184"/>
      <c r="K48" s="184"/>
      <c r="L48" s="184"/>
      <c r="M48" s="184"/>
      <c r="N48" s="184"/>
      <c r="O48" s="184"/>
      <c r="P48" s="184"/>
      <c r="Q48" s="185"/>
      <c r="R48" s="200"/>
      <c r="S48" s="200"/>
      <c r="T48" s="200"/>
      <c r="U48" s="201"/>
      <c r="V48" s="202"/>
      <c r="W48" s="203"/>
      <c r="X48" s="190"/>
      <c r="Y48" s="184"/>
      <c r="Z48" s="184"/>
      <c r="AA48" s="191"/>
      <c r="AB48" s="191"/>
      <c r="AC48" s="191"/>
      <c r="AD48" s="191"/>
      <c r="AE48" s="191"/>
      <c r="AF48" s="191"/>
      <c r="AG48" s="191"/>
    </row>
    <row r="49">
      <c r="A49" s="184"/>
      <c r="B49" s="184"/>
      <c r="C49" s="184"/>
      <c r="D49" s="184"/>
      <c r="E49" s="184"/>
      <c r="F49" s="194"/>
      <c r="G49" s="184"/>
      <c r="H49" s="184"/>
      <c r="I49" s="184"/>
      <c r="J49" s="184"/>
      <c r="K49" s="184"/>
      <c r="L49" s="184"/>
      <c r="M49" s="184"/>
      <c r="N49" s="184"/>
      <c r="O49" s="184"/>
      <c r="P49" s="184"/>
      <c r="Q49" s="185"/>
      <c r="R49" s="200"/>
      <c r="S49" s="200"/>
      <c r="T49" s="200"/>
      <c r="U49" s="201"/>
      <c r="V49" s="202"/>
      <c r="W49" s="203"/>
      <c r="X49" s="190"/>
      <c r="Y49" s="184"/>
      <c r="Z49" s="184"/>
      <c r="AA49" s="191"/>
      <c r="AB49" s="191"/>
      <c r="AC49" s="191"/>
      <c r="AD49" s="191"/>
      <c r="AE49" s="191"/>
      <c r="AF49" s="191"/>
      <c r="AG49" s="191"/>
    </row>
    <row r="50">
      <c r="A50" s="184"/>
      <c r="B50" s="184"/>
      <c r="C50" s="184"/>
      <c r="D50" s="184"/>
      <c r="E50" s="184"/>
      <c r="F50" s="214"/>
      <c r="G50" s="184"/>
      <c r="H50" s="184"/>
      <c r="I50" s="184"/>
      <c r="J50" s="184"/>
      <c r="K50" s="184"/>
      <c r="L50" s="184"/>
      <c r="M50" s="184"/>
      <c r="N50" s="184"/>
      <c r="O50" s="184"/>
      <c r="P50" s="184"/>
      <c r="Q50" s="185"/>
      <c r="R50" s="200"/>
      <c r="S50" s="200"/>
      <c r="T50" s="200"/>
      <c r="U50" s="201"/>
      <c r="V50" s="202"/>
      <c r="W50" s="203"/>
      <c r="X50" s="190"/>
      <c r="Y50" s="184"/>
      <c r="Z50" s="184"/>
      <c r="AA50" s="191"/>
      <c r="AB50" s="191"/>
      <c r="AC50" s="191"/>
      <c r="AD50" s="191"/>
      <c r="AE50" s="191"/>
      <c r="AF50" s="191"/>
      <c r="AG50" s="191"/>
    </row>
    <row r="51">
      <c r="A51" s="184"/>
      <c r="B51" s="184"/>
      <c r="C51" s="184"/>
      <c r="D51" s="184"/>
      <c r="E51" s="184"/>
      <c r="F51" s="194"/>
      <c r="G51" s="184"/>
      <c r="H51" s="184"/>
      <c r="I51" s="184"/>
      <c r="J51" s="184"/>
      <c r="K51" s="184"/>
      <c r="L51" s="184"/>
      <c r="M51" s="184"/>
      <c r="N51" s="184"/>
      <c r="O51" s="184"/>
      <c r="P51" s="184"/>
      <c r="Q51" s="185"/>
      <c r="R51" s="200"/>
      <c r="S51" s="200"/>
      <c r="T51" s="200"/>
      <c r="U51" s="201"/>
      <c r="V51" s="202"/>
      <c r="W51" s="203"/>
      <c r="X51" s="190"/>
      <c r="Y51" s="184"/>
      <c r="Z51" s="184"/>
      <c r="AA51" s="191"/>
      <c r="AB51" s="191"/>
      <c r="AC51" s="191"/>
      <c r="AD51" s="191"/>
      <c r="AE51" s="191"/>
      <c r="AF51" s="191"/>
      <c r="AG51" s="191"/>
    </row>
    <row r="52">
      <c r="A52" s="184"/>
      <c r="B52" s="184"/>
      <c r="C52" s="184"/>
      <c r="D52" s="184"/>
      <c r="E52" s="184"/>
      <c r="F52" s="214"/>
      <c r="G52" s="184"/>
      <c r="H52" s="184"/>
      <c r="I52" s="184"/>
      <c r="J52" s="184"/>
      <c r="K52" s="184"/>
      <c r="L52" s="184"/>
      <c r="M52" s="184"/>
      <c r="N52" s="184"/>
      <c r="O52" s="184"/>
      <c r="P52" s="184"/>
      <c r="Q52" s="185"/>
      <c r="R52" s="200"/>
      <c r="S52" s="200"/>
      <c r="T52" s="200"/>
      <c r="U52" s="201"/>
      <c r="V52" s="202"/>
      <c r="W52" s="203"/>
      <c r="X52" s="190"/>
      <c r="Y52" s="184"/>
      <c r="Z52" s="184"/>
      <c r="AA52" s="191"/>
      <c r="AB52" s="191"/>
      <c r="AC52" s="191"/>
      <c r="AD52" s="191"/>
      <c r="AE52" s="191"/>
      <c r="AF52" s="191"/>
      <c r="AG52" s="191"/>
    </row>
    <row r="53">
      <c r="A53" s="184"/>
      <c r="B53" s="184"/>
      <c r="C53" s="184"/>
      <c r="D53" s="184"/>
      <c r="E53" s="184"/>
      <c r="F53" s="194"/>
      <c r="G53" s="184"/>
      <c r="H53" s="184"/>
      <c r="I53" s="184"/>
      <c r="J53" s="184"/>
      <c r="K53" s="184"/>
      <c r="L53" s="184"/>
      <c r="M53" s="184"/>
      <c r="N53" s="184"/>
      <c r="O53" s="184"/>
      <c r="P53" s="184"/>
      <c r="Q53" s="185"/>
      <c r="R53" s="200"/>
      <c r="S53" s="200"/>
      <c r="T53" s="200"/>
      <c r="U53" s="201"/>
      <c r="V53" s="202"/>
      <c r="W53" s="203"/>
      <c r="X53" s="190"/>
      <c r="Y53" s="184"/>
      <c r="Z53" s="184"/>
      <c r="AA53" s="191"/>
      <c r="AB53" s="191"/>
      <c r="AC53" s="191"/>
      <c r="AD53" s="191"/>
      <c r="AE53" s="191"/>
      <c r="AF53" s="191"/>
      <c r="AG53" s="191"/>
    </row>
    <row r="54">
      <c r="A54" s="184"/>
      <c r="B54" s="184"/>
      <c r="C54" s="184"/>
      <c r="D54" s="184"/>
      <c r="E54" s="184"/>
      <c r="F54" s="214"/>
      <c r="G54" s="184"/>
      <c r="H54" s="184"/>
      <c r="I54" s="184"/>
      <c r="J54" s="184"/>
      <c r="K54" s="184"/>
      <c r="L54" s="184"/>
      <c r="M54" s="184"/>
      <c r="N54" s="184"/>
      <c r="O54" s="184"/>
      <c r="P54" s="184"/>
      <c r="Q54" s="185"/>
      <c r="R54" s="200"/>
      <c r="S54" s="200"/>
      <c r="T54" s="200"/>
      <c r="U54" s="201"/>
      <c r="V54" s="202"/>
      <c r="W54" s="203"/>
      <c r="X54" s="190"/>
      <c r="Y54" s="184"/>
      <c r="Z54" s="184"/>
      <c r="AA54" s="191"/>
      <c r="AB54" s="191"/>
      <c r="AC54" s="191"/>
      <c r="AD54" s="191"/>
      <c r="AE54" s="191"/>
      <c r="AF54" s="191"/>
      <c r="AG54" s="191"/>
    </row>
    <row r="55">
      <c r="A55" s="184"/>
      <c r="B55" s="184"/>
      <c r="C55" s="184"/>
      <c r="D55" s="184"/>
      <c r="E55" s="184"/>
      <c r="F55" s="194"/>
      <c r="G55" s="184"/>
      <c r="H55" s="184"/>
      <c r="I55" s="184"/>
      <c r="J55" s="184"/>
      <c r="K55" s="184"/>
      <c r="L55" s="184"/>
      <c r="M55" s="184"/>
      <c r="N55" s="184"/>
      <c r="O55" s="184"/>
      <c r="P55" s="184"/>
      <c r="Q55" s="185"/>
      <c r="R55" s="200"/>
      <c r="S55" s="200"/>
      <c r="T55" s="200"/>
      <c r="U55" s="201"/>
      <c r="V55" s="202"/>
      <c r="W55" s="203"/>
      <c r="X55" s="190"/>
      <c r="Y55" s="184"/>
      <c r="Z55" s="184"/>
      <c r="AA55" s="191"/>
      <c r="AB55" s="191"/>
      <c r="AC55" s="191"/>
      <c r="AD55" s="191"/>
      <c r="AE55" s="191"/>
      <c r="AF55" s="191"/>
      <c r="AG55" s="191"/>
    </row>
    <row r="56">
      <c r="A56" s="184"/>
      <c r="B56" s="184"/>
      <c r="C56" s="184"/>
      <c r="D56" s="184"/>
      <c r="E56" s="184"/>
      <c r="F56" s="214"/>
      <c r="G56" s="184"/>
      <c r="H56" s="184"/>
      <c r="I56" s="184"/>
      <c r="J56" s="184"/>
      <c r="K56" s="184"/>
      <c r="L56" s="184"/>
      <c r="M56" s="184"/>
      <c r="N56" s="184"/>
      <c r="O56" s="184"/>
      <c r="P56" s="184"/>
      <c r="Q56" s="185"/>
      <c r="R56" s="200"/>
      <c r="S56" s="200"/>
      <c r="T56" s="200"/>
      <c r="U56" s="201"/>
      <c r="V56" s="202"/>
      <c r="W56" s="203"/>
      <c r="X56" s="190"/>
      <c r="Y56" s="184"/>
      <c r="Z56" s="184"/>
      <c r="AA56" s="191"/>
      <c r="AB56" s="191"/>
      <c r="AC56" s="191"/>
      <c r="AD56" s="191"/>
      <c r="AE56" s="191"/>
      <c r="AF56" s="191"/>
      <c r="AG56" s="191"/>
    </row>
    <row r="57">
      <c r="A57" s="184"/>
      <c r="B57" s="184"/>
      <c r="C57" s="184"/>
      <c r="D57" s="184"/>
      <c r="E57" s="184"/>
      <c r="F57" s="194"/>
      <c r="G57" s="184"/>
      <c r="H57" s="184"/>
      <c r="I57" s="184"/>
      <c r="J57" s="184"/>
      <c r="K57" s="184"/>
      <c r="L57" s="184"/>
      <c r="M57" s="184"/>
      <c r="N57" s="184"/>
      <c r="O57" s="184"/>
      <c r="P57" s="184"/>
      <c r="Q57" s="185"/>
      <c r="R57" s="200"/>
      <c r="S57" s="200"/>
      <c r="T57" s="200"/>
      <c r="U57" s="201"/>
      <c r="V57" s="202"/>
      <c r="W57" s="203"/>
      <c r="X57" s="190"/>
      <c r="Y57" s="184"/>
      <c r="Z57" s="184"/>
      <c r="AA57" s="191"/>
      <c r="AB57" s="191"/>
      <c r="AC57" s="191"/>
      <c r="AD57" s="191"/>
      <c r="AE57" s="191"/>
      <c r="AF57" s="191"/>
      <c r="AG57" s="191"/>
    </row>
    <row r="58">
      <c r="A58" s="184"/>
      <c r="B58" s="184"/>
      <c r="C58" s="184"/>
      <c r="D58" s="184"/>
      <c r="E58" s="184"/>
      <c r="F58" s="214"/>
      <c r="G58" s="184"/>
      <c r="H58" s="184"/>
      <c r="I58" s="184"/>
      <c r="J58" s="184"/>
      <c r="K58" s="184"/>
      <c r="L58" s="184"/>
      <c r="M58" s="184"/>
      <c r="N58" s="184"/>
      <c r="O58" s="184"/>
      <c r="P58" s="184"/>
      <c r="Q58" s="185"/>
      <c r="R58" s="200"/>
      <c r="S58" s="200"/>
      <c r="T58" s="200"/>
      <c r="U58" s="201"/>
      <c r="V58" s="202"/>
      <c r="W58" s="203"/>
      <c r="X58" s="190"/>
      <c r="Y58" s="184"/>
      <c r="Z58" s="184"/>
      <c r="AA58" s="191"/>
      <c r="AB58" s="191"/>
      <c r="AC58" s="191"/>
      <c r="AD58" s="191"/>
      <c r="AE58" s="191"/>
      <c r="AF58" s="191"/>
      <c r="AG58" s="191"/>
    </row>
    <row r="59">
      <c r="A59" s="184"/>
      <c r="B59" s="184"/>
      <c r="C59" s="184"/>
      <c r="D59" s="184"/>
      <c r="E59" s="184"/>
      <c r="F59" s="194"/>
      <c r="G59" s="184"/>
      <c r="H59" s="184"/>
      <c r="I59" s="184"/>
      <c r="J59" s="184"/>
      <c r="K59" s="184"/>
      <c r="L59" s="184"/>
      <c r="M59" s="184"/>
      <c r="N59" s="184"/>
      <c r="O59" s="184"/>
      <c r="P59" s="184"/>
      <c r="Q59" s="185"/>
      <c r="R59" s="200"/>
      <c r="S59" s="200"/>
      <c r="T59" s="200"/>
      <c r="U59" s="201"/>
      <c r="V59" s="202"/>
      <c r="W59" s="203"/>
      <c r="X59" s="190"/>
      <c r="Y59" s="184"/>
      <c r="Z59" s="184"/>
      <c r="AA59" s="191"/>
      <c r="AB59" s="191"/>
      <c r="AC59" s="191"/>
      <c r="AD59" s="191"/>
      <c r="AE59" s="191"/>
      <c r="AF59" s="191"/>
      <c r="AG59" s="191"/>
    </row>
    <row r="60">
      <c r="A60" s="184"/>
      <c r="B60" s="184"/>
      <c r="C60" s="184"/>
      <c r="D60" s="184"/>
      <c r="E60" s="184"/>
      <c r="F60" s="214"/>
      <c r="G60" s="184"/>
      <c r="H60" s="184"/>
      <c r="I60" s="184"/>
      <c r="J60" s="184"/>
      <c r="K60" s="184"/>
      <c r="L60" s="184"/>
      <c r="M60" s="184"/>
      <c r="N60" s="184"/>
      <c r="O60" s="184"/>
      <c r="P60" s="184"/>
      <c r="Q60" s="185"/>
      <c r="R60" s="200"/>
      <c r="S60" s="200"/>
      <c r="T60" s="200"/>
      <c r="U60" s="201"/>
      <c r="V60" s="202"/>
      <c r="W60" s="203"/>
      <c r="X60" s="190"/>
      <c r="Y60" s="184"/>
      <c r="Z60" s="184"/>
      <c r="AA60" s="191"/>
      <c r="AB60" s="191"/>
      <c r="AC60" s="191"/>
      <c r="AD60" s="191"/>
      <c r="AE60" s="191"/>
      <c r="AF60" s="191"/>
      <c r="AG60" s="191"/>
    </row>
    <row r="61">
      <c r="A61" s="184"/>
      <c r="B61" s="184"/>
      <c r="C61" s="184"/>
      <c r="D61" s="184"/>
      <c r="E61" s="184"/>
      <c r="F61" s="194"/>
      <c r="G61" s="184"/>
      <c r="H61" s="184"/>
      <c r="I61" s="184"/>
      <c r="J61" s="184"/>
      <c r="K61" s="184"/>
      <c r="L61" s="184"/>
      <c r="M61" s="184"/>
      <c r="N61" s="184"/>
      <c r="O61" s="184"/>
      <c r="P61" s="184"/>
      <c r="Q61" s="185"/>
      <c r="R61" s="200"/>
      <c r="S61" s="200"/>
      <c r="T61" s="200"/>
      <c r="U61" s="201"/>
      <c r="V61" s="202"/>
      <c r="W61" s="203"/>
      <c r="X61" s="190"/>
      <c r="Y61" s="184"/>
      <c r="Z61" s="184"/>
      <c r="AA61" s="191"/>
      <c r="AB61" s="191"/>
      <c r="AC61" s="191"/>
      <c r="AD61" s="191"/>
      <c r="AE61" s="191"/>
      <c r="AF61" s="191"/>
      <c r="AG61" s="191"/>
    </row>
    <row r="62">
      <c r="A62" s="184"/>
      <c r="B62" s="184"/>
      <c r="C62" s="184"/>
      <c r="D62" s="184"/>
      <c r="E62" s="184"/>
      <c r="F62" s="214"/>
      <c r="G62" s="184"/>
      <c r="H62" s="184"/>
      <c r="I62" s="184"/>
      <c r="J62" s="184"/>
      <c r="K62" s="184"/>
      <c r="L62" s="184"/>
      <c r="M62" s="184"/>
      <c r="N62" s="184"/>
      <c r="O62" s="184"/>
      <c r="P62" s="184"/>
      <c r="Q62" s="185"/>
      <c r="R62" s="200"/>
      <c r="S62" s="200"/>
      <c r="T62" s="200"/>
      <c r="U62" s="201"/>
      <c r="V62" s="202"/>
      <c r="W62" s="203"/>
      <c r="X62" s="190"/>
      <c r="Y62" s="184"/>
      <c r="Z62" s="184"/>
      <c r="AA62" s="191"/>
      <c r="AB62" s="191"/>
      <c r="AC62" s="191"/>
      <c r="AD62" s="191"/>
      <c r="AE62" s="191"/>
      <c r="AF62" s="191"/>
      <c r="AG62" s="191"/>
    </row>
    <row r="63">
      <c r="A63" s="184"/>
      <c r="B63" s="184"/>
      <c r="C63" s="184"/>
      <c r="D63" s="184"/>
      <c r="E63" s="184"/>
      <c r="F63" s="194"/>
      <c r="G63" s="184"/>
      <c r="H63" s="184"/>
      <c r="I63" s="184"/>
      <c r="J63" s="184"/>
      <c r="K63" s="184"/>
      <c r="L63" s="184"/>
      <c r="M63" s="184"/>
      <c r="N63" s="184"/>
      <c r="O63" s="184"/>
      <c r="P63" s="184"/>
      <c r="Q63" s="185"/>
      <c r="R63" s="200"/>
      <c r="S63" s="200"/>
      <c r="T63" s="200"/>
      <c r="U63" s="201"/>
      <c r="V63" s="202"/>
      <c r="W63" s="203"/>
      <c r="X63" s="190"/>
      <c r="Y63" s="184"/>
      <c r="Z63" s="184"/>
      <c r="AA63" s="191"/>
      <c r="AB63" s="191"/>
      <c r="AC63" s="191"/>
      <c r="AD63" s="191"/>
      <c r="AE63" s="191"/>
      <c r="AF63" s="191"/>
      <c r="AG63" s="191"/>
    </row>
    <row r="64">
      <c r="A64" s="184"/>
      <c r="B64" s="184"/>
      <c r="C64" s="184"/>
      <c r="D64" s="184"/>
      <c r="E64" s="184"/>
      <c r="F64" s="214"/>
      <c r="G64" s="184"/>
      <c r="H64" s="184"/>
      <c r="I64" s="184"/>
      <c r="J64" s="184"/>
      <c r="K64" s="184"/>
      <c r="L64" s="184"/>
      <c r="M64" s="184"/>
      <c r="N64" s="184"/>
      <c r="O64" s="184"/>
      <c r="P64" s="184"/>
      <c r="Q64" s="185"/>
      <c r="R64" s="200"/>
      <c r="S64" s="200"/>
      <c r="T64" s="200"/>
      <c r="U64" s="201"/>
      <c r="V64" s="202"/>
      <c r="W64" s="203"/>
      <c r="X64" s="190"/>
      <c r="Y64" s="184"/>
      <c r="Z64" s="184"/>
      <c r="AA64" s="191"/>
      <c r="AB64" s="191"/>
      <c r="AC64" s="191"/>
      <c r="AD64" s="191"/>
      <c r="AE64" s="191"/>
      <c r="AF64" s="191"/>
      <c r="AG64" s="191"/>
    </row>
    <row r="65">
      <c r="A65" s="184"/>
      <c r="B65" s="184"/>
      <c r="C65" s="184"/>
      <c r="D65" s="184"/>
      <c r="E65" s="184"/>
      <c r="F65" s="194"/>
      <c r="G65" s="184"/>
      <c r="H65" s="184"/>
      <c r="I65" s="184"/>
      <c r="J65" s="184"/>
      <c r="K65" s="184"/>
      <c r="L65" s="184"/>
      <c r="M65" s="184"/>
      <c r="N65" s="184"/>
      <c r="O65" s="184"/>
      <c r="P65" s="184"/>
      <c r="Q65" s="185"/>
      <c r="R65" s="200"/>
      <c r="S65" s="200"/>
      <c r="T65" s="200"/>
      <c r="U65" s="201"/>
      <c r="V65" s="202"/>
      <c r="W65" s="203"/>
      <c r="X65" s="190"/>
      <c r="Y65" s="184"/>
      <c r="Z65" s="184"/>
      <c r="AA65" s="191"/>
      <c r="AB65" s="191"/>
      <c r="AC65" s="191"/>
      <c r="AD65" s="191"/>
      <c r="AE65" s="191"/>
      <c r="AF65" s="191"/>
      <c r="AG65" s="191"/>
    </row>
    <row r="66">
      <c r="A66" s="184"/>
      <c r="B66" s="184"/>
      <c r="C66" s="184"/>
      <c r="D66" s="184"/>
      <c r="E66" s="184"/>
      <c r="F66" s="214"/>
      <c r="G66" s="184"/>
      <c r="H66" s="184"/>
      <c r="I66" s="184"/>
      <c r="J66" s="184"/>
      <c r="K66" s="184"/>
      <c r="L66" s="184"/>
      <c r="M66" s="184"/>
      <c r="N66" s="184"/>
      <c r="O66" s="184"/>
      <c r="P66" s="184"/>
      <c r="Q66" s="185"/>
      <c r="R66" s="200"/>
      <c r="S66" s="200"/>
      <c r="T66" s="200"/>
      <c r="U66" s="201"/>
      <c r="V66" s="202"/>
      <c r="W66" s="203"/>
      <c r="X66" s="190"/>
      <c r="Y66" s="184"/>
      <c r="Z66" s="184"/>
      <c r="AA66" s="191"/>
      <c r="AB66" s="191"/>
      <c r="AC66" s="191"/>
      <c r="AD66" s="191"/>
      <c r="AE66" s="191"/>
      <c r="AF66" s="191"/>
      <c r="AG66" s="191"/>
    </row>
    <row r="67">
      <c r="A67" s="184"/>
      <c r="B67" s="184"/>
      <c r="C67" s="184"/>
      <c r="D67" s="184"/>
      <c r="E67" s="184"/>
      <c r="F67" s="194"/>
      <c r="G67" s="184"/>
      <c r="H67" s="184"/>
      <c r="I67" s="184"/>
      <c r="J67" s="184"/>
      <c r="K67" s="184"/>
      <c r="L67" s="184"/>
      <c r="M67" s="184"/>
      <c r="N67" s="184"/>
      <c r="O67" s="184"/>
      <c r="P67" s="184"/>
      <c r="Q67" s="185"/>
      <c r="R67" s="200"/>
      <c r="S67" s="200"/>
      <c r="T67" s="200"/>
      <c r="U67" s="201"/>
      <c r="V67" s="202"/>
      <c r="W67" s="203"/>
      <c r="X67" s="190"/>
      <c r="Y67" s="184"/>
      <c r="Z67" s="184"/>
      <c r="AA67" s="191"/>
      <c r="AB67" s="191"/>
      <c r="AC67" s="191"/>
      <c r="AD67" s="191"/>
      <c r="AE67" s="191"/>
      <c r="AF67" s="191"/>
      <c r="AG67" s="191"/>
    </row>
    <row r="68">
      <c r="A68" s="184"/>
      <c r="B68" s="184"/>
      <c r="C68" s="184"/>
      <c r="D68" s="184"/>
      <c r="E68" s="184"/>
      <c r="F68" s="214"/>
      <c r="G68" s="184"/>
      <c r="H68" s="184"/>
      <c r="I68" s="184"/>
      <c r="J68" s="184"/>
      <c r="K68" s="184"/>
      <c r="L68" s="184"/>
      <c r="M68" s="184"/>
      <c r="N68" s="184"/>
      <c r="O68" s="184"/>
      <c r="P68" s="184"/>
      <c r="Q68" s="185"/>
      <c r="R68" s="200"/>
      <c r="S68" s="200"/>
      <c r="T68" s="200"/>
      <c r="U68" s="201"/>
      <c r="V68" s="202"/>
      <c r="W68" s="203"/>
      <c r="X68" s="190"/>
      <c r="Y68" s="184"/>
      <c r="Z68" s="184"/>
      <c r="AA68" s="191"/>
      <c r="AB68" s="191"/>
      <c r="AC68" s="191"/>
      <c r="AD68" s="191"/>
      <c r="AE68" s="191"/>
      <c r="AF68" s="191"/>
      <c r="AG68" s="191"/>
    </row>
    <row r="69">
      <c r="A69" s="184"/>
      <c r="B69" s="184"/>
      <c r="C69" s="184"/>
      <c r="D69" s="184"/>
      <c r="E69" s="184"/>
      <c r="F69" s="194"/>
      <c r="G69" s="184"/>
      <c r="H69" s="184"/>
      <c r="I69" s="184"/>
      <c r="J69" s="184"/>
      <c r="K69" s="184"/>
      <c r="L69" s="184"/>
      <c r="M69" s="184"/>
      <c r="N69" s="184"/>
      <c r="O69" s="184"/>
      <c r="P69" s="184"/>
      <c r="Q69" s="185"/>
      <c r="R69" s="200"/>
      <c r="S69" s="200"/>
      <c r="T69" s="200"/>
      <c r="U69" s="201"/>
      <c r="V69" s="202"/>
      <c r="W69" s="203"/>
      <c r="X69" s="190"/>
      <c r="Y69" s="184"/>
      <c r="Z69" s="184"/>
      <c r="AA69" s="191"/>
      <c r="AB69" s="191"/>
      <c r="AC69" s="191"/>
      <c r="AD69" s="191"/>
      <c r="AE69" s="191"/>
      <c r="AF69" s="191"/>
      <c r="AG69" s="191"/>
    </row>
    <row r="70">
      <c r="A70" s="184"/>
      <c r="B70" s="184"/>
      <c r="C70" s="184"/>
      <c r="D70" s="184"/>
      <c r="E70" s="184"/>
      <c r="F70" s="214"/>
      <c r="G70" s="184"/>
      <c r="H70" s="184"/>
      <c r="I70" s="184"/>
      <c r="J70" s="184"/>
      <c r="K70" s="184"/>
      <c r="L70" s="184"/>
      <c r="M70" s="184"/>
      <c r="N70" s="184"/>
      <c r="O70" s="184"/>
      <c r="P70" s="184"/>
      <c r="Q70" s="185"/>
      <c r="R70" s="200"/>
      <c r="S70" s="200"/>
      <c r="T70" s="200"/>
      <c r="U70" s="201"/>
      <c r="V70" s="202"/>
      <c r="W70" s="203"/>
      <c r="X70" s="190"/>
      <c r="Y70" s="184"/>
      <c r="Z70" s="184"/>
      <c r="AA70" s="191"/>
      <c r="AB70" s="191"/>
      <c r="AC70" s="191"/>
      <c r="AD70" s="191"/>
      <c r="AE70" s="191"/>
      <c r="AF70" s="191"/>
      <c r="AG70" s="191"/>
    </row>
    <row r="71">
      <c r="A71" s="184"/>
      <c r="B71" s="184"/>
      <c r="C71" s="184"/>
      <c r="D71" s="184"/>
      <c r="E71" s="184"/>
      <c r="F71" s="194"/>
      <c r="G71" s="184"/>
      <c r="H71" s="184"/>
      <c r="I71" s="184"/>
      <c r="J71" s="184"/>
      <c r="K71" s="184"/>
      <c r="L71" s="184"/>
      <c r="M71" s="184"/>
      <c r="N71" s="184"/>
      <c r="O71" s="184"/>
      <c r="P71" s="184"/>
      <c r="Q71" s="185"/>
      <c r="R71" s="200"/>
      <c r="S71" s="200"/>
      <c r="T71" s="200"/>
      <c r="U71" s="201"/>
      <c r="V71" s="202"/>
      <c r="W71" s="203"/>
      <c r="X71" s="190"/>
      <c r="Y71" s="184"/>
      <c r="Z71" s="184"/>
      <c r="AA71" s="191"/>
      <c r="AB71" s="191"/>
      <c r="AC71" s="191"/>
      <c r="AD71" s="191"/>
      <c r="AE71" s="191"/>
      <c r="AF71" s="191"/>
      <c r="AG71" s="191"/>
    </row>
    <row r="72">
      <c r="A72" s="184"/>
      <c r="B72" s="184"/>
      <c r="C72" s="184"/>
      <c r="D72" s="184"/>
      <c r="E72" s="184"/>
      <c r="F72" s="214"/>
      <c r="G72" s="184"/>
      <c r="H72" s="184"/>
      <c r="I72" s="184"/>
      <c r="J72" s="184"/>
      <c r="K72" s="184"/>
      <c r="L72" s="184"/>
      <c r="M72" s="184"/>
      <c r="N72" s="184"/>
      <c r="O72" s="184"/>
      <c r="P72" s="184"/>
      <c r="Q72" s="185"/>
      <c r="R72" s="200"/>
      <c r="S72" s="200"/>
      <c r="T72" s="200"/>
      <c r="U72" s="201"/>
      <c r="V72" s="202"/>
      <c r="W72" s="203"/>
      <c r="X72" s="190"/>
      <c r="Y72" s="184"/>
      <c r="Z72" s="184"/>
      <c r="AA72" s="191"/>
      <c r="AB72" s="191"/>
      <c r="AC72" s="191"/>
      <c r="AD72" s="191"/>
      <c r="AE72" s="191"/>
      <c r="AF72" s="191"/>
      <c r="AG72" s="191"/>
    </row>
    <row r="73">
      <c r="A73" s="184"/>
      <c r="B73" s="184"/>
      <c r="C73" s="184"/>
      <c r="D73" s="184"/>
      <c r="E73" s="184"/>
      <c r="F73" s="194"/>
      <c r="G73" s="184"/>
      <c r="H73" s="184"/>
      <c r="I73" s="184"/>
      <c r="J73" s="184"/>
      <c r="K73" s="184"/>
      <c r="L73" s="184"/>
      <c r="M73" s="184"/>
      <c r="N73" s="184"/>
      <c r="O73" s="184"/>
      <c r="P73" s="184"/>
      <c r="Q73" s="185"/>
      <c r="R73" s="200"/>
      <c r="S73" s="200"/>
      <c r="T73" s="200"/>
      <c r="U73" s="201"/>
      <c r="V73" s="202"/>
      <c r="W73" s="203"/>
      <c r="X73" s="190"/>
      <c r="Y73" s="184"/>
      <c r="Z73" s="184"/>
      <c r="AA73" s="191"/>
      <c r="AB73" s="191"/>
      <c r="AC73" s="191"/>
      <c r="AD73" s="191"/>
      <c r="AE73" s="191"/>
      <c r="AF73" s="191"/>
      <c r="AG73" s="191"/>
    </row>
    <row r="74">
      <c r="A74" s="184"/>
      <c r="B74" s="184"/>
      <c r="C74" s="184"/>
      <c r="D74" s="184"/>
      <c r="E74" s="184"/>
      <c r="F74" s="214"/>
      <c r="G74" s="184"/>
      <c r="H74" s="184"/>
      <c r="I74" s="184"/>
      <c r="J74" s="184"/>
      <c r="K74" s="184"/>
      <c r="L74" s="184"/>
      <c r="M74" s="184"/>
      <c r="N74" s="184"/>
      <c r="O74" s="184"/>
      <c r="P74" s="184"/>
      <c r="Q74" s="185"/>
      <c r="R74" s="200"/>
      <c r="S74" s="200"/>
      <c r="T74" s="200"/>
      <c r="U74" s="201"/>
      <c r="V74" s="202"/>
      <c r="W74" s="203"/>
      <c r="X74" s="190"/>
      <c r="Y74" s="184"/>
      <c r="Z74" s="184"/>
      <c r="AA74" s="191"/>
      <c r="AB74" s="191"/>
      <c r="AC74" s="191"/>
      <c r="AD74" s="191"/>
      <c r="AE74" s="191"/>
      <c r="AF74" s="191"/>
      <c r="AG74" s="191"/>
    </row>
    <row r="75">
      <c r="A75" s="184"/>
      <c r="B75" s="184"/>
      <c r="C75" s="184"/>
      <c r="D75" s="184"/>
      <c r="E75" s="184"/>
      <c r="F75" s="194"/>
      <c r="G75" s="184"/>
      <c r="H75" s="184"/>
      <c r="I75" s="184"/>
      <c r="J75" s="184"/>
      <c r="K75" s="184"/>
      <c r="L75" s="184"/>
      <c r="M75" s="184"/>
      <c r="N75" s="184"/>
      <c r="O75" s="184"/>
      <c r="P75" s="184"/>
      <c r="Q75" s="185"/>
      <c r="R75" s="200"/>
      <c r="S75" s="200"/>
      <c r="T75" s="200"/>
      <c r="U75" s="201"/>
      <c r="V75" s="202"/>
      <c r="W75" s="203"/>
      <c r="X75" s="190"/>
      <c r="Y75" s="184"/>
      <c r="Z75" s="184"/>
      <c r="AA75" s="191"/>
      <c r="AB75" s="191"/>
      <c r="AC75" s="191"/>
      <c r="AD75" s="191"/>
      <c r="AE75" s="191"/>
      <c r="AF75" s="191"/>
      <c r="AG75" s="191"/>
    </row>
    <row r="76">
      <c r="A76" s="184"/>
      <c r="B76" s="184"/>
      <c r="C76" s="184"/>
      <c r="D76" s="184"/>
      <c r="E76" s="184"/>
      <c r="F76" s="214"/>
      <c r="G76" s="184"/>
      <c r="H76" s="184"/>
      <c r="I76" s="184"/>
      <c r="J76" s="184"/>
      <c r="K76" s="184"/>
      <c r="L76" s="184"/>
      <c r="M76" s="184"/>
      <c r="N76" s="184"/>
      <c r="O76" s="184"/>
      <c r="P76" s="184"/>
      <c r="Q76" s="185"/>
      <c r="R76" s="200"/>
      <c r="S76" s="200"/>
      <c r="T76" s="200"/>
      <c r="U76" s="201"/>
      <c r="V76" s="202"/>
      <c r="W76" s="203"/>
      <c r="X76" s="190"/>
      <c r="Y76" s="184"/>
      <c r="Z76" s="184"/>
      <c r="AA76" s="191"/>
      <c r="AB76" s="191"/>
      <c r="AC76" s="191"/>
      <c r="AD76" s="191"/>
      <c r="AE76" s="191"/>
      <c r="AF76" s="191"/>
      <c r="AG76" s="191"/>
    </row>
    <row r="77">
      <c r="A77" s="184"/>
      <c r="B77" s="184"/>
      <c r="C77" s="184"/>
      <c r="D77" s="184"/>
      <c r="E77" s="184"/>
      <c r="F77" s="194"/>
      <c r="G77" s="184"/>
      <c r="H77" s="184"/>
      <c r="I77" s="184"/>
      <c r="J77" s="184"/>
      <c r="K77" s="184"/>
      <c r="L77" s="184"/>
      <c r="M77" s="184"/>
      <c r="N77" s="184"/>
      <c r="O77" s="184"/>
      <c r="P77" s="184"/>
      <c r="Q77" s="185"/>
      <c r="R77" s="200"/>
      <c r="S77" s="200"/>
      <c r="T77" s="200"/>
      <c r="U77" s="201"/>
      <c r="V77" s="202"/>
      <c r="W77" s="203"/>
      <c r="X77" s="190"/>
      <c r="Y77" s="184"/>
      <c r="Z77" s="184"/>
      <c r="AA77" s="191"/>
      <c r="AB77" s="191"/>
      <c r="AC77" s="191"/>
      <c r="AD77" s="191"/>
      <c r="AE77" s="191"/>
      <c r="AF77" s="191"/>
      <c r="AG77" s="191"/>
    </row>
    <row r="78">
      <c r="A78" s="184"/>
      <c r="B78" s="184"/>
      <c r="C78" s="184"/>
      <c r="D78" s="184"/>
      <c r="E78" s="184"/>
      <c r="F78" s="214"/>
      <c r="G78" s="184"/>
      <c r="H78" s="184"/>
      <c r="I78" s="184"/>
      <c r="J78" s="184"/>
      <c r="K78" s="184"/>
      <c r="L78" s="184"/>
      <c r="M78" s="184"/>
      <c r="N78" s="184"/>
      <c r="O78" s="184"/>
      <c r="P78" s="184"/>
      <c r="Q78" s="185"/>
      <c r="R78" s="200"/>
      <c r="S78" s="200"/>
      <c r="T78" s="200"/>
      <c r="U78" s="201"/>
      <c r="V78" s="202"/>
      <c r="W78" s="203"/>
      <c r="X78" s="190"/>
      <c r="Y78" s="184"/>
      <c r="Z78" s="184"/>
      <c r="AA78" s="191"/>
      <c r="AB78" s="191"/>
      <c r="AC78" s="191"/>
      <c r="AD78" s="191"/>
      <c r="AE78" s="191"/>
      <c r="AF78" s="191"/>
      <c r="AG78" s="191"/>
    </row>
    <row r="79">
      <c r="A79" s="184"/>
      <c r="B79" s="184"/>
      <c r="C79" s="184"/>
      <c r="D79" s="184"/>
      <c r="E79" s="184"/>
      <c r="F79" s="194"/>
      <c r="G79" s="184"/>
      <c r="H79" s="184"/>
      <c r="I79" s="184"/>
      <c r="J79" s="184"/>
      <c r="K79" s="184"/>
      <c r="L79" s="184"/>
      <c r="M79" s="184"/>
      <c r="N79" s="184"/>
      <c r="O79" s="184"/>
      <c r="P79" s="184"/>
      <c r="Q79" s="185"/>
      <c r="R79" s="200"/>
      <c r="S79" s="200"/>
      <c r="T79" s="200"/>
      <c r="U79" s="201"/>
      <c r="V79" s="202"/>
      <c r="W79" s="203"/>
      <c r="X79" s="190"/>
      <c r="Y79" s="184"/>
      <c r="Z79" s="184"/>
      <c r="AA79" s="191"/>
      <c r="AB79" s="191"/>
      <c r="AC79" s="191"/>
      <c r="AD79" s="191"/>
      <c r="AE79" s="191"/>
      <c r="AF79" s="191"/>
      <c r="AG79" s="191"/>
    </row>
    <row r="80">
      <c r="A80" s="184"/>
      <c r="B80" s="184"/>
      <c r="C80" s="184"/>
      <c r="D80" s="184"/>
      <c r="E80" s="184"/>
      <c r="F80" s="214"/>
      <c r="G80" s="184"/>
      <c r="H80" s="184"/>
      <c r="I80" s="184"/>
      <c r="J80" s="184"/>
      <c r="K80" s="184"/>
      <c r="L80" s="184"/>
      <c r="M80" s="184"/>
      <c r="N80" s="184"/>
      <c r="O80" s="184"/>
      <c r="P80" s="184"/>
      <c r="Q80" s="185"/>
      <c r="R80" s="200"/>
      <c r="S80" s="200"/>
      <c r="T80" s="200"/>
      <c r="U80" s="201"/>
      <c r="V80" s="202"/>
      <c r="W80" s="203"/>
      <c r="X80" s="190"/>
      <c r="Y80" s="184"/>
      <c r="Z80" s="184"/>
      <c r="AA80" s="191"/>
      <c r="AB80" s="191"/>
      <c r="AC80" s="191"/>
      <c r="AD80" s="191"/>
      <c r="AE80" s="191"/>
      <c r="AF80" s="191"/>
      <c r="AG80" s="191"/>
    </row>
    <row r="81">
      <c r="A81" s="184"/>
      <c r="B81" s="184"/>
      <c r="C81" s="184"/>
      <c r="D81" s="184"/>
      <c r="E81" s="184"/>
      <c r="F81" s="194"/>
      <c r="G81" s="184"/>
      <c r="H81" s="184"/>
      <c r="I81" s="184"/>
      <c r="J81" s="184"/>
      <c r="K81" s="184"/>
      <c r="L81" s="184"/>
      <c r="M81" s="184"/>
      <c r="N81" s="184"/>
      <c r="O81" s="184"/>
      <c r="P81" s="184"/>
      <c r="Q81" s="185"/>
      <c r="R81" s="200"/>
      <c r="S81" s="200"/>
      <c r="T81" s="200"/>
      <c r="U81" s="201"/>
      <c r="V81" s="202"/>
      <c r="W81" s="203"/>
      <c r="X81" s="190"/>
      <c r="Y81" s="184"/>
      <c r="Z81" s="184"/>
      <c r="AA81" s="191"/>
      <c r="AB81" s="191"/>
      <c r="AC81" s="191"/>
      <c r="AD81" s="191"/>
      <c r="AE81" s="191"/>
      <c r="AF81" s="191"/>
      <c r="AG81" s="191"/>
    </row>
    <row r="82">
      <c r="A82" s="184"/>
      <c r="B82" s="184"/>
      <c r="C82" s="184"/>
      <c r="D82" s="184"/>
      <c r="E82" s="184"/>
      <c r="F82" s="214"/>
      <c r="G82" s="184"/>
      <c r="H82" s="184"/>
      <c r="I82" s="184"/>
      <c r="J82" s="184"/>
      <c r="K82" s="184"/>
      <c r="L82" s="184"/>
      <c r="M82" s="184"/>
      <c r="N82" s="184"/>
      <c r="O82" s="184"/>
      <c r="P82" s="184"/>
      <c r="Q82" s="185"/>
      <c r="R82" s="200"/>
      <c r="S82" s="200"/>
      <c r="T82" s="200"/>
      <c r="U82" s="201"/>
      <c r="V82" s="202"/>
      <c r="W82" s="203"/>
      <c r="X82" s="190"/>
      <c r="Y82" s="184"/>
      <c r="Z82" s="184"/>
      <c r="AA82" s="191"/>
      <c r="AB82" s="191"/>
      <c r="AC82" s="191"/>
      <c r="AD82" s="191"/>
      <c r="AE82" s="191"/>
      <c r="AF82" s="191"/>
      <c r="AG82" s="191"/>
    </row>
    <row r="83">
      <c r="A83" s="184"/>
      <c r="B83" s="184"/>
      <c r="C83" s="184"/>
      <c r="D83" s="184"/>
      <c r="E83" s="184"/>
      <c r="F83" s="194"/>
      <c r="G83" s="184"/>
      <c r="H83" s="184"/>
      <c r="I83" s="184"/>
      <c r="J83" s="184"/>
      <c r="K83" s="184"/>
      <c r="L83" s="184"/>
      <c r="M83" s="184"/>
      <c r="N83" s="184"/>
      <c r="O83" s="184"/>
      <c r="P83" s="184"/>
      <c r="Q83" s="185"/>
      <c r="R83" s="200"/>
      <c r="S83" s="200"/>
      <c r="T83" s="200"/>
      <c r="U83" s="201"/>
      <c r="V83" s="202"/>
      <c r="W83" s="203"/>
      <c r="X83" s="190"/>
      <c r="Y83" s="184"/>
      <c r="Z83" s="184"/>
      <c r="AA83" s="191"/>
      <c r="AB83" s="191"/>
      <c r="AC83" s="191"/>
      <c r="AD83" s="191"/>
      <c r="AE83" s="191"/>
      <c r="AF83" s="191"/>
      <c r="AG83" s="191"/>
    </row>
    <row r="84">
      <c r="A84" s="184"/>
      <c r="B84" s="184"/>
      <c r="C84" s="184"/>
      <c r="D84" s="184"/>
      <c r="E84" s="184"/>
      <c r="F84" s="214"/>
      <c r="G84" s="184"/>
      <c r="H84" s="184"/>
      <c r="I84" s="184"/>
      <c r="J84" s="184"/>
      <c r="K84" s="184"/>
      <c r="L84" s="184"/>
      <c r="M84" s="184"/>
      <c r="N84" s="184"/>
      <c r="O84" s="184"/>
      <c r="P84" s="184"/>
      <c r="Q84" s="185"/>
      <c r="R84" s="200"/>
      <c r="S84" s="200"/>
      <c r="T84" s="200"/>
      <c r="U84" s="201"/>
      <c r="V84" s="202"/>
      <c r="W84" s="203"/>
      <c r="X84" s="190"/>
      <c r="Y84" s="184"/>
      <c r="Z84" s="184"/>
      <c r="AA84" s="191"/>
      <c r="AB84" s="191"/>
      <c r="AC84" s="191"/>
      <c r="AD84" s="191"/>
      <c r="AE84" s="191"/>
      <c r="AF84" s="191"/>
      <c r="AG84" s="191"/>
    </row>
    <row r="85">
      <c r="A85" s="184"/>
      <c r="B85" s="184"/>
      <c r="C85" s="184"/>
      <c r="D85" s="184"/>
      <c r="E85" s="184"/>
      <c r="F85" s="194"/>
      <c r="G85" s="184"/>
      <c r="H85" s="184"/>
      <c r="I85" s="184"/>
      <c r="J85" s="184"/>
      <c r="K85" s="184"/>
      <c r="L85" s="184"/>
      <c r="M85" s="184"/>
      <c r="N85" s="184"/>
      <c r="O85" s="184"/>
      <c r="P85" s="184"/>
      <c r="Q85" s="185"/>
      <c r="R85" s="200"/>
      <c r="S85" s="200"/>
      <c r="T85" s="200"/>
      <c r="U85" s="201"/>
      <c r="V85" s="202"/>
      <c r="W85" s="203"/>
      <c r="X85" s="190"/>
      <c r="Y85" s="184"/>
      <c r="Z85" s="184"/>
      <c r="AA85" s="191"/>
      <c r="AB85" s="191"/>
      <c r="AC85" s="191"/>
      <c r="AD85" s="191"/>
      <c r="AE85" s="191"/>
      <c r="AF85" s="191"/>
      <c r="AG85" s="191"/>
    </row>
    <row r="86">
      <c r="A86" s="184"/>
      <c r="B86" s="184"/>
      <c r="C86" s="184"/>
      <c r="D86" s="184"/>
      <c r="E86" s="184"/>
      <c r="F86" s="214"/>
      <c r="G86" s="184"/>
      <c r="H86" s="184"/>
      <c r="I86" s="184"/>
      <c r="J86" s="184"/>
      <c r="K86" s="184"/>
      <c r="L86" s="184"/>
      <c r="M86" s="184"/>
      <c r="N86" s="184"/>
      <c r="O86" s="184"/>
      <c r="P86" s="184"/>
      <c r="Q86" s="185"/>
      <c r="R86" s="200"/>
      <c r="S86" s="200"/>
      <c r="T86" s="200"/>
      <c r="U86" s="201"/>
      <c r="V86" s="202"/>
      <c r="W86" s="203"/>
      <c r="X86" s="190"/>
      <c r="Y86" s="184"/>
      <c r="Z86" s="184"/>
      <c r="AA86" s="191"/>
      <c r="AB86" s="191"/>
      <c r="AC86" s="191"/>
      <c r="AD86" s="191"/>
      <c r="AE86" s="191"/>
      <c r="AF86" s="191"/>
      <c r="AG86" s="191"/>
    </row>
    <row r="87">
      <c r="A87" s="184"/>
      <c r="B87" s="184"/>
      <c r="C87" s="184"/>
      <c r="D87" s="184"/>
      <c r="E87" s="184"/>
      <c r="F87" s="194"/>
      <c r="G87" s="184"/>
      <c r="H87" s="184"/>
      <c r="I87" s="184"/>
      <c r="J87" s="184"/>
      <c r="K87" s="184"/>
      <c r="L87" s="184"/>
      <c r="M87" s="184"/>
      <c r="N87" s="184"/>
      <c r="O87" s="184"/>
      <c r="P87" s="184"/>
      <c r="Q87" s="185"/>
      <c r="R87" s="200"/>
      <c r="S87" s="200"/>
      <c r="T87" s="200"/>
      <c r="U87" s="201"/>
      <c r="V87" s="202"/>
      <c r="W87" s="203"/>
      <c r="X87" s="190"/>
      <c r="Y87" s="184"/>
      <c r="Z87" s="184"/>
      <c r="AA87" s="191"/>
      <c r="AB87" s="191"/>
      <c r="AC87" s="191"/>
      <c r="AD87" s="191"/>
      <c r="AE87" s="191"/>
      <c r="AF87" s="191"/>
      <c r="AG87" s="191"/>
    </row>
    <row r="88">
      <c r="A88" s="184"/>
      <c r="B88" s="184"/>
      <c r="C88" s="184"/>
      <c r="D88" s="184"/>
      <c r="E88" s="184"/>
      <c r="F88" s="214"/>
      <c r="G88" s="184"/>
      <c r="H88" s="184"/>
      <c r="I88" s="184"/>
      <c r="J88" s="184"/>
      <c r="K88" s="184"/>
      <c r="L88" s="184"/>
      <c r="M88" s="184"/>
      <c r="N88" s="184"/>
      <c r="O88" s="184"/>
      <c r="P88" s="184"/>
      <c r="Q88" s="185"/>
      <c r="R88" s="200"/>
      <c r="S88" s="200"/>
      <c r="T88" s="200"/>
      <c r="U88" s="201"/>
      <c r="V88" s="202"/>
      <c r="W88" s="203"/>
      <c r="X88" s="190"/>
      <c r="Y88" s="184"/>
      <c r="Z88" s="184"/>
      <c r="AA88" s="191"/>
      <c r="AB88" s="191"/>
      <c r="AC88" s="191"/>
      <c r="AD88" s="191"/>
      <c r="AE88" s="191"/>
      <c r="AF88" s="191"/>
      <c r="AG88" s="191"/>
    </row>
    <row r="89">
      <c r="A89" s="184"/>
      <c r="B89" s="184"/>
      <c r="C89" s="184"/>
      <c r="D89" s="184"/>
      <c r="E89" s="184"/>
      <c r="F89" s="194"/>
      <c r="G89" s="184"/>
      <c r="H89" s="184"/>
      <c r="I89" s="184"/>
      <c r="J89" s="184"/>
      <c r="K89" s="184"/>
      <c r="L89" s="184"/>
      <c r="M89" s="184"/>
      <c r="N89" s="184"/>
      <c r="O89" s="184"/>
      <c r="P89" s="184"/>
      <c r="Q89" s="185"/>
      <c r="R89" s="200"/>
      <c r="S89" s="200"/>
      <c r="T89" s="200"/>
      <c r="U89" s="201"/>
      <c r="V89" s="202"/>
      <c r="W89" s="203"/>
      <c r="X89" s="190"/>
      <c r="Y89" s="184"/>
      <c r="Z89" s="184"/>
      <c r="AA89" s="191"/>
      <c r="AB89" s="191"/>
      <c r="AC89" s="191"/>
      <c r="AD89" s="191"/>
      <c r="AE89" s="191"/>
      <c r="AF89" s="191"/>
      <c r="AG89" s="191"/>
    </row>
    <row r="90">
      <c r="A90" s="184"/>
      <c r="B90" s="184"/>
      <c r="C90" s="184"/>
      <c r="D90" s="184"/>
      <c r="E90" s="184"/>
      <c r="F90" s="214"/>
      <c r="G90" s="184"/>
      <c r="H90" s="184"/>
      <c r="I90" s="184"/>
      <c r="J90" s="184"/>
      <c r="K90" s="184"/>
      <c r="L90" s="184"/>
      <c r="M90" s="184"/>
      <c r="N90" s="184"/>
      <c r="O90" s="184"/>
      <c r="P90" s="184"/>
      <c r="Q90" s="185"/>
      <c r="R90" s="200"/>
      <c r="S90" s="200"/>
      <c r="T90" s="200"/>
      <c r="U90" s="201"/>
      <c r="V90" s="202"/>
      <c r="W90" s="203"/>
      <c r="X90" s="190"/>
      <c r="Y90" s="184"/>
      <c r="Z90" s="184"/>
      <c r="AA90" s="191"/>
      <c r="AB90" s="191"/>
      <c r="AC90" s="191"/>
      <c r="AD90" s="191"/>
      <c r="AE90" s="191"/>
      <c r="AF90" s="191"/>
      <c r="AG90" s="191"/>
    </row>
    <row r="91">
      <c r="A91" s="184"/>
      <c r="B91" s="184"/>
      <c r="C91" s="184"/>
      <c r="D91" s="184"/>
      <c r="E91" s="184"/>
      <c r="F91" s="194"/>
      <c r="G91" s="184"/>
      <c r="H91" s="184"/>
      <c r="I91" s="184"/>
      <c r="J91" s="184"/>
      <c r="K91" s="184"/>
      <c r="L91" s="184"/>
      <c r="M91" s="184"/>
      <c r="N91" s="184"/>
      <c r="O91" s="184"/>
      <c r="P91" s="184"/>
      <c r="Q91" s="185"/>
      <c r="R91" s="200"/>
      <c r="S91" s="200"/>
      <c r="T91" s="200"/>
      <c r="U91" s="201"/>
      <c r="V91" s="202"/>
      <c r="W91" s="203"/>
      <c r="X91" s="190"/>
      <c r="Y91" s="184"/>
      <c r="Z91" s="184"/>
      <c r="AA91" s="191"/>
      <c r="AB91" s="191"/>
      <c r="AC91" s="191"/>
      <c r="AD91" s="191"/>
      <c r="AE91" s="191"/>
      <c r="AF91" s="191"/>
      <c r="AG91" s="191"/>
    </row>
    <row r="92">
      <c r="A92" s="184"/>
      <c r="B92" s="184"/>
      <c r="C92" s="184"/>
      <c r="D92" s="184"/>
      <c r="E92" s="184"/>
      <c r="F92" s="221"/>
      <c r="G92" s="184"/>
      <c r="H92" s="184"/>
      <c r="I92" s="184"/>
      <c r="J92" s="184"/>
      <c r="K92" s="184"/>
      <c r="L92" s="184"/>
      <c r="M92" s="184"/>
      <c r="N92" s="184"/>
      <c r="O92" s="184"/>
      <c r="P92" s="184"/>
      <c r="Q92" s="185"/>
      <c r="R92" s="200"/>
      <c r="S92" s="200"/>
      <c r="T92" s="200"/>
      <c r="U92" s="201"/>
      <c r="V92" s="202"/>
      <c r="W92" s="203"/>
      <c r="X92" s="190"/>
      <c r="Y92" s="184"/>
      <c r="Z92" s="184"/>
      <c r="AA92" s="191"/>
      <c r="AB92" s="191"/>
      <c r="AC92" s="191"/>
      <c r="AD92" s="191"/>
      <c r="AE92" s="191"/>
      <c r="AF92" s="191"/>
      <c r="AG92" s="191"/>
    </row>
    <row r="93">
      <c r="A93" s="184"/>
      <c r="B93" s="184"/>
      <c r="C93" s="184"/>
      <c r="D93" s="184"/>
      <c r="E93" s="184"/>
      <c r="F93" s="194"/>
      <c r="G93" s="184"/>
      <c r="H93" s="184"/>
      <c r="I93" s="184"/>
      <c r="J93" s="184"/>
      <c r="K93" s="184"/>
      <c r="L93" s="184"/>
      <c r="M93" s="184"/>
      <c r="N93" s="184"/>
      <c r="O93" s="184"/>
      <c r="P93" s="184"/>
      <c r="Q93" s="185"/>
      <c r="R93" s="200"/>
      <c r="S93" s="200"/>
      <c r="T93" s="200"/>
      <c r="U93" s="201"/>
      <c r="V93" s="202"/>
      <c r="W93" s="203"/>
      <c r="X93" s="190"/>
      <c r="Y93" s="184"/>
      <c r="Z93" s="184"/>
      <c r="AA93" s="191"/>
      <c r="AB93" s="191"/>
      <c r="AC93" s="191"/>
      <c r="AD93" s="191"/>
      <c r="AE93" s="191"/>
      <c r="AF93" s="191"/>
      <c r="AG93" s="191"/>
    </row>
    <row r="94">
      <c r="A94" s="184"/>
      <c r="B94" s="184"/>
      <c r="C94" s="184"/>
      <c r="D94" s="184"/>
      <c r="E94" s="184"/>
      <c r="F94" s="214"/>
      <c r="G94" s="184"/>
      <c r="H94" s="184"/>
      <c r="I94" s="184"/>
      <c r="J94" s="184"/>
      <c r="K94" s="184"/>
      <c r="L94" s="184"/>
      <c r="M94" s="184"/>
      <c r="N94" s="184"/>
      <c r="O94" s="184"/>
      <c r="P94" s="184"/>
      <c r="Q94" s="185"/>
      <c r="R94" s="200"/>
      <c r="S94" s="200"/>
      <c r="T94" s="200"/>
      <c r="U94" s="201"/>
      <c r="V94" s="202"/>
      <c r="W94" s="203"/>
      <c r="X94" s="190"/>
      <c r="Y94" s="184"/>
      <c r="Z94" s="184"/>
      <c r="AA94" s="191"/>
      <c r="AB94" s="191"/>
      <c r="AC94" s="191"/>
      <c r="AD94" s="191"/>
      <c r="AE94" s="191"/>
      <c r="AF94" s="191"/>
      <c r="AG94" s="191"/>
    </row>
    <row r="95">
      <c r="A95" s="184"/>
      <c r="B95" s="184"/>
      <c r="C95" s="184"/>
      <c r="D95" s="184"/>
      <c r="E95" s="184"/>
      <c r="F95" s="194"/>
      <c r="G95" s="184"/>
      <c r="H95" s="184"/>
      <c r="I95" s="184"/>
      <c r="J95" s="184"/>
      <c r="K95" s="184"/>
      <c r="L95" s="184"/>
      <c r="M95" s="184"/>
      <c r="N95" s="184"/>
      <c r="O95" s="184"/>
      <c r="P95" s="184"/>
      <c r="Q95" s="185"/>
      <c r="R95" s="200"/>
      <c r="S95" s="200"/>
      <c r="T95" s="200"/>
      <c r="U95" s="201"/>
      <c r="V95" s="202"/>
      <c r="W95" s="203"/>
      <c r="X95" s="190"/>
      <c r="Y95" s="184"/>
      <c r="Z95" s="184"/>
      <c r="AA95" s="191"/>
      <c r="AB95" s="191"/>
      <c r="AC95" s="191"/>
      <c r="AD95" s="191"/>
      <c r="AE95" s="191"/>
      <c r="AF95" s="191"/>
      <c r="AG95" s="191"/>
    </row>
    <row r="96">
      <c r="A96" s="184"/>
      <c r="B96" s="184"/>
      <c r="C96" s="184"/>
      <c r="D96" s="184"/>
      <c r="E96" s="184"/>
      <c r="F96" s="214"/>
      <c r="G96" s="184"/>
      <c r="H96" s="184"/>
      <c r="I96" s="184"/>
      <c r="J96" s="184"/>
      <c r="K96" s="184"/>
      <c r="L96" s="184"/>
      <c r="M96" s="184"/>
      <c r="N96" s="184"/>
      <c r="O96" s="184"/>
      <c r="P96" s="184"/>
      <c r="Q96" s="185"/>
      <c r="R96" s="200"/>
      <c r="S96" s="200"/>
      <c r="T96" s="200"/>
      <c r="U96" s="201"/>
      <c r="V96" s="202"/>
      <c r="W96" s="203"/>
      <c r="X96" s="190"/>
      <c r="Y96" s="184"/>
      <c r="Z96" s="184"/>
      <c r="AA96" s="191"/>
      <c r="AB96" s="191"/>
      <c r="AC96" s="191"/>
      <c r="AD96" s="191"/>
      <c r="AE96" s="191"/>
      <c r="AF96" s="191"/>
      <c r="AG96" s="191"/>
    </row>
    <row r="97">
      <c r="A97" s="184"/>
      <c r="B97" s="184"/>
      <c r="C97" s="184"/>
      <c r="D97" s="184"/>
      <c r="E97" s="184"/>
      <c r="F97" s="194"/>
      <c r="G97" s="184"/>
      <c r="H97" s="184"/>
      <c r="I97" s="184"/>
      <c r="J97" s="184"/>
      <c r="K97" s="184"/>
      <c r="L97" s="184"/>
      <c r="M97" s="184"/>
      <c r="N97" s="184"/>
      <c r="O97" s="184"/>
      <c r="P97" s="184"/>
      <c r="Q97" s="185"/>
      <c r="R97" s="200"/>
      <c r="S97" s="200"/>
      <c r="T97" s="200"/>
      <c r="U97" s="201"/>
      <c r="V97" s="202"/>
      <c r="W97" s="203"/>
      <c r="X97" s="190"/>
      <c r="Y97" s="184"/>
      <c r="Z97" s="184"/>
      <c r="AA97" s="191"/>
      <c r="AB97" s="191"/>
      <c r="AC97" s="191"/>
      <c r="AD97" s="191"/>
      <c r="AE97" s="191"/>
      <c r="AF97" s="191"/>
      <c r="AG97" s="191"/>
    </row>
    <row r="98">
      <c r="A98" s="184"/>
      <c r="B98" s="184"/>
      <c r="C98" s="184"/>
      <c r="D98" s="184"/>
      <c r="E98" s="184"/>
      <c r="F98" s="214"/>
      <c r="G98" s="184"/>
      <c r="H98" s="184"/>
      <c r="I98" s="184"/>
      <c r="J98" s="184"/>
      <c r="K98" s="184"/>
      <c r="L98" s="184"/>
      <c r="M98" s="184"/>
      <c r="N98" s="184"/>
      <c r="O98" s="184"/>
      <c r="P98" s="184"/>
      <c r="Q98" s="185"/>
      <c r="R98" s="200"/>
      <c r="S98" s="200"/>
      <c r="T98" s="200"/>
      <c r="U98" s="201"/>
      <c r="V98" s="202"/>
      <c r="W98" s="203"/>
      <c r="X98" s="190"/>
      <c r="Y98" s="184"/>
      <c r="Z98" s="184"/>
      <c r="AA98" s="191"/>
      <c r="AB98" s="191"/>
      <c r="AC98" s="191"/>
      <c r="AD98" s="191"/>
      <c r="AE98" s="191"/>
      <c r="AF98" s="191"/>
      <c r="AG98" s="191"/>
    </row>
    <row r="99">
      <c r="A99" s="184"/>
      <c r="B99" s="184"/>
      <c r="C99" s="184"/>
      <c r="D99" s="184"/>
      <c r="E99" s="184"/>
      <c r="F99" s="194"/>
      <c r="G99" s="184"/>
      <c r="H99" s="184"/>
      <c r="I99" s="184"/>
      <c r="J99" s="184"/>
      <c r="K99" s="184"/>
      <c r="L99" s="184"/>
      <c r="M99" s="184"/>
      <c r="N99" s="184"/>
      <c r="O99" s="184"/>
      <c r="P99" s="184"/>
      <c r="Q99" s="185"/>
      <c r="R99" s="200"/>
      <c r="S99" s="200"/>
      <c r="T99" s="200"/>
      <c r="U99" s="201"/>
      <c r="V99" s="202"/>
      <c r="W99" s="203"/>
      <c r="X99" s="190"/>
      <c r="Y99" s="184"/>
      <c r="Z99" s="184"/>
      <c r="AA99" s="191"/>
      <c r="AB99" s="191"/>
      <c r="AC99" s="191"/>
      <c r="AD99" s="191"/>
      <c r="AE99" s="191"/>
      <c r="AF99" s="191"/>
      <c r="AG99" s="191"/>
    </row>
    <row r="100">
      <c r="A100" s="184"/>
      <c r="B100" s="184"/>
      <c r="C100" s="184"/>
      <c r="D100" s="184"/>
      <c r="E100" s="184"/>
      <c r="F100" s="214"/>
      <c r="G100" s="184"/>
      <c r="H100" s="184"/>
      <c r="I100" s="184"/>
      <c r="J100" s="184"/>
      <c r="K100" s="184"/>
      <c r="L100" s="184"/>
      <c r="M100" s="184"/>
      <c r="N100" s="184"/>
      <c r="O100" s="184"/>
      <c r="P100" s="184"/>
      <c r="Q100" s="185"/>
      <c r="R100" s="200"/>
      <c r="S100" s="200"/>
      <c r="T100" s="200"/>
      <c r="U100" s="201"/>
      <c r="V100" s="202"/>
      <c r="W100" s="203"/>
      <c r="X100" s="190"/>
      <c r="Y100" s="184"/>
      <c r="Z100" s="184"/>
      <c r="AA100" s="191"/>
      <c r="AB100" s="191"/>
      <c r="AC100" s="191"/>
      <c r="AD100" s="191"/>
      <c r="AE100" s="191"/>
      <c r="AF100" s="191"/>
      <c r="AG100" s="191"/>
    </row>
    <row r="101">
      <c r="A101" s="184"/>
      <c r="B101" s="184"/>
      <c r="C101" s="184"/>
      <c r="D101" s="184"/>
      <c r="E101" s="184"/>
      <c r="F101" s="194"/>
      <c r="G101" s="184"/>
      <c r="H101" s="184"/>
      <c r="I101" s="184"/>
      <c r="J101" s="184"/>
      <c r="K101" s="184"/>
      <c r="L101" s="184"/>
      <c r="M101" s="184"/>
      <c r="N101" s="184"/>
      <c r="O101" s="184"/>
      <c r="P101" s="184"/>
      <c r="Q101" s="185"/>
      <c r="R101" s="200"/>
      <c r="S101" s="200"/>
      <c r="T101" s="200"/>
      <c r="U101" s="201"/>
      <c r="V101" s="202"/>
      <c r="W101" s="203"/>
      <c r="X101" s="190"/>
      <c r="Y101" s="184"/>
      <c r="Z101" s="184"/>
      <c r="AA101" s="191"/>
      <c r="AB101" s="191"/>
      <c r="AC101" s="191"/>
      <c r="AD101" s="191"/>
      <c r="AE101" s="191"/>
      <c r="AF101" s="191"/>
      <c r="AG101" s="191"/>
    </row>
    <row r="102">
      <c r="A102" s="184"/>
      <c r="B102" s="184"/>
      <c r="C102" s="184"/>
      <c r="D102" s="184"/>
      <c r="E102" s="184"/>
      <c r="F102" s="214"/>
      <c r="G102" s="184"/>
      <c r="H102" s="184"/>
      <c r="I102" s="184"/>
      <c r="J102" s="184"/>
      <c r="K102" s="184"/>
      <c r="L102" s="184"/>
      <c r="M102" s="184"/>
      <c r="N102" s="184"/>
      <c r="O102" s="184"/>
      <c r="P102" s="184"/>
      <c r="Q102" s="185"/>
      <c r="R102" s="200"/>
      <c r="S102" s="200"/>
      <c r="T102" s="200"/>
      <c r="U102" s="201"/>
      <c r="V102" s="202"/>
      <c r="W102" s="203"/>
      <c r="X102" s="190"/>
      <c r="Y102" s="184"/>
      <c r="Z102" s="184"/>
      <c r="AA102" s="191"/>
      <c r="AB102" s="191"/>
      <c r="AC102" s="191"/>
      <c r="AD102" s="191"/>
      <c r="AE102" s="191"/>
      <c r="AF102" s="191"/>
      <c r="AG102" s="191"/>
    </row>
    <row r="103">
      <c r="A103" s="184"/>
      <c r="B103" s="184"/>
      <c r="C103" s="184"/>
      <c r="D103" s="184"/>
      <c r="E103" s="184"/>
      <c r="F103" s="194"/>
      <c r="G103" s="184"/>
      <c r="H103" s="184"/>
      <c r="I103" s="184"/>
      <c r="J103" s="184"/>
      <c r="K103" s="184"/>
      <c r="L103" s="184"/>
      <c r="M103" s="184"/>
      <c r="N103" s="184"/>
      <c r="O103" s="184"/>
      <c r="P103" s="184"/>
      <c r="Q103" s="185"/>
      <c r="R103" s="200"/>
      <c r="S103" s="200"/>
      <c r="T103" s="200"/>
      <c r="U103" s="201"/>
      <c r="V103" s="202"/>
      <c r="W103" s="203"/>
      <c r="X103" s="190"/>
      <c r="Y103" s="184"/>
      <c r="Z103" s="184"/>
      <c r="AA103" s="191"/>
      <c r="AB103" s="191"/>
      <c r="AC103" s="191"/>
      <c r="AD103" s="191"/>
      <c r="AE103" s="191"/>
      <c r="AF103" s="191"/>
      <c r="AG103" s="191"/>
    </row>
    <row r="104">
      <c r="A104" s="184"/>
      <c r="B104" s="184"/>
      <c r="C104" s="184"/>
      <c r="D104" s="184"/>
      <c r="E104" s="184"/>
      <c r="F104" s="214"/>
      <c r="G104" s="184"/>
      <c r="H104" s="184"/>
      <c r="I104" s="184"/>
      <c r="J104" s="184"/>
      <c r="K104" s="184"/>
      <c r="L104" s="184"/>
      <c r="M104" s="184"/>
      <c r="N104" s="184"/>
      <c r="O104" s="184"/>
      <c r="P104" s="184"/>
      <c r="Q104" s="185"/>
      <c r="R104" s="200"/>
      <c r="S104" s="200"/>
      <c r="T104" s="200"/>
      <c r="U104" s="201"/>
      <c r="V104" s="202"/>
      <c r="W104" s="203"/>
      <c r="X104" s="190"/>
      <c r="Y104" s="184"/>
      <c r="Z104" s="184"/>
      <c r="AA104" s="191"/>
      <c r="AB104" s="191"/>
      <c r="AC104" s="191"/>
      <c r="AD104" s="191"/>
      <c r="AE104" s="191"/>
      <c r="AF104" s="191"/>
      <c r="AG104" s="191"/>
    </row>
    <row r="105">
      <c r="A105" s="184"/>
      <c r="B105" s="184"/>
      <c r="C105" s="184"/>
      <c r="D105" s="184"/>
      <c r="E105" s="184"/>
      <c r="F105" s="194"/>
      <c r="G105" s="184"/>
      <c r="H105" s="184"/>
      <c r="I105" s="184"/>
      <c r="J105" s="184"/>
      <c r="K105" s="184"/>
      <c r="L105" s="184"/>
      <c r="M105" s="184"/>
      <c r="N105" s="184"/>
      <c r="O105" s="184"/>
      <c r="P105" s="184"/>
      <c r="Q105" s="185"/>
      <c r="R105" s="200"/>
      <c r="S105" s="200"/>
      <c r="T105" s="200"/>
      <c r="U105" s="201"/>
      <c r="V105" s="202"/>
      <c r="W105" s="203"/>
      <c r="X105" s="190"/>
      <c r="Y105" s="184"/>
      <c r="Z105" s="184"/>
      <c r="AA105" s="191"/>
      <c r="AB105" s="191"/>
      <c r="AC105" s="191"/>
      <c r="AD105" s="191"/>
      <c r="AE105" s="191"/>
      <c r="AF105" s="191"/>
      <c r="AG105" s="191"/>
    </row>
    <row r="106">
      <c r="A106" s="184"/>
      <c r="B106" s="184"/>
      <c r="C106" s="184"/>
      <c r="D106" s="184"/>
      <c r="E106" s="184"/>
      <c r="F106" s="214"/>
      <c r="G106" s="184"/>
      <c r="H106" s="184"/>
      <c r="I106" s="184"/>
      <c r="J106" s="184"/>
      <c r="K106" s="184"/>
      <c r="L106" s="184"/>
      <c r="M106" s="184"/>
      <c r="N106" s="184"/>
      <c r="O106" s="184"/>
      <c r="P106" s="184"/>
      <c r="Q106" s="185"/>
      <c r="R106" s="200"/>
      <c r="S106" s="200"/>
      <c r="T106" s="200"/>
      <c r="U106" s="201"/>
      <c r="V106" s="202"/>
      <c r="W106" s="203"/>
      <c r="X106" s="190"/>
      <c r="Y106" s="184"/>
      <c r="Z106" s="184"/>
      <c r="AA106" s="191"/>
      <c r="AB106" s="191"/>
      <c r="AC106" s="191"/>
      <c r="AD106" s="191"/>
      <c r="AE106" s="191"/>
      <c r="AF106" s="191"/>
      <c r="AG106" s="191"/>
    </row>
    <row r="107">
      <c r="A107" s="184"/>
      <c r="B107" s="184"/>
      <c r="C107" s="184"/>
      <c r="D107" s="184"/>
      <c r="E107" s="184"/>
      <c r="F107" s="194"/>
      <c r="G107" s="184"/>
      <c r="H107" s="184"/>
      <c r="I107" s="184"/>
      <c r="J107" s="184"/>
      <c r="K107" s="184"/>
      <c r="L107" s="184"/>
      <c r="M107" s="184"/>
      <c r="N107" s="184"/>
      <c r="O107" s="184"/>
      <c r="P107" s="184"/>
      <c r="Q107" s="185"/>
      <c r="R107" s="200"/>
      <c r="S107" s="200"/>
      <c r="T107" s="200"/>
      <c r="U107" s="201"/>
      <c r="V107" s="202"/>
      <c r="W107" s="203"/>
      <c r="X107" s="190"/>
      <c r="Y107" s="184"/>
      <c r="Z107" s="184"/>
      <c r="AA107" s="191"/>
      <c r="AB107" s="191"/>
      <c r="AC107" s="191"/>
      <c r="AD107" s="191"/>
      <c r="AE107" s="191"/>
      <c r="AF107" s="191"/>
      <c r="AG107" s="191"/>
    </row>
    <row r="108">
      <c r="A108" s="184"/>
      <c r="B108" s="184"/>
      <c r="C108" s="184"/>
      <c r="D108" s="184"/>
      <c r="E108" s="184"/>
      <c r="F108" s="214"/>
      <c r="G108" s="184"/>
      <c r="H108" s="184"/>
      <c r="I108" s="184"/>
      <c r="J108" s="184"/>
      <c r="K108" s="184"/>
      <c r="L108" s="184"/>
      <c r="M108" s="184"/>
      <c r="N108" s="184"/>
      <c r="O108" s="184"/>
      <c r="P108" s="184"/>
      <c r="Q108" s="185"/>
      <c r="R108" s="200"/>
      <c r="S108" s="200"/>
      <c r="T108" s="200"/>
      <c r="U108" s="201"/>
      <c r="V108" s="202"/>
      <c r="W108" s="203"/>
      <c r="X108" s="190"/>
      <c r="Y108" s="184"/>
      <c r="Z108" s="184"/>
      <c r="AA108" s="191"/>
      <c r="AB108" s="191"/>
      <c r="AC108" s="191"/>
      <c r="AD108" s="191"/>
      <c r="AE108" s="191"/>
      <c r="AF108" s="191"/>
      <c r="AG108" s="191"/>
    </row>
    <row r="109">
      <c r="A109" s="184"/>
      <c r="B109" s="184"/>
      <c r="C109" s="184"/>
      <c r="D109" s="184"/>
      <c r="E109" s="184"/>
      <c r="F109" s="194"/>
      <c r="G109" s="184"/>
      <c r="H109" s="184"/>
      <c r="I109" s="184"/>
      <c r="J109" s="184"/>
      <c r="K109" s="184"/>
      <c r="L109" s="184"/>
      <c r="M109" s="184"/>
      <c r="N109" s="184"/>
      <c r="O109" s="184"/>
      <c r="P109" s="184"/>
      <c r="Q109" s="185"/>
      <c r="R109" s="200"/>
      <c r="S109" s="200"/>
      <c r="T109" s="200"/>
      <c r="U109" s="201"/>
      <c r="V109" s="202"/>
      <c r="W109" s="203"/>
      <c r="X109" s="190"/>
      <c r="Y109" s="184"/>
      <c r="Z109" s="184"/>
      <c r="AA109" s="191"/>
      <c r="AB109" s="191"/>
      <c r="AC109" s="191"/>
      <c r="AD109" s="191"/>
      <c r="AE109" s="191"/>
      <c r="AF109" s="191"/>
      <c r="AG109" s="191"/>
    </row>
    <row r="110">
      <c r="A110" s="184"/>
      <c r="B110" s="184"/>
      <c r="C110" s="184"/>
      <c r="D110" s="184"/>
      <c r="E110" s="184"/>
      <c r="F110" s="214"/>
      <c r="G110" s="184"/>
      <c r="H110" s="184"/>
      <c r="I110" s="184"/>
      <c r="J110" s="184"/>
      <c r="K110" s="184"/>
      <c r="L110" s="184"/>
      <c r="M110" s="184"/>
      <c r="N110" s="184"/>
      <c r="O110" s="184"/>
      <c r="P110" s="184"/>
      <c r="Q110" s="185"/>
      <c r="R110" s="200"/>
      <c r="S110" s="200"/>
      <c r="T110" s="200"/>
      <c r="U110" s="201"/>
      <c r="V110" s="202"/>
      <c r="W110" s="203"/>
      <c r="X110" s="190"/>
      <c r="Y110" s="184"/>
      <c r="Z110" s="184"/>
      <c r="AA110" s="191"/>
      <c r="AB110" s="191"/>
      <c r="AC110" s="191"/>
      <c r="AD110" s="191"/>
      <c r="AE110" s="191"/>
      <c r="AF110" s="191"/>
      <c r="AG110" s="191"/>
    </row>
    <row r="111">
      <c r="A111" s="184"/>
      <c r="B111" s="184"/>
      <c r="C111" s="184"/>
      <c r="D111" s="184"/>
      <c r="E111" s="184"/>
      <c r="F111" s="194"/>
      <c r="G111" s="184"/>
      <c r="H111" s="184"/>
      <c r="I111" s="184"/>
      <c r="J111" s="184"/>
      <c r="K111" s="184"/>
      <c r="L111" s="184"/>
      <c r="M111" s="184"/>
      <c r="N111" s="184"/>
      <c r="O111" s="184"/>
      <c r="P111" s="184"/>
      <c r="Q111" s="185"/>
      <c r="R111" s="200"/>
      <c r="S111" s="200"/>
      <c r="T111" s="200"/>
      <c r="U111" s="201"/>
      <c r="V111" s="202"/>
      <c r="W111" s="203"/>
      <c r="X111" s="190"/>
      <c r="Y111" s="184"/>
      <c r="Z111" s="184"/>
      <c r="AA111" s="191"/>
      <c r="AB111" s="191"/>
      <c r="AC111" s="191"/>
      <c r="AD111" s="191"/>
      <c r="AE111" s="191"/>
      <c r="AF111" s="191"/>
      <c r="AG111" s="191"/>
    </row>
    <row r="112">
      <c r="A112" s="184"/>
      <c r="B112" s="184"/>
      <c r="C112" s="184"/>
      <c r="D112" s="184"/>
      <c r="E112" s="184"/>
      <c r="F112" s="214"/>
      <c r="G112" s="184"/>
      <c r="H112" s="184"/>
      <c r="I112" s="184"/>
      <c r="J112" s="184"/>
      <c r="K112" s="184"/>
      <c r="L112" s="184"/>
      <c r="M112" s="184"/>
      <c r="N112" s="184"/>
      <c r="O112" s="184"/>
      <c r="P112" s="184"/>
      <c r="Q112" s="185"/>
      <c r="R112" s="200"/>
      <c r="S112" s="200"/>
      <c r="T112" s="200"/>
      <c r="U112" s="201"/>
      <c r="V112" s="202"/>
      <c r="W112" s="203"/>
      <c r="X112" s="190"/>
      <c r="Y112" s="184"/>
      <c r="Z112" s="184"/>
      <c r="AA112" s="191"/>
      <c r="AB112" s="191"/>
      <c r="AC112" s="191"/>
      <c r="AD112" s="191"/>
      <c r="AE112" s="191"/>
      <c r="AF112" s="191"/>
      <c r="AG112" s="191"/>
    </row>
    <row r="113">
      <c r="A113" s="184"/>
      <c r="B113" s="184"/>
      <c r="C113" s="184"/>
      <c r="D113" s="184"/>
      <c r="E113" s="184"/>
      <c r="F113" s="194"/>
      <c r="G113" s="184"/>
      <c r="H113" s="184"/>
      <c r="I113" s="184"/>
      <c r="J113" s="184"/>
      <c r="K113" s="184"/>
      <c r="L113" s="184"/>
      <c r="M113" s="184"/>
      <c r="N113" s="184"/>
      <c r="O113" s="184"/>
      <c r="P113" s="184"/>
      <c r="Q113" s="185"/>
      <c r="R113" s="200"/>
      <c r="S113" s="200"/>
      <c r="T113" s="200"/>
      <c r="U113" s="201"/>
      <c r="V113" s="202"/>
      <c r="W113" s="203"/>
      <c r="X113" s="190"/>
      <c r="Y113" s="184"/>
      <c r="Z113" s="184"/>
      <c r="AA113" s="191"/>
      <c r="AB113" s="191"/>
      <c r="AC113" s="191"/>
      <c r="AD113" s="191"/>
      <c r="AE113" s="191"/>
      <c r="AF113" s="191"/>
      <c r="AG113" s="191"/>
    </row>
    <row r="114">
      <c r="A114" s="184"/>
      <c r="B114" s="184"/>
      <c r="C114" s="184"/>
      <c r="D114" s="184"/>
      <c r="E114" s="184"/>
      <c r="F114" s="214"/>
      <c r="G114" s="184"/>
      <c r="H114" s="184"/>
      <c r="I114" s="184"/>
      <c r="J114" s="184"/>
      <c r="K114" s="184"/>
      <c r="L114" s="184"/>
      <c r="M114" s="184"/>
      <c r="N114" s="184"/>
      <c r="O114" s="184"/>
      <c r="P114" s="184"/>
      <c r="Q114" s="185"/>
      <c r="R114" s="200"/>
      <c r="S114" s="200"/>
      <c r="T114" s="200"/>
      <c r="U114" s="201"/>
      <c r="V114" s="202"/>
      <c r="W114" s="203"/>
      <c r="X114" s="190"/>
      <c r="Y114" s="184"/>
      <c r="Z114" s="184"/>
      <c r="AA114" s="191"/>
      <c r="AB114" s="191"/>
      <c r="AC114" s="191"/>
      <c r="AD114" s="191"/>
      <c r="AE114" s="191"/>
      <c r="AF114" s="191"/>
      <c r="AG114" s="191"/>
    </row>
    <row r="115">
      <c r="A115" s="184"/>
      <c r="B115" s="184"/>
      <c r="C115" s="184"/>
      <c r="D115" s="184"/>
      <c r="E115" s="184"/>
      <c r="F115" s="194"/>
      <c r="G115" s="184"/>
      <c r="H115" s="184"/>
      <c r="I115" s="184"/>
      <c r="J115" s="184"/>
      <c r="K115" s="184"/>
      <c r="L115" s="184"/>
      <c r="M115" s="184"/>
      <c r="N115" s="184"/>
      <c r="O115" s="184"/>
      <c r="P115" s="184"/>
      <c r="Q115" s="185"/>
      <c r="R115" s="200"/>
      <c r="S115" s="200"/>
      <c r="T115" s="200"/>
      <c r="U115" s="201"/>
      <c r="V115" s="202"/>
      <c r="W115" s="203"/>
      <c r="X115" s="190"/>
      <c r="Y115" s="184"/>
      <c r="Z115" s="184"/>
      <c r="AA115" s="191"/>
      <c r="AB115" s="191"/>
      <c r="AC115" s="191"/>
      <c r="AD115" s="191"/>
      <c r="AE115" s="191"/>
      <c r="AF115" s="191"/>
      <c r="AG115" s="191"/>
    </row>
    <row r="116">
      <c r="A116" s="184"/>
      <c r="B116" s="184"/>
      <c r="C116" s="184"/>
      <c r="D116" s="184"/>
      <c r="E116" s="184"/>
      <c r="F116" s="214"/>
      <c r="G116" s="184"/>
      <c r="H116" s="184"/>
      <c r="I116" s="184"/>
      <c r="J116" s="184"/>
      <c r="K116" s="184"/>
      <c r="L116" s="184"/>
      <c r="M116" s="184"/>
      <c r="N116" s="184"/>
      <c r="O116" s="184"/>
      <c r="P116" s="184"/>
      <c r="Q116" s="185"/>
      <c r="R116" s="200"/>
      <c r="S116" s="200"/>
      <c r="T116" s="200"/>
      <c r="U116" s="201"/>
      <c r="V116" s="202"/>
      <c r="W116" s="203"/>
      <c r="X116" s="190"/>
      <c r="Y116" s="184"/>
      <c r="Z116" s="184"/>
      <c r="AA116" s="191"/>
      <c r="AB116" s="191"/>
      <c r="AC116" s="191"/>
      <c r="AD116" s="191"/>
      <c r="AE116" s="191"/>
      <c r="AF116" s="191"/>
      <c r="AG116" s="191"/>
    </row>
    <row r="117">
      <c r="A117" s="184"/>
      <c r="B117" s="184"/>
      <c r="C117" s="184"/>
      <c r="D117" s="184"/>
      <c r="E117" s="184"/>
      <c r="F117" s="194"/>
      <c r="G117" s="184"/>
      <c r="H117" s="184"/>
      <c r="I117" s="184"/>
      <c r="J117" s="184"/>
      <c r="K117" s="184"/>
      <c r="L117" s="184"/>
      <c r="M117" s="184"/>
      <c r="N117" s="184"/>
      <c r="O117" s="184"/>
      <c r="P117" s="184"/>
      <c r="Q117" s="185"/>
      <c r="R117" s="200"/>
      <c r="S117" s="200"/>
      <c r="T117" s="200"/>
      <c r="U117" s="201"/>
      <c r="V117" s="202"/>
      <c r="W117" s="203"/>
      <c r="X117" s="190"/>
      <c r="Y117" s="184"/>
      <c r="Z117" s="184"/>
      <c r="AA117" s="191"/>
      <c r="AB117" s="191"/>
      <c r="AC117" s="191"/>
      <c r="AD117" s="191"/>
      <c r="AE117" s="191"/>
      <c r="AF117" s="191"/>
      <c r="AG117" s="191"/>
    </row>
    <row r="118">
      <c r="A118" s="184"/>
      <c r="B118" s="184"/>
      <c r="C118" s="184"/>
      <c r="D118" s="184"/>
      <c r="E118" s="184"/>
      <c r="F118" s="214"/>
      <c r="G118" s="184"/>
      <c r="H118" s="184"/>
      <c r="I118" s="184"/>
      <c r="J118" s="184"/>
      <c r="K118" s="184"/>
      <c r="L118" s="184"/>
      <c r="M118" s="184"/>
      <c r="N118" s="184"/>
      <c r="O118" s="184"/>
      <c r="P118" s="184"/>
      <c r="Q118" s="185"/>
      <c r="R118" s="200"/>
      <c r="S118" s="200"/>
      <c r="T118" s="200"/>
      <c r="U118" s="201"/>
      <c r="V118" s="202"/>
      <c r="W118" s="203"/>
      <c r="X118" s="190"/>
      <c r="Y118" s="184"/>
      <c r="Z118" s="184"/>
      <c r="AA118" s="191"/>
      <c r="AB118" s="191"/>
      <c r="AC118" s="191"/>
      <c r="AD118" s="191"/>
      <c r="AE118" s="191"/>
      <c r="AF118" s="191"/>
      <c r="AG118" s="191"/>
    </row>
    <row r="119">
      <c r="A119" s="184"/>
      <c r="B119" s="184"/>
      <c r="C119" s="184"/>
      <c r="D119" s="184"/>
      <c r="E119" s="184"/>
      <c r="F119" s="194"/>
      <c r="G119" s="184"/>
      <c r="H119" s="184"/>
      <c r="I119" s="184"/>
      <c r="J119" s="184"/>
      <c r="K119" s="184"/>
      <c r="L119" s="184"/>
      <c r="M119" s="184"/>
      <c r="N119" s="184"/>
      <c r="O119" s="184"/>
      <c r="P119" s="184"/>
      <c r="Q119" s="185"/>
      <c r="R119" s="200"/>
      <c r="S119" s="200"/>
      <c r="T119" s="200"/>
      <c r="U119" s="201"/>
      <c r="V119" s="202"/>
      <c r="W119" s="203"/>
      <c r="X119" s="190"/>
      <c r="Y119" s="184"/>
      <c r="Z119" s="184"/>
      <c r="AA119" s="191"/>
      <c r="AB119" s="191"/>
      <c r="AC119" s="191"/>
      <c r="AD119" s="191"/>
      <c r="AE119" s="191"/>
      <c r="AF119" s="191"/>
      <c r="AG119" s="191"/>
    </row>
    <row r="120">
      <c r="A120" s="184"/>
      <c r="B120" s="184"/>
      <c r="C120" s="184"/>
      <c r="D120" s="184"/>
      <c r="E120" s="184"/>
      <c r="F120" s="214"/>
      <c r="G120" s="184"/>
      <c r="H120" s="184"/>
      <c r="I120" s="184"/>
      <c r="J120" s="184"/>
      <c r="K120" s="184"/>
      <c r="L120" s="184"/>
      <c r="M120" s="184"/>
      <c r="N120" s="184"/>
      <c r="O120" s="184"/>
      <c r="P120" s="184"/>
      <c r="Q120" s="185"/>
      <c r="R120" s="200"/>
      <c r="S120" s="200"/>
      <c r="T120" s="200"/>
      <c r="U120" s="201"/>
      <c r="V120" s="202"/>
      <c r="W120" s="203"/>
      <c r="X120" s="190"/>
      <c r="Y120" s="184"/>
      <c r="Z120" s="184"/>
      <c r="AA120" s="191"/>
      <c r="AB120" s="191"/>
      <c r="AC120" s="191"/>
      <c r="AD120" s="191"/>
      <c r="AE120" s="191"/>
      <c r="AF120" s="191"/>
      <c r="AG120" s="191"/>
    </row>
    <row r="121">
      <c r="A121" s="184"/>
      <c r="B121" s="184"/>
      <c r="C121" s="184"/>
      <c r="D121" s="184"/>
      <c r="E121" s="184"/>
      <c r="F121" s="194"/>
      <c r="G121" s="184"/>
      <c r="H121" s="184"/>
      <c r="I121" s="184"/>
      <c r="J121" s="184"/>
      <c r="K121" s="184"/>
      <c r="L121" s="184"/>
      <c r="M121" s="184"/>
      <c r="N121" s="184"/>
      <c r="O121" s="184"/>
      <c r="P121" s="184"/>
      <c r="Q121" s="185"/>
      <c r="R121" s="200"/>
      <c r="S121" s="200"/>
      <c r="T121" s="200"/>
      <c r="U121" s="201"/>
      <c r="V121" s="202"/>
      <c r="W121" s="203"/>
      <c r="X121" s="190"/>
      <c r="Y121" s="184"/>
      <c r="Z121" s="184"/>
      <c r="AA121" s="191"/>
      <c r="AB121" s="191"/>
      <c r="AC121" s="191"/>
      <c r="AD121" s="191"/>
      <c r="AE121" s="191"/>
      <c r="AF121" s="191"/>
      <c r="AG121" s="191"/>
    </row>
    <row r="122">
      <c r="A122" s="184"/>
      <c r="B122" s="184"/>
      <c r="C122" s="184"/>
      <c r="D122" s="184"/>
      <c r="E122" s="184"/>
      <c r="F122" s="214"/>
      <c r="G122" s="184"/>
      <c r="H122" s="184"/>
      <c r="I122" s="184"/>
      <c r="J122" s="184"/>
      <c r="K122" s="184"/>
      <c r="L122" s="184"/>
      <c r="M122" s="184"/>
      <c r="N122" s="184"/>
      <c r="O122" s="184"/>
      <c r="P122" s="184"/>
      <c r="Q122" s="185"/>
      <c r="R122" s="200"/>
      <c r="S122" s="200"/>
      <c r="T122" s="200"/>
      <c r="U122" s="201"/>
      <c r="V122" s="202"/>
      <c r="W122" s="203"/>
      <c r="X122" s="190"/>
      <c r="Y122" s="184"/>
      <c r="Z122" s="184"/>
      <c r="AA122" s="191"/>
      <c r="AB122" s="191"/>
      <c r="AC122" s="191"/>
      <c r="AD122" s="191"/>
      <c r="AE122" s="191"/>
      <c r="AF122" s="191"/>
      <c r="AG122" s="191"/>
    </row>
    <row r="123">
      <c r="A123" s="184"/>
      <c r="B123" s="184"/>
      <c r="C123" s="184"/>
      <c r="D123" s="184"/>
      <c r="E123" s="184"/>
      <c r="F123" s="194"/>
      <c r="G123" s="184"/>
      <c r="H123" s="184"/>
      <c r="I123" s="184"/>
      <c r="J123" s="184"/>
      <c r="K123" s="184"/>
      <c r="L123" s="184"/>
      <c r="M123" s="184"/>
      <c r="N123" s="184"/>
      <c r="O123" s="184"/>
      <c r="P123" s="184"/>
      <c r="Q123" s="185"/>
      <c r="R123" s="200"/>
      <c r="S123" s="200"/>
      <c r="T123" s="200"/>
      <c r="U123" s="201"/>
      <c r="V123" s="202"/>
      <c r="W123" s="203"/>
      <c r="X123" s="190"/>
      <c r="Y123" s="184"/>
      <c r="Z123" s="184"/>
      <c r="AA123" s="191"/>
      <c r="AB123" s="191"/>
      <c r="AC123" s="191"/>
      <c r="AD123" s="191"/>
      <c r="AE123" s="191"/>
      <c r="AF123" s="191"/>
      <c r="AG123" s="191"/>
    </row>
    <row r="124">
      <c r="A124" s="184"/>
      <c r="B124" s="184"/>
      <c r="C124" s="184"/>
      <c r="D124" s="184"/>
      <c r="E124" s="184"/>
      <c r="F124" s="214"/>
      <c r="G124" s="184"/>
      <c r="H124" s="184"/>
      <c r="I124" s="184"/>
      <c r="J124" s="184"/>
      <c r="K124" s="184"/>
      <c r="L124" s="184"/>
      <c r="M124" s="184"/>
      <c r="N124" s="184"/>
      <c r="O124" s="184"/>
      <c r="P124" s="184"/>
      <c r="Q124" s="185"/>
      <c r="R124" s="200"/>
      <c r="S124" s="200"/>
      <c r="T124" s="200"/>
      <c r="U124" s="201"/>
      <c r="V124" s="202"/>
      <c r="W124" s="203"/>
      <c r="X124" s="190"/>
      <c r="Y124" s="184"/>
      <c r="Z124" s="184"/>
      <c r="AA124" s="191"/>
      <c r="AB124" s="191"/>
      <c r="AC124" s="191"/>
      <c r="AD124" s="191"/>
      <c r="AE124" s="191"/>
      <c r="AF124" s="191"/>
      <c r="AG124" s="191"/>
    </row>
    <row r="125">
      <c r="A125" s="184"/>
      <c r="B125" s="184"/>
      <c r="C125" s="184"/>
      <c r="D125" s="184"/>
      <c r="E125" s="184"/>
      <c r="F125" s="194"/>
      <c r="G125" s="184"/>
      <c r="H125" s="184"/>
      <c r="I125" s="184"/>
      <c r="J125" s="184"/>
      <c r="K125" s="184"/>
      <c r="L125" s="184"/>
      <c r="M125" s="184"/>
      <c r="N125" s="184"/>
      <c r="O125" s="184"/>
      <c r="P125" s="184"/>
      <c r="Q125" s="185"/>
      <c r="R125" s="200"/>
      <c r="S125" s="200"/>
      <c r="T125" s="200"/>
      <c r="U125" s="201"/>
      <c r="V125" s="202"/>
      <c r="W125" s="203"/>
      <c r="X125" s="190"/>
      <c r="Y125" s="184"/>
      <c r="Z125" s="184"/>
      <c r="AA125" s="191"/>
      <c r="AB125" s="191"/>
      <c r="AC125" s="191"/>
      <c r="AD125" s="191"/>
      <c r="AE125" s="191"/>
      <c r="AF125" s="191"/>
      <c r="AG125" s="191"/>
    </row>
    <row r="126">
      <c r="A126" s="184"/>
      <c r="B126" s="184"/>
      <c r="C126" s="184"/>
      <c r="D126" s="184"/>
      <c r="E126" s="184"/>
      <c r="F126" s="214"/>
      <c r="G126" s="184"/>
      <c r="H126" s="184"/>
      <c r="I126" s="184"/>
      <c r="J126" s="184"/>
      <c r="K126" s="184"/>
      <c r="L126" s="184"/>
      <c r="M126" s="184"/>
      <c r="N126" s="184"/>
      <c r="O126" s="184"/>
      <c r="P126" s="184"/>
      <c r="Q126" s="185"/>
      <c r="R126" s="200"/>
      <c r="S126" s="200"/>
      <c r="T126" s="200"/>
      <c r="U126" s="201"/>
      <c r="V126" s="202"/>
      <c r="W126" s="203"/>
      <c r="X126" s="190"/>
      <c r="Y126" s="184"/>
      <c r="Z126" s="184"/>
      <c r="AA126" s="191"/>
      <c r="AB126" s="191"/>
      <c r="AC126" s="191"/>
      <c r="AD126" s="191"/>
      <c r="AE126" s="191"/>
      <c r="AF126" s="191"/>
      <c r="AG126" s="191"/>
    </row>
    <row r="127">
      <c r="A127" s="184"/>
      <c r="B127" s="184"/>
      <c r="C127" s="184"/>
      <c r="D127" s="184"/>
      <c r="E127" s="184"/>
      <c r="F127" s="194"/>
      <c r="G127" s="184"/>
      <c r="H127" s="184"/>
      <c r="I127" s="184"/>
      <c r="J127" s="184"/>
      <c r="K127" s="184"/>
      <c r="L127" s="184"/>
      <c r="M127" s="184"/>
      <c r="N127" s="184"/>
      <c r="O127" s="184"/>
      <c r="P127" s="184"/>
      <c r="Q127" s="185"/>
      <c r="R127" s="200"/>
      <c r="S127" s="200"/>
      <c r="T127" s="200"/>
      <c r="U127" s="201"/>
      <c r="V127" s="202"/>
      <c r="W127" s="203"/>
      <c r="X127" s="190"/>
      <c r="Y127" s="184"/>
      <c r="Z127" s="184"/>
      <c r="AA127" s="191"/>
      <c r="AB127" s="191"/>
      <c r="AC127" s="191"/>
      <c r="AD127" s="191"/>
      <c r="AE127" s="191"/>
      <c r="AF127" s="191"/>
      <c r="AG127" s="191"/>
    </row>
    <row r="128">
      <c r="A128" s="184"/>
      <c r="B128" s="184"/>
      <c r="C128" s="184"/>
      <c r="D128" s="184"/>
      <c r="E128" s="184"/>
      <c r="F128" s="214"/>
      <c r="G128" s="184"/>
      <c r="H128" s="184"/>
      <c r="I128" s="184"/>
      <c r="J128" s="184"/>
      <c r="K128" s="184"/>
      <c r="L128" s="184"/>
      <c r="M128" s="184"/>
      <c r="N128" s="184"/>
      <c r="O128" s="184"/>
      <c r="P128" s="184"/>
      <c r="Q128" s="185"/>
      <c r="R128" s="200"/>
      <c r="S128" s="200"/>
      <c r="T128" s="200"/>
      <c r="U128" s="201"/>
      <c r="V128" s="202"/>
      <c r="W128" s="203"/>
      <c r="X128" s="190"/>
      <c r="Y128" s="184"/>
      <c r="Z128" s="184"/>
      <c r="AA128" s="191"/>
      <c r="AB128" s="191"/>
      <c r="AC128" s="191"/>
      <c r="AD128" s="191"/>
      <c r="AE128" s="191"/>
      <c r="AF128" s="191"/>
      <c r="AG128" s="191"/>
    </row>
    <row r="129">
      <c r="A129" s="184"/>
      <c r="B129" s="184"/>
      <c r="C129" s="184"/>
      <c r="D129" s="184"/>
      <c r="E129" s="184"/>
      <c r="F129" s="194"/>
      <c r="G129" s="184"/>
      <c r="H129" s="184"/>
      <c r="I129" s="184"/>
      <c r="J129" s="184"/>
      <c r="K129" s="184"/>
      <c r="L129" s="184"/>
      <c r="M129" s="184"/>
      <c r="N129" s="184"/>
      <c r="O129" s="184"/>
      <c r="P129" s="184"/>
      <c r="Q129" s="185"/>
      <c r="R129" s="200"/>
      <c r="S129" s="200"/>
      <c r="T129" s="200"/>
      <c r="U129" s="201"/>
      <c r="V129" s="202"/>
      <c r="W129" s="203"/>
      <c r="X129" s="190"/>
      <c r="Y129" s="184"/>
      <c r="Z129" s="184"/>
      <c r="AA129" s="191"/>
      <c r="AB129" s="191"/>
      <c r="AC129" s="191"/>
      <c r="AD129" s="191"/>
      <c r="AE129" s="191"/>
      <c r="AF129" s="191"/>
      <c r="AG129" s="191"/>
    </row>
    <row r="130">
      <c r="A130" s="184"/>
      <c r="B130" s="184"/>
      <c r="C130" s="184"/>
      <c r="D130" s="184"/>
      <c r="E130" s="184"/>
      <c r="F130" s="214"/>
      <c r="G130" s="184"/>
      <c r="H130" s="184"/>
      <c r="I130" s="184"/>
      <c r="J130" s="184"/>
      <c r="K130" s="184"/>
      <c r="L130" s="184"/>
      <c r="M130" s="184"/>
      <c r="N130" s="184"/>
      <c r="O130" s="184"/>
      <c r="P130" s="184"/>
      <c r="Q130" s="185"/>
      <c r="R130" s="200"/>
      <c r="S130" s="200"/>
      <c r="T130" s="200"/>
      <c r="U130" s="201"/>
      <c r="V130" s="202"/>
      <c r="W130" s="203"/>
      <c r="X130" s="190"/>
      <c r="Y130" s="184"/>
      <c r="Z130" s="184"/>
      <c r="AA130" s="191"/>
      <c r="AB130" s="191"/>
      <c r="AC130" s="191"/>
      <c r="AD130" s="191"/>
      <c r="AE130" s="191"/>
      <c r="AF130" s="191"/>
      <c r="AG130" s="191"/>
    </row>
    <row r="131">
      <c r="A131" s="184"/>
      <c r="B131" s="184"/>
      <c r="C131" s="184"/>
      <c r="D131" s="184"/>
      <c r="E131" s="184"/>
      <c r="F131" s="194"/>
      <c r="G131" s="184"/>
      <c r="H131" s="184"/>
      <c r="I131" s="184"/>
      <c r="J131" s="184"/>
      <c r="K131" s="184"/>
      <c r="L131" s="184"/>
      <c r="M131" s="184"/>
      <c r="N131" s="184"/>
      <c r="O131" s="184"/>
      <c r="P131" s="184"/>
      <c r="Q131" s="185"/>
      <c r="R131" s="200"/>
      <c r="S131" s="200"/>
      <c r="T131" s="200"/>
      <c r="U131" s="201"/>
      <c r="V131" s="202"/>
      <c r="W131" s="203"/>
      <c r="X131" s="190"/>
      <c r="Y131" s="184"/>
      <c r="Z131" s="184"/>
      <c r="AA131" s="191"/>
      <c r="AB131" s="191"/>
      <c r="AC131" s="191"/>
      <c r="AD131" s="191"/>
      <c r="AE131" s="191"/>
      <c r="AF131" s="191"/>
      <c r="AG131" s="191"/>
    </row>
    <row r="132">
      <c r="A132" s="184"/>
      <c r="B132" s="184"/>
      <c r="C132" s="184"/>
      <c r="D132" s="184"/>
      <c r="E132" s="184"/>
      <c r="F132" s="214"/>
      <c r="G132" s="184"/>
      <c r="H132" s="184"/>
      <c r="I132" s="184"/>
      <c r="J132" s="184"/>
      <c r="K132" s="184"/>
      <c r="L132" s="184"/>
      <c r="M132" s="184"/>
      <c r="N132" s="184"/>
      <c r="O132" s="184"/>
      <c r="P132" s="184"/>
      <c r="Q132" s="185"/>
      <c r="R132" s="200"/>
      <c r="S132" s="200"/>
      <c r="T132" s="200"/>
      <c r="U132" s="201"/>
      <c r="V132" s="202"/>
      <c r="W132" s="203"/>
      <c r="X132" s="190"/>
      <c r="Y132" s="184"/>
      <c r="Z132" s="184"/>
      <c r="AA132" s="191"/>
      <c r="AB132" s="191"/>
      <c r="AC132" s="191"/>
      <c r="AD132" s="191"/>
      <c r="AE132" s="191"/>
      <c r="AF132" s="191"/>
      <c r="AG132" s="191"/>
    </row>
    <row r="133">
      <c r="A133" s="184"/>
      <c r="B133" s="184"/>
      <c r="C133" s="184"/>
      <c r="D133" s="184"/>
      <c r="E133" s="184"/>
      <c r="F133" s="194"/>
      <c r="G133" s="184"/>
      <c r="H133" s="184"/>
      <c r="I133" s="184"/>
      <c r="J133" s="184"/>
      <c r="K133" s="184"/>
      <c r="L133" s="184"/>
      <c r="M133" s="184"/>
      <c r="N133" s="184"/>
      <c r="O133" s="184"/>
      <c r="P133" s="184"/>
      <c r="Q133" s="185"/>
      <c r="R133" s="200"/>
      <c r="S133" s="200"/>
      <c r="T133" s="200"/>
      <c r="U133" s="201"/>
      <c r="V133" s="202"/>
      <c r="W133" s="203"/>
      <c r="X133" s="190"/>
      <c r="Y133" s="184"/>
      <c r="Z133" s="184"/>
      <c r="AA133" s="191"/>
      <c r="AB133" s="191"/>
      <c r="AC133" s="191"/>
      <c r="AD133" s="191"/>
      <c r="AE133" s="191"/>
      <c r="AF133" s="191"/>
      <c r="AG133" s="191"/>
    </row>
    <row r="134">
      <c r="A134" s="184"/>
      <c r="B134" s="184"/>
      <c r="C134" s="184"/>
      <c r="D134" s="184"/>
      <c r="E134" s="184"/>
      <c r="F134" s="214"/>
      <c r="G134" s="184"/>
      <c r="H134" s="184"/>
      <c r="I134" s="184"/>
      <c r="J134" s="184"/>
      <c r="K134" s="184"/>
      <c r="L134" s="184"/>
      <c r="M134" s="184"/>
      <c r="N134" s="184"/>
      <c r="O134" s="184"/>
      <c r="P134" s="184"/>
      <c r="Q134" s="185"/>
      <c r="R134" s="200"/>
      <c r="S134" s="200"/>
      <c r="T134" s="200"/>
      <c r="U134" s="201"/>
      <c r="V134" s="202"/>
      <c r="W134" s="203"/>
      <c r="X134" s="190"/>
      <c r="Y134" s="184"/>
      <c r="Z134" s="184"/>
      <c r="AA134" s="191"/>
      <c r="AB134" s="191"/>
      <c r="AC134" s="191"/>
      <c r="AD134" s="191"/>
      <c r="AE134" s="191"/>
      <c r="AF134" s="191"/>
      <c r="AG134" s="191"/>
    </row>
    <row r="135">
      <c r="A135" s="184"/>
      <c r="B135" s="184"/>
      <c r="C135" s="184"/>
      <c r="D135" s="184"/>
      <c r="E135" s="184"/>
      <c r="F135" s="194"/>
      <c r="G135" s="184"/>
      <c r="H135" s="184"/>
      <c r="I135" s="184"/>
      <c r="J135" s="184"/>
      <c r="K135" s="184"/>
      <c r="L135" s="184"/>
      <c r="M135" s="184"/>
      <c r="N135" s="184"/>
      <c r="O135" s="184"/>
      <c r="P135" s="184"/>
      <c r="Q135" s="185"/>
      <c r="R135" s="200"/>
      <c r="S135" s="200"/>
      <c r="T135" s="200"/>
      <c r="U135" s="201"/>
      <c r="V135" s="202"/>
      <c r="W135" s="203"/>
      <c r="X135" s="190"/>
      <c r="Y135" s="184"/>
      <c r="Z135" s="184"/>
      <c r="AA135" s="191"/>
      <c r="AB135" s="191"/>
      <c r="AC135" s="191"/>
      <c r="AD135" s="191"/>
      <c r="AE135" s="191"/>
      <c r="AF135" s="191"/>
      <c r="AG135" s="191"/>
    </row>
    <row r="136">
      <c r="A136" s="184"/>
      <c r="B136" s="184"/>
      <c r="C136" s="184"/>
      <c r="D136" s="184"/>
      <c r="E136" s="184"/>
      <c r="F136" s="214"/>
      <c r="G136" s="184"/>
      <c r="H136" s="184"/>
      <c r="I136" s="184"/>
      <c r="J136" s="184"/>
      <c r="K136" s="184"/>
      <c r="L136" s="184"/>
      <c r="M136" s="184"/>
      <c r="N136" s="184"/>
      <c r="O136" s="184"/>
      <c r="P136" s="184"/>
      <c r="Q136" s="185"/>
      <c r="R136" s="200"/>
      <c r="S136" s="200"/>
      <c r="T136" s="200"/>
      <c r="U136" s="201"/>
      <c r="V136" s="202"/>
      <c r="W136" s="203"/>
      <c r="X136" s="190"/>
      <c r="Y136" s="184"/>
      <c r="Z136" s="184"/>
      <c r="AA136" s="191"/>
      <c r="AB136" s="191"/>
      <c r="AC136" s="191"/>
      <c r="AD136" s="191"/>
      <c r="AE136" s="191"/>
      <c r="AF136" s="191"/>
      <c r="AG136" s="191"/>
    </row>
    <row r="137">
      <c r="A137" s="184"/>
      <c r="B137" s="184"/>
      <c r="C137" s="184"/>
      <c r="D137" s="184"/>
      <c r="E137" s="184"/>
      <c r="F137" s="194"/>
      <c r="G137" s="184"/>
      <c r="H137" s="184"/>
      <c r="I137" s="184"/>
      <c r="J137" s="184"/>
      <c r="K137" s="184"/>
      <c r="L137" s="184"/>
      <c r="M137" s="184"/>
      <c r="N137" s="184"/>
      <c r="O137" s="184"/>
      <c r="P137" s="184"/>
      <c r="Q137" s="185"/>
      <c r="R137" s="200"/>
      <c r="S137" s="200"/>
      <c r="T137" s="200"/>
      <c r="U137" s="201"/>
      <c r="V137" s="202"/>
      <c r="W137" s="203"/>
      <c r="X137" s="190"/>
      <c r="Y137" s="184"/>
      <c r="Z137" s="184"/>
      <c r="AA137" s="191"/>
      <c r="AB137" s="191"/>
      <c r="AC137" s="191"/>
      <c r="AD137" s="191"/>
      <c r="AE137" s="191"/>
      <c r="AF137" s="191"/>
      <c r="AG137" s="191"/>
    </row>
    <row r="138">
      <c r="A138" s="184"/>
      <c r="B138" s="184"/>
      <c r="C138" s="184"/>
      <c r="D138" s="184"/>
      <c r="E138" s="184"/>
      <c r="F138" s="214"/>
      <c r="G138" s="184"/>
      <c r="H138" s="184"/>
      <c r="I138" s="184"/>
      <c r="J138" s="184"/>
      <c r="K138" s="184"/>
      <c r="L138" s="184"/>
      <c r="M138" s="184"/>
      <c r="N138" s="184"/>
      <c r="O138" s="184"/>
      <c r="P138" s="184"/>
      <c r="Q138" s="185"/>
      <c r="R138" s="200"/>
      <c r="S138" s="200"/>
      <c r="T138" s="200"/>
      <c r="U138" s="201"/>
      <c r="V138" s="202"/>
      <c r="W138" s="203"/>
      <c r="X138" s="190"/>
      <c r="Y138" s="184"/>
      <c r="Z138" s="184"/>
      <c r="AA138" s="191"/>
      <c r="AB138" s="191"/>
      <c r="AC138" s="191"/>
      <c r="AD138" s="191"/>
      <c r="AE138" s="191"/>
      <c r="AF138" s="191"/>
      <c r="AG138" s="191"/>
    </row>
    <row r="139">
      <c r="A139" s="184"/>
      <c r="B139" s="184"/>
      <c r="C139" s="184"/>
      <c r="D139" s="184"/>
      <c r="E139" s="184"/>
      <c r="F139" s="194"/>
      <c r="G139" s="184"/>
      <c r="H139" s="184"/>
      <c r="I139" s="184"/>
      <c r="J139" s="184"/>
      <c r="K139" s="184"/>
      <c r="L139" s="184"/>
      <c r="M139" s="184"/>
      <c r="N139" s="184"/>
      <c r="O139" s="184"/>
      <c r="P139" s="184"/>
      <c r="Q139" s="185"/>
      <c r="R139" s="200"/>
      <c r="S139" s="200"/>
      <c r="T139" s="200"/>
      <c r="U139" s="201"/>
      <c r="V139" s="202"/>
      <c r="W139" s="203"/>
      <c r="X139" s="190"/>
      <c r="Y139" s="184"/>
      <c r="Z139" s="184"/>
      <c r="AA139" s="191"/>
      <c r="AB139" s="191"/>
      <c r="AC139" s="191"/>
      <c r="AD139" s="191"/>
      <c r="AE139" s="191"/>
      <c r="AF139" s="191"/>
      <c r="AG139" s="191"/>
    </row>
    <row r="140">
      <c r="A140" s="184"/>
      <c r="B140" s="184"/>
      <c r="C140" s="184"/>
      <c r="D140" s="184"/>
      <c r="E140" s="184"/>
      <c r="F140" s="214"/>
      <c r="G140" s="184"/>
      <c r="H140" s="184"/>
      <c r="I140" s="184"/>
      <c r="J140" s="184"/>
      <c r="K140" s="184"/>
      <c r="L140" s="184"/>
      <c r="M140" s="184"/>
      <c r="N140" s="184"/>
      <c r="O140" s="184"/>
      <c r="P140" s="184"/>
      <c r="Q140" s="185"/>
      <c r="R140" s="200"/>
      <c r="S140" s="200"/>
      <c r="T140" s="200"/>
      <c r="U140" s="201"/>
      <c r="V140" s="202"/>
      <c r="W140" s="203"/>
      <c r="X140" s="190"/>
      <c r="Y140" s="184"/>
      <c r="Z140" s="184"/>
      <c r="AA140" s="191"/>
      <c r="AB140" s="191"/>
      <c r="AC140" s="191"/>
      <c r="AD140" s="191"/>
      <c r="AE140" s="191"/>
      <c r="AF140" s="191"/>
      <c r="AG140" s="191"/>
    </row>
    <row r="141">
      <c r="A141" s="184"/>
      <c r="B141" s="184"/>
      <c r="C141" s="184"/>
      <c r="D141" s="184"/>
      <c r="E141" s="184"/>
      <c r="F141" s="194"/>
      <c r="G141" s="184"/>
      <c r="H141" s="184"/>
      <c r="I141" s="184"/>
      <c r="J141" s="184"/>
      <c r="K141" s="184"/>
      <c r="L141" s="184"/>
      <c r="M141" s="184"/>
      <c r="N141" s="184"/>
      <c r="O141" s="184"/>
      <c r="P141" s="184"/>
      <c r="Q141" s="185"/>
      <c r="R141" s="200"/>
      <c r="S141" s="200"/>
      <c r="T141" s="200"/>
      <c r="U141" s="201"/>
      <c r="V141" s="202"/>
      <c r="W141" s="203"/>
      <c r="X141" s="190"/>
      <c r="Y141" s="184"/>
      <c r="Z141" s="184"/>
      <c r="AA141" s="191"/>
      <c r="AB141" s="191"/>
      <c r="AC141" s="191"/>
      <c r="AD141" s="191"/>
      <c r="AE141" s="191"/>
      <c r="AF141" s="191"/>
      <c r="AG141" s="191"/>
    </row>
    <row r="142">
      <c r="A142" s="184"/>
      <c r="B142" s="184"/>
      <c r="C142" s="184"/>
      <c r="D142" s="184"/>
      <c r="E142" s="184"/>
      <c r="F142" s="214"/>
      <c r="G142" s="184"/>
      <c r="H142" s="184"/>
      <c r="I142" s="184"/>
      <c r="J142" s="184"/>
      <c r="K142" s="184"/>
      <c r="L142" s="184"/>
      <c r="M142" s="184"/>
      <c r="N142" s="184"/>
      <c r="O142" s="184"/>
      <c r="P142" s="184"/>
      <c r="Q142" s="185"/>
      <c r="R142" s="200"/>
      <c r="S142" s="200"/>
      <c r="T142" s="200"/>
      <c r="U142" s="201"/>
      <c r="V142" s="202"/>
      <c r="W142" s="203"/>
      <c r="X142" s="190"/>
      <c r="Y142" s="184"/>
      <c r="Z142" s="184"/>
      <c r="AA142" s="191"/>
      <c r="AB142" s="191"/>
      <c r="AC142" s="191"/>
      <c r="AD142" s="191"/>
      <c r="AE142" s="191"/>
      <c r="AF142" s="191"/>
      <c r="AG142" s="191"/>
    </row>
    <row r="143">
      <c r="A143" s="184"/>
      <c r="B143" s="184"/>
      <c r="C143" s="184"/>
      <c r="D143" s="184"/>
      <c r="E143" s="184"/>
      <c r="F143" s="194"/>
      <c r="G143" s="184"/>
      <c r="H143" s="184"/>
      <c r="I143" s="184"/>
      <c r="J143" s="184"/>
      <c r="K143" s="184"/>
      <c r="L143" s="184"/>
      <c r="M143" s="184"/>
      <c r="N143" s="184"/>
      <c r="O143" s="184"/>
      <c r="P143" s="184"/>
      <c r="Q143" s="185"/>
      <c r="R143" s="200"/>
      <c r="S143" s="200"/>
      <c r="T143" s="200"/>
      <c r="U143" s="201"/>
      <c r="V143" s="202"/>
      <c r="W143" s="203"/>
      <c r="X143" s="190"/>
      <c r="Y143" s="184"/>
      <c r="Z143" s="184"/>
      <c r="AA143" s="191"/>
      <c r="AB143" s="191"/>
      <c r="AC143" s="191"/>
      <c r="AD143" s="191"/>
      <c r="AE143" s="191"/>
      <c r="AF143" s="191"/>
      <c r="AG143" s="191"/>
    </row>
    <row r="144">
      <c r="A144" s="184"/>
      <c r="B144" s="184"/>
      <c r="C144" s="184"/>
      <c r="D144" s="184"/>
      <c r="E144" s="184"/>
      <c r="F144" s="214"/>
      <c r="G144" s="184"/>
      <c r="H144" s="184"/>
      <c r="I144" s="184"/>
      <c r="J144" s="184"/>
      <c r="K144" s="184"/>
      <c r="L144" s="184"/>
      <c r="M144" s="184"/>
      <c r="N144" s="184"/>
      <c r="O144" s="184"/>
      <c r="P144" s="184"/>
      <c r="Q144" s="185"/>
      <c r="R144" s="200"/>
      <c r="S144" s="200"/>
      <c r="T144" s="200"/>
      <c r="U144" s="201"/>
      <c r="V144" s="202"/>
      <c r="W144" s="203"/>
      <c r="X144" s="190"/>
      <c r="Y144" s="184"/>
      <c r="Z144" s="184"/>
      <c r="AA144" s="191"/>
      <c r="AB144" s="191"/>
      <c r="AC144" s="191"/>
      <c r="AD144" s="191"/>
      <c r="AE144" s="191"/>
      <c r="AF144" s="191"/>
      <c r="AG144" s="191"/>
    </row>
    <row r="145">
      <c r="A145" s="184"/>
      <c r="B145" s="184"/>
      <c r="C145" s="184"/>
      <c r="D145" s="184"/>
      <c r="E145" s="184"/>
      <c r="F145" s="194"/>
      <c r="G145" s="184"/>
      <c r="H145" s="184"/>
      <c r="I145" s="184"/>
      <c r="J145" s="184"/>
      <c r="K145" s="184"/>
      <c r="L145" s="184"/>
      <c r="M145" s="184"/>
      <c r="N145" s="184"/>
      <c r="O145" s="184"/>
      <c r="P145" s="184"/>
      <c r="Q145" s="185"/>
      <c r="R145" s="200"/>
      <c r="S145" s="200"/>
      <c r="T145" s="200"/>
      <c r="U145" s="201"/>
      <c r="V145" s="202"/>
      <c r="W145" s="203"/>
      <c r="X145" s="190"/>
      <c r="Y145" s="184"/>
      <c r="Z145" s="184"/>
      <c r="AA145" s="191"/>
      <c r="AB145" s="191"/>
      <c r="AC145" s="191"/>
      <c r="AD145" s="191"/>
      <c r="AE145" s="191"/>
      <c r="AF145" s="191"/>
      <c r="AG145" s="191"/>
    </row>
    <row r="146">
      <c r="A146" s="184"/>
      <c r="B146" s="184"/>
      <c r="C146" s="184"/>
      <c r="D146" s="184"/>
      <c r="E146" s="184"/>
      <c r="F146" s="214"/>
      <c r="G146" s="184"/>
      <c r="H146" s="184"/>
      <c r="I146" s="184"/>
      <c r="J146" s="184"/>
      <c r="K146" s="184"/>
      <c r="L146" s="184"/>
      <c r="M146" s="184"/>
      <c r="N146" s="184"/>
      <c r="O146" s="184"/>
      <c r="P146" s="184"/>
      <c r="Q146" s="185"/>
      <c r="R146" s="200"/>
      <c r="S146" s="200"/>
      <c r="T146" s="200"/>
      <c r="U146" s="201"/>
      <c r="V146" s="202"/>
      <c r="W146" s="203"/>
      <c r="X146" s="190"/>
      <c r="Y146" s="184"/>
      <c r="Z146" s="184"/>
      <c r="AA146" s="191"/>
      <c r="AB146" s="191"/>
      <c r="AC146" s="191"/>
      <c r="AD146" s="191"/>
      <c r="AE146" s="191"/>
      <c r="AF146" s="191"/>
      <c r="AG146" s="191"/>
    </row>
    <row r="147">
      <c r="A147" s="184"/>
      <c r="B147" s="184"/>
      <c r="C147" s="184"/>
      <c r="D147" s="184"/>
      <c r="E147" s="184"/>
      <c r="F147" s="194"/>
      <c r="G147" s="184"/>
      <c r="H147" s="184"/>
      <c r="I147" s="184"/>
      <c r="J147" s="184"/>
      <c r="K147" s="184"/>
      <c r="L147" s="184"/>
      <c r="M147" s="184"/>
      <c r="N147" s="184"/>
      <c r="O147" s="184"/>
      <c r="P147" s="184"/>
      <c r="Q147" s="185"/>
      <c r="R147" s="200"/>
      <c r="S147" s="200"/>
      <c r="T147" s="200"/>
      <c r="U147" s="201"/>
      <c r="V147" s="202"/>
      <c r="W147" s="203"/>
      <c r="X147" s="190"/>
      <c r="Y147" s="184"/>
      <c r="Z147" s="184"/>
      <c r="AA147" s="191"/>
      <c r="AB147" s="191"/>
      <c r="AC147" s="191"/>
      <c r="AD147" s="191"/>
      <c r="AE147" s="191"/>
      <c r="AF147" s="191"/>
      <c r="AG147" s="191"/>
    </row>
    <row r="148">
      <c r="A148" s="184"/>
      <c r="B148" s="184"/>
      <c r="C148" s="184"/>
      <c r="D148" s="184"/>
      <c r="E148" s="184"/>
      <c r="F148" s="214"/>
      <c r="G148" s="184"/>
      <c r="H148" s="184"/>
      <c r="I148" s="184"/>
      <c r="J148" s="184"/>
      <c r="K148" s="184"/>
      <c r="L148" s="184"/>
      <c r="M148" s="184"/>
      <c r="N148" s="184"/>
      <c r="O148" s="184"/>
      <c r="P148" s="184"/>
      <c r="Q148" s="185"/>
      <c r="R148" s="200"/>
      <c r="S148" s="200"/>
      <c r="T148" s="200"/>
      <c r="U148" s="201"/>
      <c r="V148" s="202"/>
      <c r="W148" s="203"/>
      <c r="X148" s="190"/>
      <c r="Y148" s="184"/>
      <c r="Z148" s="184"/>
      <c r="AA148" s="191"/>
      <c r="AB148" s="191"/>
      <c r="AC148" s="191"/>
      <c r="AD148" s="191"/>
      <c r="AE148" s="191"/>
      <c r="AF148" s="191"/>
      <c r="AG148" s="191"/>
    </row>
  </sheetData>
  <dataValidations>
    <dataValidation type="list" allowBlank="1" sqref="C3">
      <formula1>Fields!$F$2:$F$4</formula1>
    </dataValidation>
    <dataValidation type="list" allowBlank="1" sqref="C16 C22:C23">
      <formula1>Fields!$F$2:$F$8</formula1>
    </dataValidation>
    <dataValidation type="list" allowBlank="1" sqref="D3 D16 D22:D23">
      <formula1>Fields!$A$2:$A$8</formula1>
    </dataValidation>
    <dataValidation type="list" allowBlank="1" sqref="B3">
      <formula1>Fields!$D$2:$D$6</formula1>
    </dataValidation>
    <dataValidation type="list" allowBlank="1" sqref="B16 B22:B23">
      <formula1>Fields!$D$2:$D$12</formula1>
    </dataValidation>
  </dataValidations>
  <hyperlinks>
    <hyperlink r:id="rId2" ref="F3"/>
    <hyperlink r:id="rId3" ref="F16"/>
    <hyperlink r:id="rId4" ref="F22"/>
  </hyperlinks>
  <drawing r:id="rId5"/>
  <legacyDrawing r:id="rId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2.63" defaultRowHeight="15.0"/>
  <cols>
    <col customWidth="1" min="1" max="1" width="5.13"/>
    <col customWidth="1" min="2" max="2" width="6.25"/>
    <col customWidth="1" min="3" max="3" width="5.5"/>
    <col customWidth="1" min="4" max="4" width="11.25"/>
    <col customWidth="1" min="5" max="5" width="3.13"/>
    <col customWidth="1" min="6" max="6" width="24.5"/>
    <col customWidth="1" min="7" max="7" width="24.88"/>
    <col customWidth="1" min="8" max="8" width="12.5"/>
    <col customWidth="1" min="9" max="10" width="7.38"/>
    <col customWidth="1" min="11" max="11" width="6.5"/>
    <col customWidth="1" min="12" max="12" width="8.5"/>
    <col customWidth="1" min="13" max="14" width="6.5"/>
    <col customWidth="1" min="15" max="16" width="7.38"/>
    <col customWidth="1" min="17" max="17" width="18.25"/>
    <col customWidth="1" min="18" max="18" width="5.75"/>
    <col customWidth="1" min="19" max="19" width="5.63"/>
    <col customWidth="1" min="20" max="20" width="6.63"/>
    <col customWidth="1" min="21" max="21" width="6.88"/>
    <col customWidth="1" min="22" max="22" width="7.75"/>
    <col customWidth="1" min="23" max="23" width="6.63"/>
    <col customWidth="1" min="24" max="24" width="7.63"/>
    <col customWidth="1" min="25" max="26" width="42.88"/>
    <col customWidth="1" min="27" max="37" width="11.0"/>
  </cols>
  <sheetData>
    <row r="1" ht="45.0" customHeight="1">
      <c r="A1" s="1" t="s">
        <v>0</v>
      </c>
      <c r="B1" s="6" t="str">
        <f>HYPERLINK("#rangeid=2086300674","Content Owner")</f>
        <v>Content Owner</v>
      </c>
      <c r="C1" s="9" t="str">
        <f>HYPERLINK("#rangeid=632369931","Video Owner")</f>
        <v>Video Owner</v>
      </c>
      <c r="D1" s="11" t="s">
        <v>4</v>
      </c>
      <c r="E1" s="12" t="s">
        <v>5</v>
      </c>
      <c r="F1" s="13" t="s">
        <v>6</v>
      </c>
      <c r="G1" s="1" t="s">
        <v>7</v>
      </c>
      <c r="H1" s="21" t="str">
        <f>HYPERLINK("#rangeid=906849400","Description")</f>
        <v>Description</v>
      </c>
      <c r="I1" s="17" t="s">
        <v>11</v>
      </c>
      <c r="J1" s="1" t="s">
        <v>15</v>
      </c>
      <c r="K1" s="19" t="s">
        <v>16</v>
      </c>
      <c r="L1" s="1" t="s">
        <v>22</v>
      </c>
      <c r="M1" s="1" t="s">
        <v>23</v>
      </c>
      <c r="N1" s="1" t="s">
        <v>25</v>
      </c>
      <c r="O1" s="1" t="s">
        <v>26</v>
      </c>
      <c r="P1" s="1" t="s">
        <v>27</v>
      </c>
      <c r="Q1" s="1" t="s">
        <v>28</v>
      </c>
      <c r="R1" s="23" t="s">
        <v>29</v>
      </c>
      <c r="S1" s="23" t="s">
        <v>31</v>
      </c>
      <c r="T1" s="23" t="s">
        <v>32</v>
      </c>
      <c r="U1" s="26" t="s">
        <v>33</v>
      </c>
      <c r="V1" s="29" t="s">
        <v>35</v>
      </c>
      <c r="W1" s="31" t="str">
        <f>HYPERLINK("#rangeid=120001109","Replay")</f>
        <v>Replay</v>
      </c>
      <c r="X1" s="33" t="s">
        <v>38</v>
      </c>
      <c r="Y1" s="34" t="s">
        <v>39</v>
      </c>
      <c r="Z1" s="36" t="s">
        <v>40</v>
      </c>
      <c r="AA1" s="37"/>
      <c r="AB1" s="37"/>
      <c r="AC1" s="37"/>
      <c r="AD1" s="37"/>
      <c r="AE1" s="37"/>
      <c r="AF1" s="37"/>
      <c r="AG1" s="37"/>
      <c r="AH1" s="37"/>
      <c r="AI1" s="37"/>
      <c r="AJ1" s="37"/>
      <c r="AK1" s="37"/>
    </row>
    <row r="2">
      <c r="A2" s="113"/>
      <c r="B2" s="113"/>
      <c r="C2" s="113"/>
      <c r="D2" s="113"/>
      <c r="E2" s="113"/>
      <c r="F2" s="113"/>
      <c r="G2" s="113"/>
      <c r="H2" s="113"/>
      <c r="I2" s="113"/>
      <c r="J2" s="113"/>
      <c r="K2" s="113"/>
      <c r="L2" s="113"/>
      <c r="M2" s="113"/>
      <c r="N2" s="113"/>
      <c r="O2" s="113"/>
      <c r="P2" s="113"/>
      <c r="Q2" s="132"/>
      <c r="R2" s="115"/>
      <c r="S2" s="115"/>
      <c r="T2" s="115"/>
      <c r="U2" s="116"/>
      <c r="V2" s="117"/>
      <c r="W2" s="118"/>
      <c r="X2" s="119"/>
      <c r="Y2" s="113"/>
      <c r="Z2" s="113"/>
    </row>
    <row r="3">
      <c r="A3" s="113"/>
      <c r="B3" s="113"/>
      <c r="C3" s="113"/>
      <c r="D3" s="113"/>
      <c r="E3" s="113"/>
      <c r="F3" s="113"/>
      <c r="G3" s="113"/>
      <c r="H3" s="113"/>
      <c r="I3" s="113"/>
      <c r="J3" s="113"/>
      <c r="K3" s="113"/>
      <c r="L3" s="113"/>
      <c r="M3" s="113"/>
      <c r="N3" s="113"/>
      <c r="O3" s="113"/>
      <c r="P3" s="113"/>
      <c r="Q3" s="132"/>
      <c r="R3" s="115"/>
      <c r="S3" s="115"/>
      <c r="T3" s="115"/>
      <c r="U3" s="116"/>
      <c r="V3" s="117"/>
      <c r="W3" s="118"/>
      <c r="X3" s="119"/>
      <c r="Y3" s="113"/>
      <c r="Z3" s="113"/>
    </row>
    <row r="4">
      <c r="A4" s="113"/>
      <c r="B4" s="113"/>
      <c r="C4" s="113"/>
      <c r="D4" s="113"/>
      <c r="E4" s="113"/>
      <c r="F4" s="113"/>
      <c r="G4" s="113"/>
      <c r="H4" s="113"/>
      <c r="I4" s="113"/>
      <c r="J4" s="113"/>
      <c r="K4" s="113"/>
      <c r="L4" s="113"/>
      <c r="M4" s="113"/>
      <c r="N4" s="113"/>
      <c r="O4" s="113"/>
      <c r="P4" s="113"/>
      <c r="Q4" s="132"/>
      <c r="R4" s="115"/>
      <c r="S4" s="115"/>
      <c r="T4" s="115"/>
      <c r="U4" s="116"/>
      <c r="V4" s="117"/>
      <c r="W4" s="118"/>
      <c r="X4" s="119"/>
      <c r="Y4" s="113"/>
      <c r="Z4" s="113"/>
    </row>
    <row r="5">
      <c r="A5" s="113"/>
      <c r="B5" s="113"/>
      <c r="C5" s="113"/>
      <c r="D5" s="113"/>
      <c r="E5" s="113"/>
      <c r="F5" s="113"/>
      <c r="G5" s="113"/>
      <c r="H5" s="113"/>
      <c r="I5" s="113"/>
      <c r="J5" s="113"/>
      <c r="K5" s="113"/>
      <c r="L5" s="113"/>
      <c r="M5" s="113"/>
      <c r="N5" s="113"/>
      <c r="O5" s="113"/>
      <c r="P5" s="113"/>
      <c r="Q5" s="132"/>
      <c r="R5" s="115"/>
      <c r="S5" s="115"/>
      <c r="T5" s="115"/>
      <c r="U5" s="116"/>
      <c r="V5" s="117"/>
      <c r="W5" s="118"/>
      <c r="X5" s="119"/>
      <c r="Y5" s="113"/>
      <c r="Z5" s="113"/>
    </row>
    <row r="6">
      <c r="A6" s="113"/>
      <c r="B6" s="113"/>
      <c r="C6" s="113"/>
      <c r="D6" s="113"/>
      <c r="E6" s="113"/>
      <c r="F6" s="113"/>
      <c r="G6" s="113"/>
      <c r="H6" s="113"/>
      <c r="I6" s="113"/>
      <c r="J6" s="113"/>
      <c r="K6" s="113"/>
      <c r="L6" s="113"/>
      <c r="M6" s="113"/>
      <c r="N6" s="113"/>
      <c r="O6" s="113"/>
      <c r="P6" s="113"/>
      <c r="Q6" s="132"/>
      <c r="R6" s="115"/>
      <c r="S6" s="115"/>
      <c r="T6" s="115"/>
      <c r="U6" s="116"/>
      <c r="V6" s="117"/>
      <c r="W6" s="118"/>
      <c r="X6" s="119"/>
      <c r="Y6" s="113"/>
      <c r="Z6" s="113"/>
    </row>
    <row r="7">
      <c r="A7" s="113"/>
      <c r="B7" s="113"/>
      <c r="C7" s="113"/>
      <c r="D7" s="113"/>
      <c r="E7" s="113"/>
      <c r="F7" s="113"/>
      <c r="G7" s="113"/>
      <c r="H7" s="113"/>
      <c r="I7" s="113"/>
      <c r="J7" s="113"/>
      <c r="K7" s="113"/>
      <c r="L7" s="113"/>
      <c r="M7" s="113"/>
      <c r="N7" s="113"/>
      <c r="O7" s="113"/>
      <c r="P7" s="113"/>
      <c r="Q7" s="132"/>
      <c r="R7" s="165"/>
      <c r="S7" s="165"/>
      <c r="T7" s="165"/>
      <c r="U7" s="150"/>
      <c r="V7" s="151"/>
      <c r="W7" s="166"/>
      <c r="X7" s="119"/>
      <c r="Y7" s="113"/>
      <c r="Z7" s="113"/>
    </row>
    <row r="8">
      <c r="A8" s="113"/>
      <c r="B8" s="113"/>
      <c r="C8" s="113"/>
      <c r="D8" s="113"/>
      <c r="E8" s="113"/>
      <c r="F8" s="113"/>
      <c r="G8" s="113"/>
      <c r="H8" s="113"/>
      <c r="I8" s="113"/>
      <c r="J8" s="113"/>
      <c r="K8" s="113"/>
      <c r="L8" s="113"/>
      <c r="M8" s="113"/>
      <c r="N8" s="113"/>
      <c r="O8" s="113"/>
      <c r="P8" s="113"/>
      <c r="Q8" s="132"/>
      <c r="R8" s="165"/>
      <c r="S8" s="165"/>
      <c r="T8" s="165"/>
      <c r="U8" s="150"/>
      <c r="V8" s="151"/>
      <c r="W8" s="166"/>
      <c r="X8" s="119"/>
      <c r="Y8" s="113"/>
      <c r="Z8" s="113"/>
    </row>
    <row r="9">
      <c r="A9" s="113"/>
      <c r="B9" s="113"/>
      <c r="C9" s="113"/>
      <c r="D9" s="113"/>
      <c r="E9" s="113"/>
      <c r="F9" s="113"/>
      <c r="G9" s="113"/>
      <c r="H9" s="113"/>
      <c r="I9" s="113"/>
      <c r="J9" s="113"/>
      <c r="K9" s="113"/>
      <c r="L9" s="113"/>
      <c r="M9" s="113"/>
      <c r="N9" s="113"/>
      <c r="O9" s="113"/>
      <c r="P9" s="113"/>
      <c r="Q9" s="132"/>
      <c r="R9" s="165"/>
      <c r="S9" s="165"/>
      <c r="T9" s="165"/>
      <c r="U9" s="150"/>
      <c r="V9" s="151"/>
      <c r="W9" s="166"/>
      <c r="X9" s="119"/>
      <c r="Y9" s="113"/>
      <c r="Z9" s="113"/>
    </row>
    <row r="10">
      <c r="A10" s="113"/>
      <c r="B10" s="113"/>
      <c r="C10" s="113"/>
      <c r="D10" s="113"/>
      <c r="E10" s="113"/>
      <c r="F10" s="113"/>
      <c r="G10" s="113"/>
      <c r="H10" s="113"/>
      <c r="I10" s="113"/>
      <c r="J10" s="113"/>
      <c r="K10" s="113"/>
      <c r="L10" s="113"/>
      <c r="M10" s="113"/>
      <c r="N10" s="113"/>
      <c r="O10" s="113"/>
      <c r="P10" s="113"/>
      <c r="Q10" s="132"/>
      <c r="R10" s="165"/>
      <c r="S10" s="165"/>
      <c r="T10" s="165"/>
      <c r="U10" s="150"/>
      <c r="V10" s="151"/>
      <c r="W10" s="166"/>
      <c r="X10" s="119"/>
      <c r="Y10" s="113"/>
      <c r="Z10" s="113"/>
    </row>
    <row r="11">
      <c r="A11" s="113"/>
      <c r="B11" s="113"/>
      <c r="C11" s="113"/>
      <c r="D11" s="113"/>
      <c r="E11" s="113"/>
      <c r="F11" s="113"/>
      <c r="G11" s="113"/>
      <c r="H11" s="113"/>
      <c r="I11" s="113"/>
      <c r="J11" s="113"/>
      <c r="K11" s="113"/>
      <c r="L11" s="113"/>
      <c r="M11" s="113"/>
      <c r="N11" s="113"/>
      <c r="O11" s="113"/>
      <c r="P11" s="113"/>
      <c r="Q11" s="132"/>
      <c r="R11" s="165"/>
      <c r="S11" s="165"/>
      <c r="T11" s="165"/>
      <c r="U11" s="150"/>
      <c r="V11" s="151"/>
      <c r="W11" s="166"/>
      <c r="X11" s="119"/>
      <c r="Y11" s="113"/>
      <c r="Z11" s="113"/>
    </row>
    <row r="12">
      <c r="A12" s="113"/>
      <c r="B12" s="113"/>
      <c r="C12" s="113"/>
      <c r="D12" s="113"/>
      <c r="E12" s="113"/>
      <c r="F12" s="113"/>
      <c r="G12" s="113"/>
      <c r="H12" s="113"/>
      <c r="I12" s="113"/>
      <c r="J12" s="113"/>
      <c r="K12" s="113"/>
      <c r="L12" s="113"/>
      <c r="M12" s="113"/>
      <c r="N12" s="113"/>
      <c r="O12" s="113"/>
      <c r="P12" s="113"/>
      <c r="Q12" s="132"/>
      <c r="R12" s="165"/>
      <c r="S12" s="165"/>
      <c r="T12" s="165"/>
      <c r="U12" s="150"/>
      <c r="V12" s="151"/>
      <c r="W12" s="166"/>
      <c r="X12" s="119"/>
      <c r="Y12" s="113"/>
      <c r="Z12" s="113"/>
    </row>
    <row r="13">
      <c r="A13" s="113"/>
      <c r="B13" s="113"/>
      <c r="C13" s="113"/>
      <c r="D13" s="113"/>
      <c r="E13" s="113"/>
      <c r="F13" s="113"/>
      <c r="G13" s="113"/>
      <c r="H13" s="113"/>
      <c r="I13" s="113"/>
      <c r="J13" s="113"/>
      <c r="K13" s="113"/>
      <c r="L13" s="113"/>
      <c r="M13" s="113"/>
      <c r="N13" s="113"/>
      <c r="O13" s="113"/>
      <c r="P13" s="113"/>
      <c r="Q13" s="132"/>
      <c r="R13" s="165"/>
      <c r="S13" s="165"/>
      <c r="T13" s="165"/>
      <c r="U13" s="150"/>
      <c r="V13" s="151"/>
      <c r="W13" s="166"/>
      <c r="X13" s="119"/>
      <c r="Y13" s="113"/>
      <c r="Z13" s="113"/>
    </row>
    <row r="14">
      <c r="A14" s="113"/>
      <c r="B14" s="113"/>
      <c r="C14" s="113"/>
      <c r="D14" s="113"/>
      <c r="E14" s="113"/>
      <c r="F14" s="113"/>
      <c r="G14" s="113"/>
      <c r="H14" s="113"/>
      <c r="I14" s="113"/>
      <c r="J14" s="113"/>
      <c r="K14" s="113"/>
      <c r="L14" s="113"/>
      <c r="M14" s="113"/>
      <c r="N14" s="113"/>
      <c r="O14" s="113"/>
      <c r="P14" s="113"/>
      <c r="Q14" s="132"/>
      <c r="R14" s="165"/>
      <c r="S14" s="165"/>
      <c r="T14" s="165"/>
      <c r="U14" s="150"/>
      <c r="V14" s="151"/>
      <c r="W14" s="166"/>
      <c r="X14" s="119"/>
      <c r="Y14" s="113"/>
      <c r="Z14" s="113"/>
    </row>
    <row r="15">
      <c r="A15" s="113"/>
      <c r="B15" s="113"/>
      <c r="C15" s="113"/>
      <c r="D15" s="113"/>
      <c r="E15" s="113"/>
      <c r="F15" s="113"/>
      <c r="G15" s="113"/>
      <c r="H15" s="113"/>
      <c r="I15" s="113"/>
      <c r="J15" s="113"/>
      <c r="K15" s="113"/>
      <c r="L15" s="113"/>
      <c r="M15" s="113"/>
      <c r="N15" s="113"/>
      <c r="O15" s="113"/>
      <c r="P15" s="113"/>
      <c r="Q15" s="132"/>
      <c r="R15" s="165"/>
      <c r="S15" s="165"/>
      <c r="T15" s="165"/>
      <c r="U15" s="150"/>
      <c r="V15" s="151"/>
      <c r="W15" s="166"/>
      <c r="X15" s="119"/>
      <c r="Y15" s="113"/>
      <c r="Z15" s="113"/>
    </row>
    <row r="16">
      <c r="A16" s="113"/>
      <c r="B16" s="113"/>
      <c r="C16" s="113"/>
      <c r="D16" s="113"/>
      <c r="E16" s="113"/>
      <c r="F16" s="113"/>
      <c r="G16" s="113"/>
      <c r="H16" s="113"/>
      <c r="I16" s="113"/>
      <c r="J16" s="113"/>
      <c r="K16" s="113"/>
      <c r="L16" s="113"/>
      <c r="M16" s="113"/>
      <c r="N16" s="113"/>
      <c r="O16" s="113"/>
      <c r="P16" s="113"/>
      <c r="Q16" s="132"/>
      <c r="R16" s="165"/>
      <c r="S16" s="165"/>
      <c r="T16" s="165"/>
      <c r="U16" s="150"/>
      <c r="V16" s="151"/>
      <c r="W16" s="166"/>
      <c r="X16" s="119"/>
      <c r="Y16" s="113"/>
      <c r="Z16" s="113"/>
    </row>
    <row r="17">
      <c r="A17" s="113"/>
      <c r="B17" s="113"/>
      <c r="C17" s="113"/>
      <c r="D17" s="113"/>
      <c r="E17" s="113"/>
      <c r="F17" s="113"/>
      <c r="G17" s="113"/>
      <c r="H17" s="113"/>
      <c r="I17" s="113"/>
      <c r="J17" s="113"/>
      <c r="K17" s="113"/>
      <c r="L17" s="113"/>
      <c r="M17" s="113"/>
      <c r="N17" s="113"/>
      <c r="O17" s="113"/>
      <c r="P17" s="113"/>
      <c r="Q17" s="132"/>
      <c r="R17" s="165"/>
      <c r="S17" s="165"/>
      <c r="T17" s="165"/>
      <c r="U17" s="150"/>
      <c r="V17" s="151"/>
      <c r="W17" s="166"/>
      <c r="X17" s="119"/>
      <c r="Y17" s="113"/>
      <c r="Z17" s="113"/>
    </row>
    <row r="18">
      <c r="A18" s="113"/>
      <c r="B18" s="113"/>
      <c r="C18" s="113"/>
      <c r="D18" s="113"/>
      <c r="E18" s="113"/>
      <c r="F18" s="113"/>
      <c r="G18" s="113"/>
      <c r="H18" s="113"/>
      <c r="I18" s="113"/>
      <c r="J18" s="113"/>
      <c r="K18" s="113"/>
      <c r="L18" s="113"/>
      <c r="M18" s="113"/>
      <c r="N18" s="113"/>
      <c r="O18" s="113"/>
      <c r="P18" s="113"/>
      <c r="Q18" s="132"/>
      <c r="R18" s="165"/>
      <c r="S18" s="165"/>
      <c r="T18" s="165"/>
      <c r="U18" s="150"/>
      <c r="V18" s="151"/>
      <c r="W18" s="166"/>
      <c r="X18" s="119"/>
      <c r="Y18" s="113"/>
      <c r="Z18" s="113"/>
    </row>
    <row r="19">
      <c r="A19" s="113"/>
      <c r="B19" s="113"/>
      <c r="C19" s="113"/>
      <c r="D19" s="113"/>
      <c r="E19" s="113"/>
      <c r="F19" s="113"/>
      <c r="G19" s="113"/>
      <c r="H19" s="113"/>
      <c r="I19" s="113"/>
      <c r="J19" s="113"/>
      <c r="K19" s="113"/>
      <c r="L19" s="113"/>
      <c r="M19" s="113"/>
      <c r="N19" s="113"/>
      <c r="O19" s="113"/>
      <c r="P19" s="113"/>
      <c r="Q19" s="132"/>
      <c r="R19" s="165"/>
      <c r="S19" s="165"/>
      <c r="T19" s="165"/>
      <c r="U19" s="150"/>
      <c r="V19" s="151"/>
      <c r="W19" s="166"/>
      <c r="X19" s="119"/>
      <c r="Y19" s="113"/>
      <c r="Z19" s="113"/>
    </row>
    <row r="20">
      <c r="A20" s="113"/>
      <c r="B20" s="113"/>
      <c r="C20" s="113"/>
      <c r="D20" s="113"/>
      <c r="E20" s="113"/>
      <c r="F20" s="113"/>
      <c r="G20" s="113"/>
      <c r="H20" s="113"/>
      <c r="I20" s="113"/>
      <c r="J20" s="113"/>
      <c r="K20" s="113"/>
      <c r="L20" s="113"/>
      <c r="M20" s="113"/>
      <c r="N20" s="113"/>
      <c r="O20" s="113"/>
      <c r="P20" s="113"/>
      <c r="Q20" s="132"/>
      <c r="R20" s="165"/>
      <c r="S20" s="165"/>
      <c r="T20" s="165"/>
      <c r="U20" s="150"/>
      <c r="V20" s="151"/>
      <c r="W20" s="166"/>
      <c r="X20" s="119"/>
      <c r="Y20" s="113"/>
      <c r="Z20" s="113"/>
    </row>
    <row r="21">
      <c r="A21" s="113"/>
      <c r="B21" s="113"/>
      <c r="C21" s="113"/>
      <c r="D21" s="113"/>
      <c r="E21" s="113"/>
      <c r="F21" s="113"/>
      <c r="G21" s="113"/>
      <c r="H21" s="113"/>
      <c r="I21" s="113"/>
      <c r="J21" s="113"/>
      <c r="K21" s="113"/>
      <c r="L21" s="113"/>
      <c r="M21" s="113"/>
      <c r="N21" s="113"/>
      <c r="O21" s="113"/>
      <c r="P21" s="113"/>
      <c r="Q21" s="132"/>
      <c r="R21" s="165"/>
      <c r="S21" s="165"/>
      <c r="T21" s="165"/>
      <c r="U21" s="150"/>
      <c r="V21" s="151"/>
      <c r="W21" s="166"/>
      <c r="X21" s="119"/>
      <c r="Y21" s="113"/>
      <c r="Z21" s="113"/>
    </row>
    <row r="22">
      <c r="A22" s="113"/>
      <c r="B22" s="113"/>
      <c r="C22" s="113"/>
      <c r="D22" s="113"/>
      <c r="E22" s="113"/>
      <c r="F22" s="113"/>
      <c r="G22" s="113"/>
      <c r="H22" s="113"/>
      <c r="I22" s="113"/>
      <c r="J22" s="113"/>
      <c r="K22" s="113"/>
      <c r="L22" s="113"/>
      <c r="M22" s="113"/>
      <c r="N22" s="113"/>
      <c r="O22" s="113"/>
      <c r="P22" s="113"/>
      <c r="Q22" s="132"/>
      <c r="R22" s="165"/>
      <c r="S22" s="165"/>
      <c r="T22" s="165"/>
      <c r="U22" s="150"/>
      <c r="V22" s="151"/>
      <c r="W22" s="166"/>
      <c r="X22" s="119"/>
      <c r="Y22" s="113"/>
      <c r="Z22" s="113"/>
    </row>
    <row r="23">
      <c r="A23" s="113"/>
      <c r="B23" s="113"/>
      <c r="C23" s="113"/>
      <c r="D23" s="113"/>
      <c r="E23" s="113"/>
      <c r="F23" s="113"/>
      <c r="G23" s="113"/>
      <c r="H23" s="113"/>
      <c r="I23" s="113"/>
      <c r="J23" s="113"/>
      <c r="K23" s="113"/>
      <c r="L23" s="113"/>
      <c r="M23" s="113"/>
      <c r="N23" s="113"/>
      <c r="O23" s="113"/>
      <c r="P23" s="113"/>
      <c r="Q23" s="132"/>
      <c r="R23" s="165"/>
      <c r="S23" s="165"/>
      <c r="T23" s="165"/>
      <c r="U23" s="150"/>
      <c r="V23" s="151"/>
      <c r="W23" s="166"/>
      <c r="X23" s="119"/>
      <c r="Y23" s="113"/>
      <c r="Z23" s="113"/>
    </row>
    <row r="24">
      <c r="A24" s="113"/>
      <c r="B24" s="113"/>
      <c r="C24" s="113"/>
      <c r="D24" s="113"/>
      <c r="E24" s="113"/>
      <c r="F24" s="113"/>
      <c r="G24" s="113"/>
      <c r="H24" s="113"/>
      <c r="I24" s="113"/>
      <c r="J24" s="113"/>
      <c r="K24" s="113"/>
      <c r="L24" s="113"/>
      <c r="M24" s="113"/>
      <c r="N24" s="113"/>
      <c r="O24" s="113"/>
      <c r="P24" s="113"/>
      <c r="Q24" s="132"/>
      <c r="R24" s="165"/>
      <c r="S24" s="165"/>
      <c r="T24" s="165"/>
      <c r="U24" s="150"/>
      <c r="V24" s="151"/>
      <c r="W24" s="166"/>
      <c r="X24" s="119"/>
      <c r="Y24" s="113"/>
      <c r="Z24" s="113"/>
    </row>
    <row r="25">
      <c r="A25" s="113"/>
      <c r="B25" s="113"/>
      <c r="C25" s="113"/>
      <c r="D25" s="113"/>
      <c r="E25" s="113"/>
      <c r="F25" s="113"/>
      <c r="G25" s="113"/>
      <c r="H25" s="113"/>
      <c r="I25" s="113"/>
      <c r="J25" s="113"/>
      <c r="K25" s="113"/>
      <c r="L25" s="113"/>
      <c r="M25" s="113"/>
      <c r="N25" s="113"/>
      <c r="O25" s="113"/>
      <c r="P25" s="113"/>
      <c r="Q25" s="132"/>
      <c r="R25" s="165"/>
      <c r="S25" s="165"/>
      <c r="T25" s="165"/>
      <c r="U25" s="150"/>
      <c r="V25" s="151"/>
      <c r="W25" s="166"/>
      <c r="X25" s="119"/>
      <c r="Y25" s="113"/>
      <c r="Z25" s="113"/>
    </row>
    <row r="26">
      <c r="A26" s="113"/>
      <c r="B26" s="113"/>
      <c r="C26" s="113"/>
      <c r="D26" s="113"/>
      <c r="E26" s="113"/>
      <c r="F26" s="113"/>
      <c r="G26" s="113"/>
      <c r="H26" s="113"/>
      <c r="I26" s="113"/>
      <c r="J26" s="113"/>
      <c r="K26" s="113"/>
      <c r="L26" s="113"/>
      <c r="M26" s="113"/>
      <c r="N26" s="113"/>
      <c r="O26" s="113"/>
      <c r="P26" s="113"/>
      <c r="Q26" s="132"/>
      <c r="R26" s="165"/>
      <c r="S26" s="165"/>
      <c r="T26" s="165"/>
      <c r="U26" s="150"/>
      <c r="V26" s="151"/>
      <c r="W26" s="166"/>
      <c r="X26" s="119"/>
      <c r="Y26" s="113"/>
      <c r="Z26" s="113"/>
    </row>
    <row r="27">
      <c r="A27" s="113"/>
      <c r="B27" s="113"/>
      <c r="C27" s="113"/>
      <c r="D27" s="113"/>
      <c r="E27" s="113"/>
      <c r="F27" s="113"/>
      <c r="G27" s="113"/>
      <c r="H27" s="113"/>
      <c r="I27" s="113"/>
      <c r="J27" s="113"/>
      <c r="K27" s="113"/>
      <c r="L27" s="113"/>
      <c r="M27" s="113"/>
      <c r="N27" s="113"/>
      <c r="O27" s="113"/>
      <c r="P27" s="113"/>
      <c r="Q27" s="132"/>
      <c r="R27" s="165"/>
      <c r="S27" s="165"/>
      <c r="T27" s="165"/>
      <c r="U27" s="150"/>
      <c r="V27" s="151"/>
      <c r="W27" s="166"/>
      <c r="X27" s="119"/>
      <c r="Y27" s="113"/>
      <c r="Z27" s="113"/>
    </row>
    <row r="28">
      <c r="A28" s="113"/>
      <c r="B28" s="113"/>
      <c r="C28" s="113"/>
      <c r="D28" s="113"/>
      <c r="E28" s="113"/>
      <c r="F28" s="113"/>
      <c r="G28" s="113"/>
      <c r="H28" s="113"/>
      <c r="I28" s="113"/>
      <c r="J28" s="113"/>
      <c r="K28" s="113"/>
      <c r="L28" s="113"/>
      <c r="M28" s="113"/>
      <c r="N28" s="113"/>
      <c r="O28" s="113"/>
      <c r="P28" s="113"/>
      <c r="Q28" s="132"/>
      <c r="R28" s="165"/>
      <c r="S28" s="165"/>
      <c r="T28" s="165"/>
      <c r="U28" s="150"/>
      <c r="V28" s="151"/>
      <c r="W28" s="166"/>
      <c r="X28" s="119"/>
      <c r="Y28" s="113"/>
      <c r="Z28" s="113"/>
    </row>
    <row r="29">
      <c r="A29" s="113"/>
      <c r="B29" s="113"/>
      <c r="C29" s="113"/>
      <c r="D29" s="113"/>
      <c r="E29" s="113"/>
      <c r="F29" s="113"/>
      <c r="G29" s="113"/>
      <c r="H29" s="113"/>
      <c r="I29" s="113"/>
      <c r="J29" s="113"/>
      <c r="K29" s="113"/>
      <c r="L29" s="113"/>
      <c r="M29" s="113"/>
      <c r="N29" s="113"/>
      <c r="O29" s="113"/>
      <c r="P29" s="113"/>
      <c r="Q29" s="132"/>
      <c r="R29" s="165"/>
      <c r="S29" s="165"/>
      <c r="T29" s="165"/>
      <c r="U29" s="150"/>
      <c r="V29" s="151"/>
      <c r="W29" s="166"/>
      <c r="X29" s="119"/>
      <c r="Y29" s="113"/>
      <c r="Z29" s="113"/>
    </row>
    <row r="30">
      <c r="A30" s="113"/>
      <c r="B30" s="113"/>
      <c r="C30" s="113"/>
      <c r="D30" s="113"/>
      <c r="E30" s="113"/>
      <c r="F30" s="113"/>
      <c r="G30" s="113"/>
      <c r="H30" s="113"/>
      <c r="I30" s="113"/>
      <c r="J30" s="113"/>
      <c r="K30" s="113"/>
      <c r="L30" s="113"/>
      <c r="M30" s="113"/>
      <c r="N30" s="113"/>
      <c r="O30" s="113"/>
      <c r="P30" s="113"/>
      <c r="Q30" s="132"/>
      <c r="R30" s="165"/>
      <c r="S30" s="165"/>
      <c r="T30" s="165"/>
      <c r="U30" s="150"/>
      <c r="V30" s="151"/>
      <c r="W30" s="166"/>
      <c r="X30" s="119"/>
      <c r="Y30" s="113"/>
      <c r="Z30" s="113"/>
    </row>
    <row r="31">
      <c r="A31" s="113"/>
      <c r="B31" s="113"/>
      <c r="C31" s="113"/>
      <c r="D31" s="113"/>
      <c r="E31" s="113"/>
      <c r="F31" s="113"/>
      <c r="G31" s="113"/>
      <c r="H31" s="113"/>
      <c r="I31" s="113"/>
      <c r="J31" s="113"/>
      <c r="K31" s="113"/>
      <c r="L31" s="113"/>
      <c r="M31" s="113"/>
      <c r="N31" s="113"/>
      <c r="O31" s="113"/>
      <c r="P31" s="113"/>
      <c r="Q31" s="132"/>
      <c r="R31" s="165"/>
      <c r="S31" s="165"/>
      <c r="T31" s="165"/>
      <c r="U31" s="150"/>
      <c r="V31" s="151"/>
      <c r="W31" s="166"/>
      <c r="X31" s="119"/>
      <c r="Y31" s="113"/>
      <c r="Z31" s="113"/>
    </row>
    <row r="32">
      <c r="A32" s="113"/>
      <c r="B32" s="113"/>
      <c r="C32" s="113"/>
      <c r="D32" s="113"/>
      <c r="E32" s="113"/>
      <c r="F32" s="113"/>
      <c r="G32" s="113"/>
      <c r="H32" s="113"/>
      <c r="I32" s="113"/>
      <c r="J32" s="113"/>
      <c r="K32" s="113"/>
      <c r="L32" s="113"/>
      <c r="M32" s="113"/>
      <c r="N32" s="113"/>
      <c r="O32" s="113"/>
      <c r="P32" s="113"/>
      <c r="Q32" s="132"/>
      <c r="R32" s="165"/>
      <c r="S32" s="165"/>
      <c r="T32" s="165"/>
      <c r="U32" s="150"/>
      <c r="V32" s="151"/>
      <c r="W32" s="166"/>
      <c r="X32" s="119"/>
      <c r="Y32" s="113"/>
      <c r="Z32" s="113"/>
    </row>
    <row r="33">
      <c r="A33" s="113"/>
      <c r="B33" s="113"/>
      <c r="C33" s="113"/>
      <c r="D33" s="113"/>
      <c r="E33" s="113"/>
      <c r="F33" s="113"/>
      <c r="G33" s="113"/>
      <c r="H33" s="113"/>
      <c r="I33" s="113"/>
      <c r="J33" s="113"/>
      <c r="K33" s="113"/>
      <c r="L33" s="113"/>
      <c r="M33" s="113"/>
      <c r="N33" s="113"/>
      <c r="O33" s="113"/>
      <c r="P33" s="113"/>
      <c r="Q33" s="132"/>
      <c r="R33" s="165"/>
      <c r="S33" s="165"/>
      <c r="T33" s="165"/>
      <c r="U33" s="150"/>
      <c r="V33" s="151"/>
      <c r="W33" s="166"/>
      <c r="X33" s="119"/>
      <c r="Y33" s="113"/>
      <c r="Z33" s="113"/>
    </row>
    <row r="34">
      <c r="A34" s="113"/>
      <c r="B34" s="113"/>
      <c r="C34" s="113"/>
      <c r="D34" s="113"/>
      <c r="E34" s="113"/>
      <c r="F34" s="113"/>
      <c r="G34" s="113"/>
      <c r="H34" s="113"/>
      <c r="I34" s="113"/>
      <c r="J34" s="113"/>
      <c r="K34" s="113"/>
      <c r="L34" s="113"/>
      <c r="M34" s="113"/>
      <c r="N34" s="113"/>
      <c r="O34" s="113"/>
      <c r="P34" s="113"/>
      <c r="Q34" s="132"/>
      <c r="R34" s="165"/>
      <c r="S34" s="165"/>
      <c r="T34" s="165"/>
      <c r="U34" s="150"/>
      <c r="V34" s="151"/>
      <c r="W34" s="166"/>
      <c r="X34" s="119"/>
      <c r="Y34" s="113"/>
      <c r="Z34" s="113"/>
    </row>
    <row r="35">
      <c r="A35" s="113"/>
      <c r="B35" s="113"/>
      <c r="C35" s="113"/>
      <c r="D35" s="113"/>
      <c r="E35" s="113"/>
      <c r="F35" s="113"/>
      <c r="G35" s="113"/>
      <c r="H35" s="113"/>
      <c r="I35" s="113"/>
      <c r="J35" s="113"/>
      <c r="K35" s="113"/>
      <c r="L35" s="113"/>
      <c r="M35" s="113"/>
      <c r="N35" s="113"/>
      <c r="O35" s="113"/>
      <c r="P35" s="113"/>
      <c r="Q35" s="132"/>
      <c r="R35" s="165"/>
      <c r="S35" s="165"/>
      <c r="T35" s="165"/>
      <c r="U35" s="150"/>
      <c r="V35" s="151"/>
      <c r="W35" s="166"/>
      <c r="X35" s="119"/>
      <c r="Y35" s="113"/>
      <c r="Z35" s="113"/>
    </row>
    <row r="36">
      <c r="A36" s="113"/>
      <c r="B36" s="113"/>
      <c r="C36" s="113"/>
      <c r="D36" s="113"/>
      <c r="E36" s="113"/>
      <c r="F36" s="113"/>
      <c r="G36" s="113"/>
      <c r="H36" s="113"/>
      <c r="I36" s="113"/>
      <c r="J36" s="113"/>
      <c r="K36" s="113"/>
      <c r="L36" s="113"/>
      <c r="M36" s="113"/>
      <c r="N36" s="113"/>
      <c r="O36" s="113"/>
      <c r="P36" s="113"/>
      <c r="Q36" s="132"/>
      <c r="R36" s="165"/>
      <c r="S36" s="165"/>
      <c r="T36" s="165"/>
      <c r="U36" s="150"/>
      <c r="V36" s="151"/>
      <c r="W36" s="166"/>
      <c r="X36" s="119"/>
      <c r="Y36" s="113"/>
      <c r="Z36" s="113"/>
    </row>
    <row r="37">
      <c r="A37" s="113"/>
      <c r="B37" s="113"/>
      <c r="C37" s="113"/>
      <c r="D37" s="113"/>
      <c r="E37" s="113"/>
      <c r="F37" s="113"/>
      <c r="G37" s="113"/>
      <c r="H37" s="113"/>
      <c r="I37" s="113"/>
      <c r="J37" s="113"/>
      <c r="K37" s="113"/>
      <c r="L37" s="113"/>
      <c r="M37" s="113"/>
      <c r="N37" s="113"/>
      <c r="O37" s="113"/>
      <c r="P37" s="113"/>
      <c r="Q37" s="132"/>
      <c r="R37" s="165"/>
      <c r="S37" s="165"/>
      <c r="T37" s="165"/>
      <c r="U37" s="150"/>
      <c r="V37" s="151"/>
      <c r="W37" s="166"/>
      <c r="X37" s="119"/>
      <c r="Y37" s="113"/>
      <c r="Z37" s="113"/>
    </row>
    <row r="38">
      <c r="A38" s="113"/>
      <c r="B38" s="113"/>
      <c r="C38" s="113"/>
      <c r="D38" s="113"/>
      <c r="E38" s="113"/>
      <c r="F38" s="113"/>
      <c r="G38" s="113"/>
      <c r="H38" s="113"/>
      <c r="I38" s="113"/>
      <c r="J38" s="113"/>
      <c r="K38" s="113"/>
      <c r="L38" s="113"/>
      <c r="M38" s="113"/>
      <c r="N38" s="113"/>
      <c r="O38" s="113"/>
      <c r="P38" s="113"/>
      <c r="Q38" s="132"/>
      <c r="R38" s="165"/>
      <c r="S38" s="165"/>
      <c r="T38" s="165"/>
      <c r="U38" s="150"/>
      <c r="V38" s="151"/>
      <c r="W38" s="166"/>
      <c r="X38" s="119"/>
      <c r="Y38" s="113"/>
      <c r="Z38" s="113"/>
    </row>
    <row r="39">
      <c r="A39" s="113"/>
      <c r="B39" s="113"/>
      <c r="C39" s="113"/>
      <c r="D39" s="113"/>
      <c r="E39" s="113"/>
      <c r="F39" s="113"/>
      <c r="G39" s="113"/>
      <c r="H39" s="113"/>
      <c r="I39" s="113"/>
      <c r="J39" s="113"/>
      <c r="K39" s="113"/>
      <c r="L39" s="113"/>
      <c r="M39" s="113"/>
      <c r="N39" s="113"/>
      <c r="O39" s="113"/>
      <c r="P39" s="113"/>
      <c r="Q39" s="132"/>
      <c r="R39" s="165"/>
      <c r="S39" s="165"/>
      <c r="T39" s="165"/>
      <c r="U39" s="150"/>
      <c r="V39" s="151"/>
      <c r="W39" s="166"/>
      <c r="X39" s="119"/>
      <c r="Y39" s="113"/>
      <c r="Z39" s="113"/>
    </row>
    <row r="40">
      <c r="A40" s="113"/>
      <c r="B40" s="113"/>
      <c r="C40" s="113"/>
      <c r="D40" s="113"/>
      <c r="E40" s="113"/>
      <c r="F40" s="113"/>
      <c r="G40" s="113"/>
      <c r="H40" s="113"/>
      <c r="I40" s="113"/>
      <c r="J40" s="113"/>
      <c r="K40" s="113"/>
      <c r="L40" s="113"/>
      <c r="M40" s="113"/>
      <c r="N40" s="113"/>
      <c r="O40" s="113"/>
      <c r="P40" s="113"/>
      <c r="Q40" s="132"/>
      <c r="R40" s="165"/>
      <c r="S40" s="165"/>
      <c r="T40" s="165"/>
      <c r="U40" s="150"/>
      <c r="V40" s="151"/>
      <c r="W40" s="166"/>
      <c r="X40" s="119"/>
      <c r="Y40" s="113"/>
      <c r="Z40" s="113"/>
    </row>
    <row r="41">
      <c r="A41" s="113"/>
      <c r="B41" s="113"/>
      <c r="C41" s="113"/>
      <c r="D41" s="113"/>
      <c r="E41" s="113"/>
      <c r="F41" s="113"/>
      <c r="G41" s="113"/>
      <c r="H41" s="113"/>
      <c r="I41" s="113"/>
      <c r="J41" s="113"/>
      <c r="K41" s="113"/>
      <c r="L41" s="113"/>
      <c r="M41" s="113"/>
      <c r="N41" s="113"/>
      <c r="O41" s="113"/>
      <c r="P41" s="113"/>
      <c r="Q41" s="132"/>
      <c r="R41" s="165"/>
      <c r="S41" s="165"/>
      <c r="T41" s="165"/>
      <c r="U41" s="150"/>
      <c r="V41" s="151"/>
      <c r="W41" s="166"/>
      <c r="X41" s="119"/>
      <c r="Y41" s="113"/>
      <c r="Z41" s="113"/>
    </row>
    <row r="42">
      <c r="A42" s="113"/>
      <c r="B42" s="113"/>
      <c r="C42" s="113"/>
      <c r="D42" s="113"/>
      <c r="E42" s="113"/>
      <c r="F42" s="113"/>
      <c r="G42" s="113"/>
      <c r="H42" s="113"/>
      <c r="I42" s="113"/>
      <c r="J42" s="113"/>
      <c r="K42" s="113"/>
      <c r="L42" s="113"/>
      <c r="M42" s="113"/>
      <c r="N42" s="113"/>
      <c r="O42" s="113"/>
      <c r="P42" s="113"/>
      <c r="Q42" s="132"/>
      <c r="R42" s="165"/>
      <c r="S42" s="165"/>
      <c r="T42" s="165"/>
      <c r="U42" s="150"/>
      <c r="V42" s="151"/>
      <c r="W42" s="166"/>
      <c r="X42" s="119"/>
      <c r="Y42" s="113"/>
      <c r="Z42" s="113"/>
    </row>
    <row r="43">
      <c r="A43" s="113"/>
      <c r="B43" s="113"/>
      <c r="C43" s="113"/>
      <c r="D43" s="113"/>
      <c r="E43" s="113"/>
      <c r="F43" s="113"/>
      <c r="G43" s="113"/>
      <c r="H43" s="113"/>
      <c r="I43" s="113"/>
      <c r="J43" s="113"/>
      <c r="K43" s="113"/>
      <c r="L43" s="113"/>
      <c r="M43" s="113"/>
      <c r="N43" s="113"/>
      <c r="O43" s="113"/>
      <c r="P43" s="113"/>
      <c r="Q43" s="132"/>
      <c r="R43" s="165"/>
      <c r="S43" s="165"/>
      <c r="T43" s="165"/>
      <c r="U43" s="150"/>
      <c r="V43" s="151"/>
      <c r="W43" s="166"/>
      <c r="X43" s="119"/>
      <c r="Y43" s="113"/>
      <c r="Z43" s="113"/>
    </row>
    <row r="44">
      <c r="A44" s="113"/>
      <c r="B44" s="113"/>
      <c r="C44" s="113"/>
      <c r="D44" s="113"/>
      <c r="E44" s="113"/>
      <c r="F44" s="113"/>
      <c r="G44" s="113"/>
      <c r="H44" s="113"/>
      <c r="I44" s="113"/>
      <c r="J44" s="113"/>
      <c r="K44" s="113"/>
      <c r="L44" s="113"/>
      <c r="M44" s="113"/>
      <c r="N44" s="113"/>
      <c r="O44" s="113"/>
      <c r="P44" s="113"/>
      <c r="Q44" s="132"/>
      <c r="R44" s="165"/>
      <c r="S44" s="165"/>
      <c r="T44" s="165"/>
      <c r="U44" s="150"/>
      <c r="V44" s="151"/>
      <c r="W44" s="166"/>
      <c r="X44" s="119"/>
      <c r="Y44" s="113"/>
      <c r="Z44" s="113"/>
    </row>
    <row r="45">
      <c r="A45" s="113"/>
      <c r="B45" s="113"/>
      <c r="C45" s="113"/>
      <c r="D45" s="113"/>
      <c r="E45" s="113"/>
      <c r="F45" s="113"/>
      <c r="G45" s="113"/>
      <c r="H45" s="113"/>
      <c r="I45" s="113"/>
      <c r="J45" s="113"/>
      <c r="K45" s="113"/>
      <c r="L45" s="113"/>
      <c r="M45" s="113"/>
      <c r="N45" s="113"/>
      <c r="O45" s="113"/>
      <c r="P45" s="113"/>
      <c r="Q45" s="132"/>
      <c r="R45" s="165"/>
      <c r="S45" s="165"/>
      <c r="T45" s="165"/>
      <c r="U45" s="150"/>
      <c r="V45" s="151"/>
      <c r="W45" s="166"/>
      <c r="X45" s="119"/>
      <c r="Y45" s="113"/>
      <c r="Z45" s="113"/>
    </row>
    <row r="46">
      <c r="A46" s="113"/>
      <c r="B46" s="113"/>
      <c r="C46" s="113"/>
      <c r="D46" s="113"/>
      <c r="E46" s="113"/>
      <c r="F46" s="113"/>
      <c r="G46" s="113"/>
      <c r="H46" s="113"/>
      <c r="I46" s="113"/>
      <c r="J46" s="113"/>
      <c r="K46" s="113"/>
      <c r="L46" s="113"/>
      <c r="M46" s="113"/>
      <c r="N46" s="113"/>
      <c r="O46" s="113"/>
      <c r="P46" s="113"/>
      <c r="Q46" s="132"/>
      <c r="R46" s="165"/>
      <c r="S46" s="165"/>
      <c r="T46" s="165"/>
      <c r="U46" s="150"/>
      <c r="V46" s="151"/>
      <c r="W46" s="166"/>
      <c r="X46" s="119"/>
      <c r="Y46" s="113"/>
      <c r="Z46" s="113"/>
    </row>
    <row r="47">
      <c r="A47" s="113"/>
      <c r="B47" s="113"/>
      <c r="C47" s="113"/>
      <c r="D47" s="113"/>
      <c r="E47" s="113"/>
      <c r="F47" s="113"/>
      <c r="G47" s="113"/>
      <c r="H47" s="113"/>
      <c r="I47" s="113"/>
      <c r="J47" s="113"/>
      <c r="K47" s="113"/>
      <c r="L47" s="113"/>
      <c r="M47" s="113"/>
      <c r="N47" s="113"/>
      <c r="O47" s="113"/>
      <c r="P47" s="113"/>
      <c r="Q47" s="132"/>
      <c r="R47" s="165"/>
      <c r="S47" s="165"/>
      <c r="T47" s="165"/>
      <c r="U47" s="150"/>
      <c r="V47" s="151"/>
      <c r="W47" s="166"/>
      <c r="X47" s="119"/>
      <c r="Y47" s="113"/>
      <c r="Z47" s="113"/>
    </row>
    <row r="48">
      <c r="A48" s="113"/>
      <c r="B48" s="113"/>
      <c r="C48" s="113"/>
      <c r="D48" s="113"/>
      <c r="E48" s="113"/>
      <c r="F48" s="113"/>
      <c r="G48" s="113"/>
      <c r="H48" s="113"/>
      <c r="I48" s="113"/>
      <c r="J48" s="113"/>
      <c r="K48" s="113"/>
      <c r="L48" s="113"/>
      <c r="M48" s="113"/>
      <c r="N48" s="113"/>
      <c r="O48" s="113"/>
      <c r="P48" s="113"/>
      <c r="Q48" s="132"/>
      <c r="R48" s="165"/>
      <c r="S48" s="165"/>
      <c r="T48" s="165"/>
      <c r="U48" s="150"/>
      <c r="V48" s="151"/>
      <c r="W48" s="166"/>
      <c r="X48" s="119"/>
      <c r="Y48" s="113"/>
      <c r="Z48" s="113"/>
    </row>
    <row r="49">
      <c r="A49" s="113"/>
      <c r="B49" s="113"/>
      <c r="C49" s="113"/>
      <c r="D49" s="113"/>
      <c r="E49" s="113"/>
      <c r="F49" s="113"/>
      <c r="G49" s="113"/>
      <c r="H49" s="113"/>
      <c r="I49" s="113"/>
      <c r="J49" s="113"/>
      <c r="K49" s="113"/>
      <c r="L49" s="113"/>
      <c r="M49" s="113"/>
      <c r="N49" s="113"/>
      <c r="O49" s="113"/>
      <c r="P49" s="113"/>
      <c r="Q49" s="132"/>
      <c r="R49" s="165"/>
      <c r="S49" s="165"/>
      <c r="T49" s="165"/>
      <c r="U49" s="150"/>
      <c r="V49" s="151"/>
      <c r="W49" s="166"/>
      <c r="X49" s="119"/>
      <c r="Y49" s="113"/>
      <c r="Z49" s="113"/>
    </row>
    <row r="50">
      <c r="A50" s="113"/>
      <c r="B50" s="113"/>
      <c r="C50" s="113"/>
      <c r="D50" s="113"/>
      <c r="E50" s="113"/>
      <c r="F50" s="113"/>
      <c r="G50" s="113"/>
      <c r="H50" s="113"/>
      <c r="I50" s="113"/>
      <c r="J50" s="113"/>
      <c r="K50" s="113"/>
      <c r="L50" s="113"/>
      <c r="M50" s="113"/>
      <c r="N50" s="113"/>
      <c r="O50" s="113"/>
      <c r="P50" s="113"/>
      <c r="Q50" s="132"/>
      <c r="R50" s="165"/>
      <c r="S50" s="165"/>
      <c r="T50" s="165"/>
      <c r="U50" s="150"/>
      <c r="V50" s="151"/>
      <c r="W50" s="166"/>
      <c r="X50" s="119"/>
      <c r="Y50" s="113"/>
      <c r="Z50" s="113"/>
    </row>
    <row r="51">
      <c r="A51" s="113"/>
      <c r="B51" s="113"/>
      <c r="C51" s="113"/>
      <c r="D51" s="113"/>
      <c r="E51" s="113"/>
      <c r="F51" s="113"/>
      <c r="G51" s="113"/>
      <c r="H51" s="113"/>
      <c r="I51" s="113"/>
      <c r="J51" s="113"/>
      <c r="K51" s="113"/>
      <c r="L51" s="113"/>
      <c r="M51" s="113"/>
      <c r="N51" s="113"/>
      <c r="O51" s="113"/>
      <c r="P51" s="113"/>
      <c r="Q51" s="132"/>
      <c r="R51" s="165"/>
      <c r="S51" s="165"/>
      <c r="T51" s="165"/>
      <c r="U51" s="150"/>
      <c r="V51" s="151"/>
      <c r="W51" s="166"/>
      <c r="X51" s="119"/>
      <c r="Y51" s="113"/>
      <c r="Z51" s="113"/>
    </row>
    <row r="52">
      <c r="A52" s="113"/>
      <c r="B52" s="113"/>
      <c r="C52" s="113"/>
      <c r="D52" s="113"/>
      <c r="E52" s="113"/>
      <c r="F52" s="113"/>
      <c r="G52" s="113"/>
      <c r="H52" s="113"/>
      <c r="I52" s="113"/>
      <c r="J52" s="113"/>
      <c r="K52" s="113"/>
      <c r="L52" s="113"/>
      <c r="M52" s="113"/>
      <c r="N52" s="113"/>
      <c r="O52" s="113"/>
      <c r="P52" s="113"/>
      <c r="Q52" s="132"/>
      <c r="R52" s="165"/>
      <c r="S52" s="165"/>
      <c r="T52" s="165"/>
      <c r="U52" s="150"/>
      <c r="V52" s="151"/>
      <c r="W52" s="166"/>
      <c r="X52" s="119"/>
      <c r="Y52" s="113"/>
      <c r="Z52" s="113"/>
    </row>
    <row r="53">
      <c r="A53" s="113"/>
      <c r="B53" s="113"/>
      <c r="C53" s="113"/>
      <c r="D53" s="113"/>
      <c r="E53" s="113"/>
      <c r="F53" s="113"/>
      <c r="G53" s="113"/>
      <c r="H53" s="113"/>
      <c r="I53" s="113"/>
      <c r="J53" s="113"/>
      <c r="K53" s="113"/>
      <c r="L53" s="113"/>
      <c r="M53" s="113"/>
      <c r="N53" s="113"/>
      <c r="O53" s="113"/>
      <c r="P53" s="113"/>
      <c r="Q53" s="132"/>
      <c r="R53" s="165"/>
      <c r="S53" s="165"/>
      <c r="T53" s="165"/>
      <c r="U53" s="150"/>
      <c r="V53" s="151"/>
      <c r="W53" s="166"/>
      <c r="X53" s="119"/>
      <c r="Y53" s="113"/>
      <c r="Z53" s="113"/>
    </row>
    <row r="54">
      <c r="A54" s="113"/>
      <c r="B54" s="113"/>
      <c r="C54" s="113"/>
      <c r="D54" s="113"/>
      <c r="E54" s="113"/>
      <c r="F54" s="113"/>
      <c r="G54" s="113"/>
      <c r="H54" s="113"/>
      <c r="I54" s="113"/>
      <c r="J54" s="113"/>
      <c r="K54" s="113"/>
      <c r="L54" s="113"/>
      <c r="M54" s="113"/>
      <c r="N54" s="113"/>
      <c r="O54" s="113"/>
      <c r="P54" s="113"/>
      <c r="Q54" s="132"/>
      <c r="R54" s="165"/>
      <c r="S54" s="165"/>
      <c r="T54" s="165"/>
      <c r="U54" s="150"/>
      <c r="V54" s="151"/>
      <c r="W54" s="166"/>
      <c r="X54" s="119"/>
      <c r="Y54" s="113"/>
      <c r="Z54" s="113"/>
    </row>
    <row r="55">
      <c r="A55" s="113"/>
      <c r="B55" s="113"/>
      <c r="C55" s="113"/>
      <c r="D55" s="113"/>
      <c r="E55" s="113"/>
      <c r="F55" s="113"/>
      <c r="G55" s="113"/>
      <c r="H55" s="113"/>
      <c r="I55" s="113"/>
      <c r="J55" s="113"/>
      <c r="K55" s="113"/>
      <c r="L55" s="113"/>
      <c r="M55" s="113"/>
      <c r="N55" s="113"/>
      <c r="O55" s="113"/>
      <c r="P55" s="113"/>
      <c r="Q55" s="132"/>
      <c r="R55" s="165"/>
      <c r="S55" s="165"/>
      <c r="T55" s="165"/>
      <c r="U55" s="150"/>
      <c r="V55" s="151"/>
      <c r="W55" s="166"/>
      <c r="X55" s="119"/>
      <c r="Y55" s="113"/>
      <c r="Z55" s="113"/>
    </row>
    <row r="56">
      <c r="A56" s="113"/>
      <c r="B56" s="113"/>
      <c r="C56" s="113"/>
      <c r="D56" s="113"/>
      <c r="E56" s="113"/>
      <c r="F56" s="113"/>
      <c r="G56" s="113"/>
      <c r="H56" s="113"/>
      <c r="I56" s="113"/>
      <c r="J56" s="113"/>
      <c r="K56" s="113"/>
      <c r="L56" s="113"/>
      <c r="M56" s="113"/>
      <c r="N56" s="113"/>
      <c r="O56" s="113"/>
      <c r="P56" s="113"/>
      <c r="Q56" s="132"/>
      <c r="R56" s="165"/>
      <c r="S56" s="165"/>
      <c r="T56" s="165"/>
      <c r="U56" s="150"/>
      <c r="V56" s="151"/>
      <c r="W56" s="166"/>
      <c r="X56" s="119"/>
      <c r="Y56" s="113"/>
      <c r="Z56" s="113"/>
    </row>
    <row r="57">
      <c r="A57" s="113"/>
      <c r="B57" s="113"/>
      <c r="C57" s="113"/>
      <c r="D57" s="113"/>
      <c r="E57" s="113"/>
      <c r="F57" s="113"/>
      <c r="G57" s="113"/>
      <c r="H57" s="113"/>
      <c r="I57" s="113"/>
      <c r="J57" s="113"/>
      <c r="K57" s="113"/>
      <c r="L57" s="113"/>
      <c r="M57" s="113"/>
      <c r="N57" s="113"/>
      <c r="O57" s="113"/>
      <c r="P57" s="113"/>
      <c r="Q57" s="132"/>
      <c r="R57" s="165"/>
      <c r="S57" s="165"/>
      <c r="T57" s="165"/>
      <c r="U57" s="150"/>
      <c r="V57" s="151"/>
      <c r="W57" s="166"/>
      <c r="X57" s="119"/>
      <c r="Y57" s="113"/>
      <c r="Z57" s="113"/>
    </row>
    <row r="58">
      <c r="A58" s="113"/>
      <c r="B58" s="113"/>
      <c r="C58" s="113"/>
      <c r="D58" s="113"/>
      <c r="E58" s="113"/>
      <c r="F58" s="113"/>
      <c r="G58" s="113"/>
      <c r="H58" s="113"/>
      <c r="I58" s="113"/>
      <c r="J58" s="113"/>
      <c r="K58" s="113"/>
      <c r="L58" s="113"/>
      <c r="M58" s="113"/>
      <c r="N58" s="113"/>
      <c r="O58" s="113"/>
      <c r="P58" s="113"/>
      <c r="Q58" s="132"/>
      <c r="R58" s="165"/>
      <c r="S58" s="165"/>
      <c r="T58" s="165"/>
      <c r="U58" s="150"/>
      <c r="V58" s="151"/>
      <c r="W58" s="166"/>
      <c r="X58" s="119"/>
      <c r="Y58" s="113"/>
      <c r="Z58" s="113"/>
    </row>
    <row r="59">
      <c r="A59" s="113"/>
      <c r="B59" s="113"/>
      <c r="C59" s="113"/>
      <c r="D59" s="113"/>
      <c r="E59" s="113"/>
      <c r="F59" s="113"/>
      <c r="G59" s="113"/>
      <c r="H59" s="113"/>
      <c r="I59" s="113"/>
      <c r="J59" s="113"/>
      <c r="K59" s="113"/>
      <c r="L59" s="113"/>
      <c r="M59" s="113"/>
      <c r="N59" s="113"/>
      <c r="O59" s="113"/>
      <c r="P59" s="113"/>
      <c r="Q59" s="132"/>
      <c r="R59" s="165"/>
      <c r="S59" s="165"/>
      <c r="T59" s="165"/>
      <c r="U59" s="150"/>
      <c r="V59" s="151"/>
      <c r="W59" s="166"/>
      <c r="X59" s="119"/>
      <c r="Y59" s="113"/>
      <c r="Z59" s="113"/>
    </row>
    <row r="60">
      <c r="A60" s="113"/>
      <c r="B60" s="113"/>
      <c r="C60" s="113"/>
      <c r="D60" s="113"/>
      <c r="E60" s="113"/>
      <c r="F60" s="113"/>
      <c r="G60" s="113"/>
      <c r="H60" s="113"/>
      <c r="I60" s="113"/>
      <c r="J60" s="113"/>
      <c r="K60" s="113"/>
      <c r="L60" s="113"/>
      <c r="M60" s="113"/>
      <c r="N60" s="113"/>
      <c r="O60" s="113"/>
      <c r="P60" s="113"/>
      <c r="Q60" s="132"/>
      <c r="R60" s="165"/>
      <c r="S60" s="165"/>
      <c r="T60" s="165"/>
      <c r="U60" s="150"/>
      <c r="V60" s="151"/>
      <c r="W60" s="166"/>
      <c r="X60" s="119"/>
      <c r="Y60" s="113"/>
      <c r="Z60" s="113"/>
    </row>
    <row r="61">
      <c r="A61" s="113"/>
      <c r="B61" s="113"/>
      <c r="C61" s="113"/>
      <c r="D61" s="113"/>
      <c r="E61" s="113"/>
      <c r="F61" s="113"/>
      <c r="G61" s="113"/>
      <c r="H61" s="113"/>
      <c r="I61" s="113"/>
      <c r="J61" s="113"/>
      <c r="K61" s="113"/>
      <c r="L61" s="113"/>
      <c r="M61" s="113"/>
      <c r="N61" s="113"/>
      <c r="O61" s="113"/>
      <c r="P61" s="113"/>
      <c r="Q61" s="132"/>
      <c r="R61" s="165"/>
      <c r="S61" s="165"/>
      <c r="T61" s="165"/>
      <c r="U61" s="150"/>
      <c r="V61" s="151"/>
      <c r="W61" s="166"/>
      <c r="X61" s="119"/>
      <c r="Y61" s="113"/>
      <c r="Z61" s="113"/>
    </row>
    <row r="62">
      <c r="A62" s="113"/>
      <c r="B62" s="113"/>
      <c r="C62" s="113"/>
      <c r="D62" s="113"/>
      <c r="E62" s="113"/>
      <c r="F62" s="113"/>
      <c r="G62" s="113"/>
      <c r="H62" s="113"/>
      <c r="I62" s="113"/>
      <c r="J62" s="113"/>
      <c r="K62" s="113"/>
      <c r="L62" s="113"/>
      <c r="M62" s="113"/>
      <c r="N62" s="113"/>
      <c r="O62" s="113"/>
      <c r="P62" s="113"/>
      <c r="Q62" s="132"/>
      <c r="R62" s="165"/>
      <c r="S62" s="165"/>
      <c r="T62" s="165"/>
      <c r="U62" s="150"/>
      <c r="V62" s="151"/>
      <c r="W62" s="166"/>
      <c r="X62" s="119"/>
      <c r="Y62" s="113"/>
      <c r="Z62" s="113"/>
    </row>
    <row r="63">
      <c r="A63" s="113"/>
      <c r="B63" s="113"/>
      <c r="C63" s="113"/>
      <c r="D63" s="113"/>
      <c r="E63" s="113"/>
      <c r="F63" s="113"/>
      <c r="G63" s="113"/>
      <c r="H63" s="113"/>
      <c r="I63" s="113"/>
      <c r="J63" s="113"/>
      <c r="K63" s="113"/>
      <c r="L63" s="113"/>
      <c r="M63" s="113"/>
      <c r="N63" s="113"/>
      <c r="O63" s="113"/>
      <c r="P63" s="113"/>
      <c r="Q63" s="132"/>
      <c r="R63" s="165"/>
      <c r="S63" s="165"/>
      <c r="T63" s="165"/>
      <c r="U63" s="150"/>
      <c r="V63" s="151"/>
      <c r="W63" s="166"/>
      <c r="X63" s="119"/>
      <c r="Y63" s="113"/>
      <c r="Z63" s="113"/>
    </row>
    <row r="64">
      <c r="A64" s="113"/>
      <c r="B64" s="113"/>
      <c r="C64" s="113"/>
      <c r="D64" s="113"/>
      <c r="E64" s="113"/>
      <c r="F64" s="113"/>
      <c r="G64" s="113"/>
      <c r="H64" s="113"/>
      <c r="I64" s="113"/>
      <c r="J64" s="113"/>
      <c r="K64" s="113"/>
      <c r="L64" s="113"/>
      <c r="M64" s="113"/>
      <c r="N64" s="113"/>
      <c r="O64" s="113"/>
      <c r="P64" s="113"/>
      <c r="Q64" s="132"/>
      <c r="R64" s="165"/>
      <c r="S64" s="165"/>
      <c r="T64" s="165"/>
      <c r="U64" s="150"/>
      <c r="V64" s="151"/>
      <c r="W64" s="166"/>
      <c r="X64" s="119"/>
      <c r="Y64" s="113"/>
      <c r="Z64" s="113"/>
    </row>
    <row r="65">
      <c r="A65" s="113"/>
      <c r="B65" s="113"/>
      <c r="C65" s="113"/>
      <c r="D65" s="113"/>
      <c r="E65" s="113"/>
      <c r="F65" s="113"/>
      <c r="G65" s="113"/>
      <c r="H65" s="113"/>
      <c r="I65" s="113"/>
      <c r="J65" s="113"/>
      <c r="K65" s="113"/>
      <c r="L65" s="113"/>
      <c r="M65" s="113"/>
      <c r="N65" s="113"/>
      <c r="O65" s="113"/>
      <c r="P65" s="113"/>
      <c r="Q65" s="132"/>
      <c r="R65" s="165"/>
      <c r="S65" s="165"/>
      <c r="T65" s="165"/>
      <c r="U65" s="150"/>
      <c r="V65" s="151"/>
      <c r="W65" s="166"/>
      <c r="X65" s="119"/>
      <c r="Y65" s="113"/>
      <c r="Z65" s="113"/>
    </row>
    <row r="66">
      <c r="A66" s="113"/>
      <c r="B66" s="113"/>
      <c r="C66" s="113"/>
      <c r="D66" s="113"/>
      <c r="E66" s="113"/>
      <c r="F66" s="113"/>
      <c r="G66" s="113"/>
      <c r="H66" s="113"/>
      <c r="I66" s="113"/>
      <c r="J66" s="113"/>
      <c r="K66" s="113"/>
      <c r="L66" s="113"/>
      <c r="M66" s="113"/>
      <c r="N66" s="113"/>
      <c r="O66" s="113"/>
      <c r="P66" s="113"/>
      <c r="Q66" s="132"/>
      <c r="R66" s="165"/>
      <c r="S66" s="165"/>
      <c r="T66" s="165"/>
      <c r="U66" s="150"/>
      <c r="V66" s="151"/>
      <c r="W66" s="166"/>
      <c r="X66" s="119"/>
      <c r="Y66" s="113"/>
      <c r="Z66" s="113"/>
    </row>
    <row r="67">
      <c r="A67" s="113"/>
      <c r="B67" s="113"/>
      <c r="C67" s="113"/>
      <c r="D67" s="113"/>
      <c r="E67" s="113"/>
      <c r="F67" s="113"/>
      <c r="G67" s="113"/>
      <c r="H67" s="113"/>
      <c r="I67" s="113"/>
      <c r="J67" s="113"/>
      <c r="K67" s="113"/>
      <c r="L67" s="113"/>
      <c r="M67" s="113"/>
      <c r="N67" s="113"/>
      <c r="O67" s="113"/>
      <c r="P67" s="113"/>
      <c r="Q67" s="132"/>
      <c r="R67" s="165"/>
      <c r="S67" s="165"/>
      <c r="T67" s="165"/>
      <c r="U67" s="150"/>
      <c r="V67" s="151"/>
      <c r="W67" s="166"/>
      <c r="X67" s="119"/>
      <c r="Y67" s="113"/>
      <c r="Z67" s="113"/>
    </row>
    <row r="68">
      <c r="A68" s="113"/>
      <c r="B68" s="113"/>
      <c r="C68" s="113"/>
      <c r="D68" s="113"/>
      <c r="E68" s="113"/>
      <c r="F68" s="113"/>
      <c r="G68" s="113"/>
      <c r="H68" s="113"/>
      <c r="I68" s="113"/>
      <c r="J68" s="113"/>
      <c r="K68" s="113"/>
      <c r="L68" s="113"/>
      <c r="M68" s="113"/>
      <c r="N68" s="113"/>
      <c r="O68" s="113"/>
      <c r="P68" s="113"/>
      <c r="Q68" s="132"/>
      <c r="R68" s="165"/>
      <c r="S68" s="165"/>
      <c r="T68" s="165"/>
      <c r="U68" s="150"/>
      <c r="V68" s="151"/>
      <c r="W68" s="166"/>
      <c r="X68" s="119"/>
      <c r="Y68" s="113"/>
      <c r="Z68" s="113"/>
    </row>
    <row r="69">
      <c r="A69" s="113"/>
      <c r="B69" s="113"/>
      <c r="C69" s="113"/>
      <c r="D69" s="113"/>
      <c r="E69" s="113"/>
      <c r="F69" s="113"/>
      <c r="G69" s="113"/>
      <c r="H69" s="113"/>
      <c r="I69" s="113"/>
      <c r="J69" s="113"/>
      <c r="K69" s="113"/>
      <c r="L69" s="113"/>
      <c r="M69" s="113"/>
      <c r="N69" s="113"/>
      <c r="O69" s="113"/>
      <c r="P69" s="113"/>
      <c r="Q69" s="132"/>
      <c r="R69" s="165"/>
      <c r="S69" s="165"/>
      <c r="T69" s="165"/>
      <c r="U69" s="150"/>
      <c r="V69" s="151"/>
      <c r="W69" s="166"/>
      <c r="X69" s="119"/>
      <c r="Y69" s="113"/>
      <c r="Z69" s="113"/>
    </row>
    <row r="70">
      <c r="A70" s="113"/>
      <c r="B70" s="113"/>
      <c r="C70" s="113"/>
      <c r="D70" s="113"/>
      <c r="E70" s="113"/>
      <c r="F70" s="113"/>
      <c r="G70" s="113"/>
      <c r="H70" s="113"/>
      <c r="I70" s="113"/>
      <c r="J70" s="113"/>
      <c r="K70" s="113"/>
      <c r="L70" s="113"/>
      <c r="M70" s="113"/>
      <c r="N70" s="113"/>
      <c r="O70" s="113"/>
      <c r="P70" s="113"/>
      <c r="Q70" s="132"/>
      <c r="R70" s="165"/>
      <c r="S70" s="165"/>
      <c r="T70" s="165"/>
      <c r="U70" s="150"/>
      <c r="V70" s="151"/>
      <c r="W70" s="166"/>
      <c r="X70" s="119"/>
      <c r="Y70" s="113"/>
      <c r="Z70" s="113"/>
    </row>
    <row r="71">
      <c r="A71" s="113"/>
      <c r="B71" s="113"/>
      <c r="C71" s="113"/>
      <c r="D71" s="113"/>
      <c r="E71" s="113"/>
      <c r="F71" s="113"/>
      <c r="G71" s="113"/>
      <c r="H71" s="113"/>
      <c r="I71" s="113"/>
      <c r="J71" s="113"/>
      <c r="K71" s="113"/>
      <c r="L71" s="113"/>
      <c r="M71" s="113"/>
      <c r="N71" s="113"/>
      <c r="O71" s="113"/>
      <c r="P71" s="113"/>
      <c r="Q71" s="132"/>
      <c r="R71" s="165"/>
      <c r="S71" s="165"/>
      <c r="T71" s="165"/>
      <c r="U71" s="150"/>
      <c r="V71" s="151"/>
      <c r="W71" s="166"/>
      <c r="X71" s="119"/>
      <c r="Y71" s="113"/>
      <c r="Z71" s="113"/>
    </row>
    <row r="72">
      <c r="A72" s="113"/>
      <c r="B72" s="113"/>
      <c r="C72" s="113"/>
      <c r="D72" s="113"/>
      <c r="E72" s="113"/>
      <c r="F72" s="113"/>
      <c r="G72" s="113"/>
      <c r="H72" s="113"/>
      <c r="I72" s="113"/>
      <c r="J72" s="113"/>
      <c r="K72" s="113"/>
      <c r="L72" s="113"/>
      <c r="M72" s="113"/>
      <c r="N72" s="113"/>
      <c r="O72" s="113"/>
      <c r="P72" s="113"/>
      <c r="Q72" s="132"/>
      <c r="R72" s="165"/>
      <c r="S72" s="165"/>
      <c r="T72" s="165"/>
      <c r="U72" s="150"/>
      <c r="V72" s="151"/>
      <c r="W72" s="166"/>
      <c r="X72" s="119"/>
      <c r="Y72" s="113"/>
      <c r="Z72" s="113"/>
    </row>
    <row r="73">
      <c r="A73" s="113"/>
      <c r="B73" s="113"/>
      <c r="C73" s="113"/>
      <c r="D73" s="113"/>
      <c r="E73" s="113"/>
      <c r="F73" s="113"/>
      <c r="G73" s="113"/>
      <c r="H73" s="113"/>
      <c r="I73" s="113"/>
      <c r="J73" s="113"/>
      <c r="K73" s="113"/>
      <c r="L73" s="113"/>
      <c r="M73" s="113"/>
      <c r="N73" s="113"/>
      <c r="O73" s="113"/>
      <c r="P73" s="113"/>
      <c r="Q73" s="132"/>
      <c r="R73" s="165"/>
      <c r="S73" s="165"/>
      <c r="T73" s="165"/>
      <c r="U73" s="150"/>
      <c r="V73" s="151"/>
      <c r="W73" s="166"/>
      <c r="X73" s="119"/>
      <c r="Y73" s="113"/>
      <c r="Z73" s="113"/>
    </row>
    <row r="74">
      <c r="A74" s="113"/>
      <c r="B74" s="113"/>
      <c r="C74" s="113"/>
      <c r="D74" s="113"/>
      <c r="E74" s="113"/>
      <c r="F74" s="113"/>
      <c r="G74" s="113"/>
      <c r="H74" s="113"/>
      <c r="I74" s="113"/>
      <c r="J74" s="113"/>
      <c r="K74" s="113"/>
      <c r="L74" s="113"/>
      <c r="M74" s="113"/>
      <c r="N74" s="113"/>
      <c r="O74" s="113"/>
      <c r="P74" s="113"/>
      <c r="Q74" s="132"/>
      <c r="R74" s="165"/>
      <c r="S74" s="165"/>
      <c r="T74" s="165"/>
      <c r="U74" s="150"/>
      <c r="V74" s="151"/>
      <c r="W74" s="166"/>
      <c r="X74" s="119"/>
      <c r="Y74" s="113"/>
      <c r="Z74" s="113"/>
    </row>
    <row r="75">
      <c r="A75" s="113"/>
      <c r="B75" s="113"/>
      <c r="C75" s="113"/>
      <c r="D75" s="113"/>
      <c r="E75" s="113"/>
      <c r="F75" s="113"/>
      <c r="G75" s="113"/>
      <c r="H75" s="113"/>
      <c r="I75" s="113"/>
      <c r="J75" s="113"/>
      <c r="K75" s="113"/>
      <c r="L75" s="113"/>
      <c r="M75" s="113"/>
      <c r="N75" s="113"/>
      <c r="O75" s="113"/>
      <c r="P75" s="113"/>
      <c r="Q75" s="132"/>
      <c r="R75" s="165"/>
      <c r="S75" s="165"/>
      <c r="T75" s="165"/>
      <c r="U75" s="150"/>
      <c r="V75" s="151"/>
      <c r="W75" s="166"/>
      <c r="X75" s="119"/>
      <c r="Y75" s="113"/>
      <c r="Z75" s="113"/>
    </row>
    <row r="76">
      <c r="A76" s="113"/>
      <c r="B76" s="113"/>
      <c r="C76" s="113"/>
      <c r="D76" s="113"/>
      <c r="E76" s="113"/>
      <c r="F76" s="113"/>
      <c r="G76" s="113"/>
      <c r="H76" s="113"/>
      <c r="I76" s="113"/>
      <c r="J76" s="113"/>
      <c r="K76" s="113"/>
      <c r="L76" s="113"/>
      <c r="M76" s="113"/>
      <c r="N76" s="113"/>
      <c r="O76" s="113"/>
      <c r="P76" s="113"/>
      <c r="Q76" s="132"/>
      <c r="R76" s="165"/>
      <c r="S76" s="165"/>
      <c r="T76" s="165"/>
      <c r="U76" s="150"/>
      <c r="V76" s="151"/>
      <c r="W76" s="166"/>
      <c r="X76" s="119"/>
      <c r="Y76" s="113"/>
      <c r="Z76" s="113"/>
    </row>
    <row r="77">
      <c r="A77" s="113"/>
      <c r="B77" s="113"/>
      <c r="C77" s="113"/>
      <c r="D77" s="113"/>
      <c r="E77" s="113"/>
      <c r="F77" s="113"/>
      <c r="G77" s="113"/>
      <c r="H77" s="113"/>
      <c r="I77" s="113"/>
      <c r="J77" s="113"/>
      <c r="K77" s="113"/>
      <c r="L77" s="113"/>
      <c r="M77" s="113"/>
      <c r="N77" s="113"/>
      <c r="O77" s="113"/>
      <c r="P77" s="113"/>
      <c r="Q77" s="132"/>
      <c r="R77" s="165"/>
      <c r="S77" s="165"/>
      <c r="T77" s="165"/>
      <c r="U77" s="150"/>
      <c r="V77" s="151"/>
      <c r="W77" s="166"/>
      <c r="X77" s="119"/>
      <c r="Y77" s="113"/>
      <c r="Z77" s="113"/>
    </row>
    <row r="78">
      <c r="A78" s="113"/>
      <c r="B78" s="113"/>
      <c r="C78" s="113"/>
      <c r="D78" s="113"/>
      <c r="E78" s="113"/>
      <c r="F78" s="113"/>
      <c r="G78" s="113"/>
      <c r="H78" s="113"/>
      <c r="I78" s="113"/>
      <c r="J78" s="113"/>
      <c r="K78" s="113"/>
      <c r="L78" s="113"/>
      <c r="M78" s="113"/>
      <c r="N78" s="113"/>
      <c r="O78" s="113"/>
      <c r="P78" s="113"/>
      <c r="Q78" s="132"/>
      <c r="R78" s="165"/>
      <c r="S78" s="165"/>
      <c r="T78" s="165"/>
      <c r="U78" s="150"/>
      <c r="V78" s="151"/>
      <c r="W78" s="166"/>
      <c r="X78" s="119"/>
      <c r="Y78" s="113"/>
      <c r="Z78" s="113"/>
    </row>
    <row r="79">
      <c r="A79" s="113"/>
      <c r="B79" s="113"/>
      <c r="C79" s="113"/>
      <c r="D79" s="113"/>
      <c r="E79" s="113"/>
      <c r="F79" s="113"/>
      <c r="G79" s="113"/>
      <c r="H79" s="113"/>
      <c r="I79" s="113"/>
      <c r="J79" s="113"/>
      <c r="K79" s="113"/>
      <c r="L79" s="113"/>
      <c r="M79" s="113"/>
      <c r="N79" s="113"/>
      <c r="O79" s="113"/>
      <c r="P79" s="113"/>
      <c r="Q79" s="132"/>
      <c r="R79" s="165"/>
      <c r="S79" s="165"/>
      <c r="T79" s="165"/>
      <c r="U79" s="150"/>
      <c r="V79" s="151"/>
      <c r="W79" s="166"/>
      <c r="X79" s="119"/>
      <c r="Y79" s="113"/>
      <c r="Z79" s="113"/>
    </row>
    <row r="80">
      <c r="A80" s="113"/>
      <c r="B80" s="113"/>
      <c r="C80" s="113"/>
      <c r="D80" s="113"/>
      <c r="E80" s="113"/>
      <c r="F80" s="113"/>
      <c r="G80" s="113"/>
      <c r="H80" s="113"/>
      <c r="I80" s="113"/>
      <c r="J80" s="113"/>
      <c r="K80" s="113"/>
      <c r="L80" s="113"/>
      <c r="M80" s="113"/>
      <c r="N80" s="113"/>
      <c r="O80" s="113"/>
      <c r="P80" s="113"/>
      <c r="Q80" s="132"/>
      <c r="R80" s="165"/>
      <c r="S80" s="165"/>
      <c r="T80" s="165"/>
      <c r="U80" s="150"/>
      <c r="V80" s="151"/>
      <c r="W80" s="166"/>
      <c r="X80" s="119"/>
      <c r="Y80" s="113"/>
      <c r="Z80" s="113"/>
    </row>
    <row r="81">
      <c r="A81" s="113"/>
      <c r="B81" s="113"/>
      <c r="C81" s="113"/>
      <c r="D81" s="113"/>
      <c r="E81" s="113"/>
      <c r="F81" s="113"/>
      <c r="G81" s="113"/>
      <c r="H81" s="113"/>
      <c r="I81" s="113"/>
      <c r="J81" s="113"/>
      <c r="K81" s="113"/>
      <c r="L81" s="113"/>
      <c r="M81" s="113"/>
      <c r="N81" s="113"/>
      <c r="O81" s="113"/>
      <c r="P81" s="113"/>
      <c r="Q81" s="132"/>
      <c r="R81" s="165"/>
      <c r="S81" s="165"/>
      <c r="T81" s="165"/>
      <c r="U81" s="150"/>
      <c r="V81" s="151"/>
      <c r="W81" s="166"/>
      <c r="X81" s="119"/>
      <c r="Y81" s="113"/>
      <c r="Z81" s="113"/>
    </row>
    <row r="82">
      <c r="A82" s="113"/>
      <c r="B82" s="113"/>
      <c r="C82" s="113"/>
      <c r="D82" s="113"/>
      <c r="E82" s="113"/>
      <c r="F82" s="113"/>
      <c r="G82" s="113"/>
      <c r="H82" s="113"/>
      <c r="I82" s="113"/>
      <c r="J82" s="113"/>
      <c r="K82" s="113"/>
      <c r="L82" s="113"/>
      <c r="M82" s="113"/>
      <c r="N82" s="113"/>
      <c r="O82" s="113"/>
      <c r="P82" s="113"/>
      <c r="Q82" s="132"/>
      <c r="R82" s="165"/>
      <c r="S82" s="165"/>
      <c r="T82" s="165"/>
      <c r="U82" s="150"/>
      <c r="V82" s="151"/>
      <c r="W82" s="166"/>
      <c r="X82" s="119"/>
      <c r="Y82" s="113"/>
      <c r="Z82" s="113"/>
    </row>
    <row r="83">
      <c r="A83" s="113"/>
      <c r="B83" s="113"/>
      <c r="C83" s="113"/>
      <c r="D83" s="113"/>
      <c r="E83" s="113"/>
      <c r="F83" s="113"/>
      <c r="G83" s="113"/>
      <c r="H83" s="113"/>
      <c r="I83" s="113"/>
      <c r="J83" s="113"/>
      <c r="K83" s="113"/>
      <c r="L83" s="113"/>
      <c r="M83" s="113"/>
      <c r="N83" s="113"/>
      <c r="O83" s="113"/>
      <c r="P83" s="113"/>
      <c r="Q83" s="132"/>
      <c r="R83" s="165"/>
      <c r="S83" s="165"/>
      <c r="T83" s="165"/>
      <c r="U83" s="150"/>
      <c r="V83" s="151"/>
      <c r="W83" s="166"/>
      <c r="X83" s="119"/>
      <c r="Y83" s="113"/>
      <c r="Z83" s="113"/>
    </row>
    <row r="84">
      <c r="A84" s="113"/>
      <c r="B84" s="113"/>
      <c r="C84" s="113"/>
      <c r="D84" s="113"/>
      <c r="E84" s="113"/>
      <c r="F84" s="113"/>
      <c r="G84" s="113"/>
      <c r="H84" s="113"/>
      <c r="I84" s="113"/>
      <c r="J84" s="113"/>
      <c r="K84" s="113"/>
      <c r="L84" s="113"/>
      <c r="M84" s="113"/>
      <c r="N84" s="113"/>
      <c r="O84" s="113"/>
      <c r="P84" s="113"/>
      <c r="Q84" s="132"/>
      <c r="R84" s="165"/>
      <c r="S84" s="165"/>
      <c r="T84" s="165"/>
      <c r="U84" s="150"/>
      <c r="V84" s="151"/>
      <c r="W84" s="166"/>
      <c r="X84" s="119"/>
      <c r="Y84" s="113"/>
      <c r="Z84" s="113"/>
    </row>
    <row r="85">
      <c r="A85" s="113"/>
      <c r="B85" s="113"/>
      <c r="C85" s="113"/>
      <c r="D85" s="113"/>
      <c r="E85" s="113"/>
      <c r="F85" s="113"/>
      <c r="G85" s="113"/>
      <c r="H85" s="113"/>
      <c r="I85" s="113"/>
      <c r="J85" s="113"/>
      <c r="K85" s="113"/>
      <c r="L85" s="113"/>
      <c r="M85" s="113"/>
      <c r="N85" s="113"/>
      <c r="O85" s="113"/>
      <c r="P85" s="113"/>
      <c r="Q85" s="132"/>
      <c r="R85" s="165"/>
      <c r="S85" s="165"/>
      <c r="T85" s="165"/>
      <c r="U85" s="150"/>
      <c r="V85" s="151"/>
      <c r="W85" s="166"/>
      <c r="X85" s="119"/>
      <c r="Y85" s="113"/>
      <c r="Z85" s="113"/>
    </row>
    <row r="86">
      <c r="A86" s="113"/>
      <c r="B86" s="113"/>
      <c r="C86" s="113"/>
      <c r="D86" s="113"/>
      <c r="E86" s="113"/>
      <c r="F86" s="113"/>
      <c r="G86" s="113"/>
      <c r="H86" s="113"/>
      <c r="I86" s="113"/>
      <c r="J86" s="113"/>
      <c r="K86" s="113"/>
      <c r="L86" s="113"/>
      <c r="M86" s="113"/>
      <c r="N86" s="113"/>
      <c r="O86" s="113"/>
      <c r="P86" s="113"/>
      <c r="Q86" s="132"/>
      <c r="R86" s="165"/>
      <c r="S86" s="165"/>
      <c r="T86" s="165"/>
      <c r="U86" s="150"/>
      <c r="V86" s="151"/>
      <c r="W86" s="166"/>
      <c r="X86" s="119"/>
      <c r="Y86" s="113"/>
      <c r="Z86" s="113"/>
    </row>
    <row r="87">
      <c r="A87" s="113"/>
      <c r="B87" s="113"/>
      <c r="C87" s="113"/>
      <c r="D87" s="113"/>
      <c r="E87" s="113"/>
      <c r="F87" s="113"/>
      <c r="G87" s="113"/>
      <c r="H87" s="113"/>
      <c r="I87" s="113"/>
      <c r="J87" s="113"/>
      <c r="K87" s="113"/>
      <c r="L87" s="113"/>
      <c r="M87" s="113"/>
      <c r="N87" s="113"/>
      <c r="O87" s="113"/>
      <c r="P87" s="113"/>
      <c r="Q87" s="132"/>
      <c r="R87" s="165"/>
      <c r="S87" s="165"/>
      <c r="T87" s="165"/>
      <c r="U87" s="150"/>
      <c r="V87" s="151"/>
      <c r="W87" s="166"/>
      <c r="X87" s="119"/>
      <c r="Y87" s="113"/>
      <c r="Z87" s="113"/>
    </row>
    <row r="88">
      <c r="A88" s="113"/>
      <c r="B88" s="113"/>
      <c r="C88" s="113"/>
      <c r="D88" s="113"/>
      <c r="E88" s="113"/>
      <c r="F88" s="113"/>
      <c r="G88" s="113"/>
      <c r="H88" s="113"/>
      <c r="I88" s="113"/>
      <c r="J88" s="113"/>
      <c r="K88" s="113"/>
      <c r="L88" s="113"/>
      <c r="M88" s="113"/>
      <c r="N88" s="113"/>
      <c r="O88" s="113"/>
      <c r="P88" s="113"/>
      <c r="Q88" s="132"/>
      <c r="R88" s="165"/>
      <c r="S88" s="165"/>
      <c r="T88" s="165"/>
      <c r="U88" s="150"/>
      <c r="V88" s="151"/>
      <c r="W88" s="166"/>
      <c r="X88" s="119"/>
      <c r="Y88" s="113"/>
      <c r="Z88" s="113"/>
    </row>
    <row r="89">
      <c r="A89" s="113"/>
      <c r="B89" s="113"/>
      <c r="C89" s="113"/>
      <c r="D89" s="113"/>
      <c r="E89" s="113"/>
      <c r="F89" s="113"/>
      <c r="G89" s="113"/>
      <c r="H89" s="113"/>
      <c r="I89" s="113"/>
      <c r="J89" s="113"/>
      <c r="K89" s="113"/>
      <c r="L89" s="113"/>
      <c r="M89" s="113"/>
      <c r="N89" s="113"/>
      <c r="O89" s="113"/>
      <c r="P89" s="113"/>
      <c r="Q89" s="132"/>
      <c r="R89" s="165"/>
      <c r="S89" s="165"/>
      <c r="T89" s="165"/>
      <c r="U89" s="150"/>
      <c r="V89" s="151"/>
      <c r="W89" s="166"/>
      <c r="X89" s="119"/>
      <c r="Y89" s="113"/>
      <c r="Z89" s="113"/>
    </row>
    <row r="90">
      <c r="A90" s="113"/>
      <c r="B90" s="113"/>
      <c r="C90" s="113"/>
      <c r="D90" s="113"/>
      <c r="E90" s="113"/>
      <c r="F90" s="113"/>
      <c r="G90" s="113"/>
      <c r="H90" s="113"/>
      <c r="I90" s="113"/>
      <c r="J90" s="113"/>
      <c r="K90" s="113"/>
      <c r="L90" s="113"/>
      <c r="M90" s="113"/>
      <c r="N90" s="113"/>
      <c r="O90" s="113"/>
      <c r="P90" s="113"/>
      <c r="Q90" s="132"/>
      <c r="R90" s="165"/>
      <c r="S90" s="165"/>
      <c r="T90" s="165"/>
      <c r="U90" s="150"/>
      <c r="V90" s="151"/>
      <c r="W90" s="166"/>
      <c r="X90" s="119"/>
      <c r="Y90" s="113"/>
      <c r="Z90" s="113"/>
    </row>
    <row r="91">
      <c r="A91" s="113"/>
      <c r="B91" s="113"/>
      <c r="C91" s="113"/>
      <c r="D91" s="113"/>
      <c r="E91" s="113"/>
      <c r="F91" s="113"/>
      <c r="G91" s="113"/>
      <c r="H91" s="113"/>
      <c r="I91" s="113"/>
      <c r="J91" s="113"/>
      <c r="K91" s="113"/>
      <c r="L91" s="113"/>
      <c r="M91" s="113"/>
      <c r="N91" s="113"/>
      <c r="O91" s="113"/>
      <c r="P91" s="113"/>
      <c r="Q91" s="132"/>
      <c r="R91" s="165"/>
      <c r="S91" s="165"/>
      <c r="T91" s="165"/>
      <c r="U91" s="150"/>
      <c r="V91" s="151"/>
      <c r="W91" s="166"/>
      <c r="X91" s="119"/>
      <c r="Y91" s="113"/>
      <c r="Z91" s="113"/>
    </row>
    <row r="92">
      <c r="A92" s="113"/>
      <c r="B92" s="113"/>
      <c r="C92" s="113"/>
      <c r="D92" s="113"/>
      <c r="E92" s="113"/>
      <c r="F92" s="113"/>
      <c r="G92" s="113"/>
      <c r="H92" s="113"/>
      <c r="I92" s="113"/>
      <c r="J92" s="113"/>
      <c r="K92" s="113"/>
      <c r="L92" s="113"/>
      <c r="M92" s="113"/>
      <c r="N92" s="113"/>
      <c r="O92" s="113"/>
      <c r="P92" s="113"/>
      <c r="Q92" s="132"/>
      <c r="R92" s="165"/>
      <c r="S92" s="165"/>
      <c r="T92" s="165"/>
      <c r="U92" s="150"/>
      <c r="V92" s="151"/>
      <c r="W92" s="166"/>
      <c r="X92" s="119"/>
      <c r="Y92" s="113"/>
      <c r="Z92" s="113"/>
    </row>
    <row r="93">
      <c r="A93" s="113"/>
      <c r="B93" s="113"/>
      <c r="C93" s="113"/>
      <c r="D93" s="113"/>
      <c r="E93" s="113"/>
      <c r="F93" s="113"/>
      <c r="G93" s="113"/>
      <c r="H93" s="113"/>
      <c r="I93" s="113"/>
      <c r="J93" s="113"/>
      <c r="K93" s="113"/>
      <c r="L93" s="113"/>
      <c r="M93" s="113"/>
      <c r="N93" s="113"/>
      <c r="O93" s="113"/>
      <c r="P93" s="113"/>
      <c r="Q93" s="132"/>
      <c r="R93" s="165"/>
      <c r="S93" s="165"/>
      <c r="T93" s="165"/>
      <c r="U93" s="150"/>
      <c r="V93" s="151"/>
      <c r="W93" s="166"/>
      <c r="X93" s="119"/>
      <c r="Y93" s="113"/>
      <c r="Z93" s="113"/>
    </row>
    <row r="94">
      <c r="A94" s="113"/>
      <c r="B94" s="113"/>
      <c r="C94" s="113"/>
      <c r="D94" s="113"/>
      <c r="E94" s="113"/>
      <c r="F94" s="113"/>
      <c r="G94" s="113"/>
      <c r="H94" s="113"/>
      <c r="I94" s="113"/>
      <c r="J94" s="113"/>
      <c r="K94" s="113"/>
      <c r="L94" s="113"/>
      <c r="M94" s="113"/>
      <c r="N94" s="113"/>
      <c r="O94" s="113"/>
      <c r="P94" s="113"/>
      <c r="Q94" s="132"/>
      <c r="R94" s="165"/>
      <c r="S94" s="165"/>
      <c r="T94" s="165"/>
      <c r="U94" s="150"/>
      <c r="V94" s="151"/>
      <c r="W94" s="166"/>
      <c r="X94" s="119"/>
      <c r="Y94" s="113"/>
      <c r="Z94" s="113"/>
    </row>
    <row r="95">
      <c r="A95" s="113"/>
      <c r="B95" s="113"/>
      <c r="C95" s="113"/>
      <c r="D95" s="113"/>
      <c r="E95" s="113"/>
      <c r="F95" s="113"/>
      <c r="G95" s="113"/>
      <c r="H95" s="113"/>
      <c r="I95" s="113"/>
      <c r="J95" s="113"/>
      <c r="K95" s="113"/>
      <c r="L95" s="113"/>
      <c r="M95" s="113"/>
      <c r="N95" s="113"/>
      <c r="O95" s="113"/>
      <c r="P95" s="113"/>
      <c r="Q95" s="132"/>
      <c r="R95" s="165"/>
      <c r="S95" s="165"/>
      <c r="T95" s="165"/>
      <c r="U95" s="150"/>
      <c r="V95" s="151"/>
      <c r="W95" s="166"/>
      <c r="X95" s="119"/>
      <c r="Y95" s="113"/>
      <c r="Z95" s="113"/>
    </row>
    <row r="96">
      <c r="A96" s="113"/>
      <c r="B96" s="113"/>
      <c r="C96" s="113"/>
      <c r="D96" s="113"/>
      <c r="E96" s="113"/>
      <c r="F96" s="113"/>
      <c r="G96" s="113"/>
      <c r="H96" s="113"/>
      <c r="I96" s="113"/>
      <c r="J96" s="113"/>
      <c r="K96" s="113"/>
      <c r="L96" s="113"/>
      <c r="M96" s="113"/>
      <c r="N96" s="113"/>
      <c r="O96" s="113"/>
      <c r="P96" s="113"/>
      <c r="Q96" s="132"/>
      <c r="R96" s="165"/>
      <c r="S96" s="165"/>
      <c r="T96" s="165"/>
      <c r="U96" s="150"/>
      <c r="V96" s="151"/>
      <c r="W96" s="166"/>
      <c r="X96" s="119"/>
      <c r="Y96" s="113"/>
      <c r="Z96" s="113"/>
    </row>
    <row r="97">
      <c r="A97" s="113"/>
      <c r="B97" s="113"/>
      <c r="C97" s="113"/>
      <c r="D97" s="113"/>
      <c r="E97" s="113"/>
      <c r="F97" s="113"/>
      <c r="G97" s="113"/>
      <c r="H97" s="113"/>
      <c r="I97" s="113"/>
      <c r="J97" s="113"/>
      <c r="K97" s="113"/>
      <c r="L97" s="113"/>
      <c r="M97" s="113"/>
      <c r="N97" s="113"/>
      <c r="O97" s="113"/>
      <c r="P97" s="113"/>
      <c r="Q97" s="132"/>
      <c r="R97" s="165"/>
      <c r="S97" s="165"/>
      <c r="T97" s="165"/>
      <c r="U97" s="150"/>
      <c r="V97" s="151"/>
      <c r="W97" s="166"/>
      <c r="X97" s="119"/>
      <c r="Y97" s="113"/>
      <c r="Z97" s="113"/>
    </row>
    <row r="98">
      <c r="A98" s="113"/>
      <c r="B98" s="113"/>
      <c r="C98" s="113"/>
      <c r="D98" s="113"/>
      <c r="E98" s="113"/>
      <c r="F98" s="113"/>
      <c r="G98" s="113"/>
      <c r="H98" s="113"/>
      <c r="I98" s="113"/>
      <c r="J98" s="113"/>
      <c r="K98" s="113"/>
      <c r="L98" s="113"/>
      <c r="M98" s="113"/>
      <c r="N98" s="113"/>
      <c r="O98" s="113"/>
      <c r="P98" s="113"/>
      <c r="Q98" s="132"/>
      <c r="R98" s="165"/>
      <c r="S98" s="165"/>
      <c r="T98" s="165"/>
      <c r="U98" s="150"/>
      <c r="V98" s="151"/>
      <c r="W98" s="166"/>
      <c r="X98" s="119"/>
      <c r="Y98" s="113"/>
      <c r="Z98" s="113"/>
    </row>
    <row r="99">
      <c r="A99" s="113"/>
      <c r="B99" s="113"/>
      <c r="C99" s="113"/>
      <c r="D99" s="113"/>
      <c r="E99" s="113"/>
      <c r="F99" s="113"/>
      <c r="G99" s="113"/>
      <c r="H99" s="113"/>
      <c r="I99" s="113"/>
      <c r="J99" s="113"/>
      <c r="K99" s="113"/>
      <c r="L99" s="113"/>
      <c r="M99" s="113"/>
      <c r="N99" s="113"/>
      <c r="O99" s="113"/>
      <c r="P99" s="113"/>
      <c r="Q99" s="132"/>
      <c r="R99" s="165"/>
      <c r="S99" s="165"/>
      <c r="T99" s="165"/>
      <c r="U99" s="150"/>
      <c r="V99" s="151"/>
      <c r="W99" s="166"/>
      <c r="X99" s="119"/>
      <c r="Y99" s="113"/>
      <c r="Z99" s="113"/>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2.63" defaultRowHeight="15.0"/>
  <cols>
    <col customWidth="1" min="1" max="1" width="5.13"/>
    <col customWidth="1" min="2" max="2" width="6.25"/>
    <col customWidth="1" min="3" max="3" width="5.5"/>
    <col customWidth="1" min="4" max="4" width="11.25"/>
    <col customWidth="1" min="5" max="5" width="3.13"/>
    <col customWidth="1" min="6" max="6" width="24.5"/>
    <col customWidth="1" min="7" max="7" width="24.88"/>
    <col customWidth="1" min="8" max="8" width="12.5"/>
    <col customWidth="1" min="9" max="10" width="7.38"/>
    <col customWidth="1" min="11" max="11" width="6.5"/>
    <col customWidth="1" min="12" max="12" width="8.5"/>
    <col customWidth="1" min="13" max="14" width="6.5"/>
    <col customWidth="1" min="15" max="16" width="7.38"/>
    <col customWidth="1" min="17" max="17" width="18.25"/>
    <col customWidth="1" min="18" max="18" width="5.75"/>
    <col customWidth="1" min="19" max="19" width="5.63"/>
    <col customWidth="1" min="20" max="20" width="6.63"/>
    <col customWidth="1" min="21" max="21" width="6.88"/>
    <col customWidth="1" min="22" max="22" width="7.75"/>
    <col customWidth="1" min="23" max="23" width="6.63"/>
    <col customWidth="1" min="24" max="24" width="7.63"/>
    <col customWidth="1" min="25" max="26" width="42.88"/>
    <col customWidth="1" min="27" max="37" width="11.0"/>
  </cols>
  <sheetData>
    <row r="1" ht="45.0" customHeight="1">
      <c r="A1" s="1" t="s">
        <v>0</v>
      </c>
      <c r="B1" s="6" t="str">
        <f>HYPERLINK("#rangeid=2086300674","Content Owner")</f>
        <v>Content Owner</v>
      </c>
      <c r="C1" s="9" t="str">
        <f>HYPERLINK("#rangeid=632369931","Video Owner")</f>
        <v>Video Owner</v>
      </c>
      <c r="D1" s="11" t="s">
        <v>4</v>
      </c>
      <c r="E1" s="12" t="s">
        <v>5</v>
      </c>
      <c r="F1" s="13" t="s">
        <v>6</v>
      </c>
      <c r="G1" s="1" t="s">
        <v>7</v>
      </c>
      <c r="H1" s="21" t="str">
        <f>HYPERLINK("#rangeid=906849400","Description")</f>
        <v>Description</v>
      </c>
      <c r="I1" s="17" t="s">
        <v>11</v>
      </c>
      <c r="J1" s="1" t="s">
        <v>15</v>
      </c>
      <c r="K1" s="19" t="s">
        <v>16</v>
      </c>
      <c r="L1" s="1" t="s">
        <v>22</v>
      </c>
      <c r="M1" s="1" t="s">
        <v>23</v>
      </c>
      <c r="N1" s="1" t="s">
        <v>25</v>
      </c>
      <c r="O1" s="1" t="s">
        <v>26</v>
      </c>
      <c r="P1" s="1" t="s">
        <v>27</v>
      </c>
      <c r="Q1" s="1" t="s">
        <v>28</v>
      </c>
      <c r="R1" s="23" t="s">
        <v>29</v>
      </c>
      <c r="S1" s="23" t="s">
        <v>31</v>
      </c>
      <c r="T1" s="23" t="s">
        <v>32</v>
      </c>
      <c r="U1" s="26" t="s">
        <v>33</v>
      </c>
      <c r="V1" s="29" t="s">
        <v>35</v>
      </c>
      <c r="W1" s="31" t="str">
        <f>HYPERLINK("#rangeid=120001109","Replay")</f>
        <v>Replay</v>
      </c>
      <c r="X1" s="33" t="s">
        <v>38</v>
      </c>
      <c r="Y1" s="34" t="s">
        <v>39</v>
      </c>
      <c r="Z1" s="36" t="s">
        <v>40</v>
      </c>
      <c r="AA1" s="37"/>
      <c r="AB1" s="37"/>
      <c r="AC1" s="37"/>
      <c r="AD1" s="37"/>
      <c r="AE1" s="37"/>
      <c r="AF1" s="37"/>
      <c r="AG1" s="37"/>
      <c r="AH1" s="37"/>
      <c r="AI1" s="37"/>
      <c r="AJ1" s="37"/>
      <c r="AK1" s="37"/>
    </row>
    <row r="2">
      <c r="A2" s="113"/>
      <c r="B2" s="113"/>
      <c r="C2" s="113"/>
      <c r="D2" s="113"/>
      <c r="E2" s="113"/>
      <c r="F2" s="113"/>
      <c r="G2" s="113"/>
      <c r="H2" s="113"/>
      <c r="I2" s="113"/>
      <c r="J2" s="113"/>
      <c r="K2" s="113"/>
      <c r="L2" s="113"/>
      <c r="M2" s="113"/>
      <c r="N2" s="113"/>
      <c r="O2" s="113"/>
      <c r="P2" s="113"/>
      <c r="Q2" s="132"/>
      <c r="R2" s="115"/>
      <c r="S2" s="115"/>
      <c r="T2" s="115"/>
      <c r="U2" s="116"/>
      <c r="V2" s="117"/>
      <c r="W2" s="118"/>
      <c r="X2" s="119"/>
      <c r="Y2" s="113"/>
      <c r="Z2" s="113"/>
    </row>
    <row r="3">
      <c r="A3" s="113"/>
      <c r="B3" s="113"/>
      <c r="C3" s="113"/>
      <c r="D3" s="113"/>
      <c r="E3" s="113"/>
      <c r="F3" s="113"/>
      <c r="G3" s="113"/>
      <c r="H3" s="113"/>
      <c r="I3" s="113"/>
      <c r="J3" s="113"/>
      <c r="K3" s="113"/>
      <c r="L3" s="113"/>
      <c r="M3" s="113"/>
      <c r="N3" s="113"/>
      <c r="O3" s="113"/>
      <c r="P3" s="113"/>
      <c r="Q3" s="132"/>
      <c r="R3" s="115"/>
      <c r="S3" s="115"/>
      <c r="T3" s="115"/>
      <c r="U3" s="116"/>
      <c r="V3" s="117"/>
      <c r="W3" s="118"/>
      <c r="X3" s="119"/>
      <c r="Y3" s="113"/>
      <c r="Z3" s="113"/>
    </row>
    <row r="4">
      <c r="A4" s="113"/>
      <c r="B4" s="113"/>
      <c r="C4" s="113"/>
      <c r="D4" s="113"/>
      <c r="E4" s="113"/>
      <c r="F4" s="113"/>
      <c r="G4" s="113"/>
      <c r="H4" s="113"/>
      <c r="I4" s="113"/>
      <c r="J4" s="113"/>
      <c r="K4" s="113"/>
      <c r="L4" s="113"/>
      <c r="M4" s="113"/>
      <c r="N4" s="113"/>
      <c r="O4" s="113"/>
      <c r="P4" s="113"/>
      <c r="Q4" s="132"/>
      <c r="R4" s="115"/>
      <c r="S4" s="115"/>
      <c r="T4" s="115"/>
      <c r="U4" s="116"/>
      <c r="V4" s="117"/>
      <c r="W4" s="118"/>
      <c r="X4" s="119"/>
      <c r="Y4" s="113"/>
      <c r="Z4" s="113"/>
    </row>
    <row r="5">
      <c r="A5" s="113"/>
      <c r="B5" s="113"/>
      <c r="C5" s="113"/>
      <c r="D5" s="113"/>
      <c r="E5" s="113"/>
      <c r="F5" s="113"/>
      <c r="G5" s="113"/>
      <c r="H5" s="113"/>
      <c r="I5" s="113"/>
      <c r="J5" s="113"/>
      <c r="K5" s="113"/>
      <c r="L5" s="113"/>
      <c r="M5" s="113"/>
      <c r="N5" s="113"/>
      <c r="O5" s="113"/>
      <c r="P5" s="113"/>
      <c r="Q5" s="132"/>
      <c r="R5" s="115"/>
      <c r="S5" s="115"/>
      <c r="T5" s="115"/>
      <c r="U5" s="116"/>
      <c r="V5" s="117"/>
      <c r="W5" s="118"/>
      <c r="X5" s="119"/>
      <c r="Y5" s="113"/>
      <c r="Z5" s="113"/>
    </row>
    <row r="6">
      <c r="A6" s="113"/>
      <c r="B6" s="113"/>
      <c r="C6" s="113"/>
      <c r="D6" s="113"/>
      <c r="E6" s="113"/>
      <c r="F6" s="113"/>
      <c r="G6" s="113"/>
      <c r="H6" s="113"/>
      <c r="I6" s="113"/>
      <c r="J6" s="113"/>
      <c r="K6" s="113"/>
      <c r="L6" s="113"/>
      <c r="M6" s="113"/>
      <c r="N6" s="113"/>
      <c r="O6" s="113"/>
      <c r="P6" s="113"/>
      <c r="Q6" s="132"/>
      <c r="R6" s="115"/>
      <c r="S6" s="115"/>
      <c r="T6" s="115"/>
      <c r="U6" s="116"/>
      <c r="V6" s="117"/>
      <c r="W6" s="118"/>
      <c r="X6" s="119"/>
      <c r="Y6" s="113"/>
      <c r="Z6" s="113"/>
    </row>
    <row r="7">
      <c r="A7" s="113"/>
      <c r="B7" s="113"/>
      <c r="C7" s="113"/>
      <c r="D7" s="113"/>
      <c r="E7" s="113"/>
      <c r="F7" s="113"/>
      <c r="G7" s="113"/>
      <c r="H7" s="113"/>
      <c r="I7" s="113"/>
      <c r="J7" s="113"/>
      <c r="K7" s="113"/>
      <c r="L7" s="113"/>
      <c r="M7" s="113"/>
      <c r="N7" s="113"/>
      <c r="O7" s="113"/>
      <c r="P7" s="113"/>
      <c r="Q7" s="132"/>
      <c r="R7" s="165"/>
      <c r="S7" s="165"/>
      <c r="T7" s="165"/>
      <c r="U7" s="150"/>
      <c r="V7" s="151"/>
      <c r="W7" s="166"/>
      <c r="X7" s="119"/>
      <c r="Y7" s="113"/>
      <c r="Z7" s="113"/>
    </row>
    <row r="8">
      <c r="A8" s="113"/>
      <c r="B8" s="113"/>
      <c r="C8" s="113"/>
      <c r="D8" s="113"/>
      <c r="E8" s="113"/>
      <c r="F8" s="113"/>
      <c r="G8" s="113"/>
      <c r="H8" s="113"/>
      <c r="I8" s="113"/>
      <c r="J8" s="113"/>
      <c r="K8" s="113"/>
      <c r="L8" s="113"/>
      <c r="M8" s="113"/>
      <c r="N8" s="113"/>
      <c r="O8" s="113"/>
      <c r="P8" s="113"/>
      <c r="Q8" s="132"/>
      <c r="R8" s="165"/>
      <c r="S8" s="165"/>
      <c r="T8" s="165"/>
      <c r="U8" s="150"/>
      <c r="V8" s="151"/>
      <c r="W8" s="166"/>
      <c r="X8" s="119"/>
      <c r="Y8" s="113"/>
      <c r="Z8" s="113"/>
    </row>
    <row r="9">
      <c r="A9" s="113"/>
      <c r="B9" s="113"/>
      <c r="C9" s="113"/>
      <c r="D9" s="113"/>
      <c r="E9" s="113"/>
      <c r="F9" s="113"/>
      <c r="G9" s="113"/>
      <c r="H9" s="113"/>
      <c r="I9" s="113"/>
      <c r="J9" s="113"/>
      <c r="K9" s="113"/>
      <c r="L9" s="113"/>
      <c r="M9" s="113"/>
      <c r="N9" s="113"/>
      <c r="O9" s="113"/>
      <c r="P9" s="113"/>
      <c r="Q9" s="132"/>
      <c r="R9" s="165"/>
      <c r="S9" s="165"/>
      <c r="T9" s="165"/>
      <c r="U9" s="150"/>
      <c r="V9" s="151"/>
      <c r="W9" s="166"/>
      <c r="X9" s="119"/>
      <c r="Y9" s="113"/>
      <c r="Z9" s="113"/>
    </row>
    <row r="10">
      <c r="A10" s="113"/>
      <c r="B10" s="113"/>
      <c r="C10" s="113"/>
      <c r="D10" s="113"/>
      <c r="E10" s="113"/>
      <c r="F10" s="113"/>
      <c r="G10" s="113"/>
      <c r="H10" s="113"/>
      <c r="I10" s="113"/>
      <c r="J10" s="113"/>
      <c r="K10" s="113"/>
      <c r="L10" s="113"/>
      <c r="M10" s="113"/>
      <c r="N10" s="113"/>
      <c r="O10" s="113"/>
      <c r="P10" s="113"/>
      <c r="Q10" s="132"/>
      <c r="R10" s="165"/>
      <c r="S10" s="165"/>
      <c r="T10" s="165"/>
      <c r="U10" s="150"/>
      <c r="V10" s="151"/>
      <c r="W10" s="166"/>
      <c r="X10" s="119"/>
      <c r="Y10" s="113"/>
      <c r="Z10" s="113"/>
    </row>
    <row r="11">
      <c r="A11" s="113"/>
      <c r="B11" s="113"/>
      <c r="C11" s="113"/>
      <c r="D11" s="113"/>
      <c r="E11" s="113"/>
      <c r="F11" s="113"/>
      <c r="G11" s="113"/>
      <c r="H11" s="113"/>
      <c r="I11" s="113"/>
      <c r="J11" s="113"/>
      <c r="K11" s="113"/>
      <c r="L11" s="113"/>
      <c r="M11" s="113"/>
      <c r="N11" s="113"/>
      <c r="O11" s="113"/>
      <c r="P11" s="113"/>
      <c r="Q11" s="132"/>
      <c r="R11" s="165"/>
      <c r="S11" s="165"/>
      <c r="T11" s="165"/>
      <c r="U11" s="150"/>
      <c r="V11" s="151"/>
      <c r="W11" s="166"/>
      <c r="X11" s="119"/>
      <c r="Y11" s="113"/>
      <c r="Z11" s="113"/>
    </row>
    <row r="12">
      <c r="A12" s="113"/>
      <c r="B12" s="113"/>
      <c r="C12" s="113"/>
      <c r="D12" s="113"/>
      <c r="E12" s="113"/>
      <c r="F12" s="113"/>
      <c r="G12" s="113"/>
      <c r="H12" s="113"/>
      <c r="I12" s="113"/>
      <c r="J12" s="113"/>
      <c r="K12" s="113"/>
      <c r="L12" s="113"/>
      <c r="M12" s="113"/>
      <c r="N12" s="113"/>
      <c r="O12" s="113"/>
      <c r="P12" s="113"/>
      <c r="Q12" s="132"/>
      <c r="R12" s="165"/>
      <c r="S12" s="165"/>
      <c r="T12" s="165"/>
      <c r="U12" s="150"/>
      <c r="V12" s="151"/>
      <c r="W12" s="166"/>
      <c r="X12" s="119"/>
      <c r="Y12" s="113"/>
      <c r="Z12" s="113"/>
    </row>
    <row r="13">
      <c r="A13" s="113"/>
      <c r="B13" s="113"/>
      <c r="C13" s="113"/>
      <c r="D13" s="113"/>
      <c r="E13" s="113"/>
      <c r="F13" s="113"/>
      <c r="G13" s="113"/>
      <c r="H13" s="113"/>
      <c r="I13" s="113"/>
      <c r="J13" s="113"/>
      <c r="K13" s="113"/>
      <c r="L13" s="113"/>
      <c r="M13" s="113"/>
      <c r="N13" s="113"/>
      <c r="O13" s="113"/>
      <c r="P13" s="113"/>
      <c r="Q13" s="132"/>
      <c r="R13" s="165"/>
      <c r="S13" s="165"/>
      <c r="T13" s="165"/>
      <c r="U13" s="150"/>
      <c r="V13" s="151"/>
      <c r="W13" s="166"/>
      <c r="X13" s="119"/>
      <c r="Y13" s="113"/>
      <c r="Z13" s="113"/>
    </row>
    <row r="14">
      <c r="A14" s="113"/>
      <c r="B14" s="113"/>
      <c r="C14" s="113"/>
      <c r="D14" s="113"/>
      <c r="E14" s="113"/>
      <c r="F14" s="113"/>
      <c r="G14" s="113"/>
      <c r="H14" s="113"/>
      <c r="I14" s="113"/>
      <c r="J14" s="113"/>
      <c r="K14" s="113"/>
      <c r="L14" s="113"/>
      <c r="M14" s="113"/>
      <c r="N14" s="113"/>
      <c r="O14" s="113"/>
      <c r="P14" s="113"/>
      <c r="Q14" s="132"/>
      <c r="R14" s="165"/>
      <c r="S14" s="165"/>
      <c r="T14" s="165"/>
      <c r="U14" s="150"/>
      <c r="V14" s="151"/>
      <c r="W14" s="166"/>
      <c r="X14" s="119"/>
      <c r="Y14" s="113"/>
      <c r="Z14" s="113"/>
    </row>
    <row r="15">
      <c r="A15" s="113"/>
      <c r="B15" s="113"/>
      <c r="C15" s="113"/>
      <c r="D15" s="113"/>
      <c r="E15" s="113"/>
      <c r="F15" s="113"/>
      <c r="G15" s="113"/>
      <c r="H15" s="113"/>
      <c r="I15" s="113"/>
      <c r="J15" s="113"/>
      <c r="K15" s="113"/>
      <c r="L15" s="113"/>
      <c r="M15" s="113"/>
      <c r="N15" s="113"/>
      <c r="O15" s="113"/>
      <c r="P15" s="113"/>
      <c r="Q15" s="132"/>
      <c r="R15" s="165"/>
      <c r="S15" s="165"/>
      <c r="T15" s="165"/>
      <c r="U15" s="150"/>
      <c r="V15" s="151"/>
      <c r="W15" s="166"/>
      <c r="X15" s="119"/>
      <c r="Y15" s="113"/>
      <c r="Z15" s="113"/>
    </row>
    <row r="16">
      <c r="A16" s="113"/>
      <c r="B16" s="113"/>
      <c r="C16" s="113"/>
      <c r="D16" s="113"/>
      <c r="E16" s="113"/>
      <c r="F16" s="113"/>
      <c r="G16" s="113"/>
      <c r="H16" s="113"/>
      <c r="I16" s="113"/>
      <c r="J16" s="113"/>
      <c r="K16" s="113"/>
      <c r="L16" s="113"/>
      <c r="M16" s="113"/>
      <c r="N16" s="113"/>
      <c r="O16" s="113"/>
      <c r="P16" s="113"/>
      <c r="Q16" s="132"/>
      <c r="R16" s="165"/>
      <c r="S16" s="165"/>
      <c r="T16" s="165"/>
      <c r="U16" s="150"/>
      <c r="V16" s="151"/>
      <c r="W16" s="166"/>
      <c r="X16" s="119"/>
      <c r="Y16" s="113"/>
      <c r="Z16" s="113"/>
    </row>
    <row r="17">
      <c r="A17" s="113"/>
      <c r="B17" s="113"/>
      <c r="C17" s="113"/>
      <c r="D17" s="113"/>
      <c r="E17" s="113"/>
      <c r="F17" s="113"/>
      <c r="G17" s="113"/>
      <c r="H17" s="113"/>
      <c r="I17" s="113"/>
      <c r="J17" s="113"/>
      <c r="K17" s="113"/>
      <c r="L17" s="113"/>
      <c r="M17" s="113"/>
      <c r="N17" s="113"/>
      <c r="O17" s="113"/>
      <c r="P17" s="113"/>
      <c r="Q17" s="132"/>
      <c r="R17" s="165"/>
      <c r="S17" s="165"/>
      <c r="T17" s="165"/>
      <c r="U17" s="150"/>
      <c r="V17" s="151"/>
      <c r="W17" s="166"/>
      <c r="X17" s="119"/>
      <c r="Y17" s="113"/>
      <c r="Z17" s="113"/>
    </row>
    <row r="18">
      <c r="A18" s="113"/>
      <c r="B18" s="113"/>
      <c r="C18" s="113"/>
      <c r="D18" s="113"/>
      <c r="E18" s="113"/>
      <c r="F18" s="113"/>
      <c r="G18" s="113"/>
      <c r="H18" s="113"/>
      <c r="I18" s="113"/>
      <c r="J18" s="113"/>
      <c r="K18" s="113"/>
      <c r="L18" s="113"/>
      <c r="M18" s="113"/>
      <c r="N18" s="113"/>
      <c r="O18" s="113"/>
      <c r="P18" s="113"/>
      <c r="Q18" s="132"/>
      <c r="R18" s="165"/>
      <c r="S18" s="165"/>
      <c r="T18" s="165"/>
      <c r="U18" s="150"/>
      <c r="V18" s="151"/>
      <c r="W18" s="166"/>
      <c r="X18" s="119"/>
      <c r="Y18" s="113"/>
      <c r="Z18" s="113"/>
    </row>
    <row r="19">
      <c r="A19" s="113"/>
      <c r="B19" s="113"/>
      <c r="C19" s="113"/>
      <c r="D19" s="113"/>
      <c r="E19" s="113"/>
      <c r="F19" s="113"/>
      <c r="G19" s="113"/>
      <c r="H19" s="113"/>
      <c r="I19" s="113"/>
      <c r="J19" s="113"/>
      <c r="K19" s="113"/>
      <c r="L19" s="113"/>
      <c r="M19" s="113"/>
      <c r="N19" s="113"/>
      <c r="O19" s="113"/>
      <c r="P19" s="113"/>
      <c r="Q19" s="132"/>
      <c r="R19" s="165"/>
      <c r="S19" s="165"/>
      <c r="T19" s="165"/>
      <c r="U19" s="150"/>
      <c r="V19" s="151"/>
      <c r="W19" s="166"/>
      <c r="X19" s="119"/>
      <c r="Y19" s="113"/>
      <c r="Z19" s="113"/>
    </row>
    <row r="20">
      <c r="A20" s="113"/>
      <c r="B20" s="113"/>
      <c r="C20" s="113"/>
      <c r="D20" s="113"/>
      <c r="E20" s="113"/>
      <c r="F20" s="113"/>
      <c r="G20" s="113"/>
      <c r="H20" s="113"/>
      <c r="I20" s="113"/>
      <c r="J20" s="113"/>
      <c r="K20" s="113"/>
      <c r="L20" s="113"/>
      <c r="M20" s="113"/>
      <c r="N20" s="113"/>
      <c r="O20" s="113"/>
      <c r="P20" s="113"/>
      <c r="Q20" s="132"/>
      <c r="R20" s="165"/>
      <c r="S20" s="165"/>
      <c r="T20" s="165"/>
      <c r="U20" s="150"/>
      <c r="V20" s="151"/>
      <c r="W20" s="166"/>
      <c r="X20" s="119"/>
      <c r="Y20" s="113"/>
      <c r="Z20" s="113"/>
    </row>
    <row r="21">
      <c r="A21" s="113"/>
      <c r="B21" s="113"/>
      <c r="C21" s="113"/>
      <c r="D21" s="113"/>
      <c r="E21" s="113"/>
      <c r="F21" s="113"/>
      <c r="G21" s="113"/>
      <c r="H21" s="113"/>
      <c r="I21" s="113"/>
      <c r="J21" s="113"/>
      <c r="K21" s="113"/>
      <c r="L21" s="113"/>
      <c r="M21" s="113"/>
      <c r="N21" s="113"/>
      <c r="O21" s="113"/>
      <c r="P21" s="113"/>
      <c r="Q21" s="132"/>
      <c r="R21" s="165"/>
      <c r="S21" s="165"/>
      <c r="T21" s="165"/>
      <c r="U21" s="150"/>
      <c r="V21" s="151"/>
      <c r="W21" s="166"/>
      <c r="X21" s="119"/>
      <c r="Y21" s="113"/>
      <c r="Z21" s="113"/>
    </row>
    <row r="22">
      <c r="A22" s="113"/>
      <c r="B22" s="113"/>
      <c r="C22" s="113"/>
      <c r="D22" s="113"/>
      <c r="E22" s="113"/>
      <c r="F22" s="113"/>
      <c r="G22" s="113"/>
      <c r="H22" s="113"/>
      <c r="I22" s="113"/>
      <c r="J22" s="113"/>
      <c r="K22" s="113"/>
      <c r="L22" s="113"/>
      <c r="M22" s="113"/>
      <c r="N22" s="113"/>
      <c r="O22" s="113"/>
      <c r="P22" s="113"/>
      <c r="Q22" s="132"/>
      <c r="R22" s="165"/>
      <c r="S22" s="165"/>
      <c r="T22" s="165"/>
      <c r="U22" s="150"/>
      <c r="V22" s="151"/>
      <c r="W22" s="166"/>
      <c r="X22" s="119"/>
      <c r="Y22" s="113"/>
      <c r="Z22" s="113"/>
    </row>
    <row r="23">
      <c r="A23" s="113"/>
      <c r="B23" s="113"/>
      <c r="C23" s="113"/>
      <c r="D23" s="113"/>
      <c r="E23" s="113"/>
      <c r="F23" s="113"/>
      <c r="G23" s="113"/>
      <c r="H23" s="113"/>
      <c r="I23" s="113"/>
      <c r="J23" s="113"/>
      <c r="K23" s="113"/>
      <c r="L23" s="113"/>
      <c r="M23" s="113"/>
      <c r="N23" s="113"/>
      <c r="O23" s="113"/>
      <c r="P23" s="113"/>
      <c r="Q23" s="132"/>
      <c r="R23" s="165"/>
      <c r="S23" s="165"/>
      <c r="T23" s="165"/>
      <c r="U23" s="150"/>
      <c r="V23" s="151"/>
      <c r="W23" s="166"/>
      <c r="X23" s="119"/>
      <c r="Y23" s="113"/>
      <c r="Z23" s="113"/>
    </row>
    <row r="24">
      <c r="A24" s="113"/>
      <c r="B24" s="113"/>
      <c r="C24" s="113"/>
      <c r="D24" s="113"/>
      <c r="E24" s="113"/>
      <c r="F24" s="113"/>
      <c r="G24" s="113"/>
      <c r="H24" s="113"/>
      <c r="I24" s="113"/>
      <c r="J24" s="113"/>
      <c r="K24" s="113"/>
      <c r="L24" s="113"/>
      <c r="M24" s="113"/>
      <c r="N24" s="113"/>
      <c r="O24" s="113"/>
      <c r="P24" s="113"/>
      <c r="Q24" s="132"/>
      <c r="R24" s="165"/>
      <c r="S24" s="165"/>
      <c r="T24" s="165"/>
      <c r="U24" s="150"/>
      <c r="V24" s="151"/>
      <c r="W24" s="166"/>
      <c r="X24" s="119"/>
      <c r="Y24" s="113"/>
      <c r="Z24" s="113"/>
    </row>
    <row r="25">
      <c r="A25" s="113"/>
      <c r="B25" s="113"/>
      <c r="C25" s="113"/>
      <c r="D25" s="113"/>
      <c r="E25" s="113"/>
      <c r="F25" s="113"/>
      <c r="G25" s="113"/>
      <c r="H25" s="113"/>
      <c r="I25" s="113"/>
      <c r="J25" s="113"/>
      <c r="K25" s="113"/>
      <c r="L25" s="113"/>
      <c r="M25" s="113"/>
      <c r="N25" s="113"/>
      <c r="O25" s="113"/>
      <c r="P25" s="113"/>
      <c r="Q25" s="132"/>
      <c r="R25" s="165"/>
      <c r="S25" s="165"/>
      <c r="T25" s="165"/>
      <c r="U25" s="150"/>
      <c r="V25" s="151"/>
      <c r="W25" s="166"/>
      <c r="X25" s="119"/>
      <c r="Y25" s="113"/>
      <c r="Z25" s="113"/>
    </row>
    <row r="26">
      <c r="A26" s="113"/>
      <c r="B26" s="113"/>
      <c r="C26" s="113"/>
      <c r="D26" s="113"/>
      <c r="E26" s="113"/>
      <c r="F26" s="113"/>
      <c r="G26" s="113"/>
      <c r="H26" s="113"/>
      <c r="I26" s="113"/>
      <c r="J26" s="113"/>
      <c r="K26" s="113"/>
      <c r="L26" s="113"/>
      <c r="M26" s="113"/>
      <c r="N26" s="113"/>
      <c r="O26" s="113"/>
      <c r="P26" s="113"/>
      <c r="Q26" s="132"/>
      <c r="R26" s="165"/>
      <c r="S26" s="165"/>
      <c r="T26" s="165"/>
      <c r="U26" s="150"/>
      <c r="V26" s="151"/>
      <c r="W26" s="166"/>
      <c r="X26" s="119"/>
      <c r="Y26" s="113"/>
      <c r="Z26" s="113"/>
    </row>
    <row r="27">
      <c r="A27" s="113"/>
      <c r="B27" s="113"/>
      <c r="C27" s="113"/>
      <c r="D27" s="113"/>
      <c r="E27" s="113"/>
      <c r="F27" s="113"/>
      <c r="G27" s="113"/>
      <c r="H27" s="113"/>
      <c r="I27" s="113"/>
      <c r="J27" s="113"/>
      <c r="K27" s="113"/>
      <c r="L27" s="113"/>
      <c r="M27" s="113"/>
      <c r="N27" s="113"/>
      <c r="O27" s="113"/>
      <c r="P27" s="113"/>
      <c r="Q27" s="132"/>
      <c r="R27" s="165"/>
      <c r="S27" s="165"/>
      <c r="T27" s="165"/>
      <c r="U27" s="150"/>
      <c r="V27" s="151"/>
      <c r="W27" s="166"/>
      <c r="X27" s="119"/>
      <c r="Y27" s="113"/>
      <c r="Z27" s="113"/>
    </row>
    <row r="28">
      <c r="A28" s="113"/>
      <c r="B28" s="113"/>
      <c r="C28" s="113"/>
      <c r="D28" s="113"/>
      <c r="E28" s="113"/>
      <c r="F28" s="113"/>
      <c r="G28" s="113"/>
      <c r="H28" s="113"/>
      <c r="I28" s="113"/>
      <c r="J28" s="113"/>
      <c r="K28" s="113"/>
      <c r="L28" s="113"/>
      <c r="M28" s="113"/>
      <c r="N28" s="113"/>
      <c r="O28" s="113"/>
      <c r="P28" s="113"/>
      <c r="Q28" s="132"/>
      <c r="R28" s="165"/>
      <c r="S28" s="165"/>
      <c r="T28" s="165"/>
      <c r="U28" s="150"/>
      <c r="V28" s="151"/>
      <c r="W28" s="166"/>
      <c r="X28" s="119"/>
      <c r="Y28" s="113"/>
      <c r="Z28" s="113"/>
    </row>
    <row r="29">
      <c r="A29" s="113"/>
      <c r="B29" s="113"/>
      <c r="C29" s="113"/>
      <c r="D29" s="113"/>
      <c r="E29" s="113"/>
      <c r="F29" s="113"/>
      <c r="G29" s="113"/>
      <c r="H29" s="113"/>
      <c r="I29" s="113"/>
      <c r="J29" s="113"/>
      <c r="K29" s="113"/>
      <c r="L29" s="113"/>
      <c r="M29" s="113"/>
      <c r="N29" s="113"/>
      <c r="O29" s="113"/>
      <c r="P29" s="113"/>
      <c r="Q29" s="132"/>
      <c r="R29" s="165"/>
      <c r="S29" s="165"/>
      <c r="T29" s="165"/>
      <c r="U29" s="150"/>
      <c r="V29" s="151"/>
      <c r="W29" s="166"/>
      <c r="X29" s="119"/>
      <c r="Y29" s="113"/>
      <c r="Z29" s="113"/>
    </row>
    <row r="30">
      <c r="A30" s="113"/>
      <c r="B30" s="113"/>
      <c r="C30" s="113"/>
      <c r="D30" s="113"/>
      <c r="E30" s="113"/>
      <c r="F30" s="113"/>
      <c r="G30" s="113"/>
      <c r="H30" s="113"/>
      <c r="I30" s="113"/>
      <c r="J30" s="113"/>
      <c r="K30" s="113"/>
      <c r="L30" s="113"/>
      <c r="M30" s="113"/>
      <c r="N30" s="113"/>
      <c r="O30" s="113"/>
      <c r="P30" s="113"/>
      <c r="Q30" s="132"/>
      <c r="R30" s="165"/>
      <c r="S30" s="165"/>
      <c r="T30" s="165"/>
      <c r="U30" s="150"/>
      <c r="V30" s="151"/>
      <c r="W30" s="166"/>
      <c r="X30" s="119"/>
      <c r="Y30" s="113"/>
      <c r="Z30" s="113"/>
    </row>
    <row r="31">
      <c r="A31" s="113"/>
      <c r="B31" s="113"/>
      <c r="C31" s="113"/>
      <c r="D31" s="113"/>
      <c r="E31" s="113"/>
      <c r="F31" s="113"/>
      <c r="G31" s="113"/>
      <c r="H31" s="113"/>
      <c r="I31" s="113"/>
      <c r="J31" s="113"/>
      <c r="K31" s="113"/>
      <c r="L31" s="113"/>
      <c r="M31" s="113"/>
      <c r="N31" s="113"/>
      <c r="O31" s="113"/>
      <c r="P31" s="113"/>
      <c r="Q31" s="132"/>
      <c r="R31" s="165"/>
      <c r="S31" s="165"/>
      <c r="T31" s="165"/>
      <c r="U31" s="150"/>
      <c r="V31" s="151"/>
      <c r="W31" s="166"/>
      <c r="X31" s="119"/>
      <c r="Y31" s="113"/>
      <c r="Z31" s="113"/>
    </row>
    <row r="32">
      <c r="A32" s="113"/>
      <c r="B32" s="113"/>
      <c r="C32" s="113"/>
      <c r="D32" s="113"/>
      <c r="E32" s="113"/>
      <c r="F32" s="113"/>
      <c r="G32" s="113"/>
      <c r="H32" s="113"/>
      <c r="I32" s="113"/>
      <c r="J32" s="113"/>
      <c r="K32" s="113"/>
      <c r="L32" s="113"/>
      <c r="M32" s="113"/>
      <c r="N32" s="113"/>
      <c r="O32" s="113"/>
      <c r="P32" s="113"/>
      <c r="Q32" s="132"/>
      <c r="R32" s="165"/>
      <c r="S32" s="165"/>
      <c r="T32" s="165"/>
      <c r="U32" s="150"/>
      <c r="V32" s="151"/>
      <c r="W32" s="166"/>
      <c r="X32" s="119"/>
      <c r="Y32" s="113"/>
      <c r="Z32" s="113"/>
    </row>
    <row r="33">
      <c r="A33" s="113"/>
      <c r="B33" s="113"/>
      <c r="C33" s="113"/>
      <c r="D33" s="113"/>
      <c r="E33" s="113"/>
      <c r="F33" s="113"/>
      <c r="G33" s="113"/>
      <c r="H33" s="113"/>
      <c r="I33" s="113"/>
      <c r="J33" s="113"/>
      <c r="K33" s="113"/>
      <c r="L33" s="113"/>
      <c r="M33" s="113"/>
      <c r="N33" s="113"/>
      <c r="O33" s="113"/>
      <c r="P33" s="113"/>
      <c r="Q33" s="132"/>
      <c r="R33" s="165"/>
      <c r="S33" s="165"/>
      <c r="T33" s="165"/>
      <c r="U33" s="150"/>
      <c r="V33" s="151"/>
      <c r="W33" s="166"/>
      <c r="X33" s="119"/>
      <c r="Y33" s="113"/>
      <c r="Z33" s="113"/>
    </row>
    <row r="34">
      <c r="A34" s="113"/>
      <c r="B34" s="113"/>
      <c r="C34" s="113"/>
      <c r="D34" s="113"/>
      <c r="E34" s="113"/>
      <c r="F34" s="113"/>
      <c r="G34" s="113"/>
      <c r="H34" s="113"/>
      <c r="I34" s="113"/>
      <c r="J34" s="113"/>
      <c r="K34" s="113"/>
      <c r="L34" s="113"/>
      <c r="M34" s="113"/>
      <c r="N34" s="113"/>
      <c r="O34" s="113"/>
      <c r="P34" s="113"/>
      <c r="Q34" s="132"/>
      <c r="R34" s="165"/>
      <c r="S34" s="165"/>
      <c r="T34" s="165"/>
      <c r="U34" s="150"/>
      <c r="V34" s="151"/>
      <c r="W34" s="166"/>
      <c r="X34" s="119"/>
      <c r="Y34" s="113"/>
      <c r="Z34" s="113"/>
    </row>
    <row r="35">
      <c r="A35" s="113"/>
      <c r="B35" s="113"/>
      <c r="C35" s="113"/>
      <c r="D35" s="113"/>
      <c r="E35" s="113"/>
      <c r="F35" s="113"/>
      <c r="G35" s="113"/>
      <c r="H35" s="113"/>
      <c r="I35" s="113"/>
      <c r="J35" s="113"/>
      <c r="K35" s="113"/>
      <c r="L35" s="113"/>
      <c r="M35" s="113"/>
      <c r="N35" s="113"/>
      <c r="O35" s="113"/>
      <c r="P35" s="113"/>
      <c r="Q35" s="132"/>
      <c r="R35" s="165"/>
      <c r="S35" s="165"/>
      <c r="T35" s="165"/>
      <c r="U35" s="150"/>
      <c r="V35" s="151"/>
      <c r="W35" s="166"/>
      <c r="X35" s="119"/>
      <c r="Y35" s="113"/>
      <c r="Z35" s="113"/>
    </row>
    <row r="36">
      <c r="A36" s="113"/>
      <c r="B36" s="113"/>
      <c r="C36" s="113"/>
      <c r="D36" s="113"/>
      <c r="E36" s="113"/>
      <c r="F36" s="113"/>
      <c r="G36" s="113"/>
      <c r="H36" s="113"/>
      <c r="I36" s="113"/>
      <c r="J36" s="113"/>
      <c r="K36" s="113"/>
      <c r="L36" s="113"/>
      <c r="M36" s="113"/>
      <c r="N36" s="113"/>
      <c r="O36" s="113"/>
      <c r="P36" s="113"/>
      <c r="Q36" s="132"/>
      <c r="R36" s="165"/>
      <c r="S36" s="165"/>
      <c r="T36" s="165"/>
      <c r="U36" s="150"/>
      <c r="V36" s="151"/>
      <c r="W36" s="166"/>
      <c r="X36" s="119"/>
      <c r="Y36" s="113"/>
      <c r="Z36" s="113"/>
    </row>
    <row r="37">
      <c r="A37" s="113"/>
      <c r="B37" s="113"/>
      <c r="C37" s="113"/>
      <c r="D37" s="113"/>
      <c r="E37" s="113"/>
      <c r="F37" s="113"/>
      <c r="G37" s="113"/>
      <c r="H37" s="113"/>
      <c r="I37" s="113"/>
      <c r="J37" s="113"/>
      <c r="K37" s="113"/>
      <c r="L37" s="113"/>
      <c r="M37" s="113"/>
      <c r="N37" s="113"/>
      <c r="O37" s="113"/>
      <c r="P37" s="113"/>
      <c r="Q37" s="132"/>
      <c r="R37" s="165"/>
      <c r="S37" s="165"/>
      <c r="T37" s="165"/>
      <c r="U37" s="150"/>
      <c r="V37" s="151"/>
      <c r="W37" s="166"/>
      <c r="X37" s="119"/>
      <c r="Y37" s="113"/>
      <c r="Z37" s="113"/>
    </row>
    <row r="38">
      <c r="A38" s="113"/>
      <c r="B38" s="113"/>
      <c r="C38" s="113"/>
      <c r="D38" s="113"/>
      <c r="E38" s="113"/>
      <c r="F38" s="113"/>
      <c r="G38" s="113"/>
      <c r="H38" s="113"/>
      <c r="I38" s="113"/>
      <c r="J38" s="113"/>
      <c r="K38" s="113"/>
      <c r="L38" s="113"/>
      <c r="M38" s="113"/>
      <c r="N38" s="113"/>
      <c r="O38" s="113"/>
      <c r="P38" s="113"/>
      <c r="Q38" s="132"/>
      <c r="R38" s="165"/>
      <c r="S38" s="165"/>
      <c r="T38" s="165"/>
      <c r="U38" s="150"/>
      <c r="V38" s="151"/>
      <c r="W38" s="166"/>
      <c r="X38" s="119"/>
      <c r="Y38" s="113"/>
      <c r="Z38" s="113"/>
    </row>
    <row r="39">
      <c r="A39" s="113"/>
      <c r="B39" s="113"/>
      <c r="C39" s="113"/>
      <c r="D39" s="113"/>
      <c r="E39" s="113"/>
      <c r="F39" s="113"/>
      <c r="G39" s="113"/>
      <c r="H39" s="113"/>
      <c r="I39" s="113"/>
      <c r="J39" s="113"/>
      <c r="K39" s="113"/>
      <c r="L39" s="113"/>
      <c r="M39" s="113"/>
      <c r="N39" s="113"/>
      <c r="O39" s="113"/>
      <c r="P39" s="113"/>
      <c r="Q39" s="132"/>
      <c r="R39" s="165"/>
      <c r="S39" s="165"/>
      <c r="T39" s="165"/>
      <c r="U39" s="150"/>
      <c r="V39" s="151"/>
      <c r="W39" s="166"/>
      <c r="X39" s="119"/>
      <c r="Y39" s="113"/>
      <c r="Z39" s="113"/>
    </row>
    <row r="40">
      <c r="A40" s="113"/>
      <c r="B40" s="113"/>
      <c r="C40" s="113"/>
      <c r="D40" s="113"/>
      <c r="E40" s="113"/>
      <c r="F40" s="113"/>
      <c r="G40" s="113"/>
      <c r="H40" s="113"/>
      <c r="I40" s="113"/>
      <c r="J40" s="113"/>
      <c r="K40" s="113"/>
      <c r="L40" s="113"/>
      <c r="M40" s="113"/>
      <c r="N40" s="113"/>
      <c r="O40" s="113"/>
      <c r="P40" s="113"/>
      <c r="Q40" s="132"/>
      <c r="R40" s="165"/>
      <c r="S40" s="165"/>
      <c r="T40" s="165"/>
      <c r="U40" s="150"/>
      <c r="V40" s="151"/>
      <c r="W40" s="166"/>
      <c r="X40" s="119"/>
      <c r="Y40" s="113"/>
      <c r="Z40" s="113"/>
    </row>
    <row r="41">
      <c r="A41" s="113"/>
      <c r="B41" s="113"/>
      <c r="C41" s="113"/>
      <c r="D41" s="113"/>
      <c r="E41" s="113"/>
      <c r="F41" s="113"/>
      <c r="G41" s="113"/>
      <c r="H41" s="113"/>
      <c r="I41" s="113"/>
      <c r="J41" s="113"/>
      <c r="K41" s="113"/>
      <c r="L41" s="113"/>
      <c r="M41" s="113"/>
      <c r="N41" s="113"/>
      <c r="O41" s="113"/>
      <c r="P41" s="113"/>
      <c r="Q41" s="132"/>
      <c r="R41" s="165"/>
      <c r="S41" s="165"/>
      <c r="T41" s="165"/>
      <c r="U41" s="150"/>
      <c r="V41" s="151"/>
      <c r="W41" s="166"/>
      <c r="X41" s="119"/>
      <c r="Y41" s="113"/>
      <c r="Z41" s="113"/>
    </row>
    <row r="42">
      <c r="A42" s="113"/>
      <c r="B42" s="113"/>
      <c r="C42" s="113"/>
      <c r="D42" s="113"/>
      <c r="E42" s="113"/>
      <c r="F42" s="113"/>
      <c r="G42" s="113"/>
      <c r="H42" s="113"/>
      <c r="I42" s="113"/>
      <c r="J42" s="113"/>
      <c r="K42" s="113"/>
      <c r="L42" s="113"/>
      <c r="M42" s="113"/>
      <c r="N42" s="113"/>
      <c r="O42" s="113"/>
      <c r="P42" s="113"/>
      <c r="Q42" s="132"/>
      <c r="R42" s="165"/>
      <c r="S42" s="165"/>
      <c r="T42" s="165"/>
      <c r="U42" s="150"/>
      <c r="V42" s="151"/>
      <c r="W42" s="166"/>
      <c r="X42" s="119"/>
      <c r="Y42" s="113"/>
      <c r="Z42" s="113"/>
    </row>
    <row r="43">
      <c r="A43" s="113"/>
      <c r="B43" s="113"/>
      <c r="C43" s="113"/>
      <c r="D43" s="113"/>
      <c r="E43" s="113"/>
      <c r="F43" s="113"/>
      <c r="G43" s="113"/>
      <c r="H43" s="113"/>
      <c r="I43" s="113"/>
      <c r="J43" s="113"/>
      <c r="K43" s="113"/>
      <c r="L43" s="113"/>
      <c r="M43" s="113"/>
      <c r="N43" s="113"/>
      <c r="O43" s="113"/>
      <c r="P43" s="113"/>
      <c r="Q43" s="132"/>
      <c r="R43" s="165"/>
      <c r="S43" s="165"/>
      <c r="T43" s="165"/>
      <c r="U43" s="150"/>
      <c r="V43" s="151"/>
      <c r="W43" s="166"/>
      <c r="X43" s="119"/>
      <c r="Y43" s="113"/>
      <c r="Z43" s="113"/>
    </row>
    <row r="44">
      <c r="A44" s="113"/>
      <c r="B44" s="113"/>
      <c r="C44" s="113"/>
      <c r="D44" s="113"/>
      <c r="E44" s="113"/>
      <c r="F44" s="113"/>
      <c r="G44" s="113"/>
      <c r="H44" s="113"/>
      <c r="I44" s="113"/>
      <c r="J44" s="113"/>
      <c r="K44" s="113"/>
      <c r="L44" s="113"/>
      <c r="M44" s="113"/>
      <c r="N44" s="113"/>
      <c r="O44" s="113"/>
      <c r="P44" s="113"/>
      <c r="Q44" s="132"/>
      <c r="R44" s="165"/>
      <c r="S44" s="165"/>
      <c r="T44" s="165"/>
      <c r="U44" s="150"/>
      <c r="V44" s="151"/>
      <c r="W44" s="166"/>
      <c r="X44" s="119"/>
      <c r="Y44" s="113"/>
      <c r="Z44" s="113"/>
    </row>
    <row r="45">
      <c r="A45" s="113"/>
      <c r="B45" s="113"/>
      <c r="C45" s="113"/>
      <c r="D45" s="113"/>
      <c r="E45" s="113"/>
      <c r="F45" s="113"/>
      <c r="G45" s="113"/>
      <c r="H45" s="113"/>
      <c r="I45" s="113"/>
      <c r="J45" s="113"/>
      <c r="K45" s="113"/>
      <c r="L45" s="113"/>
      <c r="M45" s="113"/>
      <c r="N45" s="113"/>
      <c r="O45" s="113"/>
      <c r="P45" s="113"/>
      <c r="Q45" s="132"/>
      <c r="R45" s="165"/>
      <c r="S45" s="165"/>
      <c r="T45" s="165"/>
      <c r="U45" s="150"/>
      <c r="V45" s="151"/>
      <c r="W45" s="166"/>
      <c r="X45" s="119"/>
      <c r="Y45" s="113"/>
      <c r="Z45" s="113"/>
    </row>
    <row r="46">
      <c r="A46" s="113"/>
      <c r="B46" s="113"/>
      <c r="C46" s="113"/>
      <c r="D46" s="113"/>
      <c r="E46" s="113"/>
      <c r="F46" s="113"/>
      <c r="G46" s="113"/>
      <c r="H46" s="113"/>
      <c r="I46" s="113"/>
      <c r="J46" s="113"/>
      <c r="K46" s="113"/>
      <c r="L46" s="113"/>
      <c r="M46" s="113"/>
      <c r="N46" s="113"/>
      <c r="O46" s="113"/>
      <c r="P46" s="113"/>
      <c r="Q46" s="132"/>
      <c r="R46" s="165"/>
      <c r="S46" s="165"/>
      <c r="T46" s="165"/>
      <c r="U46" s="150"/>
      <c r="V46" s="151"/>
      <c r="W46" s="166"/>
      <c r="X46" s="119"/>
      <c r="Y46" s="113"/>
      <c r="Z46" s="113"/>
    </row>
    <row r="47">
      <c r="A47" s="113"/>
      <c r="B47" s="113"/>
      <c r="C47" s="113"/>
      <c r="D47" s="113"/>
      <c r="E47" s="113"/>
      <c r="F47" s="113"/>
      <c r="G47" s="113"/>
      <c r="H47" s="113"/>
      <c r="I47" s="113"/>
      <c r="J47" s="113"/>
      <c r="K47" s="113"/>
      <c r="L47" s="113"/>
      <c r="M47" s="113"/>
      <c r="N47" s="113"/>
      <c r="O47" s="113"/>
      <c r="P47" s="113"/>
      <c r="Q47" s="132"/>
      <c r="R47" s="165"/>
      <c r="S47" s="165"/>
      <c r="T47" s="165"/>
      <c r="U47" s="150"/>
      <c r="V47" s="151"/>
      <c r="W47" s="166"/>
      <c r="X47" s="119"/>
      <c r="Y47" s="113"/>
      <c r="Z47" s="113"/>
    </row>
    <row r="48">
      <c r="A48" s="113"/>
      <c r="B48" s="113"/>
      <c r="C48" s="113"/>
      <c r="D48" s="113"/>
      <c r="E48" s="113"/>
      <c r="F48" s="113"/>
      <c r="G48" s="113"/>
      <c r="H48" s="113"/>
      <c r="I48" s="113"/>
      <c r="J48" s="113"/>
      <c r="K48" s="113"/>
      <c r="L48" s="113"/>
      <c r="M48" s="113"/>
      <c r="N48" s="113"/>
      <c r="O48" s="113"/>
      <c r="P48" s="113"/>
      <c r="Q48" s="132"/>
      <c r="R48" s="165"/>
      <c r="S48" s="165"/>
      <c r="T48" s="165"/>
      <c r="U48" s="150"/>
      <c r="V48" s="151"/>
      <c r="W48" s="166"/>
      <c r="X48" s="119"/>
      <c r="Y48" s="113"/>
      <c r="Z48" s="113"/>
    </row>
    <row r="49">
      <c r="A49" s="113"/>
      <c r="B49" s="113"/>
      <c r="C49" s="113"/>
      <c r="D49" s="113"/>
      <c r="E49" s="113"/>
      <c r="F49" s="113"/>
      <c r="G49" s="113"/>
      <c r="H49" s="113"/>
      <c r="I49" s="113"/>
      <c r="J49" s="113"/>
      <c r="K49" s="113"/>
      <c r="L49" s="113"/>
      <c r="M49" s="113"/>
      <c r="N49" s="113"/>
      <c r="O49" s="113"/>
      <c r="P49" s="113"/>
      <c r="Q49" s="132"/>
      <c r="R49" s="165"/>
      <c r="S49" s="165"/>
      <c r="T49" s="165"/>
      <c r="U49" s="150"/>
      <c r="V49" s="151"/>
      <c r="W49" s="166"/>
      <c r="X49" s="119"/>
      <c r="Y49" s="113"/>
      <c r="Z49" s="113"/>
    </row>
    <row r="50">
      <c r="A50" s="113"/>
      <c r="B50" s="113"/>
      <c r="C50" s="113"/>
      <c r="D50" s="113"/>
      <c r="E50" s="113"/>
      <c r="F50" s="113"/>
      <c r="G50" s="113"/>
      <c r="H50" s="113"/>
      <c r="I50" s="113"/>
      <c r="J50" s="113"/>
      <c r="K50" s="113"/>
      <c r="L50" s="113"/>
      <c r="M50" s="113"/>
      <c r="N50" s="113"/>
      <c r="O50" s="113"/>
      <c r="P50" s="113"/>
      <c r="Q50" s="132"/>
      <c r="R50" s="165"/>
      <c r="S50" s="165"/>
      <c r="T50" s="165"/>
      <c r="U50" s="150"/>
      <c r="V50" s="151"/>
      <c r="W50" s="166"/>
      <c r="X50" s="119"/>
      <c r="Y50" s="113"/>
      <c r="Z50" s="113"/>
    </row>
    <row r="51">
      <c r="A51" s="113"/>
      <c r="B51" s="113"/>
      <c r="C51" s="113"/>
      <c r="D51" s="113"/>
      <c r="E51" s="113"/>
      <c r="F51" s="113"/>
      <c r="G51" s="113"/>
      <c r="H51" s="113"/>
      <c r="I51" s="113"/>
      <c r="J51" s="113"/>
      <c r="K51" s="113"/>
      <c r="L51" s="113"/>
      <c r="M51" s="113"/>
      <c r="N51" s="113"/>
      <c r="O51" s="113"/>
      <c r="P51" s="113"/>
      <c r="Q51" s="132"/>
      <c r="R51" s="165"/>
      <c r="S51" s="165"/>
      <c r="T51" s="165"/>
      <c r="U51" s="150"/>
      <c r="V51" s="151"/>
      <c r="W51" s="166"/>
      <c r="X51" s="119"/>
      <c r="Y51" s="113"/>
      <c r="Z51" s="113"/>
    </row>
    <row r="52">
      <c r="A52" s="113"/>
      <c r="B52" s="113"/>
      <c r="C52" s="113"/>
      <c r="D52" s="113"/>
      <c r="E52" s="113"/>
      <c r="F52" s="113"/>
      <c r="G52" s="113"/>
      <c r="H52" s="113"/>
      <c r="I52" s="113"/>
      <c r="J52" s="113"/>
      <c r="K52" s="113"/>
      <c r="L52" s="113"/>
      <c r="M52" s="113"/>
      <c r="N52" s="113"/>
      <c r="O52" s="113"/>
      <c r="P52" s="113"/>
      <c r="Q52" s="132"/>
      <c r="R52" s="165"/>
      <c r="S52" s="165"/>
      <c r="T52" s="165"/>
      <c r="U52" s="150"/>
      <c r="V52" s="151"/>
      <c r="W52" s="166"/>
      <c r="X52" s="119"/>
      <c r="Y52" s="113"/>
      <c r="Z52" s="113"/>
    </row>
    <row r="53">
      <c r="A53" s="113"/>
      <c r="B53" s="113"/>
      <c r="C53" s="113"/>
      <c r="D53" s="113"/>
      <c r="E53" s="113"/>
      <c r="F53" s="113"/>
      <c r="G53" s="113"/>
      <c r="H53" s="113"/>
      <c r="I53" s="113"/>
      <c r="J53" s="113"/>
      <c r="K53" s="113"/>
      <c r="L53" s="113"/>
      <c r="M53" s="113"/>
      <c r="N53" s="113"/>
      <c r="O53" s="113"/>
      <c r="P53" s="113"/>
      <c r="Q53" s="132"/>
      <c r="R53" s="165"/>
      <c r="S53" s="165"/>
      <c r="T53" s="165"/>
      <c r="U53" s="150"/>
      <c r="V53" s="151"/>
      <c r="W53" s="166"/>
      <c r="X53" s="119"/>
      <c r="Y53" s="113"/>
      <c r="Z53" s="113"/>
    </row>
    <row r="54">
      <c r="A54" s="113"/>
      <c r="B54" s="113"/>
      <c r="C54" s="113"/>
      <c r="D54" s="113"/>
      <c r="E54" s="113"/>
      <c r="F54" s="113"/>
      <c r="G54" s="113"/>
      <c r="H54" s="113"/>
      <c r="I54" s="113"/>
      <c r="J54" s="113"/>
      <c r="K54" s="113"/>
      <c r="L54" s="113"/>
      <c r="M54" s="113"/>
      <c r="N54" s="113"/>
      <c r="O54" s="113"/>
      <c r="P54" s="113"/>
      <c r="Q54" s="132"/>
      <c r="R54" s="165"/>
      <c r="S54" s="165"/>
      <c r="T54" s="165"/>
      <c r="U54" s="150"/>
      <c r="V54" s="151"/>
      <c r="W54" s="166"/>
      <c r="X54" s="119"/>
      <c r="Y54" s="113"/>
      <c r="Z54" s="113"/>
    </row>
    <row r="55">
      <c r="A55" s="113"/>
      <c r="B55" s="113"/>
      <c r="C55" s="113"/>
      <c r="D55" s="113"/>
      <c r="E55" s="113"/>
      <c r="F55" s="113"/>
      <c r="G55" s="113"/>
      <c r="H55" s="113"/>
      <c r="I55" s="113"/>
      <c r="J55" s="113"/>
      <c r="K55" s="113"/>
      <c r="L55" s="113"/>
      <c r="M55" s="113"/>
      <c r="N55" s="113"/>
      <c r="O55" s="113"/>
      <c r="P55" s="113"/>
      <c r="Q55" s="132"/>
      <c r="R55" s="165"/>
      <c r="S55" s="165"/>
      <c r="T55" s="165"/>
      <c r="U55" s="150"/>
      <c r="V55" s="151"/>
      <c r="W55" s="166"/>
      <c r="X55" s="119"/>
      <c r="Y55" s="113"/>
      <c r="Z55" s="113"/>
    </row>
    <row r="56">
      <c r="A56" s="113"/>
      <c r="B56" s="113"/>
      <c r="C56" s="113"/>
      <c r="D56" s="113"/>
      <c r="E56" s="113"/>
      <c r="F56" s="113"/>
      <c r="G56" s="113"/>
      <c r="H56" s="113"/>
      <c r="I56" s="113"/>
      <c r="J56" s="113"/>
      <c r="K56" s="113"/>
      <c r="L56" s="113"/>
      <c r="M56" s="113"/>
      <c r="N56" s="113"/>
      <c r="O56" s="113"/>
      <c r="P56" s="113"/>
      <c r="Q56" s="132"/>
      <c r="R56" s="165"/>
      <c r="S56" s="165"/>
      <c r="T56" s="165"/>
      <c r="U56" s="150"/>
      <c r="V56" s="151"/>
      <c r="W56" s="166"/>
      <c r="X56" s="119"/>
      <c r="Y56" s="113"/>
      <c r="Z56" s="113"/>
    </row>
    <row r="57">
      <c r="A57" s="113"/>
      <c r="B57" s="113"/>
      <c r="C57" s="113"/>
      <c r="D57" s="113"/>
      <c r="E57" s="113"/>
      <c r="F57" s="113"/>
      <c r="G57" s="113"/>
      <c r="H57" s="113"/>
      <c r="I57" s="113"/>
      <c r="J57" s="113"/>
      <c r="K57" s="113"/>
      <c r="L57" s="113"/>
      <c r="M57" s="113"/>
      <c r="N57" s="113"/>
      <c r="O57" s="113"/>
      <c r="P57" s="113"/>
      <c r="Q57" s="132"/>
      <c r="R57" s="165"/>
      <c r="S57" s="165"/>
      <c r="T57" s="165"/>
      <c r="U57" s="150"/>
      <c r="V57" s="151"/>
      <c r="W57" s="166"/>
      <c r="X57" s="119"/>
      <c r="Y57" s="113"/>
      <c r="Z57" s="113"/>
    </row>
    <row r="58">
      <c r="A58" s="113"/>
      <c r="B58" s="113"/>
      <c r="C58" s="113"/>
      <c r="D58" s="113"/>
      <c r="E58" s="113"/>
      <c r="F58" s="113"/>
      <c r="G58" s="113"/>
      <c r="H58" s="113"/>
      <c r="I58" s="113"/>
      <c r="J58" s="113"/>
      <c r="K58" s="113"/>
      <c r="L58" s="113"/>
      <c r="M58" s="113"/>
      <c r="N58" s="113"/>
      <c r="O58" s="113"/>
      <c r="P58" s="113"/>
      <c r="Q58" s="132"/>
      <c r="R58" s="165"/>
      <c r="S58" s="165"/>
      <c r="T58" s="165"/>
      <c r="U58" s="150"/>
      <c r="V58" s="151"/>
      <c r="W58" s="166"/>
      <c r="X58" s="119"/>
      <c r="Y58" s="113"/>
      <c r="Z58" s="113"/>
    </row>
    <row r="59">
      <c r="A59" s="113"/>
      <c r="B59" s="113"/>
      <c r="C59" s="113"/>
      <c r="D59" s="113"/>
      <c r="E59" s="113"/>
      <c r="F59" s="113"/>
      <c r="G59" s="113"/>
      <c r="H59" s="113"/>
      <c r="I59" s="113"/>
      <c r="J59" s="113"/>
      <c r="K59" s="113"/>
      <c r="L59" s="113"/>
      <c r="M59" s="113"/>
      <c r="N59" s="113"/>
      <c r="O59" s="113"/>
      <c r="P59" s="113"/>
      <c r="Q59" s="132"/>
      <c r="R59" s="165"/>
      <c r="S59" s="165"/>
      <c r="T59" s="165"/>
      <c r="U59" s="150"/>
      <c r="V59" s="151"/>
      <c r="W59" s="166"/>
      <c r="X59" s="119"/>
      <c r="Y59" s="113"/>
      <c r="Z59" s="113"/>
    </row>
    <row r="60">
      <c r="A60" s="113"/>
      <c r="B60" s="113"/>
      <c r="C60" s="113"/>
      <c r="D60" s="113"/>
      <c r="E60" s="113"/>
      <c r="F60" s="113"/>
      <c r="G60" s="113"/>
      <c r="H60" s="113"/>
      <c r="I60" s="113"/>
      <c r="J60" s="113"/>
      <c r="K60" s="113"/>
      <c r="L60" s="113"/>
      <c r="M60" s="113"/>
      <c r="N60" s="113"/>
      <c r="O60" s="113"/>
      <c r="P60" s="113"/>
      <c r="Q60" s="132"/>
      <c r="R60" s="165"/>
      <c r="S60" s="165"/>
      <c r="T60" s="165"/>
      <c r="U60" s="150"/>
      <c r="V60" s="151"/>
      <c r="W60" s="166"/>
      <c r="X60" s="119"/>
      <c r="Y60" s="113"/>
      <c r="Z60" s="113"/>
    </row>
    <row r="61">
      <c r="A61" s="113"/>
      <c r="B61" s="113"/>
      <c r="C61" s="113"/>
      <c r="D61" s="113"/>
      <c r="E61" s="113"/>
      <c r="F61" s="113"/>
      <c r="G61" s="113"/>
      <c r="H61" s="113"/>
      <c r="I61" s="113"/>
      <c r="J61" s="113"/>
      <c r="K61" s="113"/>
      <c r="L61" s="113"/>
      <c r="M61" s="113"/>
      <c r="N61" s="113"/>
      <c r="O61" s="113"/>
      <c r="P61" s="113"/>
      <c r="Q61" s="132"/>
      <c r="R61" s="165"/>
      <c r="S61" s="165"/>
      <c r="T61" s="165"/>
      <c r="U61" s="150"/>
      <c r="V61" s="151"/>
      <c r="W61" s="166"/>
      <c r="X61" s="119"/>
      <c r="Y61" s="113"/>
      <c r="Z61" s="113"/>
    </row>
    <row r="62">
      <c r="A62" s="113"/>
      <c r="B62" s="113"/>
      <c r="C62" s="113"/>
      <c r="D62" s="113"/>
      <c r="E62" s="113"/>
      <c r="F62" s="113"/>
      <c r="G62" s="113"/>
      <c r="H62" s="113"/>
      <c r="I62" s="113"/>
      <c r="J62" s="113"/>
      <c r="K62" s="113"/>
      <c r="L62" s="113"/>
      <c r="M62" s="113"/>
      <c r="N62" s="113"/>
      <c r="O62" s="113"/>
      <c r="P62" s="113"/>
      <c r="Q62" s="132"/>
      <c r="R62" s="165"/>
      <c r="S62" s="165"/>
      <c r="T62" s="165"/>
      <c r="U62" s="150"/>
      <c r="V62" s="151"/>
      <c r="W62" s="166"/>
      <c r="X62" s="119"/>
      <c r="Y62" s="113"/>
      <c r="Z62" s="113"/>
    </row>
    <row r="63">
      <c r="A63" s="113"/>
      <c r="B63" s="113"/>
      <c r="C63" s="113"/>
      <c r="D63" s="113"/>
      <c r="E63" s="113"/>
      <c r="F63" s="113"/>
      <c r="G63" s="113"/>
      <c r="H63" s="113"/>
      <c r="I63" s="113"/>
      <c r="J63" s="113"/>
      <c r="K63" s="113"/>
      <c r="L63" s="113"/>
      <c r="M63" s="113"/>
      <c r="N63" s="113"/>
      <c r="O63" s="113"/>
      <c r="P63" s="113"/>
      <c r="Q63" s="132"/>
      <c r="R63" s="165"/>
      <c r="S63" s="165"/>
      <c r="T63" s="165"/>
      <c r="U63" s="150"/>
      <c r="V63" s="151"/>
      <c r="W63" s="166"/>
      <c r="X63" s="119"/>
      <c r="Y63" s="113"/>
      <c r="Z63" s="113"/>
    </row>
    <row r="64">
      <c r="A64" s="113"/>
      <c r="B64" s="113"/>
      <c r="C64" s="113"/>
      <c r="D64" s="113"/>
      <c r="E64" s="113"/>
      <c r="F64" s="113"/>
      <c r="G64" s="113"/>
      <c r="H64" s="113"/>
      <c r="I64" s="113"/>
      <c r="J64" s="113"/>
      <c r="K64" s="113"/>
      <c r="L64" s="113"/>
      <c r="M64" s="113"/>
      <c r="N64" s="113"/>
      <c r="O64" s="113"/>
      <c r="P64" s="113"/>
      <c r="Q64" s="132"/>
      <c r="R64" s="165"/>
      <c r="S64" s="165"/>
      <c r="T64" s="165"/>
      <c r="U64" s="150"/>
      <c r="V64" s="151"/>
      <c r="W64" s="166"/>
      <c r="X64" s="119"/>
      <c r="Y64" s="113"/>
      <c r="Z64" s="113"/>
    </row>
    <row r="65">
      <c r="A65" s="113"/>
      <c r="B65" s="113"/>
      <c r="C65" s="113"/>
      <c r="D65" s="113"/>
      <c r="E65" s="113"/>
      <c r="F65" s="113"/>
      <c r="G65" s="113"/>
      <c r="H65" s="113"/>
      <c r="I65" s="113"/>
      <c r="J65" s="113"/>
      <c r="K65" s="113"/>
      <c r="L65" s="113"/>
      <c r="M65" s="113"/>
      <c r="N65" s="113"/>
      <c r="O65" s="113"/>
      <c r="P65" s="113"/>
      <c r="Q65" s="132"/>
      <c r="R65" s="165"/>
      <c r="S65" s="165"/>
      <c r="T65" s="165"/>
      <c r="U65" s="150"/>
      <c r="V65" s="151"/>
      <c r="W65" s="166"/>
      <c r="X65" s="119"/>
      <c r="Y65" s="113"/>
      <c r="Z65" s="113"/>
    </row>
    <row r="66">
      <c r="A66" s="113"/>
      <c r="B66" s="113"/>
      <c r="C66" s="113"/>
      <c r="D66" s="113"/>
      <c r="E66" s="113"/>
      <c r="F66" s="113"/>
      <c r="G66" s="113"/>
      <c r="H66" s="113"/>
      <c r="I66" s="113"/>
      <c r="J66" s="113"/>
      <c r="K66" s="113"/>
      <c r="L66" s="113"/>
      <c r="M66" s="113"/>
      <c r="N66" s="113"/>
      <c r="O66" s="113"/>
      <c r="P66" s="113"/>
      <c r="Q66" s="132"/>
      <c r="R66" s="165"/>
      <c r="S66" s="165"/>
      <c r="T66" s="165"/>
      <c r="U66" s="150"/>
      <c r="V66" s="151"/>
      <c r="W66" s="166"/>
      <c r="X66" s="119"/>
      <c r="Y66" s="113"/>
      <c r="Z66" s="113"/>
    </row>
    <row r="67">
      <c r="A67" s="113"/>
      <c r="B67" s="113"/>
      <c r="C67" s="113"/>
      <c r="D67" s="113"/>
      <c r="E67" s="113"/>
      <c r="F67" s="113"/>
      <c r="G67" s="113"/>
      <c r="H67" s="113"/>
      <c r="I67" s="113"/>
      <c r="J67" s="113"/>
      <c r="K67" s="113"/>
      <c r="L67" s="113"/>
      <c r="M67" s="113"/>
      <c r="N67" s="113"/>
      <c r="O67" s="113"/>
      <c r="P67" s="113"/>
      <c r="Q67" s="132"/>
      <c r="R67" s="165"/>
      <c r="S67" s="165"/>
      <c r="T67" s="165"/>
      <c r="U67" s="150"/>
      <c r="V67" s="151"/>
      <c r="W67" s="166"/>
      <c r="X67" s="119"/>
      <c r="Y67" s="113"/>
      <c r="Z67" s="113"/>
    </row>
    <row r="68">
      <c r="A68" s="113"/>
      <c r="B68" s="113"/>
      <c r="C68" s="113"/>
      <c r="D68" s="113"/>
      <c r="E68" s="113"/>
      <c r="F68" s="113"/>
      <c r="G68" s="113"/>
      <c r="H68" s="113"/>
      <c r="I68" s="113"/>
      <c r="J68" s="113"/>
      <c r="K68" s="113"/>
      <c r="L68" s="113"/>
      <c r="M68" s="113"/>
      <c r="N68" s="113"/>
      <c r="O68" s="113"/>
      <c r="P68" s="113"/>
      <c r="Q68" s="132"/>
      <c r="R68" s="165"/>
      <c r="S68" s="165"/>
      <c r="T68" s="165"/>
      <c r="U68" s="150"/>
      <c r="V68" s="151"/>
      <c r="W68" s="166"/>
      <c r="X68" s="119"/>
      <c r="Y68" s="113"/>
      <c r="Z68" s="113"/>
    </row>
    <row r="69">
      <c r="A69" s="113"/>
      <c r="B69" s="113"/>
      <c r="C69" s="113"/>
      <c r="D69" s="113"/>
      <c r="E69" s="113"/>
      <c r="F69" s="113"/>
      <c r="G69" s="113"/>
      <c r="H69" s="113"/>
      <c r="I69" s="113"/>
      <c r="J69" s="113"/>
      <c r="K69" s="113"/>
      <c r="L69" s="113"/>
      <c r="M69" s="113"/>
      <c r="N69" s="113"/>
      <c r="O69" s="113"/>
      <c r="P69" s="113"/>
      <c r="Q69" s="132"/>
      <c r="R69" s="165"/>
      <c r="S69" s="165"/>
      <c r="T69" s="165"/>
      <c r="U69" s="150"/>
      <c r="V69" s="151"/>
      <c r="W69" s="166"/>
      <c r="X69" s="119"/>
      <c r="Y69" s="113"/>
      <c r="Z69" s="113"/>
    </row>
    <row r="70">
      <c r="A70" s="113"/>
      <c r="B70" s="113"/>
      <c r="C70" s="113"/>
      <c r="D70" s="113"/>
      <c r="E70" s="113"/>
      <c r="F70" s="113"/>
      <c r="G70" s="113"/>
      <c r="H70" s="113"/>
      <c r="I70" s="113"/>
      <c r="J70" s="113"/>
      <c r="K70" s="113"/>
      <c r="L70" s="113"/>
      <c r="M70" s="113"/>
      <c r="N70" s="113"/>
      <c r="O70" s="113"/>
      <c r="P70" s="113"/>
      <c r="Q70" s="132"/>
      <c r="R70" s="165"/>
      <c r="S70" s="165"/>
      <c r="T70" s="165"/>
      <c r="U70" s="150"/>
      <c r="V70" s="151"/>
      <c r="W70" s="166"/>
      <c r="X70" s="119"/>
      <c r="Y70" s="113"/>
      <c r="Z70" s="113"/>
    </row>
    <row r="71">
      <c r="A71" s="113"/>
      <c r="B71" s="113"/>
      <c r="C71" s="113"/>
      <c r="D71" s="113"/>
      <c r="E71" s="113"/>
      <c r="F71" s="113"/>
      <c r="G71" s="113"/>
      <c r="H71" s="113"/>
      <c r="I71" s="113"/>
      <c r="J71" s="113"/>
      <c r="K71" s="113"/>
      <c r="L71" s="113"/>
      <c r="M71" s="113"/>
      <c r="N71" s="113"/>
      <c r="O71" s="113"/>
      <c r="P71" s="113"/>
      <c r="Q71" s="132"/>
      <c r="R71" s="165"/>
      <c r="S71" s="165"/>
      <c r="T71" s="165"/>
      <c r="U71" s="150"/>
      <c r="V71" s="151"/>
      <c r="W71" s="166"/>
      <c r="X71" s="119"/>
      <c r="Y71" s="113"/>
      <c r="Z71" s="113"/>
    </row>
    <row r="72">
      <c r="A72" s="113"/>
      <c r="B72" s="113"/>
      <c r="C72" s="113"/>
      <c r="D72" s="113"/>
      <c r="E72" s="113"/>
      <c r="F72" s="113"/>
      <c r="G72" s="113"/>
      <c r="H72" s="113"/>
      <c r="I72" s="113"/>
      <c r="J72" s="113"/>
      <c r="K72" s="113"/>
      <c r="L72" s="113"/>
      <c r="M72" s="113"/>
      <c r="N72" s="113"/>
      <c r="O72" s="113"/>
      <c r="P72" s="113"/>
      <c r="Q72" s="132"/>
      <c r="R72" s="165"/>
      <c r="S72" s="165"/>
      <c r="T72" s="165"/>
      <c r="U72" s="150"/>
      <c r="V72" s="151"/>
      <c r="W72" s="166"/>
      <c r="X72" s="119"/>
      <c r="Y72" s="113"/>
      <c r="Z72" s="113"/>
    </row>
    <row r="73">
      <c r="A73" s="113"/>
      <c r="B73" s="113"/>
      <c r="C73" s="113"/>
      <c r="D73" s="113"/>
      <c r="E73" s="113"/>
      <c r="F73" s="113"/>
      <c r="G73" s="113"/>
      <c r="H73" s="113"/>
      <c r="I73" s="113"/>
      <c r="J73" s="113"/>
      <c r="K73" s="113"/>
      <c r="L73" s="113"/>
      <c r="M73" s="113"/>
      <c r="N73" s="113"/>
      <c r="O73" s="113"/>
      <c r="P73" s="113"/>
      <c r="Q73" s="132"/>
      <c r="R73" s="165"/>
      <c r="S73" s="165"/>
      <c r="T73" s="165"/>
      <c r="U73" s="150"/>
      <c r="V73" s="151"/>
      <c r="W73" s="166"/>
      <c r="X73" s="119"/>
      <c r="Y73" s="113"/>
      <c r="Z73" s="113"/>
    </row>
    <row r="74">
      <c r="A74" s="113"/>
      <c r="B74" s="113"/>
      <c r="C74" s="113"/>
      <c r="D74" s="113"/>
      <c r="E74" s="113"/>
      <c r="F74" s="113"/>
      <c r="G74" s="113"/>
      <c r="H74" s="113"/>
      <c r="I74" s="113"/>
      <c r="J74" s="113"/>
      <c r="K74" s="113"/>
      <c r="L74" s="113"/>
      <c r="M74" s="113"/>
      <c r="N74" s="113"/>
      <c r="O74" s="113"/>
      <c r="P74" s="113"/>
      <c r="Q74" s="132"/>
      <c r="R74" s="165"/>
      <c r="S74" s="165"/>
      <c r="T74" s="165"/>
      <c r="U74" s="150"/>
      <c r="V74" s="151"/>
      <c r="W74" s="166"/>
      <c r="X74" s="119"/>
      <c r="Y74" s="113"/>
      <c r="Z74" s="113"/>
    </row>
    <row r="75">
      <c r="A75" s="113"/>
      <c r="B75" s="113"/>
      <c r="C75" s="113"/>
      <c r="D75" s="113"/>
      <c r="E75" s="113"/>
      <c r="F75" s="113"/>
      <c r="G75" s="113"/>
      <c r="H75" s="113"/>
      <c r="I75" s="113"/>
      <c r="J75" s="113"/>
      <c r="K75" s="113"/>
      <c r="L75" s="113"/>
      <c r="M75" s="113"/>
      <c r="N75" s="113"/>
      <c r="O75" s="113"/>
      <c r="P75" s="113"/>
      <c r="Q75" s="132"/>
      <c r="R75" s="165"/>
      <c r="S75" s="165"/>
      <c r="T75" s="165"/>
      <c r="U75" s="150"/>
      <c r="V75" s="151"/>
      <c r="W75" s="166"/>
      <c r="X75" s="119"/>
      <c r="Y75" s="113"/>
      <c r="Z75" s="113"/>
    </row>
    <row r="76">
      <c r="A76" s="113"/>
      <c r="B76" s="113"/>
      <c r="C76" s="113"/>
      <c r="D76" s="113"/>
      <c r="E76" s="113"/>
      <c r="F76" s="113"/>
      <c r="G76" s="113"/>
      <c r="H76" s="113"/>
      <c r="I76" s="113"/>
      <c r="J76" s="113"/>
      <c r="K76" s="113"/>
      <c r="L76" s="113"/>
      <c r="M76" s="113"/>
      <c r="N76" s="113"/>
      <c r="O76" s="113"/>
      <c r="P76" s="113"/>
      <c r="Q76" s="132"/>
      <c r="R76" s="165"/>
      <c r="S76" s="165"/>
      <c r="T76" s="165"/>
      <c r="U76" s="150"/>
      <c r="V76" s="151"/>
      <c r="W76" s="166"/>
      <c r="X76" s="119"/>
      <c r="Y76" s="113"/>
      <c r="Z76" s="113"/>
    </row>
    <row r="77">
      <c r="A77" s="113"/>
      <c r="B77" s="113"/>
      <c r="C77" s="113"/>
      <c r="D77" s="113"/>
      <c r="E77" s="113"/>
      <c r="F77" s="113"/>
      <c r="G77" s="113"/>
      <c r="H77" s="113"/>
      <c r="I77" s="113"/>
      <c r="J77" s="113"/>
      <c r="K77" s="113"/>
      <c r="L77" s="113"/>
      <c r="M77" s="113"/>
      <c r="N77" s="113"/>
      <c r="O77" s="113"/>
      <c r="P77" s="113"/>
      <c r="Q77" s="132"/>
      <c r="R77" s="165"/>
      <c r="S77" s="165"/>
      <c r="T77" s="165"/>
      <c r="U77" s="150"/>
      <c r="V77" s="151"/>
      <c r="W77" s="166"/>
      <c r="X77" s="119"/>
      <c r="Y77" s="113"/>
      <c r="Z77" s="113"/>
    </row>
    <row r="78">
      <c r="A78" s="113"/>
      <c r="B78" s="113"/>
      <c r="C78" s="113"/>
      <c r="D78" s="113"/>
      <c r="E78" s="113"/>
      <c r="F78" s="113"/>
      <c r="G78" s="113"/>
      <c r="H78" s="113"/>
      <c r="I78" s="113"/>
      <c r="J78" s="113"/>
      <c r="K78" s="113"/>
      <c r="L78" s="113"/>
      <c r="M78" s="113"/>
      <c r="N78" s="113"/>
      <c r="O78" s="113"/>
      <c r="P78" s="113"/>
      <c r="Q78" s="132"/>
      <c r="R78" s="165"/>
      <c r="S78" s="165"/>
      <c r="T78" s="165"/>
      <c r="U78" s="150"/>
      <c r="V78" s="151"/>
      <c r="W78" s="166"/>
      <c r="X78" s="119"/>
      <c r="Y78" s="113"/>
      <c r="Z78" s="113"/>
    </row>
    <row r="79">
      <c r="A79" s="113"/>
      <c r="B79" s="113"/>
      <c r="C79" s="113"/>
      <c r="D79" s="113"/>
      <c r="E79" s="113"/>
      <c r="F79" s="113"/>
      <c r="G79" s="113"/>
      <c r="H79" s="113"/>
      <c r="I79" s="113"/>
      <c r="J79" s="113"/>
      <c r="K79" s="113"/>
      <c r="L79" s="113"/>
      <c r="M79" s="113"/>
      <c r="N79" s="113"/>
      <c r="O79" s="113"/>
      <c r="P79" s="113"/>
      <c r="Q79" s="132"/>
      <c r="R79" s="165"/>
      <c r="S79" s="165"/>
      <c r="T79" s="165"/>
      <c r="U79" s="150"/>
      <c r="V79" s="151"/>
      <c r="W79" s="166"/>
      <c r="X79" s="119"/>
      <c r="Y79" s="113"/>
      <c r="Z79" s="113"/>
    </row>
    <row r="80">
      <c r="A80" s="113"/>
      <c r="B80" s="113"/>
      <c r="C80" s="113"/>
      <c r="D80" s="113"/>
      <c r="E80" s="113"/>
      <c r="F80" s="113"/>
      <c r="G80" s="113"/>
      <c r="H80" s="113"/>
      <c r="I80" s="113"/>
      <c r="J80" s="113"/>
      <c r="K80" s="113"/>
      <c r="L80" s="113"/>
      <c r="M80" s="113"/>
      <c r="N80" s="113"/>
      <c r="O80" s="113"/>
      <c r="P80" s="113"/>
      <c r="Q80" s="132"/>
      <c r="R80" s="165"/>
      <c r="S80" s="165"/>
      <c r="T80" s="165"/>
      <c r="U80" s="150"/>
      <c r="V80" s="151"/>
      <c r="W80" s="166"/>
      <c r="X80" s="119"/>
      <c r="Y80" s="113"/>
      <c r="Z80" s="113"/>
    </row>
    <row r="81">
      <c r="A81" s="113"/>
      <c r="B81" s="113"/>
      <c r="C81" s="113"/>
      <c r="D81" s="113"/>
      <c r="E81" s="113"/>
      <c r="F81" s="113"/>
      <c r="G81" s="113"/>
      <c r="H81" s="113"/>
      <c r="I81" s="113"/>
      <c r="J81" s="113"/>
      <c r="K81" s="113"/>
      <c r="L81" s="113"/>
      <c r="M81" s="113"/>
      <c r="N81" s="113"/>
      <c r="O81" s="113"/>
      <c r="P81" s="113"/>
      <c r="Q81" s="132"/>
      <c r="R81" s="165"/>
      <c r="S81" s="165"/>
      <c r="T81" s="165"/>
      <c r="U81" s="150"/>
      <c r="V81" s="151"/>
      <c r="W81" s="166"/>
      <c r="X81" s="119"/>
      <c r="Y81" s="113"/>
      <c r="Z81" s="113"/>
    </row>
    <row r="82">
      <c r="A82" s="113"/>
      <c r="B82" s="113"/>
      <c r="C82" s="113"/>
      <c r="D82" s="113"/>
      <c r="E82" s="113"/>
      <c r="F82" s="113"/>
      <c r="G82" s="113"/>
      <c r="H82" s="113"/>
      <c r="I82" s="113"/>
      <c r="J82" s="113"/>
      <c r="K82" s="113"/>
      <c r="L82" s="113"/>
      <c r="M82" s="113"/>
      <c r="N82" s="113"/>
      <c r="O82" s="113"/>
      <c r="P82" s="113"/>
      <c r="Q82" s="132"/>
      <c r="R82" s="165"/>
      <c r="S82" s="165"/>
      <c r="T82" s="165"/>
      <c r="U82" s="150"/>
      <c r="V82" s="151"/>
      <c r="W82" s="166"/>
      <c r="X82" s="119"/>
      <c r="Y82" s="113"/>
      <c r="Z82" s="113"/>
    </row>
    <row r="83">
      <c r="A83" s="113"/>
      <c r="B83" s="113"/>
      <c r="C83" s="113"/>
      <c r="D83" s="113"/>
      <c r="E83" s="113"/>
      <c r="F83" s="113"/>
      <c r="G83" s="113"/>
      <c r="H83" s="113"/>
      <c r="I83" s="113"/>
      <c r="J83" s="113"/>
      <c r="K83" s="113"/>
      <c r="L83" s="113"/>
      <c r="M83" s="113"/>
      <c r="N83" s="113"/>
      <c r="O83" s="113"/>
      <c r="P83" s="113"/>
      <c r="Q83" s="132"/>
      <c r="R83" s="165"/>
      <c r="S83" s="165"/>
      <c r="T83" s="165"/>
      <c r="U83" s="150"/>
      <c r="V83" s="151"/>
      <c r="W83" s="166"/>
      <c r="X83" s="119"/>
      <c r="Y83" s="113"/>
      <c r="Z83" s="113"/>
    </row>
    <row r="84">
      <c r="A84" s="113"/>
      <c r="B84" s="113"/>
      <c r="C84" s="113"/>
      <c r="D84" s="113"/>
      <c r="E84" s="113"/>
      <c r="F84" s="113"/>
      <c r="G84" s="113"/>
      <c r="H84" s="113"/>
      <c r="I84" s="113"/>
      <c r="J84" s="113"/>
      <c r="K84" s="113"/>
      <c r="L84" s="113"/>
      <c r="M84" s="113"/>
      <c r="N84" s="113"/>
      <c r="O84" s="113"/>
      <c r="P84" s="113"/>
      <c r="Q84" s="132"/>
      <c r="R84" s="165"/>
      <c r="S84" s="165"/>
      <c r="T84" s="165"/>
      <c r="U84" s="150"/>
      <c r="V84" s="151"/>
      <c r="W84" s="166"/>
      <c r="X84" s="119"/>
      <c r="Y84" s="113"/>
      <c r="Z84" s="113"/>
    </row>
    <row r="85">
      <c r="A85" s="113"/>
      <c r="B85" s="113"/>
      <c r="C85" s="113"/>
      <c r="D85" s="113"/>
      <c r="E85" s="113"/>
      <c r="F85" s="113"/>
      <c r="G85" s="113"/>
      <c r="H85" s="113"/>
      <c r="I85" s="113"/>
      <c r="J85" s="113"/>
      <c r="K85" s="113"/>
      <c r="L85" s="113"/>
      <c r="M85" s="113"/>
      <c r="N85" s="113"/>
      <c r="O85" s="113"/>
      <c r="P85" s="113"/>
      <c r="Q85" s="132"/>
      <c r="R85" s="165"/>
      <c r="S85" s="165"/>
      <c r="T85" s="165"/>
      <c r="U85" s="150"/>
      <c r="V85" s="151"/>
      <c r="W85" s="166"/>
      <c r="X85" s="119"/>
      <c r="Y85" s="113"/>
      <c r="Z85" s="113"/>
    </row>
    <row r="86">
      <c r="A86" s="113"/>
      <c r="B86" s="113"/>
      <c r="C86" s="113"/>
      <c r="D86" s="113"/>
      <c r="E86" s="113"/>
      <c r="F86" s="113"/>
      <c r="G86" s="113"/>
      <c r="H86" s="113"/>
      <c r="I86" s="113"/>
      <c r="J86" s="113"/>
      <c r="K86" s="113"/>
      <c r="L86" s="113"/>
      <c r="M86" s="113"/>
      <c r="N86" s="113"/>
      <c r="O86" s="113"/>
      <c r="P86" s="113"/>
      <c r="Q86" s="132"/>
      <c r="R86" s="165"/>
      <c r="S86" s="165"/>
      <c r="T86" s="165"/>
      <c r="U86" s="150"/>
      <c r="V86" s="151"/>
      <c r="W86" s="166"/>
      <c r="X86" s="119"/>
      <c r="Y86" s="113"/>
      <c r="Z86" s="113"/>
    </row>
    <row r="87">
      <c r="A87" s="113"/>
      <c r="B87" s="113"/>
      <c r="C87" s="113"/>
      <c r="D87" s="113"/>
      <c r="E87" s="113"/>
      <c r="F87" s="113"/>
      <c r="G87" s="113"/>
      <c r="H87" s="113"/>
      <c r="I87" s="113"/>
      <c r="J87" s="113"/>
      <c r="K87" s="113"/>
      <c r="L87" s="113"/>
      <c r="M87" s="113"/>
      <c r="N87" s="113"/>
      <c r="O87" s="113"/>
      <c r="P87" s="113"/>
      <c r="Q87" s="132"/>
      <c r="R87" s="165"/>
      <c r="S87" s="165"/>
      <c r="T87" s="165"/>
      <c r="U87" s="150"/>
      <c r="V87" s="151"/>
      <c r="W87" s="166"/>
      <c r="X87" s="119"/>
      <c r="Y87" s="113"/>
      <c r="Z87" s="113"/>
    </row>
    <row r="88">
      <c r="A88" s="113"/>
      <c r="B88" s="113"/>
      <c r="C88" s="113"/>
      <c r="D88" s="113"/>
      <c r="E88" s="113"/>
      <c r="F88" s="113"/>
      <c r="G88" s="113"/>
      <c r="H88" s="113"/>
      <c r="I88" s="113"/>
      <c r="J88" s="113"/>
      <c r="K88" s="113"/>
      <c r="L88" s="113"/>
      <c r="M88" s="113"/>
      <c r="N88" s="113"/>
      <c r="O88" s="113"/>
      <c r="P88" s="113"/>
      <c r="Q88" s="132"/>
      <c r="R88" s="165"/>
      <c r="S88" s="165"/>
      <c r="T88" s="165"/>
      <c r="U88" s="150"/>
      <c r="V88" s="151"/>
      <c r="W88" s="166"/>
      <c r="X88" s="119"/>
      <c r="Y88" s="113"/>
      <c r="Z88" s="113"/>
    </row>
    <row r="89">
      <c r="A89" s="113"/>
      <c r="B89" s="113"/>
      <c r="C89" s="113"/>
      <c r="D89" s="113"/>
      <c r="E89" s="113"/>
      <c r="F89" s="113"/>
      <c r="G89" s="113"/>
      <c r="H89" s="113"/>
      <c r="I89" s="113"/>
      <c r="J89" s="113"/>
      <c r="K89" s="113"/>
      <c r="L89" s="113"/>
      <c r="M89" s="113"/>
      <c r="N89" s="113"/>
      <c r="O89" s="113"/>
      <c r="P89" s="113"/>
      <c r="Q89" s="132"/>
      <c r="R89" s="165"/>
      <c r="S89" s="165"/>
      <c r="T89" s="165"/>
      <c r="U89" s="150"/>
      <c r="V89" s="151"/>
      <c r="W89" s="166"/>
      <c r="X89" s="119"/>
      <c r="Y89" s="113"/>
      <c r="Z89" s="113"/>
    </row>
    <row r="90">
      <c r="A90" s="113"/>
      <c r="B90" s="113"/>
      <c r="C90" s="113"/>
      <c r="D90" s="113"/>
      <c r="E90" s="113"/>
      <c r="F90" s="113"/>
      <c r="G90" s="113"/>
      <c r="H90" s="113"/>
      <c r="I90" s="113"/>
      <c r="J90" s="113"/>
      <c r="K90" s="113"/>
      <c r="L90" s="113"/>
      <c r="M90" s="113"/>
      <c r="N90" s="113"/>
      <c r="O90" s="113"/>
      <c r="P90" s="113"/>
      <c r="Q90" s="132"/>
      <c r="R90" s="165"/>
      <c r="S90" s="165"/>
      <c r="T90" s="165"/>
      <c r="U90" s="150"/>
      <c r="V90" s="151"/>
      <c r="W90" s="166"/>
      <c r="X90" s="119"/>
      <c r="Y90" s="113"/>
      <c r="Z90" s="113"/>
    </row>
    <row r="91">
      <c r="A91" s="113"/>
      <c r="B91" s="113"/>
      <c r="C91" s="113"/>
      <c r="D91" s="113"/>
      <c r="E91" s="113"/>
      <c r="F91" s="113"/>
      <c r="G91" s="113"/>
      <c r="H91" s="113"/>
      <c r="I91" s="113"/>
      <c r="J91" s="113"/>
      <c r="K91" s="113"/>
      <c r="L91" s="113"/>
      <c r="M91" s="113"/>
      <c r="N91" s="113"/>
      <c r="O91" s="113"/>
      <c r="P91" s="113"/>
      <c r="Q91" s="132"/>
      <c r="R91" s="165"/>
      <c r="S91" s="165"/>
      <c r="T91" s="165"/>
      <c r="U91" s="150"/>
      <c r="V91" s="151"/>
      <c r="W91" s="166"/>
      <c r="X91" s="119"/>
      <c r="Y91" s="113"/>
      <c r="Z91" s="113"/>
    </row>
    <row r="92">
      <c r="A92" s="113"/>
      <c r="B92" s="113"/>
      <c r="C92" s="113"/>
      <c r="D92" s="113"/>
      <c r="E92" s="113"/>
      <c r="F92" s="113"/>
      <c r="G92" s="113"/>
      <c r="H92" s="113"/>
      <c r="I92" s="113"/>
      <c r="J92" s="113"/>
      <c r="K92" s="113"/>
      <c r="L92" s="113"/>
      <c r="M92" s="113"/>
      <c r="N92" s="113"/>
      <c r="O92" s="113"/>
      <c r="P92" s="113"/>
      <c r="Q92" s="132"/>
      <c r="R92" s="165"/>
      <c r="S92" s="165"/>
      <c r="T92" s="165"/>
      <c r="U92" s="150"/>
      <c r="V92" s="151"/>
      <c r="W92" s="166"/>
      <c r="X92" s="119"/>
      <c r="Y92" s="113"/>
      <c r="Z92" s="113"/>
    </row>
    <row r="93">
      <c r="A93" s="113"/>
      <c r="B93" s="113"/>
      <c r="C93" s="113"/>
      <c r="D93" s="113"/>
      <c r="E93" s="113"/>
      <c r="F93" s="113"/>
      <c r="G93" s="113"/>
      <c r="H93" s="113"/>
      <c r="I93" s="113"/>
      <c r="J93" s="113"/>
      <c r="K93" s="113"/>
      <c r="L93" s="113"/>
      <c r="M93" s="113"/>
      <c r="N93" s="113"/>
      <c r="O93" s="113"/>
      <c r="P93" s="113"/>
      <c r="Q93" s="132"/>
      <c r="R93" s="165"/>
      <c r="S93" s="165"/>
      <c r="T93" s="165"/>
      <c r="U93" s="150"/>
      <c r="V93" s="151"/>
      <c r="W93" s="166"/>
      <c r="X93" s="119"/>
      <c r="Y93" s="113"/>
      <c r="Z93" s="113"/>
    </row>
    <row r="94">
      <c r="A94" s="113"/>
      <c r="B94" s="113"/>
      <c r="C94" s="113"/>
      <c r="D94" s="113"/>
      <c r="E94" s="113"/>
      <c r="F94" s="113"/>
      <c r="G94" s="113"/>
      <c r="H94" s="113"/>
      <c r="I94" s="113"/>
      <c r="J94" s="113"/>
      <c r="K94" s="113"/>
      <c r="L94" s="113"/>
      <c r="M94" s="113"/>
      <c r="N94" s="113"/>
      <c r="O94" s="113"/>
      <c r="P94" s="113"/>
      <c r="Q94" s="132"/>
      <c r="R94" s="165"/>
      <c r="S94" s="165"/>
      <c r="T94" s="165"/>
      <c r="U94" s="150"/>
      <c r="V94" s="151"/>
      <c r="W94" s="166"/>
      <c r="X94" s="119"/>
      <c r="Y94" s="113"/>
      <c r="Z94" s="113"/>
    </row>
    <row r="95">
      <c r="A95" s="113"/>
      <c r="B95" s="113"/>
      <c r="C95" s="113"/>
      <c r="D95" s="113"/>
      <c r="E95" s="113"/>
      <c r="F95" s="113"/>
      <c r="G95" s="113"/>
      <c r="H95" s="113"/>
      <c r="I95" s="113"/>
      <c r="J95" s="113"/>
      <c r="K95" s="113"/>
      <c r="L95" s="113"/>
      <c r="M95" s="113"/>
      <c r="N95" s="113"/>
      <c r="O95" s="113"/>
      <c r="P95" s="113"/>
      <c r="Q95" s="132"/>
      <c r="R95" s="165"/>
      <c r="S95" s="165"/>
      <c r="T95" s="165"/>
      <c r="U95" s="150"/>
      <c r="V95" s="151"/>
      <c r="W95" s="166"/>
      <c r="X95" s="119"/>
      <c r="Y95" s="113"/>
      <c r="Z95" s="113"/>
    </row>
    <row r="96">
      <c r="A96" s="113"/>
      <c r="B96" s="113"/>
      <c r="C96" s="113"/>
      <c r="D96" s="113"/>
      <c r="E96" s="113"/>
      <c r="F96" s="113"/>
      <c r="G96" s="113"/>
      <c r="H96" s="113"/>
      <c r="I96" s="113"/>
      <c r="J96" s="113"/>
      <c r="K96" s="113"/>
      <c r="L96" s="113"/>
      <c r="M96" s="113"/>
      <c r="N96" s="113"/>
      <c r="O96" s="113"/>
      <c r="P96" s="113"/>
      <c r="Q96" s="132"/>
      <c r="R96" s="165"/>
      <c r="S96" s="165"/>
      <c r="T96" s="165"/>
      <c r="U96" s="150"/>
      <c r="V96" s="151"/>
      <c r="W96" s="166"/>
      <c r="X96" s="119"/>
      <c r="Y96" s="113"/>
      <c r="Z96" s="113"/>
    </row>
    <row r="97">
      <c r="A97" s="113"/>
      <c r="B97" s="113"/>
      <c r="C97" s="113"/>
      <c r="D97" s="113"/>
      <c r="E97" s="113"/>
      <c r="F97" s="113"/>
      <c r="G97" s="113"/>
      <c r="H97" s="113"/>
      <c r="I97" s="113"/>
      <c r="J97" s="113"/>
      <c r="K97" s="113"/>
      <c r="L97" s="113"/>
      <c r="M97" s="113"/>
      <c r="N97" s="113"/>
      <c r="O97" s="113"/>
      <c r="P97" s="113"/>
      <c r="Q97" s="132"/>
      <c r="R97" s="165"/>
      <c r="S97" s="165"/>
      <c r="T97" s="165"/>
      <c r="U97" s="150"/>
      <c r="V97" s="151"/>
      <c r="W97" s="166"/>
      <c r="X97" s="119"/>
      <c r="Y97" s="113"/>
      <c r="Z97" s="113"/>
    </row>
    <row r="98">
      <c r="A98" s="113"/>
      <c r="B98" s="113"/>
      <c r="C98" s="113"/>
      <c r="D98" s="113"/>
      <c r="E98" s="113"/>
      <c r="F98" s="113"/>
      <c r="G98" s="113"/>
      <c r="H98" s="113"/>
      <c r="I98" s="113"/>
      <c r="J98" s="113"/>
      <c r="K98" s="113"/>
      <c r="L98" s="113"/>
      <c r="M98" s="113"/>
      <c r="N98" s="113"/>
      <c r="O98" s="113"/>
      <c r="P98" s="113"/>
      <c r="Q98" s="132"/>
      <c r="R98" s="165"/>
      <c r="S98" s="165"/>
      <c r="T98" s="165"/>
      <c r="U98" s="150"/>
      <c r="V98" s="151"/>
      <c r="W98" s="166"/>
      <c r="X98" s="119"/>
      <c r="Y98" s="113"/>
      <c r="Z98" s="113"/>
    </row>
    <row r="99">
      <c r="A99" s="113"/>
      <c r="B99" s="113"/>
      <c r="C99" s="113"/>
      <c r="D99" s="113"/>
      <c r="E99" s="113"/>
      <c r="F99" s="113"/>
      <c r="G99" s="113"/>
      <c r="H99" s="113"/>
      <c r="I99" s="113"/>
      <c r="J99" s="113"/>
      <c r="K99" s="113"/>
      <c r="L99" s="113"/>
      <c r="M99" s="113"/>
      <c r="N99" s="113"/>
      <c r="O99" s="113"/>
      <c r="P99" s="113"/>
      <c r="Q99" s="132"/>
      <c r="R99" s="165"/>
      <c r="S99" s="165"/>
      <c r="T99" s="165"/>
      <c r="U99" s="150"/>
      <c r="V99" s="151"/>
      <c r="W99" s="166"/>
      <c r="X99" s="119"/>
      <c r="Y99" s="113"/>
      <c r="Z99" s="113"/>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3.75"/>
    <col customWidth="1" min="2" max="2" width="5.63"/>
    <col customWidth="1" min="3" max="3" width="5.5"/>
    <col customWidth="1" min="4" max="4" width="11.63"/>
    <col customWidth="1" min="5" max="5" width="3.13"/>
    <col customWidth="1" min="6" max="6" width="43.5"/>
    <col customWidth="1" min="7" max="7" width="17.88"/>
    <col customWidth="1" min="8" max="8" width="12.5"/>
    <col customWidth="1" min="9" max="10" width="7.38"/>
    <col customWidth="1" min="11" max="11" width="6.5"/>
    <col customWidth="1" min="12" max="12" width="8.5"/>
    <col customWidth="1" min="13" max="13" width="5.38"/>
    <col customWidth="1" min="14" max="14" width="4.75"/>
    <col customWidth="1" min="15" max="16" width="7.38"/>
    <col customWidth="1" min="17" max="17" width="18.25"/>
    <col customWidth="1" min="18" max="18" width="5.75"/>
    <col customWidth="1" min="19" max="19" width="5.63"/>
    <col customWidth="1" min="20" max="21" width="6.63"/>
    <col customWidth="1" min="22" max="22" width="6.0"/>
    <col customWidth="1" min="23" max="23" width="6.63"/>
    <col customWidth="1" min="24" max="24" width="7.38"/>
    <col customWidth="1" min="25" max="25" width="21.63"/>
    <col customWidth="1" min="26" max="28" width="31.88"/>
  </cols>
  <sheetData>
    <row r="1" ht="45.0" customHeight="1">
      <c r="A1" s="1" t="s">
        <v>0</v>
      </c>
      <c r="B1" s="8" t="str">
        <f>HYPERLINK("#rangeid=2086300674","Content Owner")</f>
        <v>Content Owner</v>
      </c>
      <c r="C1" s="10" t="str">
        <f>HYPERLINK("#rangeid=632369931","Video Owner")</f>
        <v>Video Owner</v>
      </c>
      <c r="D1" s="11" t="s">
        <v>4</v>
      </c>
      <c r="E1" s="12" t="s">
        <v>5</v>
      </c>
      <c r="F1" s="13" t="s">
        <v>6</v>
      </c>
      <c r="G1" s="1" t="s">
        <v>7</v>
      </c>
      <c r="H1" s="15" t="s">
        <v>8</v>
      </c>
      <c r="I1" s="17" t="s">
        <v>11</v>
      </c>
      <c r="J1" s="1" t="s">
        <v>15</v>
      </c>
      <c r="K1" s="19" t="s">
        <v>16</v>
      </c>
      <c r="L1" s="1" t="s">
        <v>22</v>
      </c>
      <c r="M1" s="25" t="s">
        <v>23</v>
      </c>
      <c r="N1" s="25" t="s">
        <v>25</v>
      </c>
      <c r="O1" s="1" t="s">
        <v>26</v>
      </c>
      <c r="P1" s="1" t="s">
        <v>27</v>
      </c>
      <c r="Q1" s="1" t="s">
        <v>28</v>
      </c>
      <c r="R1" s="23" t="s">
        <v>29</v>
      </c>
      <c r="S1" s="23" t="s">
        <v>31</v>
      </c>
      <c r="T1" s="23" t="s">
        <v>32</v>
      </c>
      <c r="U1" s="26" t="s">
        <v>33</v>
      </c>
      <c r="V1" s="29" t="s">
        <v>35</v>
      </c>
      <c r="W1" s="31" t="str">
        <f>HYPERLINK("#rangeid=120001109","Replay")</f>
        <v>Replay</v>
      </c>
      <c r="X1" s="33" t="s">
        <v>38</v>
      </c>
      <c r="Y1" s="34" t="s">
        <v>39</v>
      </c>
      <c r="Z1" s="36" t="s">
        <v>40</v>
      </c>
      <c r="AA1" s="37"/>
      <c r="AB1" s="37"/>
    </row>
  </sheetData>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2.0"/>
    <col customWidth="1" min="2" max="2" width="11.0"/>
    <col customWidth="1" min="3" max="3" width="15.88"/>
    <col customWidth="1" min="4" max="4" width="4.13"/>
    <col customWidth="1" min="5" max="5" width="21.5"/>
    <col customWidth="1" min="6" max="6" width="4.88"/>
    <col customWidth="1" min="7" max="7" width="21.13"/>
    <col customWidth="1" min="8" max="8" width="32.63"/>
    <col customWidth="1" min="9" max="26" width="11.0"/>
  </cols>
  <sheetData>
    <row r="1" ht="15.0" customHeight="1">
      <c r="A1" s="215" t="s">
        <v>4</v>
      </c>
      <c r="B1" s="215" t="s">
        <v>1602</v>
      </c>
      <c r="C1" s="215" t="s">
        <v>32</v>
      </c>
      <c r="D1" s="216" t="s">
        <v>1603</v>
      </c>
      <c r="F1" s="217" t="s">
        <v>1604</v>
      </c>
    </row>
    <row r="2">
      <c r="A2" s="218" t="s">
        <v>145</v>
      </c>
      <c r="B2" s="219" t="s">
        <v>61</v>
      </c>
      <c r="C2" s="219" t="s">
        <v>61</v>
      </c>
      <c r="D2" s="220" t="s">
        <v>49</v>
      </c>
      <c r="E2" s="220" t="s">
        <v>1607</v>
      </c>
      <c r="F2" s="222" t="s">
        <v>1608</v>
      </c>
      <c r="G2" s="222" t="s">
        <v>1611</v>
      </c>
      <c r="I2" s="223"/>
    </row>
    <row r="3">
      <c r="A3" s="218" t="s">
        <v>1612</v>
      </c>
      <c r="B3" s="219" t="s">
        <v>91</v>
      </c>
      <c r="C3" s="219" t="s">
        <v>124</v>
      </c>
      <c r="D3" s="220" t="s">
        <v>107</v>
      </c>
      <c r="E3" s="220" t="s">
        <v>1615</v>
      </c>
      <c r="F3" s="224" t="s">
        <v>516</v>
      </c>
      <c r="G3" s="224" t="s">
        <v>1616</v>
      </c>
      <c r="I3" s="223"/>
    </row>
    <row r="4">
      <c r="A4" s="218" t="s">
        <v>55</v>
      </c>
      <c r="B4" s="219" t="s">
        <v>124</v>
      </c>
      <c r="C4" s="219" t="s">
        <v>75</v>
      </c>
      <c r="D4" s="224" t="s">
        <v>274</v>
      </c>
      <c r="E4" s="220" t="s">
        <v>1617</v>
      </c>
      <c r="F4" s="224" t="s">
        <v>1618</v>
      </c>
      <c r="G4" s="222" t="s">
        <v>1619</v>
      </c>
      <c r="I4" s="223"/>
    </row>
    <row r="5">
      <c r="A5" s="218" t="s">
        <v>1620</v>
      </c>
      <c r="B5" s="219"/>
      <c r="C5" s="219"/>
      <c r="D5" s="224" t="s">
        <v>516</v>
      </c>
      <c r="E5" s="224" t="s">
        <v>1616</v>
      </c>
      <c r="F5" s="224" t="s">
        <v>1621</v>
      </c>
      <c r="G5" s="225" t="s">
        <v>1622</v>
      </c>
      <c r="I5" s="223"/>
    </row>
    <row r="6">
      <c r="A6" s="218" t="s">
        <v>1623</v>
      </c>
      <c r="B6" s="219"/>
      <c r="C6" s="219"/>
      <c r="D6" s="224" t="s">
        <v>1618</v>
      </c>
      <c r="E6" s="222" t="s">
        <v>1619</v>
      </c>
      <c r="F6" s="224" t="s">
        <v>619</v>
      </c>
      <c r="G6" s="225" t="s">
        <v>1624</v>
      </c>
      <c r="I6" s="226"/>
    </row>
    <row r="7">
      <c r="A7" s="218" t="s">
        <v>71</v>
      </c>
      <c r="B7" s="219"/>
      <c r="C7" s="219"/>
      <c r="D7" s="224" t="s">
        <v>1621</v>
      </c>
      <c r="E7" s="225" t="s">
        <v>1622</v>
      </c>
      <c r="F7" s="224" t="s">
        <v>1627</v>
      </c>
      <c r="G7" s="225" t="s">
        <v>1628</v>
      </c>
      <c r="I7" s="227"/>
    </row>
    <row r="8">
      <c r="A8" s="218" t="s">
        <v>1629</v>
      </c>
      <c r="B8" s="219"/>
      <c r="C8" s="219"/>
      <c r="D8" s="224" t="s">
        <v>619</v>
      </c>
      <c r="E8" s="225" t="s">
        <v>1624</v>
      </c>
      <c r="F8" s="224" t="s">
        <v>142</v>
      </c>
      <c r="G8" s="228" t="s">
        <v>1630</v>
      </c>
      <c r="I8" s="227"/>
    </row>
    <row r="9">
      <c r="A9" s="219"/>
      <c r="B9" s="219"/>
      <c r="C9" s="219"/>
      <c r="D9" s="224" t="s">
        <v>1627</v>
      </c>
      <c r="E9" s="225" t="s">
        <v>1628</v>
      </c>
      <c r="F9" s="229"/>
      <c r="G9" s="229"/>
    </row>
    <row r="10">
      <c r="A10" s="220"/>
      <c r="B10" s="229"/>
      <c r="C10" s="229"/>
      <c r="D10" s="224" t="s">
        <v>142</v>
      </c>
      <c r="E10" s="228" t="s">
        <v>1630</v>
      </c>
      <c r="F10" s="229"/>
      <c r="G10" s="229"/>
    </row>
    <row r="11">
      <c r="A11" s="220"/>
      <c r="B11" s="229"/>
      <c r="C11" s="229"/>
      <c r="D11" s="224" t="s">
        <v>410</v>
      </c>
      <c r="E11" s="228" t="s">
        <v>1632</v>
      </c>
      <c r="F11" s="229"/>
      <c r="G11" s="229"/>
    </row>
    <row r="12">
      <c r="A12" s="220"/>
      <c r="B12" s="229"/>
      <c r="C12" s="229"/>
      <c r="D12" s="224" t="s">
        <v>1634</v>
      </c>
      <c r="E12" s="228" t="s">
        <v>1635</v>
      </c>
      <c r="F12" s="229"/>
      <c r="G12" s="229"/>
    </row>
    <row r="13">
      <c r="A13" s="7"/>
      <c r="D13" s="7"/>
      <c r="E13" s="7"/>
    </row>
    <row r="14" ht="15.0" customHeight="1">
      <c r="A14" s="7" t="s">
        <v>1636</v>
      </c>
      <c r="D14" s="7"/>
      <c r="E14" s="7"/>
    </row>
    <row r="15" ht="15.0" customHeight="1">
      <c r="A15" s="106" t="s">
        <v>1637</v>
      </c>
      <c r="D15" s="7"/>
      <c r="E15" s="7"/>
    </row>
    <row r="16">
      <c r="A16" s="7"/>
      <c r="D16" s="7"/>
      <c r="E16" s="7"/>
    </row>
    <row r="17">
      <c r="A17" s="7"/>
      <c r="D17" s="7"/>
      <c r="E17" s="22"/>
    </row>
    <row r="18">
      <c r="A18" s="7"/>
      <c r="D18" s="7"/>
      <c r="E18" s="7"/>
    </row>
    <row r="19">
      <c r="A19" s="7"/>
      <c r="D19" s="7"/>
      <c r="E19" s="7"/>
    </row>
    <row r="20">
      <c r="A20" s="7"/>
      <c r="D20" s="7"/>
      <c r="E20" s="7"/>
    </row>
    <row r="21">
      <c r="A21" s="7"/>
      <c r="D21" s="7"/>
      <c r="E21" s="7"/>
    </row>
    <row r="22">
      <c r="A22" s="7"/>
      <c r="D22" s="7"/>
      <c r="E22" s="7"/>
    </row>
    <row r="23">
      <c r="A23" s="7"/>
      <c r="D23" s="7"/>
      <c r="E23" s="7"/>
    </row>
    <row r="24">
      <c r="A24" s="7"/>
      <c r="D24" s="7"/>
      <c r="E24" s="7"/>
    </row>
    <row r="25">
      <c r="A25" s="7"/>
      <c r="D25" s="7"/>
      <c r="E25" s="7"/>
    </row>
    <row r="26">
      <c r="A26" s="7"/>
      <c r="D26" s="7"/>
      <c r="E26" s="7"/>
    </row>
    <row r="27">
      <c r="A27" s="7"/>
      <c r="D27" s="7"/>
      <c r="E27" s="7"/>
    </row>
    <row r="28">
      <c r="A28" s="7"/>
      <c r="D28" s="7"/>
      <c r="E28" s="7"/>
    </row>
    <row r="29">
      <c r="A29" s="7"/>
      <c r="D29" s="7"/>
      <c r="E29" s="7"/>
    </row>
    <row r="30">
      <c r="A30" s="7"/>
      <c r="D30" s="7"/>
      <c r="E30" s="7"/>
    </row>
    <row r="31">
      <c r="A31" s="7"/>
      <c r="D31" s="7"/>
      <c r="E31" s="7"/>
    </row>
    <row r="32">
      <c r="A32" s="7"/>
      <c r="D32" s="7"/>
      <c r="E32" s="7"/>
    </row>
    <row r="33">
      <c r="A33" s="7"/>
      <c r="D33" s="7"/>
      <c r="E33" s="7"/>
    </row>
    <row r="34">
      <c r="A34" s="7"/>
      <c r="D34" s="7"/>
      <c r="E34" s="7"/>
    </row>
    <row r="35">
      <c r="A35" s="7"/>
      <c r="D35" s="7"/>
      <c r="E35" s="7"/>
    </row>
    <row r="36">
      <c r="A36" s="7"/>
      <c r="D36" s="7"/>
      <c r="E36" s="7"/>
    </row>
    <row r="37">
      <c r="A37" s="7"/>
      <c r="D37" s="7"/>
      <c r="E37" s="7"/>
    </row>
    <row r="38">
      <c r="A38" s="7"/>
      <c r="D38" s="7"/>
      <c r="E38" s="7"/>
    </row>
    <row r="39">
      <c r="A39" s="7"/>
      <c r="D39" s="7"/>
      <c r="E39" s="7"/>
    </row>
    <row r="40">
      <c r="A40" s="7"/>
      <c r="D40" s="7"/>
      <c r="E40" s="7"/>
    </row>
    <row r="41">
      <c r="A41" s="7"/>
      <c r="D41" s="7"/>
      <c r="E41" s="7"/>
    </row>
    <row r="42">
      <c r="A42" s="7"/>
      <c r="D42" s="7"/>
      <c r="E42" s="7"/>
    </row>
    <row r="43">
      <c r="A43" s="7"/>
      <c r="D43" s="7"/>
      <c r="E43" s="7"/>
    </row>
    <row r="44">
      <c r="A44" s="7"/>
      <c r="D44" s="7"/>
      <c r="E44" s="7"/>
    </row>
    <row r="45">
      <c r="A45" s="7"/>
      <c r="D45" s="7"/>
      <c r="E45" s="7"/>
    </row>
    <row r="46">
      <c r="A46" s="7"/>
      <c r="D46" s="7"/>
      <c r="E46" s="7"/>
    </row>
    <row r="47">
      <c r="A47" s="7"/>
      <c r="D47" s="7"/>
      <c r="E47" s="7"/>
    </row>
    <row r="48">
      <c r="A48" s="7"/>
      <c r="D48" s="7"/>
      <c r="E48" s="7"/>
    </row>
    <row r="49">
      <c r="A49" s="7"/>
      <c r="D49" s="7"/>
      <c r="E49" s="7"/>
    </row>
    <row r="50">
      <c r="A50" s="7"/>
      <c r="D50" s="7"/>
      <c r="E50" s="7"/>
    </row>
    <row r="51">
      <c r="A51" s="7"/>
      <c r="D51" s="7"/>
      <c r="E51" s="7"/>
    </row>
    <row r="52">
      <c r="A52" s="7"/>
      <c r="D52" s="7"/>
      <c r="E52" s="7"/>
    </row>
    <row r="53">
      <c r="A53" s="7"/>
      <c r="D53" s="7"/>
      <c r="E53" s="7"/>
    </row>
    <row r="54">
      <c r="A54" s="7"/>
      <c r="D54" s="7"/>
      <c r="E54" s="7"/>
    </row>
    <row r="55">
      <c r="A55" s="7"/>
      <c r="D55" s="7"/>
      <c r="E55" s="7"/>
    </row>
    <row r="56">
      <c r="A56" s="7"/>
      <c r="D56" s="7"/>
      <c r="E56" s="7"/>
    </row>
    <row r="57">
      <c r="A57" s="7"/>
      <c r="D57" s="7"/>
      <c r="E57" s="7"/>
    </row>
    <row r="58">
      <c r="A58" s="7"/>
      <c r="D58" s="7"/>
      <c r="E58" s="7"/>
    </row>
    <row r="59">
      <c r="A59" s="7"/>
      <c r="D59" s="7"/>
      <c r="E59" s="7"/>
    </row>
    <row r="60">
      <c r="A60" s="7"/>
      <c r="D60" s="7"/>
      <c r="E60" s="7"/>
    </row>
    <row r="61">
      <c r="A61" s="7"/>
      <c r="D61" s="7"/>
      <c r="E61" s="7"/>
    </row>
    <row r="62">
      <c r="A62" s="7"/>
      <c r="D62" s="7"/>
      <c r="E62" s="7"/>
    </row>
    <row r="63">
      <c r="A63" s="7"/>
      <c r="D63" s="7"/>
      <c r="E63" s="7"/>
    </row>
    <row r="64">
      <c r="A64" s="7"/>
      <c r="D64" s="7"/>
      <c r="E64" s="7"/>
    </row>
    <row r="65">
      <c r="A65" s="7"/>
      <c r="D65" s="7"/>
      <c r="E65" s="7"/>
    </row>
    <row r="66">
      <c r="A66" s="7"/>
      <c r="D66" s="7"/>
      <c r="E66" s="7"/>
    </row>
    <row r="67">
      <c r="A67" s="7"/>
      <c r="D67" s="7"/>
      <c r="E67" s="7"/>
    </row>
    <row r="68">
      <c r="A68" s="7"/>
      <c r="D68" s="7"/>
      <c r="E68" s="7"/>
    </row>
    <row r="69">
      <c r="A69" s="7"/>
      <c r="D69" s="7"/>
      <c r="E69" s="7"/>
    </row>
    <row r="70">
      <c r="A70" s="7"/>
      <c r="D70" s="7"/>
      <c r="E70" s="7"/>
    </row>
    <row r="71">
      <c r="A71" s="7"/>
      <c r="D71" s="7"/>
      <c r="E71" s="7"/>
    </row>
    <row r="72">
      <c r="A72" s="7"/>
      <c r="D72" s="7"/>
      <c r="E72" s="7"/>
    </row>
    <row r="73">
      <c r="A73" s="7"/>
      <c r="D73" s="7"/>
      <c r="E73" s="7"/>
    </row>
    <row r="74">
      <c r="A74" s="7"/>
      <c r="D74" s="7"/>
      <c r="E74" s="7"/>
    </row>
    <row r="75">
      <c r="A75" s="7"/>
      <c r="D75" s="7"/>
      <c r="E75" s="7"/>
    </row>
    <row r="76">
      <c r="A76" s="7"/>
      <c r="D76" s="7"/>
      <c r="E76" s="7"/>
    </row>
    <row r="77">
      <c r="A77" s="7"/>
      <c r="D77" s="7"/>
      <c r="E77" s="7"/>
    </row>
    <row r="78">
      <c r="A78" s="7"/>
      <c r="D78" s="7"/>
      <c r="E78" s="7"/>
    </row>
    <row r="79">
      <c r="A79" s="7"/>
      <c r="D79" s="7"/>
      <c r="E79" s="7"/>
    </row>
    <row r="80">
      <c r="A80" s="7"/>
      <c r="D80" s="7"/>
      <c r="E80" s="7"/>
    </row>
    <row r="81">
      <c r="A81" s="7"/>
      <c r="D81" s="7"/>
      <c r="E81" s="7"/>
    </row>
    <row r="82">
      <c r="A82" s="7"/>
      <c r="D82" s="7"/>
      <c r="E82" s="7"/>
    </row>
    <row r="83">
      <c r="A83" s="7"/>
      <c r="D83" s="7"/>
      <c r="E83" s="7"/>
    </row>
    <row r="84">
      <c r="A84" s="7"/>
      <c r="D84" s="7"/>
      <c r="E84" s="7"/>
    </row>
    <row r="85">
      <c r="A85" s="7"/>
      <c r="D85" s="7"/>
      <c r="E85" s="7"/>
    </row>
    <row r="86">
      <c r="A86" s="7"/>
      <c r="D86" s="7"/>
      <c r="E86" s="7"/>
    </row>
    <row r="87">
      <c r="A87" s="7"/>
      <c r="D87" s="7"/>
      <c r="E87" s="7"/>
    </row>
    <row r="88">
      <c r="A88" s="7"/>
      <c r="D88" s="7"/>
      <c r="E88" s="7"/>
    </row>
    <row r="89">
      <c r="A89" s="7"/>
      <c r="D89" s="7"/>
      <c r="E89" s="7"/>
    </row>
    <row r="90">
      <c r="A90" s="7"/>
      <c r="D90" s="7"/>
      <c r="E90" s="7"/>
    </row>
    <row r="91">
      <c r="A91" s="7"/>
      <c r="D91" s="7"/>
      <c r="E91" s="7"/>
    </row>
    <row r="92">
      <c r="A92" s="7"/>
      <c r="D92" s="7"/>
      <c r="E92" s="7"/>
    </row>
    <row r="93">
      <c r="A93" s="7"/>
      <c r="D93" s="7"/>
      <c r="E93" s="7"/>
    </row>
    <row r="94">
      <c r="A94" s="7"/>
      <c r="D94" s="7"/>
      <c r="E94" s="7"/>
    </row>
    <row r="95">
      <c r="A95" s="7"/>
      <c r="D95" s="7"/>
      <c r="E95" s="7"/>
    </row>
    <row r="96">
      <c r="A96" s="7"/>
      <c r="D96" s="7"/>
      <c r="E96" s="7"/>
    </row>
    <row r="97">
      <c r="A97" s="7"/>
      <c r="D97" s="7"/>
      <c r="E97" s="7"/>
    </row>
    <row r="98">
      <c r="A98" s="7"/>
      <c r="D98" s="7"/>
      <c r="E98" s="7"/>
    </row>
    <row r="99">
      <c r="A99" s="7"/>
      <c r="D99" s="7"/>
      <c r="E99" s="7"/>
    </row>
    <row r="100">
      <c r="A100" s="7"/>
      <c r="D100" s="7"/>
      <c r="E100" s="7"/>
    </row>
    <row r="101">
      <c r="A101" s="7"/>
      <c r="D101" s="7"/>
      <c r="E101" s="7"/>
    </row>
    <row r="102">
      <c r="A102" s="7"/>
      <c r="D102" s="7"/>
      <c r="E102" s="7"/>
    </row>
    <row r="103">
      <c r="A103" s="7"/>
      <c r="D103" s="7"/>
      <c r="E103" s="7"/>
    </row>
    <row r="104">
      <c r="A104" s="7"/>
      <c r="D104" s="7"/>
      <c r="E104" s="7"/>
    </row>
    <row r="105">
      <c r="A105" s="7"/>
      <c r="D105" s="7"/>
      <c r="E105" s="7"/>
    </row>
    <row r="106">
      <c r="A106" s="7"/>
      <c r="D106" s="7"/>
      <c r="E106" s="7"/>
    </row>
    <row r="107">
      <c r="A107" s="7"/>
      <c r="D107" s="7"/>
      <c r="E107" s="7"/>
    </row>
    <row r="108">
      <c r="A108" s="7"/>
      <c r="D108" s="7"/>
      <c r="E108" s="7"/>
    </row>
    <row r="109">
      <c r="A109" s="7"/>
      <c r="D109" s="7"/>
      <c r="E109" s="7"/>
    </row>
    <row r="110">
      <c r="A110" s="7"/>
      <c r="D110" s="7"/>
      <c r="E110" s="7"/>
    </row>
    <row r="111">
      <c r="A111" s="7"/>
      <c r="D111" s="7"/>
      <c r="E111" s="7"/>
    </row>
    <row r="112">
      <c r="A112" s="7"/>
      <c r="D112" s="7"/>
      <c r="E112" s="7"/>
    </row>
    <row r="113">
      <c r="A113" s="7"/>
      <c r="D113" s="7"/>
      <c r="E113" s="7"/>
    </row>
    <row r="114">
      <c r="A114" s="7"/>
      <c r="D114" s="7"/>
      <c r="E114" s="7"/>
    </row>
    <row r="115">
      <c r="A115" s="7"/>
      <c r="D115" s="7"/>
      <c r="E115" s="7"/>
    </row>
    <row r="116">
      <c r="A116" s="7"/>
      <c r="D116" s="7"/>
      <c r="E116" s="7"/>
    </row>
    <row r="117">
      <c r="A117" s="7"/>
      <c r="D117" s="7"/>
      <c r="E117" s="7"/>
    </row>
    <row r="118">
      <c r="A118" s="7"/>
      <c r="D118" s="7"/>
      <c r="E118" s="7"/>
    </row>
    <row r="119">
      <c r="A119" s="7"/>
      <c r="D119" s="7"/>
      <c r="E119" s="7"/>
    </row>
    <row r="120">
      <c r="A120" s="7"/>
      <c r="D120" s="7"/>
      <c r="E120" s="7"/>
    </row>
    <row r="121">
      <c r="A121" s="7"/>
      <c r="D121" s="7"/>
      <c r="E121" s="7"/>
    </row>
    <row r="122">
      <c r="A122" s="7"/>
      <c r="D122" s="7"/>
      <c r="E122" s="7"/>
    </row>
    <row r="123">
      <c r="A123" s="7"/>
      <c r="D123" s="7"/>
      <c r="E123" s="7"/>
    </row>
    <row r="124">
      <c r="A124" s="7"/>
      <c r="D124" s="7"/>
      <c r="E124" s="7"/>
    </row>
    <row r="125">
      <c r="A125" s="7"/>
      <c r="D125" s="7"/>
      <c r="E125" s="7"/>
    </row>
    <row r="126">
      <c r="A126" s="7"/>
      <c r="D126" s="7"/>
      <c r="E126" s="7"/>
    </row>
    <row r="127">
      <c r="A127" s="7"/>
      <c r="D127" s="7"/>
      <c r="E127" s="7"/>
    </row>
    <row r="128">
      <c r="A128" s="7"/>
      <c r="D128" s="7"/>
      <c r="E128" s="7"/>
    </row>
    <row r="129">
      <c r="A129" s="7"/>
      <c r="D129" s="7"/>
      <c r="E129" s="7"/>
    </row>
    <row r="130">
      <c r="A130" s="7"/>
      <c r="D130" s="7"/>
      <c r="E130" s="7"/>
    </row>
    <row r="131">
      <c r="A131" s="7"/>
      <c r="D131" s="7"/>
      <c r="E131" s="7"/>
    </row>
    <row r="132">
      <c r="A132" s="7"/>
      <c r="D132" s="7"/>
      <c r="E132" s="7"/>
    </row>
    <row r="133">
      <c r="A133" s="7"/>
      <c r="D133" s="7"/>
      <c r="E133" s="7"/>
    </row>
    <row r="134">
      <c r="A134" s="7"/>
      <c r="D134" s="7"/>
      <c r="E134" s="7"/>
    </row>
    <row r="135">
      <c r="A135" s="7"/>
      <c r="D135" s="7"/>
      <c r="E135" s="7"/>
    </row>
    <row r="136">
      <c r="A136" s="7"/>
      <c r="D136" s="7"/>
      <c r="E136" s="7"/>
    </row>
    <row r="137">
      <c r="A137" s="7"/>
      <c r="D137" s="7"/>
      <c r="E137" s="7"/>
    </row>
    <row r="138">
      <c r="A138" s="7"/>
      <c r="D138" s="7"/>
      <c r="E138" s="7"/>
    </row>
    <row r="139">
      <c r="A139" s="7"/>
      <c r="D139" s="7"/>
      <c r="E139" s="7"/>
    </row>
    <row r="140">
      <c r="A140" s="7"/>
      <c r="D140" s="7"/>
      <c r="E140" s="7"/>
    </row>
    <row r="141">
      <c r="A141" s="7"/>
      <c r="D141" s="7"/>
      <c r="E141" s="7"/>
    </row>
    <row r="142">
      <c r="A142" s="7"/>
      <c r="D142" s="7"/>
      <c r="E142" s="7"/>
    </row>
    <row r="143">
      <c r="A143" s="7"/>
      <c r="D143" s="7"/>
      <c r="E143" s="7"/>
    </row>
    <row r="144">
      <c r="A144" s="7"/>
      <c r="D144" s="7"/>
      <c r="E144" s="7"/>
    </row>
    <row r="145">
      <c r="A145" s="7"/>
      <c r="D145" s="7"/>
      <c r="E145" s="7"/>
    </row>
    <row r="146">
      <c r="A146" s="7"/>
      <c r="D146" s="7"/>
      <c r="E146" s="7"/>
    </row>
    <row r="147">
      <c r="A147" s="7"/>
      <c r="D147" s="7"/>
      <c r="E147" s="7"/>
    </row>
    <row r="148">
      <c r="A148" s="7"/>
      <c r="D148" s="7"/>
      <c r="E148" s="7"/>
    </row>
    <row r="149">
      <c r="A149" s="7"/>
      <c r="D149" s="7"/>
      <c r="E149" s="7"/>
    </row>
    <row r="150">
      <c r="A150" s="7"/>
      <c r="D150" s="7"/>
      <c r="E150" s="7"/>
    </row>
    <row r="151">
      <c r="A151" s="7"/>
      <c r="D151" s="7"/>
      <c r="E151" s="7"/>
    </row>
    <row r="152">
      <c r="A152" s="7"/>
      <c r="D152" s="7"/>
      <c r="E152" s="7"/>
    </row>
    <row r="153">
      <c r="A153" s="7"/>
      <c r="D153" s="7"/>
      <c r="E153" s="7"/>
    </row>
    <row r="154">
      <c r="A154" s="7"/>
      <c r="D154" s="7"/>
      <c r="E154" s="7"/>
    </row>
    <row r="155">
      <c r="A155" s="7"/>
      <c r="D155" s="7"/>
      <c r="E155" s="7"/>
    </row>
    <row r="156">
      <c r="A156" s="7"/>
      <c r="D156" s="7"/>
      <c r="E156" s="7"/>
    </row>
    <row r="157">
      <c r="A157" s="7"/>
      <c r="D157" s="7"/>
      <c r="E157" s="7"/>
    </row>
    <row r="158">
      <c r="A158" s="7"/>
      <c r="D158" s="7"/>
      <c r="E158" s="7"/>
    </row>
    <row r="159">
      <c r="A159" s="7"/>
      <c r="D159" s="7"/>
      <c r="E159" s="7"/>
    </row>
    <row r="160">
      <c r="A160" s="7"/>
      <c r="D160" s="7"/>
      <c r="E160" s="7"/>
    </row>
    <row r="161">
      <c r="A161" s="7"/>
      <c r="D161" s="7"/>
      <c r="E161" s="7"/>
    </row>
    <row r="162">
      <c r="A162" s="7"/>
      <c r="D162" s="7"/>
      <c r="E162" s="7"/>
    </row>
    <row r="163">
      <c r="A163" s="7"/>
      <c r="D163" s="7"/>
      <c r="E163" s="7"/>
    </row>
    <row r="164">
      <c r="A164" s="7"/>
      <c r="D164" s="7"/>
      <c r="E164" s="7"/>
    </row>
    <row r="165">
      <c r="A165" s="7"/>
      <c r="D165" s="7"/>
      <c r="E165" s="7"/>
    </row>
    <row r="166">
      <c r="A166" s="7"/>
      <c r="D166" s="7"/>
      <c r="E166" s="7"/>
    </row>
    <row r="167">
      <c r="A167" s="7"/>
      <c r="D167" s="7"/>
      <c r="E167" s="7"/>
    </row>
    <row r="168">
      <c r="A168" s="7"/>
      <c r="D168" s="7"/>
      <c r="E168" s="7"/>
    </row>
    <row r="169">
      <c r="A169" s="7"/>
      <c r="D169" s="7"/>
      <c r="E169" s="7"/>
    </row>
    <row r="170">
      <c r="A170" s="7"/>
      <c r="D170" s="7"/>
      <c r="E170" s="7"/>
    </row>
    <row r="171">
      <c r="A171" s="7"/>
      <c r="D171" s="7"/>
      <c r="E171" s="7"/>
    </row>
    <row r="172">
      <c r="A172" s="7"/>
      <c r="D172" s="7"/>
      <c r="E172" s="7"/>
    </row>
    <row r="173">
      <c r="A173" s="7"/>
      <c r="D173" s="7"/>
      <c r="E173" s="7"/>
    </row>
    <row r="174">
      <c r="A174" s="7"/>
      <c r="D174" s="7"/>
      <c r="E174" s="7"/>
    </row>
    <row r="175">
      <c r="A175" s="7"/>
      <c r="D175" s="7"/>
      <c r="E175" s="7"/>
    </row>
    <row r="176">
      <c r="A176" s="7"/>
      <c r="D176" s="7"/>
      <c r="E176" s="7"/>
    </row>
    <row r="177">
      <c r="A177" s="7"/>
      <c r="D177" s="7"/>
      <c r="E177" s="7"/>
    </row>
    <row r="178">
      <c r="A178" s="7"/>
      <c r="D178" s="7"/>
      <c r="E178" s="7"/>
    </row>
    <row r="179">
      <c r="A179" s="7"/>
      <c r="D179" s="7"/>
      <c r="E179" s="7"/>
    </row>
    <row r="180">
      <c r="A180" s="7"/>
      <c r="D180" s="7"/>
      <c r="E180" s="7"/>
    </row>
    <row r="181">
      <c r="A181" s="7"/>
      <c r="D181" s="7"/>
      <c r="E181" s="7"/>
    </row>
    <row r="182">
      <c r="A182" s="7"/>
      <c r="D182" s="7"/>
      <c r="E182" s="7"/>
    </row>
    <row r="183">
      <c r="A183" s="7"/>
      <c r="D183" s="7"/>
      <c r="E183" s="7"/>
    </row>
    <row r="184">
      <c r="A184" s="7"/>
      <c r="D184" s="7"/>
      <c r="E184" s="7"/>
    </row>
    <row r="185">
      <c r="A185" s="7"/>
      <c r="D185" s="7"/>
      <c r="E185" s="7"/>
    </row>
    <row r="186">
      <c r="A186" s="7"/>
      <c r="D186" s="7"/>
      <c r="E186" s="7"/>
    </row>
    <row r="187">
      <c r="A187" s="7"/>
      <c r="D187" s="7"/>
      <c r="E187" s="7"/>
    </row>
    <row r="188">
      <c r="A188" s="7"/>
      <c r="D188" s="7"/>
      <c r="E188" s="7"/>
    </row>
    <row r="189">
      <c r="A189" s="7"/>
      <c r="D189" s="7"/>
      <c r="E189" s="7"/>
    </row>
    <row r="190">
      <c r="A190" s="7"/>
      <c r="D190" s="7"/>
      <c r="E190" s="7"/>
    </row>
    <row r="191">
      <c r="A191" s="7"/>
      <c r="D191" s="7"/>
      <c r="E191" s="7"/>
    </row>
    <row r="192">
      <c r="A192" s="7"/>
      <c r="D192" s="7"/>
      <c r="E192" s="7"/>
    </row>
    <row r="193">
      <c r="A193" s="7"/>
      <c r="D193" s="7"/>
      <c r="E193" s="7"/>
    </row>
    <row r="194">
      <c r="A194" s="7"/>
      <c r="D194" s="7"/>
      <c r="E194" s="7"/>
    </row>
    <row r="195">
      <c r="A195" s="7"/>
      <c r="D195" s="7"/>
      <c r="E195" s="7"/>
    </row>
    <row r="196">
      <c r="A196" s="7"/>
      <c r="D196" s="7"/>
      <c r="E196" s="7"/>
    </row>
    <row r="197">
      <c r="A197" s="7"/>
      <c r="D197" s="7"/>
      <c r="E197" s="7"/>
    </row>
    <row r="198">
      <c r="A198" s="7"/>
      <c r="D198" s="7"/>
      <c r="E198" s="7"/>
    </row>
    <row r="199">
      <c r="A199" s="7"/>
      <c r="D199" s="7"/>
      <c r="E199" s="7"/>
    </row>
    <row r="200">
      <c r="A200" s="7"/>
      <c r="D200" s="7"/>
      <c r="E200" s="7"/>
    </row>
    <row r="201">
      <c r="A201" s="7"/>
      <c r="D201" s="7"/>
      <c r="E201" s="7"/>
    </row>
    <row r="202">
      <c r="A202" s="7"/>
      <c r="D202" s="7"/>
      <c r="E202" s="7"/>
    </row>
    <row r="203">
      <c r="A203" s="7"/>
      <c r="D203" s="7"/>
      <c r="E203" s="7"/>
    </row>
    <row r="204">
      <c r="A204" s="7"/>
      <c r="D204" s="7"/>
      <c r="E204" s="7"/>
    </row>
    <row r="205">
      <c r="A205" s="7"/>
      <c r="D205" s="7"/>
      <c r="E205" s="7"/>
    </row>
    <row r="206">
      <c r="A206" s="7"/>
      <c r="D206" s="7"/>
      <c r="E206" s="7"/>
    </row>
    <row r="207">
      <c r="A207" s="7"/>
      <c r="D207" s="7"/>
      <c r="E207" s="7"/>
    </row>
    <row r="208">
      <c r="A208" s="7"/>
      <c r="D208" s="7"/>
      <c r="E208" s="7"/>
    </row>
    <row r="209">
      <c r="A209" s="7"/>
      <c r="D209" s="7"/>
      <c r="E209" s="7"/>
    </row>
    <row r="210">
      <c r="A210" s="7"/>
      <c r="D210" s="7"/>
      <c r="E210" s="7"/>
    </row>
    <row r="211">
      <c r="A211" s="7"/>
      <c r="D211" s="7"/>
      <c r="E211" s="7"/>
    </row>
    <row r="212">
      <c r="A212" s="7"/>
      <c r="D212" s="7"/>
      <c r="E212" s="7"/>
    </row>
    <row r="213">
      <c r="A213" s="7"/>
      <c r="D213" s="7"/>
      <c r="E213" s="7"/>
    </row>
    <row r="214">
      <c r="A214" s="7"/>
      <c r="D214" s="7"/>
      <c r="E214" s="7"/>
    </row>
    <row r="215">
      <c r="A215" s="7"/>
      <c r="D215" s="7"/>
      <c r="E215" s="7"/>
    </row>
    <row r="216">
      <c r="A216" s="7"/>
      <c r="D216" s="7"/>
      <c r="E216" s="7"/>
    </row>
    <row r="217">
      <c r="A217" s="7"/>
      <c r="D217" s="7"/>
      <c r="E217" s="7"/>
    </row>
    <row r="218">
      <c r="A218" s="7"/>
      <c r="D218" s="7"/>
      <c r="E218" s="7"/>
    </row>
    <row r="219">
      <c r="A219" s="7"/>
      <c r="D219" s="7"/>
      <c r="E219" s="7"/>
    </row>
    <row r="220">
      <c r="A220" s="7"/>
      <c r="D220" s="7"/>
      <c r="E220" s="7"/>
    </row>
    <row r="221">
      <c r="A221" s="7"/>
      <c r="D221" s="7"/>
      <c r="E221" s="7"/>
    </row>
    <row r="222">
      <c r="A222" s="7"/>
      <c r="D222" s="7"/>
      <c r="E222" s="7"/>
    </row>
    <row r="223">
      <c r="A223" s="7"/>
      <c r="D223" s="7"/>
      <c r="E223" s="7"/>
    </row>
    <row r="224">
      <c r="A224" s="7"/>
      <c r="D224" s="7"/>
      <c r="E224" s="7"/>
    </row>
    <row r="225">
      <c r="A225" s="7"/>
      <c r="D225" s="7"/>
      <c r="E225" s="7"/>
    </row>
    <row r="226">
      <c r="A226" s="7"/>
      <c r="D226" s="7"/>
      <c r="E226" s="7"/>
    </row>
    <row r="227">
      <c r="A227" s="7"/>
      <c r="D227" s="7"/>
      <c r="E227" s="7"/>
    </row>
    <row r="228">
      <c r="A228" s="7"/>
      <c r="D228" s="7"/>
      <c r="E228" s="7"/>
    </row>
    <row r="229">
      <c r="A229" s="7"/>
      <c r="D229" s="7"/>
      <c r="E229" s="7"/>
    </row>
    <row r="230">
      <c r="A230" s="7"/>
      <c r="D230" s="7"/>
      <c r="E230" s="7"/>
    </row>
    <row r="231">
      <c r="A231" s="7"/>
      <c r="D231" s="7"/>
      <c r="E231" s="7"/>
    </row>
    <row r="232">
      <c r="A232" s="7"/>
      <c r="D232" s="7"/>
      <c r="E232" s="7"/>
    </row>
    <row r="233">
      <c r="A233" s="7"/>
      <c r="D233" s="7"/>
      <c r="E233" s="7"/>
    </row>
    <row r="234">
      <c r="A234" s="7"/>
      <c r="D234" s="7"/>
      <c r="E234" s="7"/>
    </row>
    <row r="235">
      <c r="A235" s="7"/>
      <c r="D235" s="7"/>
      <c r="E235" s="7"/>
    </row>
    <row r="236">
      <c r="A236" s="7"/>
      <c r="D236" s="7"/>
      <c r="E236" s="7"/>
    </row>
    <row r="237">
      <c r="A237" s="7"/>
      <c r="D237" s="7"/>
      <c r="E237" s="7"/>
    </row>
    <row r="238">
      <c r="A238" s="7"/>
      <c r="D238" s="7"/>
      <c r="E238" s="7"/>
    </row>
    <row r="239">
      <c r="A239" s="7"/>
      <c r="D239" s="7"/>
      <c r="E239" s="7"/>
    </row>
    <row r="240">
      <c r="A240" s="7"/>
      <c r="D240" s="7"/>
      <c r="E240" s="7"/>
    </row>
    <row r="241">
      <c r="A241" s="7"/>
      <c r="D241" s="7"/>
      <c r="E241" s="7"/>
    </row>
    <row r="242">
      <c r="A242" s="7"/>
      <c r="D242" s="7"/>
      <c r="E242" s="7"/>
    </row>
    <row r="243">
      <c r="A243" s="7"/>
      <c r="D243" s="7"/>
      <c r="E243" s="7"/>
    </row>
    <row r="244">
      <c r="A244" s="7"/>
      <c r="D244" s="7"/>
      <c r="E244" s="7"/>
    </row>
    <row r="245">
      <c r="A245" s="7"/>
      <c r="D245" s="7"/>
      <c r="E245" s="7"/>
    </row>
    <row r="246">
      <c r="A246" s="7"/>
      <c r="D246" s="7"/>
      <c r="E246" s="7"/>
    </row>
    <row r="247">
      <c r="A247" s="7"/>
      <c r="D247" s="7"/>
      <c r="E247" s="7"/>
    </row>
    <row r="248">
      <c r="A248" s="7"/>
      <c r="D248" s="7"/>
      <c r="E248" s="7"/>
    </row>
    <row r="249">
      <c r="A249" s="7"/>
      <c r="D249" s="7"/>
      <c r="E249" s="7"/>
    </row>
    <row r="250">
      <c r="A250" s="7"/>
      <c r="D250" s="7"/>
      <c r="E250" s="7"/>
    </row>
    <row r="251">
      <c r="A251" s="7"/>
      <c r="D251" s="7"/>
      <c r="E251" s="7"/>
    </row>
    <row r="252">
      <c r="A252" s="7"/>
      <c r="D252" s="7"/>
      <c r="E252" s="7"/>
    </row>
    <row r="253">
      <c r="A253" s="7"/>
      <c r="D253" s="7"/>
      <c r="E253" s="7"/>
    </row>
    <row r="254">
      <c r="A254" s="7"/>
      <c r="D254" s="7"/>
      <c r="E254" s="7"/>
    </row>
    <row r="255">
      <c r="A255" s="7"/>
      <c r="D255" s="7"/>
      <c r="E255" s="7"/>
    </row>
    <row r="256">
      <c r="A256" s="7"/>
      <c r="D256" s="7"/>
      <c r="E256" s="7"/>
    </row>
    <row r="257">
      <c r="A257" s="7"/>
      <c r="D257" s="7"/>
      <c r="E257" s="7"/>
    </row>
    <row r="258">
      <c r="A258" s="7"/>
      <c r="D258" s="7"/>
      <c r="E258" s="7"/>
    </row>
    <row r="259">
      <c r="A259" s="7"/>
      <c r="D259" s="7"/>
      <c r="E259" s="7"/>
    </row>
    <row r="260">
      <c r="A260" s="7"/>
      <c r="D260" s="7"/>
      <c r="E260" s="7"/>
    </row>
    <row r="261">
      <c r="A261" s="7"/>
      <c r="D261" s="7"/>
      <c r="E261" s="7"/>
    </row>
    <row r="262">
      <c r="A262" s="7"/>
      <c r="D262" s="7"/>
      <c r="E262" s="7"/>
    </row>
    <row r="263">
      <c r="A263" s="7"/>
      <c r="D263" s="7"/>
      <c r="E263" s="7"/>
    </row>
    <row r="264">
      <c r="A264" s="7"/>
      <c r="D264" s="7"/>
      <c r="E264" s="7"/>
    </row>
    <row r="265">
      <c r="A265" s="7"/>
      <c r="D265" s="7"/>
      <c r="E265" s="7"/>
    </row>
    <row r="266">
      <c r="A266" s="7"/>
      <c r="D266" s="7"/>
      <c r="E266" s="7"/>
    </row>
    <row r="267">
      <c r="A267" s="7"/>
      <c r="D267" s="7"/>
      <c r="E267" s="7"/>
    </row>
    <row r="268">
      <c r="A268" s="7"/>
      <c r="D268" s="7"/>
      <c r="E268" s="7"/>
    </row>
    <row r="269">
      <c r="A269" s="7"/>
      <c r="D269" s="7"/>
      <c r="E269" s="7"/>
    </row>
    <row r="270">
      <c r="A270" s="7"/>
      <c r="D270" s="7"/>
      <c r="E270" s="7"/>
    </row>
    <row r="271">
      <c r="A271" s="7"/>
      <c r="D271" s="7"/>
      <c r="E271" s="7"/>
    </row>
    <row r="272">
      <c r="A272" s="7"/>
      <c r="D272" s="7"/>
      <c r="E272" s="7"/>
    </row>
    <row r="273">
      <c r="A273" s="7"/>
      <c r="D273" s="7"/>
      <c r="E273" s="7"/>
    </row>
    <row r="274">
      <c r="A274" s="7"/>
      <c r="D274" s="7"/>
      <c r="E274" s="7"/>
    </row>
    <row r="275">
      <c r="A275" s="7"/>
      <c r="D275" s="7"/>
      <c r="E275" s="7"/>
    </row>
    <row r="276">
      <c r="A276" s="7"/>
      <c r="D276" s="7"/>
      <c r="E276" s="7"/>
    </row>
    <row r="277">
      <c r="A277" s="7"/>
      <c r="D277" s="7"/>
      <c r="E277" s="7"/>
    </row>
    <row r="278">
      <c r="A278" s="7"/>
      <c r="D278" s="7"/>
      <c r="E278" s="7"/>
    </row>
    <row r="279">
      <c r="A279" s="7"/>
      <c r="D279" s="7"/>
      <c r="E279" s="7"/>
    </row>
    <row r="280">
      <c r="A280" s="7"/>
      <c r="D280" s="7"/>
      <c r="E280" s="7"/>
    </row>
    <row r="281">
      <c r="A281" s="7"/>
      <c r="D281" s="7"/>
      <c r="E281" s="7"/>
    </row>
    <row r="282">
      <c r="A282" s="7"/>
      <c r="D282" s="7"/>
      <c r="E282" s="7"/>
    </row>
    <row r="283">
      <c r="A283" s="7"/>
      <c r="D283" s="7"/>
      <c r="E283" s="7"/>
    </row>
    <row r="284">
      <c r="A284" s="7"/>
      <c r="D284" s="7"/>
      <c r="E284" s="7"/>
    </row>
    <row r="285">
      <c r="A285" s="7"/>
      <c r="D285" s="7"/>
      <c r="E285" s="7"/>
    </row>
    <row r="286">
      <c r="A286" s="7"/>
      <c r="D286" s="7"/>
      <c r="E286" s="7"/>
    </row>
    <row r="287">
      <c r="A287" s="7"/>
      <c r="D287" s="7"/>
      <c r="E287" s="7"/>
    </row>
    <row r="288">
      <c r="A288" s="7"/>
      <c r="D288" s="7"/>
      <c r="E288" s="7"/>
    </row>
    <row r="289">
      <c r="A289" s="7"/>
      <c r="D289" s="7"/>
      <c r="E289" s="7"/>
    </row>
    <row r="290">
      <c r="A290" s="7"/>
      <c r="D290" s="7"/>
      <c r="E290" s="7"/>
    </row>
    <row r="291">
      <c r="A291" s="7"/>
      <c r="D291" s="7"/>
      <c r="E291" s="7"/>
    </row>
    <row r="292">
      <c r="A292" s="7"/>
      <c r="D292" s="7"/>
      <c r="E292" s="7"/>
    </row>
    <row r="293">
      <c r="A293" s="7"/>
      <c r="D293" s="7"/>
      <c r="E293" s="7"/>
    </row>
    <row r="294">
      <c r="A294" s="7"/>
      <c r="D294" s="7"/>
      <c r="E294" s="7"/>
    </row>
    <row r="295">
      <c r="A295" s="7"/>
      <c r="D295" s="7"/>
      <c r="E295" s="7"/>
    </row>
    <row r="296">
      <c r="A296" s="7"/>
      <c r="D296" s="7"/>
      <c r="E296" s="7"/>
    </row>
    <row r="297">
      <c r="A297" s="7"/>
      <c r="D297" s="7"/>
      <c r="E297" s="7"/>
    </row>
    <row r="298">
      <c r="A298" s="7"/>
      <c r="D298" s="7"/>
      <c r="E298" s="7"/>
    </row>
    <row r="299">
      <c r="A299" s="7"/>
      <c r="D299" s="7"/>
      <c r="E299" s="7"/>
    </row>
    <row r="300">
      <c r="A300" s="7"/>
      <c r="D300" s="7"/>
      <c r="E300" s="7"/>
    </row>
    <row r="301">
      <c r="A301" s="7"/>
      <c r="D301" s="7"/>
      <c r="E301" s="7"/>
    </row>
    <row r="302">
      <c r="A302" s="7"/>
      <c r="D302" s="7"/>
      <c r="E302" s="7"/>
    </row>
    <row r="303">
      <c r="A303" s="7"/>
      <c r="D303" s="7"/>
      <c r="E303" s="7"/>
    </row>
    <row r="304">
      <c r="A304" s="7"/>
      <c r="D304" s="7"/>
      <c r="E304" s="7"/>
    </row>
    <row r="305">
      <c r="A305" s="7"/>
      <c r="D305" s="7"/>
      <c r="E305" s="7"/>
    </row>
    <row r="306">
      <c r="A306" s="7"/>
      <c r="D306" s="7"/>
      <c r="E306" s="7"/>
    </row>
    <row r="307">
      <c r="A307" s="7"/>
      <c r="D307" s="7"/>
      <c r="E307" s="7"/>
    </row>
    <row r="308">
      <c r="A308" s="7"/>
      <c r="D308" s="7"/>
      <c r="E308" s="7"/>
    </row>
    <row r="309">
      <c r="A309" s="7"/>
      <c r="D309" s="7"/>
      <c r="E309" s="7"/>
    </row>
    <row r="310">
      <c r="A310" s="7"/>
      <c r="D310" s="7"/>
      <c r="E310" s="7"/>
    </row>
    <row r="311">
      <c r="A311" s="7"/>
      <c r="D311" s="7"/>
      <c r="E311" s="7"/>
    </row>
    <row r="312">
      <c r="A312" s="7"/>
      <c r="D312" s="7"/>
      <c r="E312" s="7"/>
    </row>
    <row r="313">
      <c r="A313" s="7"/>
      <c r="D313" s="7"/>
      <c r="E313" s="7"/>
    </row>
    <row r="314">
      <c r="A314" s="7"/>
      <c r="D314" s="7"/>
      <c r="E314" s="7"/>
    </row>
    <row r="315">
      <c r="A315" s="7"/>
      <c r="D315" s="7"/>
      <c r="E315" s="7"/>
    </row>
    <row r="316">
      <c r="A316" s="7"/>
      <c r="D316" s="7"/>
      <c r="E316" s="7"/>
    </row>
    <row r="317">
      <c r="A317" s="7"/>
      <c r="D317" s="7"/>
      <c r="E317" s="7"/>
    </row>
    <row r="318">
      <c r="A318" s="7"/>
      <c r="D318" s="7"/>
      <c r="E318" s="7"/>
    </row>
    <row r="319">
      <c r="A319" s="7"/>
      <c r="D319" s="7"/>
      <c r="E319" s="7"/>
    </row>
    <row r="320">
      <c r="A320" s="7"/>
      <c r="D320" s="7"/>
      <c r="E320" s="7"/>
    </row>
    <row r="321">
      <c r="A321" s="7"/>
      <c r="D321" s="7"/>
      <c r="E321" s="7"/>
    </row>
    <row r="322">
      <c r="A322" s="7"/>
      <c r="D322" s="7"/>
      <c r="E322" s="7"/>
    </row>
    <row r="323">
      <c r="A323" s="7"/>
      <c r="D323" s="7"/>
      <c r="E323" s="7"/>
    </row>
    <row r="324">
      <c r="A324" s="7"/>
      <c r="D324" s="7"/>
      <c r="E324" s="7"/>
    </row>
    <row r="325">
      <c r="A325" s="7"/>
      <c r="D325" s="7"/>
      <c r="E325" s="7"/>
    </row>
    <row r="326">
      <c r="A326" s="7"/>
      <c r="D326" s="7"/>
      <c r="E326" s="7"/>
    </row>
    <row r="327">
      <c r="A327" s="7"/>
      <c r="D327" s="7"/>
      <c r="E327" s="7"/>
    </row>
    <row r="328">
      <c r="A328" s="7"/>
      <c r="D328" s="7"/>
      <c r="E328" s="7"/>
    </row>
    <row r="329">
      <c r="A329" s="7"/>
      <c r="D329" s="7"/>
      <c r="E329" s="7"/>
    </row>
    <row r="330">
      <c r="A330" s="7"/>
      <c r="D330" s="7"/>
      <c r="E330" s="7"/>
    </row>
    <row r="331">
      <c r="A331" s="7"/>
      <c r="D331" s="7"/>
      <c r="E331" s="7"/>
    </row>
    <row r="332">
      <c r="A332" s="7"/>
      <c r="D332" s="7"/>
      <c r="E332" s="7"/>
    </row>
    <row r="333">
      <c r="A333" s="7"/>
      <c r="D333" s="7"/>
      <c r="E333" s="7"/>
    </row>
    <row r="334">
      <c r="A334" s="7"/>
      <c r="D334" s="7"/>
      <c r="E334" s="7"/>
    </row>
    <row r="335">
      <c r="A335" s="7"/>
      <c r="D335" s="7"/>
      <c r="E335" s="7"/>
    </row>
    <row r="336">
      <c r="A336" s="7"/>
      <c r="D336" s="7"/>
      <c r="E336" s="7"/>
    </row>
    <row r="337">
      <c r="A337" s="7"/>
      <c r="D337" s="7"/>
      <c r="E337" s="7"/>
    </row>
    <row r="338">
      <c r="A338" s="7"/>
      <c r="D338" s="7"/>
      <c r="E338" s="7"/>
    </row>
    <row r="339">
      <c r="A339" s="7"/>
      <c r="D339" s="7"/>
      <c r="E339" s="7"/>
    </row>
    <row r="340">
      <c r="A340" s="7"/>
      <c r="D340" s="7"/>
      <c r="E340" s="7"/>
    </row>
    <row r="341">
      <c r="A341" s="7"/>
      <c r="D341" s="7"/>
      <c r="E341" s="7"/>
    </row>
    <row r="342">
      <c r="A342" s="7"/>
      <c r="D342" s="7"/>
      <c r="E342" s="7"/>
    </row>
    <row r="343">
      <c r="A343" s="7"/>
      <c r="D343" s="7"/>
      <c r="E343" s="7"/>
    </row>
    <row r="344">
      <c r="A344" s="7"/>
      <c r="D344" s="7"/>
      <c r="E344" s="7"/>
    </row>
    <row r="345">
      <c r="A345" s="7"/>
      <c r="D345" s="7"/>
      <c r="E345" s="7"/>
    </row>
    <row r="346">
      <c r="A346" s="7"/>
      <c r="D346" s="7"/>
      <c r="E346" s="7"/>
    </row>
    <row r="347">
      <c r="A347" s="7"/>
      <c r="D347" s="7"/>
      <c r="E347" s="7"/>
    </row>
    <row r="348">
      <c r="A348" s="7"/>
      <c r="D348" s="7"/>
      <c r="E348" s="7"/>
    </row>
    <row r="349">
      <c r="A349" s="7"/>
      <c r="D349" s="7"/>
      <c r="E349" s="7"/>
    </row>
    <row r="350">
      <c r="A350" s="7"/>
      <c r="D350" s="7"/>
      <c r="E350" s="7"/>
    </row>
    <row r="351">
      <c r="A351" s="7"/>
      <c r="D351" s="7"/>
      <c r="E351" s="7"/>
    </row>
    <row r="352">
      <c r="A352" s="7"/>
      <c r="D352" s="7"/>
      <c r="E352" s="7"/>
    </row>
    <row r="353">
      <c r="A353" s="7"/>
      <c r="D353" s="7"/>
      <c r="E353" s="7"/>
    </row>
    <row r="354">
      <c r="A354" s="7"/>
      <c r="D354" s="7"/>
      <c r="E354" s="7"/>
    </row>
    <row r="355">
      <c r="A355" s="7"/>
      <c r="D355" s="7"/>
      <c r="E355" s="7"/>
    </row>
    <row r="356">
      <c r="A356" s="7"/>
      <c r="D356" s="7"/>
      <c r="E356" s="7"/>
    </row>
    <row r="357">
      <c r="A357" s="7"/>
      <c r="D357" s="7"/>
      <c r="E357" s="7"/>
    </row>
    <row r="358">
      <c r="A358" s="7"/>
      <c r="D358" s="7"/>
      <c r="E358" s="7"/>
    </row>
    <row r="359">
      <c r="A359" s="7"/>
      <c r="D359" s="7"/>
      <c r="E359" s="7"/>
    </row>
    <row r="360">
      <c r="A360" s="7"/>
      <c r="D360" s="7"/>
      <c r="E360" s="7"/>
    </row>
    <row r="361">
      <c r="A361" s="7"/>
      <c r="D361" s="7"/>
      <c r="E361" s="7"/>
    </row>
    <row r="362">
      <c r="A362" s="7"/>
      <c r="D362" s="7"/>
      <c r="E362" s="7"/>
    </row>
    <row r="363">
      <c r="A363" s="7"/>
      <c r="D363" s="7"/>
      <c r="E363" s="7"/>
    </row>
    <row r="364">
      <c r="A364" s="7"/>
      <c r="D364" s="7"/>
      <c r="E364" s="7"/>
    </row>
    <row r="365">
      <c r="A365" s="7"/>
      <c r="D365" s="7"/>
      <c r="E365" s="7"/>
    </row>
    <row r="366">
      <c r="A366" s="7"/>
      <c r="D366" s="7"/>
      <c r="E366" s="7"/>
    </row>
    <row r="367">
      <c r="A367" s="7"/>
      <c r="D367" s="7"/>
      <c r="E367" s="7"/>
    </row>
    <row r="368">
      <c r="A368" s="7"/>
      <c r="D368" s="7"/>
      <c r="E368" s="7"/>
    </row>
    <row r="369">
      <c r="A369" s="7"/>
      <c r="D369" s="7"/>
      <c r="E369" s="7"/>
    </row>
    <row r="370">
      <c r="A370" s="7"/>
      <c r="D370" s="7"/>
      <c r="E370" s="7"/>
    </row>
    <row r="371">
      <c r="A371" s="7"/>
      <c r="D371" s="7"/>
      <c r="E371" s="7"/>
    </row>
    <row r="372">
      <c r="A372" s="7"/>
      <c r="D372" s="7"/>
      <c r="E372" s="7"/>
    </row>
    <row r="373">
      <c r="A373" s="7"/>
      <c r="D373" s="7"/>
      <c r="E373" s="7"/>
    </row>
    <row r="374">
      <c r="A374" s="7"/>
      <c r="D374" s="7"/>
      <c r="E374" s="7"/>
    </row>
    <row r="375">
      <c r="A375" s="7"/>
      <c r="D375" s="7"/>
      <c r="E375" s="7"/>
    </row>
    <row r="376">
      <c r="A376" s="7"/>
      <c r="D376" s="7"/>
      <c r="E376" s="7"/>
    </row>
    <row r="377">
      <c r="A377" s="7"/>
      <c r="D377" s="7"/>
      <c r="E377" s="7"/>
    </row>
    <row r="378">
      <c r="A378" s="7"/>
      <c r="D378" s="7"/>
      <c r="E378" s="7"/>
    </row>
    <row r="379">
      <c r="A379" s="7"/>
      <c r="D379" s="7"/>
      <c r="E379" s="7"/>
    </row>
    <row r="380">
      <c r="A380" s="7"/>
      <c r="D380" s="7"/>
      <c r="E380" s="7"/>
    </row>
    <row r="381">
      <c r="A381" s="7"/>
      <c r="D381" s="7"/>
      <c r="E381" s="7"/>
    </row>
    <row r="382">
      <c r="A382" s="7"/>
      <c r="D382" s="7"/>
      <c r="E382" s="7"/>
    </row>
    <row r="383">
      <c r="A383" s="7"/>
      <c r="D383" s="7"/>
      <c r="E383" s="7"/>
    </row>
    <row r="384">
      <c r="A384" s="7"/>
      <c r="D384" s="7"/>
      <c r="E384" s="7"/>
    </row>
    <row r="385">
      <c r="A385" s="7"/>
      <c r="D385" s="7"/>
      <c r="E385" s="7"/>
    </row>
    <row r="386">
      <c r="A386" s="7"/>
      <c r="D386" s="7"/>
      <c r="E386" s="7"/>
    </row>
    <row r="387">
      <c r="A387" s="7"/>
      <c r="D387" s="7"/>
      <c r="E387" s="7"/>
    </row>
    <row r="388">
      <c r="A388" s="7"/>
      <c r="D388" s="7"/>
      <c r="E388" s="7"/>
    </row>
    <row r="389">
      <c r="A389" s="7"/>
      <c r="D389" s="7"/>
      <c r="E389" s="7"/>
    </row>
    <row r="390">
      <c r="A390" s="7"/>
      <c r="D390" s="7"/>
      <c r="E390" s="7"/>
    </row>
    <row r="391">
      <c r="A391" s="7"/>
      <c r="D391" s="7"/>
      <c r="E391" s="7"/>
    </row>
    <row r="392">
      <c r="A392" s="7"/>
      <c r="D392" s="7"/>
      <c r="E392" s="7"/>
    </row>
    <row r="393">
      <c r="A393" s="7"/>
      <c r="D393" s="7"/>
      <c r="E393" s="7"/>
    </row>
    <row r="394">
      <c r="A394" s="7"/>
      <c r="D394" s="7"/>
      <c r="E394" s="7"/>
    </row>
    <row r="395">
      <c r="A395" s="7"/>
      <c r="D395" s="7"/>
      <c r="E395" s="7"/>
    </row>
    <row r="396">
      <c r="A396" s="7"/>
      <c r="D396" s="7"/>
      <c r="E396" s="7"/>
    </row>
    <row r="397">
      <c r="A397" s="7"/>
      <c r="D397" s="7"/>
      <c r="E397" s="7"/>
    </row>
    <row r="398">
      <c r="A398" s="7"/>
      <c r="D398" s="7"/>
      <c r="E398" s="7"/>
    </row>
    <row r="399">
      <c r="A399" s="7"/>
      <c r="D399" s="7"/>
      <c r="E399" s="7"/>
    </row>
    <row r="400">
      <c r="A400" s="7"/>
      <c r="D400" s="7"/>
      <c r="E400" s="7"/>
    </row>
    <row r="401">
      <c r="A401" s="7"/>
      <c r="D401" s="7"/>
      <c r="E401" s="7"/>
    </row>
    <row r="402">
      <c r="A402" s="7"/>
      <c r="D402" s="7"/>
      <c r="E402" s="7"/>
    </row>
    <row r="403">
      <c r="A403" s="7"/>
      <c r="D403" s="7"/>
      <c r="E403" s="7"/>
    </row>
    <row r="404">
      <c r="A404" s="7"/>
      <c r="D404" s="7"/>
      <c r="E404" s="7"/>
    </row>
    <row r="405">
      <c r="A405" s="7"/>
      <c r="D405" s="7"/>
      <c r="E405" s="7"/>
    </row>
    <row r="406">
      <c r="A406" s="7"/>
      <c r="D406" s="7"/>
      <c r="E406" s="7"/>
    </row>
    <row r="407">
      <c r="A407" s="7"/>
      <c r="D407" s="7"/>
      <c r="E407" s="7"/>
    </row>
    <row r="408">
      <c r="A408" s="7"/>
      <c r="D408" s="7"/>
      <c r="E408" s="7"/>
    </row>
    <row r="409">
      <c r="A409" s="7"/>
      <c r="D409" s="7"/>
      <c r="E409" s="7"/>
    </row>
    <row r="410">
      <c r="A410" s="7"/>
      <c r="D410" s="7"/>
      <c r="E410" s="7"/>
    </row>
    <row r="411">
      <c r="A411" s="7"/>
      <c r="D411" s="7"/>
      <c r="E411" s="7"/>
    </row>
    <row r="412">
      <c r="A412" s="7"/>
      <c r="D412" s="7"/>
      <c r="E412" s="7"/>
    </row>
    <row r="413">
      <c r="A413" s="7"/>
      <c r="D413" s="7"/>
      <c r="E413" s="7"/>
    </row>
    <row r="414">
      <c r="A414" s="7"/>
      <c r="D414" s="7"/>
      <c r="E414" s="7"/>
    </row>
    <row r="415">
      <c r="A415" s="7"/>
      <c r="D415" s="7"/>
      <c r="E415" s="7"/>
    </row>
    <row r="416">
      <c r="A416" s="7"/>
      <c r="D416" s="7"/>
      <c r="E416" s="7"/>
    </row>
    <row r="417">
      <c r="A417" s="7"/>
      <c r="D417" s="7"/>
      <c r="E417" s="7"/>
    </row>
    <row r="418">
      <c r="A418" s="7"/>
      <c r="D418" s="7"/>
      <c r="E418" s="7"/>
    </row>
    <row r="419">
      <c r="A419" s="7"/>
      <c r="D419" s="7"/>
      <c r="E419" s="7"/>
    </row>
    <row r="420">
      <c r="A420" s="7"/>
      <c r="D420" s="7"/>
      <c r="E420" s="7"/>
    </row>
    <row r="421">
      <c r="A421" s="7"/>
      <c r="D421" s="7"/>
      <c r="E421" s="7"/>
    </row>
    <row r="422">
      <c r="A422" s="7"/>
      <c r="D422" s="7"/>
      <c r="E422" s="7"/>
    </row>
    <row r="423">
      <c r="A423" s="7"/>
      <c r="D423" s="7"/>
      <c r="E423" s="7"/>
    </row>
    <row r="424">
      <c r="A424" s="7"/>
      <c r="D424" s="7"/>
      <c r="E424" s="7"/>
    </row>
    <row r="425">
      <c r="A425" s="7"/>
      <c r="D425" s="7"/>
      <c r="E425" s="7"/>
    </row>
    <row r="426">
      <c r="A426" s="7"/>
      <c r="D426" s="7"/>
      <c r="E426" s="7"/>
    </row>
    <row r="427">
      <c r="A427" s="7"/>
      <c r="D427" s="7"/>
      <c r="E427" s="7"/>
    </row>
    <row r="428">
      <c r="A428" s="7"/>
      <c r="D428" s="7"/>
      <c r="E428" s="7"/>
    </row>
    <row r="429">
      <c r="A429" s="7"/>
      <c r="D429" s="7"/>
      <c r="E429" s="7"/>
    </row>
    <row r="430">
      <c r="A430" s="7"/>
      <c r="D430" s="7"/>
      <c r="E430" s="7"/>
    </row>
    <row r="431">
      <c r="A431" s="7"/>
      <c r="D431" s="7"/>
      <c r="E431" s="7"/>
    </row>
    <row r="432">
      <c r="A432" s="7"/>
      <c r="D432" s="7"/>
      <c r="E432" s="7"/>
    </row>
    <row r="433">
      <c r="A433" s="7"/>
      <c r="D433" s="7"/>
      <c r="E433" s="7"/>
    </row>
    <row r="434">
      <c r="A434" s="7"/>
      <c r="D434" s="7"/>
      <c r="E434" s="7"/>
    </row>
    <row r="435">
      <c r="A435" s="7"/>
      <c r="D435" s="7"/>
      <c r="E435" s="7"/>
    </row>
    <row r="436">
      <c r="A436" s="7"/>
      <c r="D436" s="7"/>
      <c r="E436" s="7"/>
    </row>
    <row r="437">
      <c r="A437" s="7"/>
      <c r="D437" s="7"/>
      <c r="E437" s="7"/>
    </row>
    <row r="438">
      <c r="A438" s="7"/>
      <c r="D438" s="7"/>
      <c r="E438" s="7"/>
    </row>
    <row r="439">
      <c r="A439" s="7"/>
      <c r="D439" s="7"/>
      <c r="E439" s="7"/>
    </row>
    <row r="440">
      <c r="A440" s="7"/>
      <c r="D440" s="7"/>
      <c r="E440" s="7"/>
    </row>
    <row r="441">
      <c r="A441" s="7"/>
      <c r="D441" s="7"/>
      <c r="E441" s="7"/>
    </row>
    <row r="442">
      <c r="A442" s="7"/>
      <c r="D442" s="7"/>
      <c r="E442" s="7"/>
    </row>
    <row r="443">
      <c r="A443" s="7"/>
      <c r="D443" s="7"/>
      <c r="E443" s="7"/>
    </row>
    <row r="444">
      <c r="A444" s="7"/>
      <c r="D444" s="7"/>
      <c r="E444" s="7"/>
    </row>
    <row r="445">
      <c r="A445" s="7"/>
      <c r="D445" s="7"/>
      <c r="E445" s="7"/>
    </row>
    <row r="446">
      <c r="A446" s="7"/>
      <c r="D446" s="7"/>
      <c r="E446" s="7"/>
    </row>
    <row r="447">
      <c r="A447" s="7"/>
      <c r="D447" s="7"/>
      <c r="E447" s="7"/>
    </row>
    <row r="448">
      <c r="A448" s="7"/>
      <c r="D448" s="7"/>
      <c r="E448" s="7"/>
    </row>
    <row r="449">
      <c r="A449" s="7"/>
      <c r="D449" s="7"/>
      <c r="E449" s="7"/>
    </row>
    <row r="450">
      <c r="A450" s="7"/>
      <c r="D450" s="7"/>
      <c r="E450" s="7"/>
    </row>
    <row r="451">
      <c r="A451" s="7"/>
      <c r="D451" s="7"/>
      <c r="E451" s="7"/>
    </row>
    <row r="452">
      <c r="A452" s="7"/>
      <c r="D452" s="7"/>
      <c r="E452" s="7"/>
    </row>
    <row r="453">
      <c r="A453" s="7"/>
      <c r="D453" s="7"/>
      <c r="E453" s="7"/>
    </row>
    <row r="454">
      <c r="A454" s="7"/>
      <c r="D454" s="7"/>
      <c r="E454" s="7"/>
    </row>
    <row r="455">
      <c r="A455" s="7"/>
      <c r="D455" s="7"/>
      <c r="E455" s="7"/>
    </row>
    <row r="456">
      <c r="A456" s="7"/>
      <c r="D456" s="7"/>
      <c r="E456" s="7"/>
    </row>
    <row r="457">
      <c r="A457" s="7"/>
      <c r="D457" s="7"/>
      <c r="E457" s="7"/>
    </row>
    <row r="458">
      <c r="A458" s="7"/>
      <c r="D458" s="7"/>
      <c r="E458" s="7"/>
    </row>
    <row r="459">
      <c r="A459" s="7"/>
      <c r="D459" s="7"/>
      <c r="E459" s="7"/>
    </row>
    <row r="460">
      <c r="A460" s="7"/>
      <c r="D460" s="7"/>
      <c r="E460" s="7"/>
    </row>
    <row r="461">
      <c r="A461" s="7"/>
      <c r="D461" s="7"/>
      <c r="E461" s="7"/>
    </row>
    <row r="462">
      <c r="A462" s="7"/>
      <c r="D462" s="7"/>
      <c r="E462" s="7"/>
    </row>
    <row r="463">
      <c r="A463" s="7"/>
      <c r="D463" s="7"/>
      <c r="E463" s="7"/>
    </row>
    <row r="464">
      <c r="A464" s="7"/>
      <c r="D464" s="7"/>
      <c r="E464" s="7"/>
    </row>
    <row r="465">
      <c r="A465" s="7"/>
      <c r="D465" s="7"/>
      <c r="E465" s="7"/>
    </row>
    <row r="466">
      <c r="A466" s="7"/>
      <c r="D466" s="7"/>
      <c r="E466" s="7"/>
    </row>
    <row r="467">
      <c r="A467" s="7"/>
      <c r="D467" s="7"/>
      <c r="E467" s="7"/>
    </row>
    <row r="468">
      <c r="A468" s="7"/>
      <c r="D468" s="7"/>
      <c r="E468" s="7"/>
    </row>
    <row r="469">
      <c r="A469" s="7"/>
      <c r="D469" s="7"/>
      <c r="E469" s="7"/>
    </row>
    <row r="470">
      <c r="A470" s="7"/>
      <c r="D470" s="7"/>
      <c r="E470" s="7"/>
    </row>
    <row r="471">
      <c r="A471" s="7"/>
      <c r="D471" s="7"/>
      <c r="E471" s="7"/>
    </row>
    <row r="472">
      <c r="A472" s="7"/>
      <c r="D472" s="7"/>
      <c r="E472" s="7"/>
    </row>
    <row r="473">
      <c r="A473" s="7"/>
      <c r="D473" s="7"/>
      <c r="E473" s="7"/>
    </row>
    <row r="474">
      <c r="A474" s="7"/>
      <c r="D474" s="7"/>
      <c r="E474" s="7"/>
    </row>
    <row r="475">
      <c r="A475" s="7"/>
      <c r="D475" s="7"/>
      <c r="E475" s="7"/>
    </row>
    <row r="476">
      <c r="A476" s="7"/>
      <c r="D476" s="7"/>
      <c r="E476" s="7"/>
    </row>
    <row r="477">
      <c r="A477" s="7"/>
      <c r="D477" s="7"/>
      <c r="E477" s="7"/>
    </row>
    <row r="478">
      <c r="A478" s="7"/>
      <c r="D478" s="7"/>
      <c r="E478" s="7"/>
    </row>
    <row r="479">
      <c r="A479" s="7"/>
      <c r="D479" s="7"/>
      <c r="E479" s="7"/>
    </row>
    <row r="480">
      <c r="A480" s="7"/>
      <c r="D480" s="7"/>
      <c r="E480" s="7"/>
    </row>
    <row r="481">
      <c r="A481" s="7"/>
      <c r="D481" s="7"/>
      <c r="E481" s="7"/>
    </row>
    <row r="482">
      <c r="A482" s="7"/>
      <c r="D482" s="7"/>
      <c r="E482" s="7"/>
    </row>
    <row r="483">
      <c r="A483" s="7"/>
      <c r="D483" s="7"/>
      <c r="E483" s="7"/>
    </row>
    <row r="484">
      <c r="A484" s="7"/>
      <c r="D484" s="7"/>
      <c r="E484" s="7"/>
    </row>
    <row r="485">
      <c r="A485" s="7"/>
      <c r="D485" s="7"/>
      <c r="E485" s="7"/>
    </row>
    <row r="486">
      <c r="A486" s="7"/>
      <c r="D486" s="7"/>
      <c r="E486" s="7"/>
    </row>
    <row r="487">
      <c r="A487" s="7"/>
      <c r="D487" s="7"/>
      <c r="E487" s="7"/>
    </row>
    <row r="488">
      <c r="A488" s="7"/>
      <c r="D488" s="7"/>
      <c r="E488" s="7"/>
    </row>
    <row r="489">
      <c r="A489" s="7"/>
      <c r="D489" s="7"/>
      <c r="E489" s="7"/>
    </row>
    <row r="490">
      <c r="A490" s="7"/>
      <c r="D490" s="7"/>
      <c r="E490" s="7"/>
    </row>
    <row r="491">
      <c r="A491" s="7"/>
      <c r="D491" s="7"/>
      <c r="E491" s="7"/>
    </row>
    <row r="492">
      <c r="A492" s="7"/>
      <c r="D492" s="7"/>
      <c r="E492" s="7"/>
    </row>
    <row r="493">
      <c r="A493" s="7"/>
      <c r="D493" s="7"/>
      <c r="E493" s="7"/>
    </row>
    <row r="494">
      <c r="A494" s="7"/>
      <c r="D494" s="7"/>
      <c r="E494" s="7"/>
    </row>
    <row r="495">
      <c r="A495" s="7"/>
      <c r="D495" s="7"/>
      <c r="E495" s="7"/>
    </row>
    <row r="496">
      <c r="A496" s="7"/>
      <c r="D496" s="7"/>
      <c r="E496" s="7"/>
    </row>
    <row r="497">
      <c r="A497" s="7"/>
      <c r="D497" s="7"/>
      <c r="E497" s="7"/>
    </row>
    <row r="498">
      <c r="A498" s="7"/>
      <c r="D498" s="7"/>
      <c r="E498" s="7"/>
    </row>
    <row r="499">
      <c r="A499" s="7"/>
      <c r="D499" s="7"/>
      <c r="E499" s="7"/>
    </row>
    <row r="500">
      <c r="A500" s="7"/>
      <c r="D500" s="7"/>
      <c r="E500" s="7"/>
    </row>
    <row r="501">
      <c r="A501" s="7"/>
      <c r="D501" s="7"/>
      <c r="E501" s="7"/>
    </row>
    <row r="502">
      <c r="A502" s="7"/>
      <c r="D502" s="7"/>
      <c r="E502" s="7"/>
    </row>
    <row r="503">
      <c r="A503" s="7"/>
      <c r="D503" s="7"/>
      <c r="E503" s="7"/>
    </row>
    <row r="504">
      <c r="A504" s="7"/>
      <c r="D504" s="7"/>
      <c r="E504" s="7"/>
    </row>
    <row r="505">
      <c r="A505" s="7"/>
      <c r="D505" s="7"/>
      <c r="E505" s="7"/>
    </row>
    <row r="506">
      <c r="A506" s="7"/>
      <c r="D506" s="7"/>
      <c r="E506" s="7"/>
    </row>
    <row r="507">
      <c r="A507" s="7"/>
      <c r="D507" s="7"/>
      <c r="E507" s="7"/>
    </row>
    <row r="508">
      <c r="A508" s="7"/>
      <c r="D508" s="7"/>
      <c r="E508" s="7"/>
    </row>
    <row r="509">
      <c r="A509" s="7"/>
      <c r="D509" s="7"/>
      <c r="E509" s="7"/>
    </row>
    <row r="510">
      <c r="A510" s="7"/>
      <c r="D510" s="7"/>
      <c r="E510" s="7"/>
    </row>
    <row r="511">
      <c r="A511" s="7"/>
      <c r="D511" s="7"/>
      <c r="E511" s="7"/>
    </row>
    <row r="512">
      <c r="A512" s="7"/>
      <c r="D512" s="7"/>
      <c r="E512" s="7"/>
    </row>
    <row r="513">
      <c r="A513" s="7"/>
      <c r="D513" s="7"/>
      <c r="E513" s="7"/>
    </row>
    <row r="514">
      <c r="A514" s="7"/>
      <c r="D514" s="7"/>
      <c r="E514" s="7"/>
    </row>
    <row r="515">
      <c r="A515" s="7"/>
      <c r="D515" s="7"/>
      <c r="E515" s="7"/>
    </row>
    <row r="516">
      <c r="A516" s="7"/>
      <c r="D516" s="7"/>
      <c r="E516" s="7"/>
    </row>
    <row r="517">
      <c r="A517" s="7"/>
      <c r="D517" s="7"/>
      <c r="E517" s="7"/>
    </row>
    <row r="518">
      <c r="A518" s="7"/>
      <c r="D518" s="7"/>
      <c r="E518" s="7"/>
    </row>
    <row r="519">
      <c r="A519" s="7"/>
      <c r="D519" s="7"/>
      <c r="E519" s="7"/>
    </row>
    <row r="520">
      <c r="A520" s="7"/>
      <c r="D520" s="7"/>
      <c r="E520" s="7"/>
    </row>
    <row r="521">
      <c r="A521" s="7"/>
      <c r="D521" s="7"/>
      <c r="E521" s="7"/>
    </row>
    <row r="522">
      <c r="A522" s="7"/>
      <c r="D522" s="7"/>
      <c r="E522" s="7"/>
    </row>
    <row r="523">
      <c r="A523" s="7"/>
      <c r="D523" s="7"/>
      <c r="E523" s="7"/>
    </row>
    <row r="524">
      <c r="A524" s="7"/>
      <c r="D524" s="7"/>
      <c r="E524" s="7"/>
    </row>
    <row r="525">
      <c r="A525" s="7"/>
      <c r="D525" s="7"/>
      <c r="E525" s="7"/>
    </row>
    <row r="526">
      <c r="A526" s="7"/>
      <c r="D526" s="7"/>
      <c r="E526" s="7"/>
    </row>
    <row r="527">
      <c r="A527" s="7"/>
      <c r="D527" s="7"/>
      <c r="E527" s="7"/>
    </row>
    <row r="528">
      <c r="A528" s="7"/>
      <c r="D528" s="7"/>
      <c r="E528" s="7"/>
    </row>
    <row r="529">
      <c r="A529" s="7"/>
      <c r="D529" s="7"/>
      <c r="E529" s="7"/>
    </row>
    <row r="530">
      <c r="A530" s="7"/>
      <c r="D530" s="7"/>
      <c r="E530" s="7"/>
    </row>
    <row r="531">
      <c r="A531" s="7"/>
      <c r="D531" s="7"/>
      <c r="E531" s="7"/>
    </row>
    <row r="532">
      <c r="A532" s="7"/>
      <c r="D532" s="7"/>
      <c r="E532" s="7"/>
    </row>
    <row r="533">
      <c r="A533" s="7"/>
      <c r="D533" s="7"/>
      <c r="E533" s="7"/>
    </row>
    <row r="534">
      <c r="A534" s="7"/>
      <c r="D534" s="7"/>
      <c r="E534" s="7"/>
    </row>
    <row r="535">
      <c r="A535" s="7"/>
      <c r="D535" s="7"/>
      <c r="E535" s="7"/>
    </row>
    <row r="536">
      <c r="A536" s="7"/>
      <c r="D536" s="7"/>
      <c r="E536" s="7"/>
    </row>
    <row r="537">
      <c r="A537" s="7"/>
      <c r="D537" s="7"/>
      <c r="E537" s="7"/>
    </row>
    <row r="538">
      <c r="A538" s="7"/>
      <c r="D538" s="7"/>
      <c r="E538" s="7"/>
    </row>
    <row r="539">
      <c r="A539" s="7"/>
      <c r="D539" s="7"/>
      <c r="E539" s="7"/>
    </row>
    <row r="540">
      <c r="A540" s="7"/>
      <c r="D540" s="7"/>
      <c r="E540" s="7"/>
    </row>
    <row r="541">
      <c r="A541" s="7"/>
      <c r="D541" s="7"/>
      <c r="E541" s="7"/>
    </row>
    <row r="542">
      <c r="A542" s="7"/>
      <c r="D542" s="7"/>
      <c r="E542" s="7"/>
    </row>
    <row r="543">
      <c r="A543" s="7"/>
      <c r="D543" s="7"/>
      <c r="E543" s="7"/>
    </row>
    <row r="544">
      <c r="A544" s="7"/>
      <c r="D544" s="7"/>
      <c r="E544" s="7"/>
    </row>
    <row r="545">
      <c r="A545" s="7"/>
      <c r="D545" s="7"/>
      <c r="E545" s="7"/>
    </row>
    <row r="546">
      <c r="A546" s="7"/>
      <c r="D546" s="7"/>
      <c r="E546" s="7"/>
    </row>
    <row r="547">
      <c r="A547" s="7"/>
      <c r="D547" s="7"/>
      <c r="E547" s="7"/>
    </row>
    <row r="548">
      <c r="A548" s="7"/>
      <c r="D548" s="7"/>
      <c r="E548" s="7"/>
    </row>
    <row r="549">
      <c r="A549" s="7"/>
      <c r="D549" s="7"/>
      <c r="E549" s="7"/>
    </row>
    <row r="550">
      <c r="A550" s="7"/>
      <c r="D550" s="7"/>
      <c r="E550" s="7"/>
    </row>
    <row r="551">
      <c r="A551" s="7"/>
      <c r="D551" s="7"/>
      <c r="E551" s="7"/>
    </row>
    <row r="552">
      <c r="A552" s="7"/>
      <c r="D552" s="7"/>
      <c r="E552" s="7"/>
    </row>
    <row r="553">
      <c r="A553" s="7"/>
      <c r="D553" s="7"/>
      <c r="E553" s="7"/>
    </row>
    <row r="554">
      <c r="A554" s="7"/>
      <c r="D554" s="7"/>
      <c r="E554" s="7"/>
    </row>
    <row r="555">
      <c r="A555" s="7"/>
      <c r="D555" s="7"/>
      <c r="E555" s="7"/>
    </row>
    <row r="556">
      <c r="A556" s="7"/>
      <c r="D556" s="7"/>
      <c r="E556" s="7"/>
    </row>
    <row r="557">
      <c r="A557" s="7"/>
      <c r="D557" s="7"/>
      <c r="E557" s="7"/>
    </row>
    <row r="558">
      <c r="A558" s="7"/>
      <c r="D558" s="7"/>
      <c r="E558" s="7"/>
    </row>
    <row r="559">
      <c r="A559" s="7"/>
      <c r="D559" s="7"/>
      <c r="E559" s="7"/>
    </row>
    <row r="560">
      <c r="A560" s="7"/>
      <c r="D560" s="7"/>
      <c r="E560" s="7"/>
    </row>
    <row r="561">
      <c r="A561" s="7"/>
      <c r="D561" s="7"/>
      <c r="E561" s="7"/>
    </row>
    <row r="562">
      <c r="A562" s="7"/>
      <c r="D562" s="7"/>
      <c r="E562" s="7"/>
    </row>
    <row r="563">
      <c r="A563" s="7"/>
      <c r="D563" s="7"/>
      <c r="E563" s="7"/>
    </row>
    <row r="564">
      <c r="A564" s="7"/>
      <c r="D564" s="7"/>
      <c r="E564" s="7"/>
    </row>
    <row r="565">
      <c r="A565" s="7"/>
      <c r="D565" s="7"/>
      <c r="E565" s="7"/>
    </row>
    <row r="566">
      <c r="A566" s="7"/>
      <c r="D566" s="7"/>
      <c r="E566" s="7"/>
    </row>
    <row r="567">
      <c r="A567" s="7"/>
      <c r="D567" s="7"/>
      <c r="E567" s="7"/>
    </row>
    <row r="568">
      <c r="A568" s="7"/>
      <c r="D568" s="7"/>
      <c r="E568" s="7"/>
    </row>
    <row r="569">
      <c r="A569" s="7"/>
      <c r="D569" s="7"/>
      <c r="E569" s="7"/>
    </row>
    <row r="570">
      <c r="A570" s="7"/>
      <c r="D570" s="7"/>
      <c r="E570" s="7"/>
    </row>
    <row r="571">
      <c r="A571" s="7"/>
      <c r="D571" s="7"/>
      <c r="E571" s="7"/>
    </row>
    <row r="572">
      <c r="A572" s="7"/>
      <c r="D572" s="7"/>
      <c r="E572" s="7"/>
    </row>
    <row r="573">
      <c r="A573" s="7"/>
      <c r="D573" s="7"/>
      <c r="E573" s="7"/>
    </row>
    <row r="574">
      <c r="A574" s="7"/>
      <c r="D574" s="7"/>
      <c r="E574" s="7"/>
    </row>
    <row r="575">
      <c r="A575" s="7"/>
      <c r="D575" s="7"/>
      <c r="E575" s="7"/>
    </row>
    <row r="576">
      <c r="A576" s="7"/>
      <c r="D576" s="7"/>
      <c r="E576" s="7"/>
    </row>
    <row r="577">
      <c r="A577" s="7"/>
      <c r="D577" s="7"/>
      <c r="E577" s="7"/>
    </row>
    <row r="578">
      <c r="A578" s="7"/>
      <c r="D578" s="7"/>
      <c r="E578" s="7"/>
    </row>
    <row r="579">
      <c r="A579" s="7"/>
      <c r="D579" s="7"/>
      <c r="E579" s="7"/>
    </row>
    <row r="580">
      <c r="A580" s="7"/>
      <c r="D580" s="7"/>
      <c r="E580" s="7"/>
    </row>
    <row r="581">
      <c r="A581" s="7"/>
      <c r="D581" s="7"/>
      <c r="E581" s="7"/>
    </row>
    <row r="582">
      <c r="A582" s="7"/>
      <c r="D582" s="7"/>
      <c r="E582" s="7"/>
    </row>
    <row r="583">
      <c r="A583" s="7"/>
      <c r="D583" s="7"/>
      <c r="E583" s="7"/>
    </row>
    <row r="584">
      <c r="A584" s="7"/>
      <c r="D584" s="7"/>
      <c r="E584" s="7"/>
    </row>
    <row r="585">
      <c r="A585" s="7"/>
      <c r="D585" s="7"/>
      <c r="E585" s="7"/>
    </row>
    <row r="586">
      <c r="A586" s="7"/>
      <c r="D586" s="7"/>
      <c r="E586" s="7"/>
    </row>
    <row r="587">
      <c r="A587" s="7"/>
      <c r="D587" s="7"/>
      <c r="E587" s="7"/>
    </row>
    <row r="588">
      <c r="A588" s="7"/>
      <c r="D588" s="7"/>
      <c r="E588" s="7"/>
    </row>
    <row r="589">
      <c r="A589" s="7"/>
      <c r="D589" s="7"/>
      <c r="E589" s="7"/>
    </row>
    <row r="590">
      <c r="A590" s="7"/>
      <c r="D590" s="7"/>
      <c r="E590" s="7"/>
    </row>
    <row r="591">
      <c r="A591" s="7"/>
      <c r="D591" s="7"/>
      <c r="E591" s="7"/>
    </row>
    <row r="592">
      <c r="A592" s="7"/>
      <c r="D592" s="7"/>
      <c r="E592" s="7"/>
    </row>
    <row r="593">
      <c r="A593" s="7"/>
      <c r="D593" s="7"/>
      <c r="E593" s="7"/>
    </row>
    <row r="594">
      <c r="A594" s="7"/>
      <c r="D594" s="7"/>
      <c r="E594" s="7"/>
    </row>
    <row r="595">
      <c r="A595" s="7"/>
      <c r="D595" s="7"/>
      <c r="E595" s="7"/>
    </row>
    <row r="596">
      <c r="A596" s="7"/>
      <c r="D596" s="7"/>
      <c r="E596" s="7"/>
    </row>
    <row r="597">
      <c r="A597" s="7"/>
      <c r="D597" s="7"/>
      <c r="E597" s="7"/>
    </row>
    <row r="598">
      <c r="A598" s="7"/>
      <c r="D598" s="7"/>
      <c r="E598" s="7"/>
    </row>
    <row r="599">
      <c r="A599" s="7"/>
      <c r="D599" s="7"/>
      <c r="E599" s="7"/>
    </row>
    <row r="600">
      <c r="A600" s="7"/>
      <c r="D600" s="7"/>
      <c r="E600" s="7"/>
    </row>
    <row r="601">
      <c r="A601" s="7"/>
      <c r="D601" s="7"/>
      <c r="E601" s="7"/>
    </row>
    <row r="602">
      <c r="A602" s="7"/>
      <c r="D602" s="7"/>
      <c r="E602" s="7"/>
    </row>
    <row r="603">
      <c r="A603" s="7"/>
      <c r="D603" s="7"/>
      <c r="E603" s="7"/>
    </row>
    <row r="604">
      <c r="A604" s="7"/>
      <c r="D604" s="7"/>
      <c r="E604" s="7"/>
    </row>
    <row r="605">
      <c r="A605" s="7"/>
      <c r="D605" s="7"/>
      <c r="E605" s="7"/>
    </row>
    <row r="606">
      <c r="A606" s="7"/>
      <c r="D606" s="7"/>
      <c r="E606" s="7"/>
    </row>
    <row r="607">
      <c r="A607" s="7"/>
      <c r="D607" s="7"/>
      <c r="E607" s="7"/>
    </row>
    <row r="608">
      <c r="A608" s="7"/>
      <c r="D608" s="7"/>
      <c r="E608" s="7"/>
    </row>
    <row r="609">
      <c r="A609" s="7"/>
      <c r="D609" s="7"/>
      <c r="E609" s="7"/>
    </row>
    <row r="610">
      <c r="A610" s="7"/>
      <c r="D610" s="7"/>
      <c r="E610" s="7"/>
    </row>
    <row r="611">
      <c r="A611" s="7"/>
      <c r="D611" s="7"/>
      <c r="E611" s="7"/>
    </row>
    <row r="612">
      <c r="A612" s="7"/>
      <c r="D612" s="7"/>
      <c r="E612" s="7"/>
    </row>
    <row r="613">
      <c r="A613" s="7"/>
      <c r="D613" s="7"/>
      <c r="E613" s="7"/>
    </row>
    <row r="614">
      <c r="A614" s="7"/>
      <c r="D614" s="7"/>
      <c r="E614" s="7"/>
    </row>
    <row r="615">
      <c r="A615" s="7"/>
      <c r="D615" s="7"/>
      <c r="E615" s="7"/>
    </row>
    <row r="616">
      <c r="A616" s="7"/>
      <c r="D616" s="7"/>
      <c r="E616" s="7"/>
    </row>
    <row r="617">
      <c r="A617" s="7"/>
      <c r="D617" s="7"/>
      <c r="E617" s="7"/>
    </row>
    <row r="618">
      <c r="A618" s="7"/>
      <c r="D618" s="7"/>
      <c r="E618" s="7"/>
    </row>
    <row r="619">
      <c r="A619" s="7"/>
      <c r="D619" s="7"/>
      <c r="E619" s="7"/>
    </row>
    <row r="620">
      <c r="A620" s="7"/>
      <c r="D620" s="7"/>
      <c r="E620" s="7"/>
    </row>
    <row r="621">
      <c r="A621" s="7"/>
      <c r="D621" s="7"/>
      <c r="E621" s="7"/>
    </row>
    <row r="622">
      <c r="A622" s="7"/>
      <c r="D622" s="7"/>
      <c r="E622" s="7"/>
    </row>
    <row r="623">
      <c r="A623" s="7"/>
      <c r="D623" s="7"/>
      <c r="E623" s="7"/>
    </row>
    <row r="624">
      <c r="A624" s="7"/>
      <c r="D624" s="7"/>
      <c r="E624" s="7"/>
    </row>
    <row r="625">
      <c r="A625" s="7"/>
      <c r="D625" s="7"/>
      <c r="E625" s="7"/>
    </row>
    <row r="626">
      <c r="A626" s="7"/>
      <c r="D626" s="7"/>
      <c r="E626" s="7"/>
    </row>
    <row r="627">
      <c r="A627" s="7"/>
      <c r="D627" s="7"/>
      <c r="E627" s="7"/>
    </row>
    <row r="628">
      <c r="A628" s="7"/>
      <c r="D628" s="7"/>
      <c r="E628" s="7"/>
    </row>
    <row r="629">
      <c r="A629" s="7"/>
      <c r="D629" s="7"/>
      <c r="E629" s="7"/>
    </row>
    <row r="630">
      <c r="A630" s="7"/>
      <c r="D630" s="7"/>
      <c r="E630" s="7"/>
    </row>
    <row r="631">
      <c r="A631" s="7"/>
      <c r="D631" s="7"/>
      <c r="E631" s="7"/>
    </row>
    <row r="632">
      <c r="A632" s="7"/>
      <c r="D632" s="7"/>
      <c r="E632" s="7"/>
    </row>
    <row r="633">
      <c r="A633" s="7"/>
      <c r="D633" s="7"/>
      <c r="E633" s="7"/>
    </row>
    <row r="634">
      <c r="A634" s="7"/>
      <c r="D634" s="7"/>
      <c r="E634" s="7"/>
    </row>
    <row r="635">
      <c r="A635" s="7"/>
      <c r="D635" s="7"/>
      <c r="E635" s="7"/>
    </row>
    <row r="636">
      <c r="A636" s="7"/>
      <c r="D636" s="7"/>
      <c r="E636" s="7"/>
    </row>
    <row r="637">
      <c r="A637" s="7"/>
      <c r="D637" s="7"/>
      <c r="E637" s="7"/>
    </row>
    <row r="638">
      <c r="A638" s="7"/>
      <c r="D638" s="7"/>
      <c r="E638" s="7"/>
    </row>
    <row r="639">
      <c r="A639" s="7"/>
      <c r="D639" s="7"/>
      <c r="E639" s="7"/>
    </row>
    <row r="640">
      <c r="A640" s="7"/>
      <c r="D640" s="7"/>
      <c r="E640" s="7"/>
    </row>
    <row r="641">
      <c r="A641" s="7"/>
      <c r="D641" s="7"/>
      <c r="E641" s="7"/>
    </row>
    <row r="642">
      <c r="A642" s="7"/>
      <c r="D642" s="7"/>
      <c r="E642" s="7"/>
    </row>
    <row r="643">
      <c r="A643" s="7"/>
      <c r="D643" s="7"/>
      <c r="E643" s="7"/>
    </row>
    <row r="644">
      <c r="A644" s="7"/>
      <c r="D644" s="7"/>
      <c r="E644" s="7"/>
    </row>
    <row r="645">
      <c r="A645" s="7"/>
      <c r="D645" s="7"/>
      <c r="E645" s="7"/>
    </row>
    <row r="646">
      <c r="A646" s="7"/>
      <c r="D646" s="7"/>
      <c r="E646" s="7"/>
    </row>
    <row r="647">
      <c r="A647" s="7"/>
      <c r="D647" s="7"/>
      <c r="E647" s="7"/>
    </row>
    <row r="648">
      <c r="A648" s="7"/>
      <c r="D648" s="7"/>
      <c r="E648" s="7"/>
    </row>
    <row r="649">
      <c r="A649" s="7"/>
      <c r="D649" s="7"/>
      <c r="E649" s="7"/>
    </row>
    <row r="650">
      <c r="A650" s="7"/>
      <c r="D650" s="7"/>
      <c r="E650" s="7"/>
    </row>
    <row r="651">
      <c r="A651" s="7"/>
      <c r="D651" s="7"/>
      <c r="E651" s="7"/>
    </row>
    <row r="652">
      <c r="A652" s="7"/>
      <c r="D652" s="7"/>
      <c r="E652" s="7"/>
    </row>
    <row r="653">
      <c r="A653" s="7"/>
      <c r="D653" s="7"/>
      <c r="E653" s="7"/>
    </row>
    <row r="654">
      <c r="A654" s="7"/>
      <c r="D654" s="7"/>
      <c r="E654" s="7"/>
    </row>
    <row r="655">
      <c r="A655" s="7"/>
      <c r="D655" s="7"/>
      <c r="E655" s="7"/>
    </row>
    <row r="656">
      <c r="A656" s="7"/>
      <c r="D656" s="7"/>
      <c r="E656" s="7"/>
    </row>
    <row r="657">
      <c r="A657" s="7"/>
      <c r="D657" s="7"/>
      <c r="E657" s="7"/>
    </row>
    <row r="658">
      <c r="A658" s="7"/>
      <c r="D658" s="7"/>
      <c r="E658" s="7"/>
    </row>
    <row r="659">
      <c r="A659" s="7"/>
      <c r="D659" s="7"/>
      <c r="E659" s="7"/>
    </row>
    <row r="660">
      <c r="A660" s="7"/>
      <c r="D660" s="7"/>
      <c r="E660" s="7"/>
    </row>
    <row r="661">
      <c r="A661" s="7"/>
      <c r="D661" s="7"/>
      <c r="E661" s="7"/>
    </row>
    <row r="662">
      <c r="A662" s="7"/>
      <c r="D662" s="7"/>
      <c r="E662" s="7"/>
    </row>
    <row r="663">
      <c r="A663" s="7"/>
      <c r="D663" s="7"/>
      <c r="E663" s="7"/>
    </row>
    <row r="664">
      <c r="A664" s="7"/>
      <c r="D664" s="7"/>
      <c r="E664" s="7"/>
    </row>
    <row r="665">
      <c r="A665" s="7"/>
      <c r="D665" s="7"/>
      <c r="E665" s="7"/>
    </row>
    <row r="666">
      <c r="A666" s="7"/>
      <c r="D666" s="7"/>
      <c r="E666" s="7"/>
    </row>
    <row r="667">
      <c r="A667" s="7"/>
      <c r="D667" s="7"/>
      <c r="E667" s="7"/>
    </row>
    <row r="668">
      <c r="A668" s="7"/>
      <c r="D668" s="7"/>
      <c r="E668" s="7"/>
    </row>
    <row r="669">
      <c r="A669" s="7"/>
      <c r="D669" s="7"/>
      <c r="E669" s="7"/>
    </row>
    <row r="670">
      <c r="A670" s="7"/>
      <c r="D670" s="7"/>
      <c r="E670" s="7"/>
    </row>
    <row r="671">
      <c r="A671" s="7"/>
      <c r="D671" s="7"/>
      <c r="E671" s="7"/>
    </row>
    <row r="672">
      <c r="A672" s="7"/>
      <c r="D672" s="7"/>
      <c r="E672" s="7"/>
    </row>
    <row r="673">
      <c r="A673" s="7"/>
      <c r="D673" s="7"/>
      <c r="E673" s="7"/>
    </row>
    <row r="674">
      <c r="A674" s="7"/>
      <c r="D674" s="7"/>
      <c r="E674" s="7"/>
    </row>
    <row r="675">
      <c r="A675" s="7"/>
      <c r="D675" s="7"/>
      <c r="E675" s="7"/>
    </row>
    <row r="676">
      <c r="A676" s="7"/>
      <c r="D676" s="7"/>
      <c r="E676" s="7"/>
    </row>
    <row r="677">
      <c r="A677" s="7"/>
      <c r="D677" s="7"/>
      <c r="E677" s="7"/>
    </row>
    <row r="678">
      <c r="A678" s="7"/>
      <c r="D678" s="7"/>
      <c r="E678" s="7"/>
    </row>
    <row r="679">
      <c r="A679" s="7"/>
      <c r="D679" s="7"/>
      <c r="E679" s="7"/>
    </row>
    <row r="680">
      <c r="A680" s="7"/>
      <c r="D680" s="7"/>
      <c r="E680" s="7"/>
    </row>
    <row r="681">
      <c r="A681" s="7"/>
      <c r="D681" s="7"/>
      <c r="E681" s="7"/>
    </row>
    <row r="682">
      <c r="A682" s="7"/>
      <c r="D682" s="7"/>
      <c r="E682" s="7"/>
    </row>
    <row r="683">
      <c r="A683" s="7"/>
      <c r="D683" s="7"/>
      <c r="E683" s="7"/>
    </row>
    <row r="684">
      <c r="A684" s="7"/>
      <c r="D684" s="7"/>
      <c r="E684" s="7"/>
    </row>
    <row r="685">
      <c r="A685" s="7"/>
      <c r="D685" s="7"/>
      <c r="E685" s="7"/>
    </row>
    <row r="686">
      <c r="A686" s="7"/>
      <c r="D686" s="7"/>
      <c r="E686" s="7"/>
    </row>
    <row r="687">
      <c r="A687" s="7"/>
      <c r="D687" s="7"/>
      <c r="E687" s="7"/>
    </row>
    <row r="688">
      <c r="A688" s="7"/>
      <c r="D688" s="7"/>
      <c r="E688" s="7"/>
    </row>
    <row r="689">
      <c r="A689" s="7"/>
      <c r="D689" s="7"/>
      <c r="E689" s="7"/>
    </row>
    <row r="690">
      <c r="A690" s="7"/>
      <c r="D690" s="7"/>
      <c r="E690" s="7"/>
    </row>
    <row r="691">
      <c r="A691" s="7"/>
      <c r="D691" s="7"/>
      <c r="E691" s="7"/>
    </row>
    <row r="692">
      <c r="A692" s="7"/>
      <c r="D692" s="7"/>
      <c r="E692" s="7"/>
    </row>
    <row r="693">
      <c r="A693" s="7"/>
      <c r="D693" s="7"/>
      <c r="E693" s="7"/>
    </row>
    <row r="694">
      <c r="A694" s="7"/>
      <c r="D694" s="7"/>
      <c r="E694" s="7"/>
    </row>
    <row r="695">
      <c r="A695" s="7"/>
      <c r="D695" s="7"/>
      <c r="E695" s="7"/>
    </row>
    <row r="696">
      <c r="A696" s="7"/>
      <c r="D696" s="7"/>
      <c r="E696" s="7"/>
    </row>
    <row r="697">
      <c r="A697" s="7"/>
      <c r="D697" s="7"/>
      <c r="E697" s="7"/>
    </row>
    <row r="698">
      <c r="A698" s="7"/>
      <c r="D698" s="7"/>
      <c r="E698" s="7"/>
    </row>
    <row r="699">
      <c r="A699" s="7"/>
      <c r="D699" s="7"/>
      <c r="E699" s="7"/>
    </row>
    <row r="700">
      <c r="A700" s="7"/>
      <c r="D700" s="7"/>
      <c r="E700" s="7"/>
    </row>
    <row r="701">
      <c r="A701" s="7"/>
      <c r="D701" s="7"/>
      <c r="E701" s="7"/>
    </row>
    <row r="702">
      <c r="A702" s="7"/>
      <c r="D702" s="7"/>
      <c r="E702" s="7"/>
    </row>
    <row r="703">
      <c r="A703" s="7"/>
      <c r="D703" s="7"/>
      <c r="E703" s="7"/>
    </row>
    <row r="704">
      <c r="A704" s="7"/>
      <c r="D704" s="7"/>
      <c r="E704" s="7"/>
    </row>
    <row r="705">
      <c r="A705" s="7"/>
      <c r="D705" s="7"/>
      <c r="E705" s="7"/>
    </row>
    <row r="706">
      <c r="A706" s="7"/>
      <c r="D706" s="7"/>
      <c r="E706" s="7"/>
    </row>
    <row r="707">
      <c r="A707" s="7"/>
      <c r="D707" s="7"/>
      <c r="E707" s="7"/>
    </row>
    <row r="708">
      <c r="A708" s="7"/>
      <c r="D708" s="7"/>
      <c r="E708" s="7"/>
    </row>
    <row r="709">
      <c r="A709" s="7"/>
      <c r="D709" s="7"/>
      <c r="E709" s="7"/>
    </row>
    <row r="710">
      <c r="A710" s="7"/>
      <c r="D710" s="7"/>
      <c r="E710" s="7"/>
    </row>
    <row r="711">
      <c r="A711" s="7"/>
      <c r="D711" s="7"/>
      <c r="E711" s="7"/>
    </row>
    <row r="712">
      <c r="A712" s="7"/>
      <c r="D712" s="7"/>
      <c r="E712" s="7"/>
    </row>
    <row r="713">
      <c r="A713" s="7"/>
      <c r="D713" s="7"/>
      <c r="E713" s="7"/>
    </row>
    <row r="714">
      <c r="A714" s="7"/>
      <c r="D714" s="7"/>
      <c r="E714" s="7"/>
    </row>
    <row r="715">
      <c r="A715" s="7"/>
      <c r="D715" s="7"/>
      <c r="E715" s="7"/>
    </row>
    <row r="716">
      <c r="A716" s="7"/>
      <c r="D716" s="7"/>
      <c r="E716" s="7"/>
    </row>
    <row r="717">
      <c r="A717" s="7"/>
      <c r="D717" s="7"/>
      <c r="E717" s="7"/>
    </row>
    <row r="718">
      <c r="A718" s="7"/>
      <c r="D718" s="7"/>
      <c r="E718" s="7"/>
    </row>
    <row r="719">
      <c r="A719" s="7"/>
      <c r="D719" s="7"/>
      <c r="E719" s="7"/>
    </row>
    <row r="720">
      <c r="A720" s="7"/>
      <c r="D720" s="7"/>
      <c r="E720" s="7"/>
    </row>
    <row r="721">
      <c r="A721" s="7"/>
      <c r="D721" s="7"/>
      <c r="E721" s="7"/>
    </row>
    <row r="722">
      <c r="A722" s="7"/>
      <c r="D722" s="7"/>
      <c r="E722" s="7"/>
    </row>
    <row r="723">
      <c r="A723" s="7"/>
      <c r="D723" s="7"/>
      <c r="E723" s="7"/>
    </row>
    <row r="724">
      <c r="A724" s="7"/>
      <c r="D724" s="7"/>
      <c r="E724" s="7"/>
    </row>
    <row r="725">
      <c r="A725" s="7"/>
      <c r="D725" s="7"/>
      <c r="E725" s="7"/>
    </row>
    <row r="726">
      <c r="A726" s="7"/>
      <c r="D726" s="7"/>
      <c r="E726" s="7"/>
    </row>
    <row r="727">
      <c r="A727" s="7"/>
      <c r="D727" s="7"/>
      <c r="E727" s="7"/>
    </row>
    <row r="728">
      <c r="A728" s="7"/>
      <c r="D728" s="7"/>
      <c r="E728" s="7"/>
    </row>
    <row r="729">
      <c r="A729" s="7"/>
      <c r="D729" s="7"/>
      <c r="E729" s="7"/>
    </row>
    <row r="730">
      <c r="A730" s="7"/>
      <c r="D730" s="7"/>
      <c r="E730" s="7"/>
    </row>
    <row r="731">
      <c r="A731" s="7"/>
      <c r="D731" s="7"/>
      <c r="E731" s="7"/>
    </row>
    <row r="732">
      <c r="A732" s="7"/>
      <c r="D732" s="7"/>
      <c r="E732" s="7"/>
    </row>
    <row r="733">
      <c r="A733" s="7"/>
      <c r="D733" s="7"/>
      <c r="E733" s="7"/>
    </row>
    <row r="734">
      <c r="A734" s="7"/>
      <c r="D734" s="7"/>
      <c r="E734" s="7"/>
    </row>
    <row r="735">
      <c r="A735" s="7"/>
      <c r="D735" s="7"/>
      <c r="E735" s="7"/>
    </row>
    <row r="736">
      <c r="A736" s="7"/>
      <c r="D736" s="7"/>
      <c r="E736" s="7"/>
    </row>
    <row r="737">
      <c r="A737" s="7"/>
      <c r="D737" s="7"/>
      <c r="E737" s="7"/>
    </row>
    <row r="738">
      <c r="A738" s="7"/>
      <c r="D738" s="7"/>
      <c r="E738" s="7"/>
    </row>
    <row r="739">
      <c r="A739" s="7"/>
      <c r="D739" s="7"/>
      <c r="E739" s="7"/>
    </row>
    <row r="740">
      <c r="A740" s="7"/>
      <c r="D740" s="7"/>
      <c r="E740" s="7"/>
    </row>
    <row r="741">
      <c r="A741" s="7"/>
      <c r="D741" s="7"/>
      <c r="E741" s="7"/>
    </row>
    <row r="742">
      <c r="A742" s="7"/>
      <c r="D742" s="7"/>
      <c r="E742" s="7"/>
    </row>
    <row r="743">
      <c r="A743" s="7"/>
      <c r="D743" s="7"/>
      <c r="E743" s="7"/>
    </row>
    <row r="744">
      <c r="A744" s="7"/>
      <c r="D744" s="7"/>
      <c r="E744" s="7"/>
    </row>
    <row r="745">
      <c r="A745" s="7"/>
      <c r="D745" s="7"/>
      <c r="E745" s="7"/>
    </row>
    <row r="746">
      <c r="A746" s="7"/>
      <c r="D746" s="7"/>
      <c r="E746" s="7"/>
    </row>
    <row r="747">
      <c r="A747" s="7"/>
      <c r="D747" s="7"/>
      <c r="E747" s="7"/>
    </row>
    <row r="748">
      <c r="A748" s="7"/>
      <c r="D748" s="7"/>
      <c r="E748" s="7"/>
    </row>
    <row r="749">
      <c r="A749" s="7"/>
      <c r="D749" s="7"/>
      <c r="E749" s="7"/>
    </row>
    <row r="750">
      <c r="A750" s="7"/>
      <c r="D750" s="7"/>
      <c r="E750" s="7"/>
    </row>
    <row r="751">
      <c r="A751" s="7"/>
      <c r="D751" s="7"/>
      <c r="E751" s="7"/>
    </row>
    <row r="752">
      <c r="A752" s="7"/>
      <c r="D752" s="7"/>
      <c r="E752" s="7"/>
    </row>
    <row r="753">
      <c r="A753" s="7"/>
      <c r="D753" s="7"/>
      <c r="E753" s="7"/>
    </row>
    <row r="754">
      <c r="A754" s="7"/>
      <c r="D754" s="7"/>
      <c r="E754" s="7"/>
    </row>
    <row r="755">
      <c r="A755" s="7"/>
      <c r="D755" s="7"/>
      <c r="E755" s="7"/>
    </row>
    <row r="756">
      <c r="A756" s="7"/>
      <c r="D756" s="7"/>
      <c r="E756" s="7"/>
    </row>
    <row r="757">
      <c r="A757" s="7"/>
      <c r="D757" s="7"/>
      <c r="E757" s="7"/>
    </row>
    <row r="758">
      <c r="A758" s="7"/>
      <c r="D758" s="7"/>
      <c r="E758" s="7"/>
    </row>
    <row r="759">
      <c r="A759" s="7"/>
      <c r="D759" s="7"/>
      <c r="E759" s="7"/>
    </row>
    <row r="760">
      <c r="A760" s="7"/>
      <c r="D760" s="7"/>
      <c r="E760" s="7"/>
    </row>
    <row r="761">
      <c r="A761" s="7"/>
      <c r="D761" s="7"/>
      <c r="E761" s="7"/>
    </row>
    <row r="762">
      <c r="A762" s="7"/>
      <c r="D762" s="7"/>
      <c r="E762" s="7"/>
    </row>
    <row r="763">
      <c r="A763" s="7"/>
      <c r="D763" s="7"/>
      <c r="E763" s="7"/>
    </row>
    <row r="764">
      <c r="A764" s="7"/>
      <c r="D764" s="7"/>
      <c r="E764" s="7"/>
    </row>
    <row r="765">
      <c r="A765" s="7"/>
      <c r="D765" s="7"/>
      <c r="E765" s="7"/>
    </row>
    <row r="766">
      <c r="A766" s="7"/>
      <c r="D766" s="7"/>
      <c r="E766" s="7"/>
    </row>
    <row r="767">
      <c r="A767" s="7"/>
      <c r="D767" s="7"/>
      <c r="E767" s="7"/>
    </row>
    <row r="768">
      <c r="A768" s="7"/>
      <c r="D768" s="7"/>
      <c r="E768" s="7"/>
    </row>
    <row r="769">
      <c r="A769" s="7"/>
      <c r="D769" s="7"/>
      <c r="E769" s="7"/>
    </row>
    <row r="770">
      <c r="A770" s="7"/>
      <c r="D770" s="7"/>
      <c r="E770" s="7"/>
    </row>
    <row r="771">
      <c r="A771" s="7"/>
      <c r="D771" s="7"/>
      <c r="E771" s="7"/>
    </row>
    <row r="772">
      <c r="A772" s="7"/>
      <c r="D772" s="7"/>
      <c r="E772" s="7"/>
    </row>
    <row r="773">
      <c r="A773" s="7"/>
      <c r="D773" s="7"/>
      <c r="E773" s="7"/>
    </row>
    <row r="774">
      <c r="A774" s="7"/>
      <c r="D774" s="7"/>
      <c r="E774" s="7"/>
    </row>
    <row r="775">
      <c r="A775" s="7"/>
      <c r="D775" s="7"/>
      <c r="E775" s="7"/>
    </row>
    <row r="776">
      <c r="A776" s="7"/>
      <c r="D776" s="7"/>
      <c r="E776" s="7"/>
    </row>
    <row r="777">
      <c r="A777" s="7"/>
      <c r="D777" s="7"/>
      <c r="E777" s="7"/>
    </row>
    <row r="778">
      <c r="A778" s="7"/>
      <c r="D778" s="7"/>
      <c r="E778" s="7"/>
    </row>
    <row r="779">
      <c r="A779" s="7"/>
      <c r="D779" s="7"/>
      <c r="E779" s="7"/>
    </row>
    <row r="780">
      <c r="A780" s="7"/>
      <c r="D780" s="7"/>
      <c r="E780" s="7"/>
    </row>
    <row r="781">
      <c r="A781" s="7"/>
      <c r="D781" s="7"/>
      <c r="E781" s="7"/>
    </row>
    <row r="782">
      <c r="A782" s="7"/>
      <c r="D782" s="7"/>
      <c r="E782" s="7"/>
    </row>
    <row r="783">
      <c r="A783" s="7"/>
      <c r="D783" s="7"/>
      <c r="E783" s="7"/>
    </row>
    <row r="784">
      <c r="A784" s="7"/>
      <c r="D784" s="7"/>
      <c r="E784" s="7"/>
    </row>
    <row r="785">
      <c r="A785" s="7"/>
      <c r="D785" s="7"/>
      <c r="E785" s="7"/>
    </row>
    <row r="786">
      <c r="A786" s="7"/>
      <c r="D786" s="7"/>
      <c r="E786" s="7"/>
    </row>
    <row r="787">
      <c r="A787" s="7"/>
      <c r="D787" s="7"/>
      <c r="E787" s="7"/>
    </row>
    <row r="788">
      <c r="A788" s="7"/>
      <c r="D788" s="7"/>
      <c r="E788" s="7"/>
    </row>
    <row r="789">
      <c r="A789" s="7"/>
      <c r="D789" s="7"/>
      <c r="E789" s="7"/>
    </row>
    <row r="790">
      <c r="A790" s="7"/>
      <c r="D790" s="7"/>
      <c r="E790" s="7"/>
    </row>
    <row r="791">
      <c r="A791" s="7"/>
      <c r="D791" s="7"/>
      <c r="E791" s="7"/>
    </row>
    <row r="792">
      <c r="A792" s="7"/>
      <c r="D792" s="7"/>
      <c r="E792" s="7"/>
    </row>
    <row r="793">
      <c r="A793" s="7"/>
      <c r="D793" s="7"/>
      <c r="E793" s="7"/>
    </row>
    <row r="794">
      <c r="A794" s="7"/>
      <c r="D794" s="7"/>
      <c r="E794" s="7"/>
    </row>
    <row r="795">
      <c r="A795" s="7"/>
      <c r="D795" s="7"/>
      <c r="E795" s="7"/>
    </row>
    <row r="796">
      <c r="A796" s="7"/>
      <c r="D796" s="7"/>
      <c r="E796" s="7"/>
    </row>
    <row r="797">
      <c r="A797" s="7"/>
      <c r="D797" s="7"/>
      <c r="E797" s="7"/>
    </row>
    <row r="798">
      <c r="A798" s="7"/>
      <c r="D798" s="7"/>
      <c r="E798" s="7"/>
    </row>
    <row r="799">
      <c r="A799" s="7"/>
      <c r="D799" s="7"/>
      <c r="E799" s="7"/>
    </row>
    <row r="800">
      <c r="A800" s="7"/>
      <c r="D800" s="7"/>
      <c r="E800" s="7"/>
    </row>
    <row r="801">
      <c r="A801" s="7"/>
      <c r="D801" s="7"/>
      <c r="E801" s="7"/>
    </row>
    <row r="802">
      <c r="A802" s="7"/>
      <c r="D802" s="7"/>
      <c r="E802" s="7"/>
    </row>
    <row r="803">
      <c r="A803" s="7"/>
      <c r="D803" s="7"/>
      <c r="E803" s="7"/>
    </row>
    <row r="804">
      <c r="A804" s="7"/>
      <c r="D804" s="7"/>
      <c r="E804" s="7"/>
    </row>
    <row r="805">
      <c r="A805" s="7"/>
      <c r="D805" s="7"/>
      <c r="E805" s="7"/>
    </row>
    <row r="806">
      <c r="A806" s="7"/>
      <c r="D806" s="7"/>
      <c r="E806" s="7"/>
    </row>
    <row r="807">
      <c r="A807" s="7"/>
      <c r="D807" s="7"/>
      <c r="E807" s="7"/>
    </row>
    <row r="808">
      <c r="A808" s="7"/>
      <c r="D808" s="7"/>
      <c r="E808" s="7"/>
    </row>
    <row r="809">
      <c r="A809" s="7"/>
      <c r="D809" s="7"/>
      <c r="E809" s="7"/>
    </row>
    <row r="810">
      <c r="A810" s="7"/>
      <c r="D810" s="7"/>
      <c r="E810" s="7"/>
    </row>
    <row r="811">
      <c r="A811" s="7"/>
      <c r="D811" s="7"/>
      <c r="E811" s="7"/>
    </row>
    <row r="812">
      <c r="A812" s="7"/>
      <c r="D812" s="7"/>
      <c r="E812" s="7"/>
    </row>
    <row r="813">
      <c r="A813" s="7"/>
      <c r="D813" s="7"/>
      <c r="E813" s="7"/>
    </row>
    <row r="814">
      <c r="A814" s="7"/>
      <c r="D814" s="7"/>
      <c r="E814" s="7"/>
    </row>
    <row r="815">
      <c r="A815" s="7"/>
      <c r="D815" s="7"/>
      <c r="E815" s="7"/>
    </row>
    <row r="816">
      <c r="A816" s="7"/>
      <c r="D816" s="7"/>
      <c r="E816" s="7"/>
    </row>
    <row r="817">
      <c r="A817" s="7"/>
      <c r="D817" s="7"/>
      <c r="E817" s="7"/>
    </row>
    <row r="818">
      <c r="A818" s="7"/>
      <c r="D818" s="7"/>
      <c r="E818" s="7"/>
    </row>
    <row r="819">
      <c r="A819" s="7"/>
      <c r="D819" s="7"/>
      <c r="E819" s="7"/>
    </row>
    <row r="820">
      <c r="A820" s="7"/>
      <c r="D820" s="7"/>
      <c r="E820" s="7"/>
    </row>
    <row r="821">
      <c r="A821" s="7"/>
      <c r="D821" s="7"/>
      <c r="E821" s="7"/>
    </row>
    <row r="822">
      <c r="A822" s="7"/>
      <c r="D822" s="7"/>
      <c r="E822" s="7"/>
    </row>
    <row r="823">
      <c r="A823" s="7"/>
      <c r="D823" s="7"/>
      <c r="E823" s="7"/>
    </row>
    <row r="824">
      <c r="A824" s="7"/>
      <c r="D824" s="7"/>
      <c r="E824" s="7"/>
    </row>
    <row r="825">
      <c r="A825" s="7"/>
      <c r="D825" s="7"/>
      <c r="E825" s="7"/>
    </row>
    <row r="826">
      <c r="A826" s="7"/>
      <c r="D826" s="7"/>
      <c r="E826" s="7"/>
    </row>
    <row r="827">
      <c r="A827" s="7"/>
      <c r="D827" s="7"/>
      <c r="E827" s="7"/>
    </row>
    <row r="828">
      <c r="A828" s="7"/>
      <c r="D828" s="7"/>
      <c r="E828" s="7"/>
    </row>
    <row r="829">
      <c r="A829" s="7"/>
      <c r="D829" s="7"/>
      <c r="E829" s="7"/>
    </row>
    <row r="830">
      <c r="A830" s="7"/>
      <c r="D830" s="7"/>
      <c r="E830" s="7"/>
    </row>
    <row r="831">
      <c r="A831" s="7"/>
      <c r="D831" s="7"/>
      <c r="E831" s="7"/>
    </row>
    <row r="832">
      <c r="A832" s="7"/>
      <c r="D832" s="7"/>
      <c r="E832" s="7"/>
    </row>
    <row r="833">
      <c r="A833" s="7"/>
      <c r="D833" s="7"/>
      <c r="E833" s="7"/>
    </row>
    <row r="834">
      <c r="A834" s="7"/>
      <c r="D834" s="7"/>
      <c r="E834" s="7"/>
    </row>
    <row r="835">
      <c r="A835" s="7"/>
      <c r="D835" s="7"/>
      <c r="E835" s="7"/>
    </row>
    <row r="836">
      <c r="A836" s="7"/>
      <c r="D836" s="7"/>
      <c r="E836" s="7"/>
    </row>
    <row r="837">
      <c r="A837" s="7"/>
      <c r="D837" s="7"/>
      <c r="E837" s="7"/>
    </row>
    <row r="838">
      <c r="A838" s="7"/>
      <c r="D838" s="7"/>
      <c r="E838" s="7"/>
    </row>
    <row r="839">
      <c r="A839" s="7"/>
      <c r="D839" s="7"/>
      <c r="E839" s="7"/>
    </row>
    <row r="840">
      <c r="A840" s="7"/>
      <c r="D840" s="7"/>
      <c r="E840" s="7"/>
    </row>
    <row r="841">
      <c r="A841" s="7"/>
      <c r="D841" s="7"/>
      <c r="E841" s="7"/>
    </row>
    <row r="842">
      <c r="A842" s="7"/>
      <c r="D842" s="7"/>
      <c r="E842" s="7"/>
    </row>
    <row r="843">
      <c r="A843" s="7"/>
      <c r="D843" s="7"/>
      <c r="E843" s="7"/>
    </row>
    <row r="844">
      <c r="A844" s="7"/>
      <c r="D844" s="7"/>
      <c r="E844" s="7"/>
    </row>
    <row r="845">
      <c r="A845" s="7"/>
      <c r="D845" s="7"/>
      <c r="E845" s="7"/>
    </row>
    <row r="846">
      <c r="A846" s="7"/>
      <c r="D846" s="7"/>
      <c r="E846" s="7"/>
    </row>
    <row r="847">
      <c r="A847" s="7"/>
      <c r="D847" s="7"/>
      <c r="E847" s="7"/>
    </row>
    <row r="848">
      <c r="A848" s="7"/>
      <c r="D848" s="7"/>
      <c r="E848" s="7"/>
    </row>
    <row r="849">
      <c r="A849" s="7"/>
      <c r="D849" s="7"/>
      <c r="E849" s="7"/>
    </row>
    <row r="850">
      <c r="A850" s="7"/>
      <c r="D850" s="7"/>
      <c r="E850" s="7"/>
    </row>
    <row r="851">
      <c r="A851" s="7"/>
      <c r="D851" s="7"/>
      <c r="E851" s="7"/>
    </row>
    <row r="852">
      <c r="A852" s="7"/>
      <c r="D852" s="7"/>
      <c r="E852" s="7"/>
    </row>
    <row r="853">
      <c r="A853" s="7"/>
      <c r="D853" s="7"/>
      <c r="E853" s="7"/>
    </row>
    <row r="854">
      <c r="A854" s="7"/>
      <c r="D854" s="7"/>
      <c r="E854" s="7"/>
    </row>
    <row r="855">
      <c r="A855" s="7"/>
      <c r="D855" s="7"/>
      <c r="E855" s="7"/>
    </row>
    <row r="856">
      <c r="A856" s="7"/>
      <c r="D856" s="7"/>
      <c r="E856" s="7"/>
    </row>
    <row r="857">
      <c r="A857" s="7"/>
      <c r="D857" s="7"/>
      <c r="E857" s="7"/>
    </row>
    <row r="858">
      <c r="A858" s="7"/>
      <c r="D858" s="7"/>
      <c r="E858" s="7"/>
    </row>
    <row r="859">
      <c r="A859" s="7"/>
      <c r="D859" s="7"/>
      <c r="E859" s="7"/>
    </row>
    <row r="860">
      <c r="A860" s="7"/>
      <c r="D860" s="7"/>
      <c r="E860" s="7"/>
    </row>
    <row r="861">
      <c r="A861" s="7"/>
      <c r="D861" s="7"/>
      <c r="E861" s="7"/>
    </row>
    <row r="862">
      <c r="A862" s="7"/>
      <c r="D862" s="7"/>
      <c r="E862" s="7"/>
    </row>
    <row r="863">
      <c r="A863" s="7"/>
      <c r="D863" s="7"/>
      <c r="E863" s="7"/>
    </row>
    <row r="864">
      <c r="A864" s="7"/>
      <c r="D864" s="7"/>
      <c r="E864" s="7"/>
    </row>
    <row r="865">
      <c r="A865" s="7"/>
      <c r="D865" s="7"/>
      <c r="E865" s="7"/>
    </row>
    <row r="866">
      <c r="A866" s="7"/>
      <c r="D866" s="7"/>
      <c r="E866" s="7"/>
    </row>
    <row r="867">
      <c r="A867" s="7"/>
      <c r="D867" s="7"/>
      <c r="E867" s="7"/>
    </row>
    <row r="868">
      <c r="A868" s="7"/>
      <c r="D868" s="7"/>
      <c r="E868" s="7"/>
    </row>
    <row r="869">
      <c r="A869" s="7"/>
      <c r="D869" s="7"/>
      <c r="E869" s="7"/>
    </row>
    <row r="870">
      <c r="A870" s="7"/>
      <c r="D870" s="7"/>
      <c r="E870" s="7"/>
    </row>
    <row r="871">
      <c r="A871" s="7"/>
      <c r="D871" s="7"/>
      <c r="E871" s="7"/>
    </row>
    <row r="872">
      <c r="A872" s="7"/>
      <c r="D872" s="7"/>
      <c r="E872" s="7"/>
    </row>
    <row r="873">
      <c r="A873" s="7"/>
      <c r="D873" s="7"/>
      <c r="E873" s="7"/>
    </row>
    <row r="874">
      <c r="A874" s="7"/>
      <c r="D874" s="7"/>
      <c r="E874" s="7"/>
    </row>
    <row r="875">
      <c r="A875" s="7"/>
      <c r="D875" s="7"/>
      <c r="E875" s="7"/>
    </row>
    <row r="876">
      <c r="A876" s="7"/>
      <c r="D876" s="7"/>
      <c r="E876" s="7"/>
    </row>
    <row r="877">
      <c r="A877" s="7"/>
      <c r="D877" s="7"/>
      <c r="E877" s="7"/>
    </row>
    <row r="878">
      <c r="A878" s="7"/>
      <c r="D878" s="7"/>
      <c r="E878" s="7"/>
    </row>
    <row r="879">
      <c r="A879" s="7"/>
      <c r="D879" s="7"/>
      <c r="E879" s="7"/>
    </row>
    <row r="880">
      <c r="A880" s="7"/>
      <c r="D880" s="7"/>
      <c r="E880" s="7"/>
    </row>
    <row r="881">
      <c r="A881" s="7"/>
      <c r="D881" s="7"/>
      <c r="E881" s="7"/>
    </row>
    <row r="882">
      <c r="A882" s="7"/>
      <c r="D882" s="7"/>
      <c r="E882" s="7"/>
    </row>
    <row r="883">
      <c r="A883" s="7"/>
      <c r="D883" s="7"/>
      <c r="E883" s="7"/>
    </row>
    <row r="884">
      <c r="A884" s="7"/>
      <c r="D884" s="7"/>
      <c r="E884" s="7"/>
    </row>
    <row r="885">
      <c r="A885" s="7"/>
      <c r="D885" s="7"/>
      <c r="E885" s="7"/>
    </row>
    <row r="886">
      <c r="A886" s="7"/>
      <c r="D886" s="7"/>
      <c r="E886" s="7"/>
    </row>
    <row r="887">
      <c r="A887" s="7"/>
      <c r="D887" s="7"/>
      <c r="E887" s="7"/>
    </row>
    <row r="888">
      <c r="A888" s="7"/>
      <c r="D888" s="7"/>
      <c r="E888" s="7"/>
    </row>
    <row r="889">
      <c r="A889" s="7"/>
      <c r="D889" s="7"/>
      <c r="E889" s="7"/>
    </row>
    <row r="890">
      <c r="A890" s="7"/>
      <c r="D890" s="7"/>
      <c r="E890" s="7"/>
    </row>
    <row r="891">
      <c r="A891" s="7"/>
      <c r="D891" s="7"/>
      <c r="E891" s="7"/>
    </row>
    <row r="892">
      <c r="A892" s="7"/>
      <c r="D892" s="7"/>
      <c r="E892" s="7"/>
    </row>
    <row r="893">
      <c r="A893" s="7"/>
      <c r="D893" s="7"/>
      <c r="E893" s="7"/>
    </row>
    <row r="894">
      <c r="A894" s="7"/>
      <c r="D894" s="7"/>
      <c r="E894" s="7"/>
    </row>
    <row r="895">
      <c r="A895" s="7"/>
      <c r="D895" s="7"/>
      <c r="E895" s="7"/>
    </row>
    <row r="896">
      <c r="A896" s="7"/>
      <c r="D896" s="7"/>
      <c r="E896" s="7"/>
    </row>
    <row r="897">
      <c r="A897" s="7"/>
      <c r="D897" s="7"/>
      <c r="E897" s="7"/>
    </row>
    <row r="898">
      <c r="A898" s="7"/>
      <c r="D898" s="7"/>
      <c r="E898" s="7"/>
    </row>
    <row r="899">
      <c r="A899" s="7"/>
      <c r="D899" s="7"/>
      <c r="E899" s="7"/>
    </row>
    <row r="900">
      <c r="A900" s="7"/>
      <c r="D900" s="7"/>
      <c r="E900" s="7"/>
    </row>
    <row r="901">
      <c r="A901" s="7"/>
      <c r="D901" s="7"/>
      <c r="E901" s="7"/>
    </row>
    <row r="902">
      <c r="A902" s="7"/>
      <c r="D902" s="7"/>
      <c r="E902" s="7"/>
    </row>
    <row r="903">
      <c r="A903" s="7"/>
      <c r="D903" s="7"/>
      <c r="E903" s="7"/>
    </row>
    <row r="904">
      <c r="A904" s="7"/>
      <c r="D904" s="7"/>
      <c r="E904" s="7"/>
    </row>
    <row r="905">
      <c r="A905" s="7"/>
      <c r="D905" s="7"/>
      <c r="E905" s="7"/>
    </row>
    <row r="906">
      <c r="A906" s="7"/>
      <c r="D906" s="7"/>
      <c r="E906" s="7"/>
    </row>
    <row r="907">
      <c r="A907" s="7"/>
      <c r="D907" s="7"/>
      <c r="E907" s="7"/>
    </row>
    <row r="908">
      <c r="A908" s="7"/>
      <c r="D908" s="7"/>
      <c r="E908" s="7"/>
    </row>
    <row r="909">
      <c r="A909" s="7"/>
      <c r="D909" s="7"/>
      <c r="E909" s="7"/>
    </row>
    <row r="910">
      <c r="A910" s="7"/>
      <c r="D910" s="7"/>
      <c r="E910" s="7"/>
    </row>
    <row r="911">
      <c r="A911" s="7"/>
      <c r="D911" s="7"/>
      <c r="E911" s="7"/>
    </row>
    <row r="912">
      <c r="A912" s="7"/>
      <c r="D912" s="7"/>
      <c r="E912" s="7"/>
    </row>
    <row r="913">
      <c r="A913" s="7"/>
      <c r="D913" s="7"/>
      <c r="E913" s="7"/>
    </row>
    <row r="914">
      <c r="A914" s="7"/>
      <c r="D914" s="7"/>
      <c r="E914" s="7"/>
    </row>
    <row r="915">
      <c r="A915" s="7"/>
      <c r="D915" s="7"/>
      <c r="E915" s="7"/>
    </row>
    <row r="916">
      <c r="A916" s="7"/>
      <c r="D916" s="7"/>
      <c r="E916" s="7"/>
    </row>
    <row r="917">
      <c r="A917" s="7"/>
      <c r="D917" s="7"/>
      <c r="E917" s="7"/>
    </row>
    <row r="918">
      <c r="A918" s="7"/>
      <c r="D918" s="7"/>
      <c r="E918" s="7"/>
    </row>
    <row r="919">
      <c r="A919" s="7"/>
      <c r="D919" s="7"/>
      <c r="E919" s="7"/>
    </row>
    <row r="920">
      <c r="A920" s="7"/>
      <c r="D920" s="7"/>
      <c r="E920" s="7"/>
    </row>
    <row r="921">
      <c r="A921" s="7"/>
      <c r="D921" s="7"/>
      <c r="E921" s="7"/>
    </row>
    <row r="922">
      <c r="A922" s="7"/>
      <c r="D922" s="7"/>
      <c r="E922" s="7"/>
    </row>
    <row r="923">
      <c r="A923" s="7"/>
      <c r="D923" s="7"/>
      <c r="E923" s="7"/>
    </row>
    <row r="924">
      <c r="A924" s="7"/>
      <c r="D924" s="7"/>
      <c r="E924" s="7"/>
    </row>
    <row r="925">
      <c r="A925" s="7"/>
      <c r="D925" s="7"/>
      <c r="E925" s="7"/>
    </row>
    <row r="926">
      <c r="A926" s="7"/>
      <c r="D926" s="7"/>
      <c r="E926" s="7"/>
    </row>
    <row r="927">
      <c r="A927" s="7"/>
      <c r="D927" s="7"/>
      <c r="E927" s="7"/>
    </row>
    <row r="928">
      <c r="A928" s="7"/>
      <c r="D928" s="7"/>
      <c r="E928" s="7"/>
    </row>
    <row r="929">
      <c r="A929" s="7"/>
      <c r="D929" s="7"/>
      <c r="E929" s="7"/>
    </row>
    <row r="930">
      <c r="A930" s="7"/>
      <c r="D930" s="7"/>
      <c r="E930" s="7"/>
    </row>
    <row r="931">
      <c r="A931" s="7"/>
      <c r="D931" s="7"/>
      <c r="E931" s="7"/>
    </row>
    <row r="932">
      <c r="A932" s="7"/>
      <c r="D932" s="7"/>
      <c r="E932" s="7"/>
    </row>
    <row r="933">
      <c r="A933" s="7"/>
      <c r="D933" s="7"/>
      <c r="E933" s="7"/>
    </row>
    <row r="934">
      <c r="A934" s="7"/>
      <c r="D934" s="7"/>
      <c r="E934" s="7"/>
    </row>
    <row r="935">
      <c r="A935" s="7"/>
      <c r="D935" s="7"/>
      <c r="E935" s="7"/>
    </row>
    <row r="936">
      <c r="A936" s="7"/>
      <c r="D936" s="7"/>
      <c r="E936" s="7"/>
    </row>
    <row r="937">
      <c r="A937" s="7"/>
      <c r="D937" s="7"/>
      <c r="E937" s="7"/>
    </row>
    <row r="938">
      <c r="A938" s="7"/>
      <c r="D938" s="7"/>
      <c r="E938" s="7"/>
    </row>
    <row r="939">
      <c r="A939" s="7"/>
      <c r="D939" s="7"/>
      <c r="E939" s="7"/>
    </row>
    <row r="940">
      <c r="A940" s="7"/>
      <c r="D940" s="7"/>
      <c r="E940" s="7"/>
    </row>
    <row r="941">
      <c r="A941" s="7"/>
      <c r="D941" s="7"/>
      <c r="E941" s="7"/>
    </row>
    <row r="942">
      <c r="A942" s="7"/>
      <c r="D942" s="7"/>
      <c r="E942" s="7"/>
    </row>
    <row r="943">
      <c r="A943" s="7"/>
      <c r="D943" s="7"/>
      <c r="E943" s="7"/>
    </row>
    <row r="944">
      <c r="A944" s="7"/>
      <c r="D944" s="7"/>
      <c r="E944" s="7"/>
    </row>
    <row r="945">
      <c r="A945" s="7"/>
      <c r="D945" s="7"/>
      <c r="E945" s="7"/>
    </row>
    <row r="946">
      <c r="A946" s="7"/>
      <c r="D946" s="7"/>
      <c r="E946" s="7"/>
    </row>
    <row r="947">
      <c r="A947" s="7"/>
      <c r="D947" s="7"/>
      <c r="E947" s="7"/>
    </row>
    <row r="948">
      <c r="A948" s="7"/>
      <c r="D948" s="7"/>
      <c r="E948" s="7"/>
    </row>
    <row r="949">
      <c r="A949" s="7"/>
      <c r="D949" s="7"/>
      <c r="E949" s="7"/>
    </row>
    <row r="950">
      <c r="A950" s="7"/>
      <c r="D950" s="7"/>
      <c r="E950" s="7"/>
    </row>
    <row r="951">
      <c r="A951" s="7"/>
      <c r="D951" s="7"/>
      <c r="E951" s="7"/>
    </row>
    <row r="952">
      <c r="A952" s="7"/>
      <c r="D952" s="7"/>
      <c r="E952" s="7"/>
    </row>
    <row r="953">
      <c r="A953" s="7"/>
      <c r="D953" s="7"/>
      <c r="E953" s="7"/>
    </row>
    <row r="954">
      <c r="A954" s="7"/>
      <c r="D954" s="7"/>
      <c r="E954" s="7"/>
    </row>
    <row r="955">
      <c r="A955" s="7"/>
      <c r="D955" s="7"/>
      <c r="E955" s="7"/>
    </row>
    <row r="956">
      <c r="A956" s="7"/>
      <c r="D956" s="7"/>
      <c r="E956" s="7"/>
    </row>
    <row r="957">
      <c r="A957" s="7"/>
      <c r="D957" s="7"/>
      <c r="E957" s="7"/>
    </row>
    <row r="958">
      <c r="A958" s="7"/>
      <c r="D958" s="7"/>
      <c r="E958" s="7"/>
    </row>
    <row r="959">
      <c r="A959" s="7"/>
      <c r="D959" s="7"/>
      <c r="E959" s="7"/>
    </row>
    <row r="960">
      <c r="A960" s="7"/>
      <c r="D960" s="7"/>
      <c r="E960" s="7"/>
    </row>
    <row r="961">
      <c r="A961" s="7"/>
      <c r="D961" s="7"/>
      <c r="E961" s="7"/>
    </row>
    <row r="962">
      <c r="A962" s="7"/>
      <c r="D962" s="7"/>
      <c r="E962" s="7"/>
    </row>
    <row r="963">
      <c r="A963" s="7"/>
      <c r="D963" s="7"/>
      <c r="E963" s="7"/>
    </row>
    <row r="964">
      <c r="A964" s="7"/>
      <c r="D964" s="7"/>
      <c r="E964" s="7"/>
    </row>
    <row r="965">
      <c r="A965" s="7"/>
      <c r="D965" s="7"/>
      <c r="E965" s="7"/>
    </row>
    <row r="966">
      <c r="A966" s="7"/>
      <c r="D966" s="7"/>
      <c r="E966" s="7"/>
    </row>
    <row r="967">
      <c r="A967" s="7"/>
      <c r="D967" s="7"/>
      <c r="E967" s="7"/>
    </row>
    <row r="968">
      <c r="A968" s="7"/>
      <c r="D968" s="7"/>
      <c r="E968" s="7"/>
    </row>
    <row r="969">
      <c r="A969" s="7"/>
      <c r="D969" s="7"/>
      <c r="E969" s="7"/>
    </row>
    <row r="970">
      <c r="A970" s="7"/>
      <c r="D970" s="7"/>
      <c r="E970" s="7"/>
    </row>
    <row r="971">
      <c r="A971" s="7"/>
      <c r="D971" s="7"/>
      <c r="E971" s="7"/>
    </row>
    <row r="972">
      <c r="A972" s="7"/>
      <c r="D972" s="7"/>
      <c r="E972" s="7"/>
    </row>
    <row r="973">
      <c r="A973" s="7"/>
      <c r="D973" s="7"/>
      <c r="E973" s="7"/>
    </row>
    <row r="974">
      <c r="A974" s="7"/>
      <c r="D974" s="7"/>
      <c r="E974" s="7"/>
    </row>
    <row r="975">
      <c r="A975" s="7"/>
      <c r="D975" s="7"/>
      <c r="E975" s="7"/>
    </row>
    <row r="976">
      <c r="A976" s="7"/>
      <c r="D976" s="7"/>
      <c r="E976" s="7"/>
    </row>
    <row r="977">
      <c r="A977" s="7"/>
      <c r="D977" s="7"/>
      <c r="E977" s="7"/>
    </row>
    <row r="978">
      <c r="A978" s="7"/>
      <c r="D978" s="7"/>
      <c r="E978" s="7"/>
    </row>
    <row r="979">
      <c r="A979" s="7"/>
      <c r="D979" s="7"/>
      <c r="E979" s="7"/>
    </row>
    <row r="980">
      <c r="A980" s="7"/>
      <c r="D980" s="7"/>
      <c r="E980" s="7"/>
    </row>
    <row r="981">
      <c r="A981" s="7"/>
      <c r="D981" s="7"/>
      <c r="E981" s="7"/>
    </row>
    <row r="982">
      <c r="A982" s="7"/>
      <c r="D982" s="7"/>
      <c r="E982" s="7"/>
    </row>
    <row r="983">
      <c r="A983" s="7"/>
      <c r="D983" s="7"/>
      <c r="E983" s="7"/>
    </row>
    <row r="984">
      <c r="A984" s="7"/>
      <c r="D984" s="7"/>
      <c r="E984" s="7"/>
    </row>
    <row r="985">
      <c r="A985" s="7"/>
      <c r="D985" s="7"/>
      <c r="E985" s="7"/>
    </row>
    <row r="986">
      <c r="A986" s="7"/>
      <c r="D986" s="7"/>
      <c r="E986" s="7"/>
    </row>
    <row r="987">
      <c r="A987" s="7"/>
      <c r="D987" s="7"/>
      <c r="E987" s="7"/>
    </row>
    <row r="988">
      <c r="A988" s="7"/>
      <c r="D988" s="7"/>
      <c r="E988" s="7"/>
    </row>
    <row r="989">
      <c r="A989" s="7"/>
      <c r="D989" s="7"/>
      <c r="E989" s="7"/>
    </row>
    <row r="990">
      <c r="A990" s="7"/>
      <c r="D990" s="7"/>
      <c r="E990" s="7"/>
    </row>
    <row r="991">
      <c r="A991" s="7"/>
      <c r="D991" s="7"/>
      <c r="E991" s="7"/>
    </row>
    <row r="992">
      <c r="A992" s="7"/>
      <c r="D992" s="7"/>
      <c r="E992" s="7"/>
    </row>
    <row r="993">
      <c r="A993" s="7"/>
      <c r="D993" s="7"/>
      <c r="E993" s="7"/>
    </row>
    <row r="994">
      <c r="A994" s="7"/>
      <c r="D994" s="7"/>
      <c r="E994" s="7"/>
    </row>
    <row r="995">
      <c r="A995" s="7"/>
      <c r="D995" s="7"/>
      <c r="E995" s="7"/>
    </row>
    <row r="996">
      <c r="A996" s="7"/>
      <c r="D996" s="7"/>
      <c r="E996" s="7"/>
    </row>
    <row r="997">
      <c r="A997" s="7"/>
      <c r="D997" s="7"/>
      <c r="E997" s="7"/>
    </row>
    <row r="998">
      <c r="A998" s="7"/>
      <c r="D998" s="7"/>
      <c r="E998" s="7"/>
    </row>
    <row r="999">
      <c r="A999" s="7"/>
      <c r="D999" s="7"/>
      <c r="E999" s="7"/>
    </row>
    <row r="1000">
      <c r="A1000" s="7"/>
      <c r="D1000" s="7"/>
      <c r="E1000" s="7"/>
    </row>
    <row r="1001">
      <c r="A1001" s="7"/>
      <c r="D1001" s="7"/>
      <c r="E1001" s="7"/>
    </row>
    <row r="1002">
      <c r="A1002" s="7"/>
      <c r="D1002" s="7"/>
      <c r="E1002" s="7"/>
    </row>
  </sheetData>
  <mergeCells count="2">
    <mergeCell ref="D1:E1"/>
    <mergeCell ref="F1:G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5.13"/>
    <col customWidth="1" min="2" max="2" width="6.25"/>
    <col customWidth="1" min="3" max="3" width="5.5"/>
    <col customWidth="1" min="4" max="4" width="11.25"/>
    <col customWidth="1" min="5" max="5" width="3.13"/>
    <col customWidth="1" min="6" max="6" width="24.5"/>
    <col customWidth="1" min="7" max="7" width="24.88"/>
    <col customWidth="1" min="8" max="8" width="12.5"/>
    <col customWidth="1" min="9" max="10" width="7.38"/>
    <col customWidth="1" min="11" max="11" width="6.5"/>
    <col customWidth="1" min="12" max="12" width="8.5"/>
    <col customWidth="1" min="13" max="14" width="6.5"/>
    <col customWidth="1" min="15" max="16" width="7.38"/>
    <col customWidth="1" min="17" max="17" width="18.25"/>
    <col customWidth="1" min="18" max="18" width="5.75"/>
    <col customWidth="1" min="19" max="19" width="5.63"/>
    <col customWidth="1" min="20" max="20" width="6.63"/>
    <col customWidth="1" min="21" max="21" width="6.88"/>
    <col customWidth="1" min="22" max="22" width="7.75"/>
    <col customWidth="1" min="23" max="23" width="6.63"/>
    <col customWidth="1" min="24" max="24" width="7.63"/>
    <col customWidth="1" min="25" max="26" width="42.88"/>
    <col customWidth="1" min="27" max="40" width="11.0"/>
  </cols>
  <sheetData>
    <row r="1" ht="45.0" customHeight="1">
      <c r="A1" s="1" t="s">
        <v>0</v>
      </c>
      <c r="B1" s="6" t="str">
        <f>HYPERLINK("#rangeid=2086300674","Content Owner")</f>
        <v>Content Owner</v>
      </c>
      <c r="C1" s="9" t="str">
        <f>HYPERLINK("#rangeid=632369931","Video Owner")</f>
        <v>Video Owner</v>
      </c>
      <c r="D1" s="11" t="s">
        <v>4</v>
      </c>
      <c r="E1" s="12" t="s">
        <v>5</v>
      </c>
      <c r="F1" s="13" t="s">
        <v>6</v>
      </c>
      <c r="G1" s="1" t="s">
        <v>7</v>
      </c>
      <c r="H1" s="21" t="str">
        <f>HYPERLINK("#rangeid=906849400","Description")</f>
        <v>Description</v>
      </c>
      <c r="I1" s="17" t="s">
        <v>11</v>
      </c>
      <c r="J1" s="1" t="s">
        <v>15</v>
      </c>
      <c r="K1" s="230" t="s">
        <v>1664</v>
      </c>
      <c r="L1" s="1" t="s">
        <v>22</v>
      </c>
      <c r="M1" s="1" t="s">
        <v>23</v>
      </c>
      <c r="N1" s="1" t="s">
        <v>25</v>
      </c>
      <c r="O1" s="1" t="s">
        <v>26</v>
      </c>
      <c r="P1" s="1" t="s">
        <v>27</v>
      </c>
      <c r="Q1" s="1" t="s">
        <v>28</v>
      </c>
      <c r="R1" s="23" t="s">
        <v>29</v>
      </c>
      <c r="S1" s="23" t="s">
        <v>31</v>
      </c>
      <c r="T1" s="23" t="s">
        <v>32</v>
      </c>
      <c r="U1" s="26" t="s">
        <v>33</v>
      </c>
      <c r="V1" s="29" t="s">
        <v>35</v>
      </c>
      <c r="W1" s="31" t="str">
        <f>HYPERLINK("#rangeid=120001109","Replay")</f>
        <v>Replay</v>
      </c>
      <c r="X1" s="33" t="s">
        <v>38</v>
      </c>
      <c r="Y1" s="34" t="s">
        <v>39</v>
      </c>
      <c r="Z1" s="36" t="s">
        <v>40</v>
      </c>
      <c r="AA1" s="37"/>
      <c r="AB1" s="37"/>
      <c r="AC1" s="37"/>
      <c r="AD1" s="37"/>
      <c r="AE1" s="37"/>
      <c r="AF1" s="37"/>
      <c r="AG1" s="37"/>
      <c r="AH1" s="37"/>
      <c r="AI1" s="37"/>
      <c r="AJ1" s="37"/>
      <c r="AK1" s="37"/>
      <c r="AL1" s="37"/>
      <c r="AM1" s="37"/>
      <c r="AN1" s="37"/>
    </row>
    <row r="2">
      <c r="A2" s="38">
        <v>1.0</v>
      </c>
      <c r="B2" s="38" t="s">
        <v>49</v>
      </c>
      <c r="C2" s="39"/>
      <c r="D2" s="38" t="s">
        <v>55</v>
      </c>
      <c r="E2" s="38" t="s">
        <v>56</v>
      </c>
      <c r="F2" s="41" t="s">
        <v>57</v>
      </c>
      <c r="G2" s="43" t="s">
        <v>58</v>
      </c>
      <c r="H2" s="45" t="s">
        <v>59</v>
      </c>
      <c r="I2" s="38"/>
      <c r="J2" s="38">
        <f>7*1000</f>
        <v>7000</v>
      </c>
      <c r="K2" s="46">
        <v>0.00962962962962963</v>
      </c>
      <c r="L2" s="47" t="s">
        <v>60</v>
      </c>
      <c r="M2" s="46"/>
      <c r="N2" s="46"/>
      <c r="O2" s="38"/>
      <c r="P2" s="49">
        <v>42989.0</v>
      </c>
      <c r="Q2" s="12" t="str">
        <f t="shared" ref="Q2:Q169" si="1">HYPERLINK(IF(INT(A2)-A2=0,"",REPLACE(INDIRECT("MasterList!e"&amp;INT(A2)+1),25,8,"embed/")&amp;"?start="&amp;HOUR(M2)*3600+MINUTE(M2)*60+SECOND(M2)&amp;"&amp;end="&amp;HOUR(N2)*3600+MINUTE(N2)*60+SECOND(N2)&amp;"&amp;autoplay=1"))</f>
        <v/>
      </c>
      <c r="R2" s="50" t="s">
        <v>61</v>
      </c>
      <c r="S2" s="50" t="s">
        <v>61</v>
      </c>
      <c r="T2" s="50" t="s">
        <v>61</v>
      </c>
      <c r="U2" s="53"/>
      <c r="V2" s="54"/>
      <c r="W2" s="56" t="s">
        <v>62</v>
      </c>
      <c r="X2" s="57"/>
      <c r="Y2" s="38"/>
      <c r="Z2" s="38"/>
    </row>
    <row r="3">
      <c r="A3" s="38">
        <v>2.0</v>
      </c>
      <c r="B3" s="38" t="s">
        <v>49</v>
      </c>
      <c r="C3" s="39"/>
      <c r="D3" s="38" t="s">
        <v>55</v>
      </c>
      <c r="E3" s="38" t="s">
        <v>63</v>
      </c>
      <c r="F3" s="41" t="s">
        <v>64</v>
      </c>
      <c r="G3" s="43" t="s">
        <v>65</v>
      </c>
      <c r="H3" s="58" t="s">
        <v>1673</v>
      </c>
      <c r="I3" s="38"/>
      <c r="J3" s="38">
        <f>4*1000</f>
        <v>4000</v>
      </c>
      <c r="K3" s="46">
        <v>0.010289351851851852</v>
      </c>
      <c r="L3" s="47" t="s">
        <v>60</v>
      </c>
      <c r="M3" s="46"/>
      <c r="N3" s="46"/>
      <c r="O3" s="38"/>
      <c r="P3" s="49">
        <v>42989.0</v>
      </c>
      <c r="Q3" s="12" t="str">
        <f t="shared" si="1"/>
        <v/>
      </c>
      <c r="R3" s="50" t="s">
        <v>61</v>
      </c>
      <c r="S3" s="50" t="s">
        <v>61</v>
      </c>
      <c r="T3" s="50" t="s">
        <v>61</v>
      </c>
      <c r="U3" s="53"/>
      <c r="V3" s="54"/>
      <c r="W3" s="56" t="s">
        <v>62</v>
      </c>
      <c r="X3" s="57"/>
      <c r="Y3" s="38"/>
      <c r="Z3" s="38"/>
    </row>
    <row r="4">
      <c r="A4" s="38">
        <v>3.0</v>
      </c>
      <c r="B4" s="38" t="s">
        <v>49</v>
      </c>
      <c r="C4" s="39"/>
      <c r="D4" s="38" t="s">
        <v>55</v>
      </c>
      <c r="E4" s="38" t="s">
        <v>67</v>
      </c>
      <c r="F4" s="41" t="s">
        <v>68</v>
      </c>
      <c r="G4" s="43" t="s">
        <v>69</v>
      </c>
      <c r="H4" s="45" t="s">
        <v>70</v>
      </c>
      <c r="I4" s="38"/>
      <c r="J4" s="38">
        <f>826</f>
        <v>826</v>
      </c>
      <c r="K4" s="46">
        <v>0.0021643518518518518</v>
      </c>
      <c r="L4" s="47" t="s">
        <v>60</v>
      </c>
      <c r="M4" s="46"/>
      <c r="N4" s="46"/>
      <c r="O4" s="38"/>
      <c r="P4" s="49">
        <v>42990.0</v>
      </c>
      <c r="Q4" s="12" t="str">
        <f t="shared" si="1"/>
        <v/>
      </c>
      <c r="R4" s="50" t="s">
        <v>61</v>
      </c>
      <c r="S4" s="50" t="s">
        <v>61</v>
      </c>
      <c r="T4" s="50" t="s">
        <v>61</v>
      </c>
      <c r="U4" s="53"/>
      <c r="V4" s="54"/>
      <c r="W4" s="56" t="s">
        <v>62</v>
      </c>
      <c r="X4" s="57"/>
      <c r="Y4" s="38"/>
      <c r="Z4" s="38"/>
    </row>
    <row r="5">
      <c r="A5" s="38">
        <v>4.0</v>
      </c>
      <c r="B5" s="38" t="s">
        <v>49</v>
      </c>
      <c r="C5" s="39"/>
      <c r="D5" s="38" t="s">
        <v>71</v>
      </c>
      <c r="E5" s="38" t="s">
        <v>72</v>
      </c>
      <c r="F5" s="41" t="s">
        <v>73</v>
      </c>
      <c r="G5" s="43" t="s">
        <v>74</v>
      </c>
      <c r="H5" s="45"/>
      <c r="I5" s="38"/>
      <c r="J5" s="38">
        <f>10*1000</f>
        <v>10000</v>
      </c>
      <c r="K5" s="46">
        <v>9.722222222222221E-4</v>
      </c>
      <c r="L5" s="47" t="s">
        <v>60</v>
      </c>
      <c r="M5" s="46"/>
      <c r="N5" s="46"/>
      <c r="O5" s="38"/>
      <c r="P5" s="49">
        <v>42990.0</v>
      </c>
      <c r="Q5" s="12" t="str">
        <f t="shared" si="1"/>
        <v/>
      </c>
      <c r="R5" s="50" t="s">
        <v>61</v>
      </c>
      <c r="S5" s="50" t="s">
        <v>61</v>
      </c>
      <c r="T5" s="50" t="s">
        <v>75</v>
      </c>
      <c r="U5" s="53"/>
      <c r="V5" s="54"/>
      <c r="W5" s="56" t="s">
        <v>76</v>
      </c>
      <c r="X5" s="57"/>
      <c r="Y5" s="38"/>
      <c r="Z5" s="38"/>
    </row>
    <row r="6">
      <c r="A6" s="38">
        <v>5.0</v>
      </c>
      <c r="B6" s="38" t="s">
        <v>49</v>
      </c>
      <c r="C6" s="39"/>
      <c r="D6" s="38" t="s">
        <v>71</v>
      </c>
      <c r="E6" s="38" t="s">
        <v>77</v>
      </c>
      <c r="F6" s="41" t="s">
        <v>78</v>
      </c>
      <c r="G6" s="43" t="s">
        <v>79</v>
      </c>
      <c r="H6" s="45" t="s">
        <v>79</v>
      </c>
      <c r="I6" s="38"/>
      <c r="J6" s="38">
        <f>749</f>
        <v>749</v>
      </c>
      <c r="K6" s="46">
        <v>4.050925925925926E-4</v>
      </c>
      <c r="L6" s="47" t="s">
        <v>60</v>
      </c>
      <c r="M6" s="46"/>
      <c r="N6" s="46"/>
      <c r="O6" s="38"/>
      <c r="P6" s="49">
        <v>42990.0</v>
      </c>
      <c r="Q6" s="12" t="str">
        <f t="shared" si="1"/>
        <v/>
      </c>
      <c r="R6" s="50" t="s">
        <v>61</v>
      </c>
      <c r="S6" s="50" t="s">
        <v>61</v>
      </c>
      <c r="T6" s="50" t="s">
        <v>75</v>
      </c>
      <c r="U6" s="53"/>
      <c r="V6" s="54"/>
      <c r="W6" s="56" t="s">
        <v>76</v>
      </c>
      <c r="X6" s="57"/>
      <c r="Y6" s="38"/>
      <c r="Z6" s="38"/>
    </row>
    <row r="7">
      <c r="A7" s="38">
        <v>6.0</v>
      </c>
      <c r="B7" s="38" t="s">
        <v>49</v>
      </c>
      <c r="C7" s="39"/>
      <c r="D7" s="38" t="s">
        <v>71</v>
      </c>
      <c r="E7" s="38" t="s">
        <v>80</v>
      </c>
      <c r="F7" s="41" t="s">
        <v>81</v>
      </c>
      <c r="G7" s="59" t="s">
        <v>82</v>
      </c>
      <c r="H7" s="45"/>
      <c r="I7" s="38"/>
      <c r="J7" s="38">
        <f>1.7*1000</f>
        <v>1700</v>
      </c>
      <c r="K7" s="46">
        <v>0.003993055555555556</v>
      </c>
      <c r="L7" s="47" t="s">
        <v>60</v>
      </c>
      <c r="M7" s="46"/>
      <c r="N7" s="46"/>
      <c r="O7" s="38"/>
      <c r="P7" s="49">
        <v>42990.0</v>
      </c>
      <c r="Q7" s="12" t="str">
        <f t="shared" si="1"/>
        <v/>
      </c>
      <c r="R7" s="50" t="s">
        <v>61</v>
      </c>
      <c r="S7" s="50" t="s">
        <v>61</v>
      </c>
      <c r="T7" s="50" t="s">
        <v>61</v>
      </c>
      <c r="U7" s="53"/>
      <c r="V7" s="54"/>
      <c r="W7" s="56" t="s">
        <v>76</v>
      </c>
      <c r="X7" s="57"/>
      <c r="Y7" s="38"/>
      <c r="Z7" s="38" t="s">
        <v>83</v>
      </c>
    </row>
    <row r="8">
      <c r="A8" s="38">
        <v>7.0</v>
      </c>
      <c r="B8" s="38" t="s">
        <v>49</v>
      </c>
      <c r="C8" s="39"/>
      <c r="D8" s="38" t="s">
        <v>55</v>
      </c>
      <c r="E8" s="38" t="s">
        <v>84</v>
      </c>
      <c r="F8" s="41" t="s">
        <v>85</v>
      </c>
      <c r="G8" s="43" t="s">
        <v>86</v>
      </c>
      <c r="H8" s="45"/>
      <c r="I8" s="38"/>
      <c r="J8" s="38">
        <f>5.1*1000</f>
        <v>5100</v>
      </c>
      <c r="K8" s="46">
        <v>0.003368055555555555</v>
      </c>
      <c r="L8" s="47" t="s">
        <v>60</v>
      </c>
      <c r="M8" s="46"/>
      <c r="N8" s="46"/>
      <c r="O8" s="38"/>
      <c r="P8" s="49">
        <v>42990.0</v>
      </c>
      <c r="Q8" s="12" t="str">
        <f t="shared" si="1"/>
        <v/>
      </c>
      <c r="R8" s="50" t="s">
        <v>61</v>
      </c>
      <c r="S8" s="50" t="s">
        <v>61</v>
      </c>
      <c r="T8" s="50" t="s">
        <v>61</v>
      </c>
      <c r="U8" s="53"/>
      <c r="V8" s="54"/>
      <c r="W8" s="56" t="s">
        <v>76</v>
      </c>
      <c r="X8" s="57"/>
      <c r="Y8" s="38"/>
      <c r="Z8" s="38"/>
    </row>
    <row r="9">
      <c r="A9" s="38">
        <v>8.0</v>
      </c>
      <c r="B9" s="38" t="s">
        <v>49</v>
      </c>
      <c r="C9" s="39"/>
      <c r="D9" s="38" t="s">
        <v>55</v>
      </c>
      <c r="E9" s="38" t="s">
        <v>87</v>
      </c>
      <c r="F9" s="41" t="s">
        <v>88</v>
      </c>
      <c r="G9" s="43" t="s">
        <v>89</v>
      </c>
      <c r="H9" s="58" t="s">
        <v>1699</v>
      </c>
      <c r="I9" s="38"/>
      <c r="J9" s="38">
        <f>1.9*1000</f>
        <v>1900</v>
      </c>
      <c r="K9" s="46">
        <v>0.01037037037037037</v>
      </c>
      <c r="L9" s="47" t="s">
        <v>60</v>
      </c>
      <c r="M9" s="46"/>
      <c r="N9" s="46"/>
      <c r="O9" s="38"/>
      <c r="P9" s="49">
        <v>42990.0</v>
      </c>
      <c r="Q9" s="12" t="str">
        <f t="shared" si="1"/>
        <v/>
      </c>
      <c r="R9" s="50" t="s">
        <v>91</v>
      </c>
      <c r="S9" s="50" t="s">
        <v>61</v>
      </c>
      <c r="T9" s="50" t="s">
        <v>61</v>
      </c>
      <c r="U9" s="53"/>
      <c r="V9" s="54"/>
      <c r="W9" s="56" t="s">
        <v>76</v>
      </c>
      <c r="X9" s="57"/>
      <c r="Y9" s="38"/>
      <c r="Z9" s="38" t="s">
        <v>92</v>
      </c>
    </row>
    <row r="10">
      <c r="A10" s="39">
        <v>8.01</v>
      </c>
      <c r="B10" s="38" t="s">
        <v>49</v>
      </c>
      <c r="C10" s="39"/>
      <c r="D10" s="38" t="s">
        <v>55</v>
      </c>
      <c r="E10" s="38"/>
      <c r="F10" s="41"/>
      <c r="G10" s="43" t="s">
        <v>93</v>
      </c>
      <c r="H10" s="45"/>
      <c r="I10" s="38"/>
      <c r="J10" s="38"/>
      <c r="K10" s="46"/>
      <c r="L10" s="47"/>
      <c r="M10" s="46">
        <v>0.002025462962962963</v>
      </c>
      <c r="N10" s="46">
        <v>0.004039351851851852</v>
      </c>
      <c r="O10" s="60">
        <f>N10-M10</f>
        <v>0.002013888889</v>
      </c>
      <c r="P10" s="49">
        <v>42990.0</v>
      </c>
      <c r="Q10" s="61" t="str">
        <f t="shared" si="1"/>
        <v>https://www.youtube.com/embed/mjFek0gF97s?start=175&amp;end=349&amp;autoplay=1</v>
      </c>
      <c r="R10" s="50" t="s">
        <v>61</v>
      </c>
      <c r="S10" s="50" t="s">
        <v>91</v>
      </c>
      <c r="T10" s="50" t="s">
        <v>61</v>
      </c>
      <c r="U10" s="53"/>
      <c r="V10" s="54"/>
      <c r="W10" s="56" t="s">
        <v>76</v>
      </c>
      <c r="X10" s="57"/>
      <c r="Y10" s="38"/>
      <c r="Z10" s="38" t="s">
        <v>96</v>
      </c>
    </row>
    <row r="11">
      <c r="A11" s="38">
        <v>9.0</v>
      </c>
      <c r="B11" s="38" t="s">
        <v>49</v>
      </c>
      <c r="C11" s="39"/>
      <c r="D11" s="38" t="s">
        <v>55</v>
      </c>
      <c r="E11" s="38" t="s">
        <v>94</v>
      </c>
      <c r="F11" s="41" t="s">
        <v>95</v>
      </c>
      <c r="G11" s="43" t="s">
        <v>97</v>
      </c>
      <c r="H11" s="45" t="s">
        <v>98</v>
      </c>
      <c r="I11" s="38"/>
      <c r="J11" s="38">
        <f>1.7*1000</f>
        <v>1700</v>
      </c>
      <c r="K11" s="46">
        <v>0.003472222222222222</v>
      </c>
      <c r="L11" s="47" t="s">
        <v>60</v>
      </c>
      <c r="M11" s="46"/>
      <c r="N11" s="46"/>
      <c r="O11" s="38"/>
      <c r="P11" s="49">
        <v>42990.0</v>
      </c>
      <c r="Q11" s="12" t="str">
        <f t="shared" si="1"/>
        <v/>
      </c>
      <c r="R11" s="50" t="s">
        <v>61</v>
      </c>
      <c r="S11" s="50" t="s">
        <v>61</v>
      </c>
      <c r="T11" s="50" t="s">
        <v>61</v>
      </c>
      <c r="U11" s="53"/>
      <c r="V11" s="54"/>
      <c r="W11" s="56" t="s">
        <v>62</v>
      </c>
      <c r="X11" s="57"/>
      <c r="Y11" s="38"/>
      <c r="Z11" s="38" t="s">
        <v>1713</v>
      </c>
    </row>
    <row r="12">
      <c r="A12" s="38">
        <v>10.0</v>
      </c>
      <c r="B12" s="38" t="s">
        <v>49</v>
      </c>
      <c r="C12" s="39"/>
      <c r="D12" s="38" t="s">
        <v>55</v>
      </c>
      <c r="E12" s="38" t="s">
        <v>99</v>
      </c>
      <c r="F12" s="41" t="s">
        <v>100</v>
      </c>
      <c r="G12" s="43" t="s">
        <v>102</v>
      </c>
      <c r="H12" s="45" t="s">
        <v>103</v>
      </c>
      <c r="I12" s="38"/>
      <c r="J12" s="38">
        <f>490</f>
        <v>490</v>
      </c>
      <c r="K12" s="46">
        <v>0.0030324074074074073</v>
      </c>
      <c r="L12" s="47" t="s">
        <v>60</v>
      </c>
      <c r="M12" s="46"/>
      <c r="N12" s="46"/>
      <c r="O12" s="38"/>
      <c r="P12" s="49">
        <v>42990.0</v>
      </c>
      <c r="Q12" s="12" t="str">
        <f t="shared" si="1"/>
        <v/>
      </c>
      <c r="R12" s="50" t="s">
        <v>61</v>
      </c>
      <c r="S12" s="50" t="s">
        <v>61</v>
      </c>
      <c r="T12" s="50" t="s">
        <v>61</v>
      </c>
      <c r="U12" s="53"/>
      <c r="V12" s="54"/>
      <c r="W12" s="56" t="s">
        <v>62</v>
      </c>
      <c r="X12" s="57"/>
      <c r="Y12" s="38"/>
      <c r="Z12" s="38"/>
    </row>
    <row r="13">
      <c r="A13" s="39">
        <v>10.01</v>
      </c>
      <c r="B13" s="38" t="s">
        <v>49</v>
      </c>
      <c r="C13" s="39"/>
      <c r="D13" s="38" t="s">
        <v>55</v>
      </c>
      <c r="E13" s="38"/>
      <c r="F13" s="41"/>
      <c r="G13" s="43" t="s">
        <v>106</v>
      </c>
      <c r="H13" s="45"/>
      <c r="I13" s="38"/>
      <c r="J13" s="38"/>
      <c r="K13" s="46"/>
      <c r="L13" s="47"/>
      <c r="M13" s="46">
        <v>0.0010300925925925926</v>
      </c>
      <c r="N13" s="46">
        <v>0.0014467592592592594</v>
      </c>
      <c r="O13" s="60">
        <f>N13-M13</f>
        <v>0.0004166666667</v>
      </c>
      <c r="P13" s="49">
        <v>42990.0</v>
      </c>
      <c r="Q13" s="61" t="str">
        <f t="shared" si="1"/>
        <v>https://www.youtube.com/embed/Kxuiy8OL30w?start=89&amp;end=125&amp;autoplay=1</v>
      </c>
      <c r="R13" s="50" t="s">
        <v>61</v>
      </c>
      <c r="S13" s="50" t="s">
        <v>61</v>
      </c>
      <c r="T13" s="50" t="s">
        <v>61</v>
      </c>
      <c r="U13" s="53"/>
      <c r="V13" s="54"/>
      <c r="W13" s="56" t="s">
        <v>62</v>
      </c>
      <c r="X13" s="57"/>
      <c r="Y13" s="38"/>
      <c r="Z13" s="38"/>
    </row>
    <row r="14">
      <c r="A14" s="38">
        <v>11.0</v>
      </c>
      <c r="B14" s="38" t="s">
        <v>49</v>
      </c>
      <c r="C14" s="39"/>
      <c r="D14" s="38" t="s">
        <v>55</v>
      </c>
      <c r="E14" s="38" t="s">
        <v>104</v>
      </c>
      <c r="F14" s="41" t="s">
        <v>105</v>
      </c>
      <c r="G14" s="62" t="s">
        <v>1776</v>
      </c>
      <c r="H14" s="58" t="s">
        <v>1778</v>
      </c>
      <c r="I14" s="38"/>
      <c r="J14" s="38">
        <f>551</f>
        <v>551</v>
      </c>
      <c r="K14" s="46">
        <v>0.0024189814814814816</v>
      </c>
      <c r="L14" s="47" t="s">
        <v>60</v>
      </c>
      <c r="M14" s="46"/>
      <c r="N14" s="46"/>
      <c r="O14" s="38"/>
      <c r="P14" s="49">
        <v>42991.0</v>
      </c>
      <c r="Q14" s="12" t="str">
        <f t="shared" si="1"/>
        <v/>
      </c>
      <c r="R14" s="50" t="s">
        <v>61</v>
      </c>
      <c r="S14" s="50" t="s">
        <v>61</v>
      </c>
      <c r="T14" s="50" t="s">
        <v>61</v>
      </c>
      <c r="U14" s="53"/>
      <c r="V14" s="54"/>
      <c r="W14" s="56" t="s">
        <v>76</v>
      </c>
      <c r="X14" s="57"/>
      <c r="Y14" s="38"/>
      <c r="Z14" s="38" t="s">
        <v>83</v>
      </c>
    </row>
    <row r="15">
      <c r="A15" s="38">
        <v>12.0</v>
      </c>
      <c r="B15" s="38" t="s">
        <v>49</v>
      </c>
      <c r="C15" s="39"/>
      <c r="D15" s="38" t="s">
        <v>55</v>
      </c>
      <c r="E15" s="38" t="s">
        <v>111</v>
      </c>
      <c r="F15" s="41" t="s">
        <v>112</v>
      </c>
      <c r="G15" s="45" t="s">
        <v>116</v>
      </c>
      <c r="H15" s="43" t="s">
        <v>117</v>
      </c>
      <c r="I15" s="43"/>
      <c r="J15" s="43">
        <v>384.0</v>
      </c>
      <c r="K15" s="46">
        <v>0.0022222222222222222</v>
      </c>
      <c r="L15" s="47" t="s">
        <v>60</v>
      </c>
      <c r="M15" s="46"/>
      <c r="N15" s="46"/>
      <c r="O15" s="38"/>
      <c r="P15" s="49">
        <v>42991.0</v>
      </c>
      <c r="Q15" s="12" t="str">
        <f t="shared" si="1"/>
        <v/>
      </c>
      <c r="R15" s="50" t="s">
        <v>61</v>
      </c>
      <c r="S15" s="50" t="s">
        <v>61</v>
      </c>
      <c r="T15" s="50" t="s">
        <v>61</v>
      </c>
      <c r="U15" s="53"/>
      <c r="V15" s="54"/>
      <c r="W15" s="56" t="s">
        <v>76</v>
      </c>
      <c r="X15" s="57"/>
      <c r="Y15" s="38"/>
      <c r="Z15" s="38" t="s">
        <v>83</v>
      </c>
    </row>
    <row r="16">
      <c r="A16" s="38">
        <v>13.0</v>
      </c>
      <c r="B16" s="38" t="s">
        <v>49</v>
      </c>
      <c r="C16" s="39"/>
      <c r="D16" s="38" t="s">
        <v>55</v>
      </c>
      <c r="E16" s="38" t="s">
        <v>114</v>
      </c>
      <c r="F16" s="41" t="s">
        <v>115</v>
      </c>
      <c r="G16" s="38" t="s">
        <v>118</v>
      </c>
      <c r="H16" s="45" t="s">
        <v>119</v>
      </c>
      <c r="I16" s="38"/>
      <c r="J16" s="38">
        <f>1.5*1000</f>
        <v>1500</v>
      </c>
      <c r="K16" s="46">
        <v>0.003530092592592592</v>
      </c>
      <c r="L16" s="47" t="s">
        <v>60</v>
      </c>
      <c r="M16" s="46"/>
      <c r="N16" s="46"/>
      <c r="O16" s="38"/>
      <c r="P16" s="49">
        <v>42991.0</v>
      </c>
      <c r="Q16" s="12" t="str">
        <f t="shared" si="1"/>
        <v/>
      </c>
      <c r="R16" s="50" t="s">
        <v>61</v>
      </c>
      <c r="S16" s="50" t="s">
        <v>61</v>
      </c>
      <c r="T16" s="50" t="s">
        <v>61</v>
      </c>
      <c r="U16" s="53"/>
      <c r="V16" s="54"/>
      <c r="W16" s="56" t="s">
        <v>76</v>
      </c>
      <c r="X16" s="57"/>
      <c r="Y16" s="38"/>
      <c r="Z16" s="38" t="s">
        <v>83</v>
      </c>
    </row>
    <row r="17">
      <c r="A17" s="38">
        <v>14.0</v>
      </c>
      <c r="B17" s="38" t="s">
        <v>49</v>
      </c>
      <c r="C17" s="39"/>
      <c r="D17" s="38" t="s">
        <v>55</v>
      </c>
      <c r="E17" s="38" t="s">
        <v>122</v>
      </c>
      <c r="F17" s="41" t="s">
        <v>123</v>
      </c>
      <c r="G17" s="43" t="s">
        <v>125</v>
      </c>
      <c r="H17" s="45"/>
      <c r="I17" s="38"/>
      <c r="J17" s="38">
        <f>595</f>
        <v>595</v>
      </c>
      <c r="K17" s="46">
        <v>0.004074074074074075</v>
      </c>
      <c r="L17" s="47" t="s">
        <v>60</v>
      </c>
      <c r="M17" s="46"/>
      <c r="N17" s="46"/>
      <c r="O17" s="38"/>
      <c r="P17" s="49">
        <v>42991.0</v>
      </c>
      <c r="Q17" s="12" t="str">
        <f t="shared" si="1"/>
        <v/>
      </c>
      <c r="R17" s="50" t="s">
        <v>61</v>
      </c>
      <c r="S17" s="50" t="s">
        <v>61</v>
      </c>
      <c r="T17" s="50" t="s">
        <v>61</v>
      </c>
      <c r="U17" s="53"/>
      <c r="V17" s="54"/>
      <c r="W17" s="56" t="s">
        <v>76</v>
      </c>
      <c r="X17" s="57"/>
      <c r="Y17" s="38"/>
      <c r="Z17" s="38" t="s">
        <v>83</v>
      </c>
    </row>
    <row r="18">
      <c r="A18" s="38">
        <v>15.0</v>
      </c>
      <c r="B18" s="38" t="s">
        <v>49</v>
      </c>
      <c r="C18" s="39"/>
      <c r="D18" s="38" t="s">
        <v>55</v>
      </c>
      <c r="E18" s="38" t="s">
        <v>128</v>
      </c>
      <c r="F18" s="41" t="s">
        <v>129</v>
      </c>
      <c r="G18" s="43" t="s">
        <v>130</v>
      </c>
      <c r="H18" s="45"/>
      <c r="I18" s="38"/>
      <c r="J18" s="38">
        <f>477</f>
        <v>477</v>
      </c>
      <c r="K18" s="46">
        <v>0.002673611111111111</v>
      </c>
      <c r="L18" s="47" t="s">
        <v>60</v>
      </c>
      <c r="M18" s="46"/>
      <c r="N18" s="46"/>
      <c r="O18" s="38"/>
      <c r="P18" s="49">
        <v>42991.0</v>
      </c>
      <c r="Q18" s="12" t="str">
        <f t="shared" si="1"/>
        <v/>
      </c>
      <c r="R18" s="50" t="s">
        <v>61</v>
      </c>
      <c r="S18" s="50" t="s">
        <v>61</v>
      </c>
      <c r="T18" s="50" t="s">
        <v>61</v>
      </c>
      <c r="U18" s="53"/>
      <c r="V18" s="54"/>
      <c r="W18" s="56" t="s">
        <v>76</v>
      </c>
      <c r="X18" s="57"/>
      <c r="Y18" s="38"/>
      <c r="Z18" s="38"/>
    </row>
    <row r="19">
      <c r="A19" s="38">
        <v>16.0</v>
      </c>
      <c r="B19" s="38" t="s">
        <v>49</v>
      </c>
      <c r="C19" s="39"/>
      <c r="D19" s="38" t="s">
        <v>55</v>
      </c>
      <c r="E19" s="38" t="s">
        <v>133</v>
      </c>
      <c r="F19" s="41" t="s">
        <v>134</v>
      </c>
      <c r="G19" s="43" t="s">
        <v>135</v>
      </c>
      <c r="H19" s="45" t="s">
        <v>136</v>
      </c>
      <c r="I19" s="38"/>
      <c r="J19" s="38">
        <f>506</f>
        <v>506</v>
      </c>
      <c r="K19" s="46">
        <v>0.005717592592592593</v>
      </c>
      <c r="L19" s="47" t="s">
        <v>60</v>
      </c>
      <c r="M19" s="46"/>
      <c r="N19" s="46"/>
      <c r="O19" s="38"/>
      <c r="P19" s="49">
        <v>42991.0</v>
      </c>
      <c r="Q19" s="12" t="str">
        <f t="shared" si="1"/>
        <v/>
      </c>
      <c r="R19" s="50" t="s">
        <v>61</v>
      </c>
      <c r="S19" s="50" t="s">
        <v>61</v>
      </c>
      <c r="T19" s="50" t="s">
        <v>61</v>
      </c>
      <c r="U19" s="53"/>
      <c r="V19" s="54"/>
      <c r="W19" s="56" t="s">
        <v>76</v>
      </c>
      <c r="X19" s="57"/>
      <c r="Y19" s="38"/>
      <c r="Z19" s="38" t="s">
        <v>139</v>
      </c>
    </row>
    <row r="20">
      <c r="A20" s="38">
        <v>17.0</v>
      </c>
      <c r="B20" s="38"/>
      <c r="C20" s="39"/>
      <c r="D20" s="38"/>
      <c r="E20" s="38" t="s">
        <v>146</v>
      </c>
      <c r="F20" s="41" t="s">
        <v>148</v>
      </c>
      <c r="G20" s="43"/>
      <c r="H20" s="45"/>
      <c r="I20" s="38"/>
      <c r="J20" s="38">
        <f>343</f>
        <v>343</v>
      </c>
      <c r="K20" s="46">
        <v>0.002743055555555556</v>
      </c>
      <c r="L20" s="47" t="s">
        <v>60</v>
      </c>
      <c r="M20" s="46"/>
      <c r="N20" s="46"/>
      <c r="O20" s="38"/>
      <c r="P20" s="38"/>
      <c r="Q20" s="12" t="str">
        <f t="shared" si="1"/>
        <v/>
      </c>
      <c r="R20" s="50"/>
      <c r="S20" s="50"/>
      <c r="T20" s="50"/>
      <c r="U20" s="53"/>
      <c r="V20" s="54"/>
      <c r="W20" s="56"/>
      <c r="X20" s="57"/>
      <c r="Y20" s="38"/>
      <c r="Z20" s="38"/>
    </row>
    <row r="21">
      <c r="A21" s="38">
        <v>18.0</v>
      </c>
      <c r="B21" s="38"/>
      <c r="C21" s="39"/>
      <c r="D21" s="38"/>
      <c r="E21" s="38" t="s">
        <v>150</v>
      </c>
      <c r="F21" s="41" t="s">
        <v>151</v>
      </c>
      <c r="G21" s="43"/>
      <c r="H21" s="45"/>
      <c r="I21" s="38"/>
      <c r="J21" s="38">
        <f>1*1000</f>
        <v>1000</v>
      </c>
      <c r="K21" s="46">
        <v>0.0024652777777777776</v>
      </c>
      <c r="L21" s="47" t="s">
        <v>60</v>
      </c>
      <c r="M21" s="46"/>
      <c r="N21" s="46"/>
      <c r="O21" s="38"/>
      <c r="P21" s="38"/>
      <c r="Q21" s="12" t="str">
        <f t="shared" si="1"/>
        <v/>
      </c>
      <c r="R21" s="50"/>
      <c r="S21" s="50"/>
      <c r="T21" s="50"/>
      <c r="U21" s="53"/>
      <c r="V21" s="54"/>
      <c r="W21" s="56"/>
      <c r="X21" s="57"/>
      <c r="Y21" s="38"/>
      <c r="Z21" s="38"/>
    </row>
    <row r="22">
      <c r="A22" s="38">
        <v>19.0</v>
      </c>
      <c r="B22" s="38"/>
      <c r="C22" s="38"/>
      <c r="D22" s="38"/>
      <c r="E22" s="38" t="s">
        <v>156</v>
      </c>
      <c r="F22" s="41" t="s">
        <v>157</v>
      </c>
      <c r="G22" s="43"/>
      <c r="H22" s="45"/>
      <c r="I22" s="38"/>
      <c r="J22" s="38">
        <f>378</f>
        <v>378</v>
      </c>
      <c r="K22" s="46">
        <v>0.0011226851851851851</v>
      </c>
      <c r="L22" s="47" t="s">
        <v>60</v>
      </c>
      <c r="M22" s="46"/>
      <c r="N22" s="46"/>
      <c r="O22" s="38"/>
      <c r="P22" s="38"/>
      <c r="Q22" s="12" t="str">
        <f t="shared" si="1"/>
        <v/>
      </c>
      <c r="R22" s="50"/>
      <c r="S22" s="50"/>
      <c r="T22" s="50"/>
      <c r="U22" s="53"/>
      <c r="V22" s="54"/>
      <c r="W22" s="56"/>
      <c r="X22" s="57"/>
      <c r="Y22" s="38"/>
      <c r="Z22" s="38"/>
    </row>
    <row r="23">
      <c r="A23" s="38">
        <v>20.0</v>
      </c>
      <c r="B23" s="38" t="s">
        <v>107</v>
      </c>
      <c r="C23" s="39"/>
      <c r="D23" s="38" t="s">
        <v>55</v>
      </c>
      <c r="E23" s="38" t="s">
        <v>108</v>
      </c>
      <c r="F23" s="41" t="s">
        <v>109</v>
      </c>
      <c r="G23" s="43"/>
      <c r="H23" s="45"/>
      <c r="I23" s="38"/>
      <c r="J23" s="38">
        <f>8.5*1000</f>
        <v>8500</v>
      </c>
      <c r="K23" s="46">
        <v>0.0071874999999999994</v>
      </c>
      <c r="L23" s="47" t="s">
        <v>60</v>
      </c>
      <c r="M23" s="46"/>
      <c r="N23" s="46"/>
      <c r="O23" s="38"/>
      <c r="P23" s="64">
        <v>42990.0</v>
      </c>
      <c r="Q23" s="12" t="str">
        <f t="shared" si="1"/>
        <v/>
      </c>
      <c r="R23" s="50"/>
      <c r="S23" s="50"/>
      <c r="T23" s="50"/>
      <c r="U23" s="53"/>
      <c r="V23" s="54"/>
      <c r="W23" s="56"/>
      <c r="X23" s="57"/>
      <c r="Y23" s="38"/>
      <c r="Z23" s="38"/>
      <c r="AA23" s="65"/>
      <c r="AB23" s="65"/>
      <c r="AC23" s="65"/>
      <c r="AD23" s="65"/>
      <c r="AE23" s="65"/>
      <c r="AF23" s="65"/>
      <c r="AG23" s="65"/>
      <c r="AH23" s="65"/>
      <c r="AI23" s="65"/>
      <c r="AJ23" s="65"/>
      <c r="AK23" s="65"/>
      <c r="AL23" s="65"/>
      <c r="AM23" s="65"/>
      <c r="AN23" s="65"/>
    </row>
    <row r="24">
      <c r="A24" s="39">
        <v>20.01</v>
      </c>
      <c r="B24" s="38" t="s">
        <v>107</v>
      </c>
      <c r="C24" s="39"/>
      <c r="D24" s="38" t="s">
        <v>55</v>
      </c>
      <c r="E24" s="38"/>
      <c r="F24" s="41"/>
      <c r="G24" s="43" t="s">
        <v>120</v>
      </c>
      <c r="H24" s="58" t="s">
        <v>121</v>
      </c>
      <c r="I24" s="38"/>
      <c r="J24" s="38"/>
      <c r="K24" s="46"/>
      <c r="L24" s="47"/>
      <c r="M24" s="46">
        <v>5.787037037037038E-4</v>
      </c>
      <c r="N24" s="46">
        <v>0.0032407407407407406</v>
      </c>
      <c r="O24" s="60">
        <f t="shared" ref="O24:O26" si="2">N24-M24</f>
        <v>0.002662037037</v>
      </c>
      <c r="P24" s="64">
        <v>42990.0</v>
      </c>
      <c r="Q24" s="61" t="str">
        <f t="shared" si="1"/>
        <v>https://www.youtube.com/embed/_IcfDP-ezpo?start=50&amp;end=280&amp;autoplay=1</v>
      </c>
      <c r="R24" s="67" t="s">
        <v>61</v>
      </c>
      <c r="S24" s="67" t="s">
        <v>124</v>
      </c>
      <c r="T24" s="67" t="s">
        <v>61</v>
      </c>
      <c r="U24" s="53"/>
      <c r="V24" s="54"/>
      <c r="W24" s="56"/>
      <c r="X24" s="57"/>
      <c r="Y24" s="38"/>
      <c r="Z24" s="38"/>
      <c r="AA24" s="65"/>
      <c r="AB24" s="65"/>
      <c r="AC24" s="65"/>
      <c r="AD24" s="65"/>
      <c r="AE24" s="65"/>
      <c r="AF24" s="65"/>
      <c r="AG24" s="65"/>
      <c r="AH24" s="65"/>
      <c r="AI24" s="65"/>
      <c r="AJ24" s="65"/>
      <c r="AK24" s="65"/>
      <c r="AL24" s="65"/>
      <c r="AM24" s="65"/>
      <c r="AN24" s="65"/>
    </row>
    <row r="25">
      <c r="A25" s="39">
        <v>20.02</v>
      </c>
      <c r="B25" s="38" t="s">
        <v>107</v>
      </c>
      <c r="C25" s="39"/>
      <c r="D25" s="38" t="s">
        <v>55</v>
      </c>
      <c r="E25" s="38"/>
      <c r="F25" s="41"/>
      <c r="G25" s="62" t="s">
        <v>126</v>
      </c>
      <c r="H25" s="43" t="s">
        <v>127</v>
      </c>
      <c r="I25" s="38"/>
      <c r="J25" s="38"/>
      <c r="K25" s="46"/>
      <c r="L25" s="47"/>
      <c r="M25" s="46">
        <v>0.0032407407407407406</v>
      </c>
      <c r="N25" s="46">
        <v>0.005775462962962962</v>
      </c>
      <c r="O25" s="60">
        <f t="shared" si="2"/>
        <v>0.002534722222</v>
      </c>
      <c r="P25" s="64">
        <v>42990.0</v>
      </c>
      <c r="Q25" s="61" t="str">
        <f t="shared" si="1"/>
        <v>https://www.youtube.com/embed/_IcfDP-ezpo?start=280&amp;end=499&amp;autoplay=1</v>
      </c>
      <c r="R25" s="67" t="s">
        <v>61</v>
      </c>
      <c r="S25" s="67" t="s">
        <v>124</v>
      </c>
      <c r="T25" s="67" t="s">
        <v>61</v>
      </c>
      <c r="U25" s="53"/>
      <c r="V25" s="54"/>
      <c r="W25" s="56"/>
      <c r="X25" s="57"/>
      <c r="Y25" s="38"/>
      <c r="Z25" s="38"/>
      <c r="AA25" s="65"/>
      <c r="AB25" s="65"/>
      <c r="AC25" s="65"/>
      <c r="AD25" s="65"/>
      <c r="AE25" s="65"/>
      <c r="AF25" s="65"/>
      <c r="AG25" s="65"/>
      <c r="AH25" s="65"/>
      <c r="AI25" s="65"/>
      <c r="AJ25" s="65"/>
      <c r="AK25" s="65"/>
      <c r="AL25" s="65"/>
      <c r="AM25" s="65"/>
      <c r="AN25" s="65"/>
    </row>
    <row r="26">
      <c r="A26" s="39">
        <v>20.03</v>
      </c>
      <c r="B26" s="38" t="s">
        <v>107</v>
      </c>
      <c r="C26" s="39"/>
      <c r="D26" s="38" t="s">
        <v>55</v>
      </c>
      <c r="E26" s="38"/>
      <c r="F26" s="41"/>
      <c r="G26" s="43" t="s">
        <v>131</v>
      </c>
      <c r="H26" s="58" t="s">
        <v>132</v>
      </c>
      <c r="I26" s="38"/>
      <c r="J26" s="38"/>
      <c r="K26" s="46"/>
      <c r="L26" s="47"/>
      <c r="M26" s="46">
        <v>0.005775462962962962</v>
      </c>
      <c r="N26" s="46">
        <v>0.007175925925925926</v>
      </c>
      <c r="O26" s="60">
        <f t="shared" si="2"/>
        <v>0.001400462963</v>
      </c>
      <c r="P26" s="64">
        <v>42990.0</v>
      </c>
      <c r="Q26" s="61" t="str">
        <f t="shared" si="1"/>
        <v>https://www.youtube.com/embed/_IcfDP-ezpo?start=499&amp;end=620&amp;autoplay=1</v>
      </c>
      <c r="R26" s="67" t="s">
        <v>61</v>
      </c>
      <c r="S26" s="67" t="s">
        <v>124</v>
      </c>
      <c r="T26" s="67" t="s">
        <v>61</v>
      </c>
      <c r="U26" s="53"/>
      <c r="V26" s="54"/>
      <c r="W26" s="56"/>
      <c r="X26" s="57"/>
      <c r="Y26" s="38"/>
      <c r="Z26" s="38"/>
      <c r="AA26" s="65"/>
      <c r="AB26" s="65"/>
      <c r="AC26" s="65"/>
      <c r="AD26" s="65"/>
      <c r="AE26" s="65"/>
      <c r="AF26" s="65"/>
      <c r="AG26" s="65"/>
      <c r="AH26" s="65"/>
      <c r="AI26" s="65"/>
      <c r="AJ26" s="65"/>
      <c r="AK26" s="65"/>
      <c r="AL26" s="65"/>
      <c r="AM26" s="65"/>
      <c r="AN26" s="65"/>
    </row>
    <row r="27">
      <c r="A27" s="38">
        <v>21.0</v>
      </c>
      <c r="B27" s="38"/>
      <c r="C27" s="39"/>
      <c r="D27" s="38"/>
      <c r="E27" s="38" t="s">
        <v>172</v>
      </c>
      <c r="F27" s="41" t="s">
        <v>173</v>
      </c>
      <c r="G27" s="43"/>
      <c r="H27" s="45"/>
      <c r="I27" s="38"/>
      <c r="J27" s="38">
        <f>3.2*1000</f>
        <v>3200</v>
      </c>
      <c r="K27" s="46">
        <v>0.0013078703703703705</v>
      </c>
      <c r="L27" s="47" t="s">
        <v>60</v>
      </c>
      <c r="M27" s="46"/>
      <c r="N27" s="46"/>
      <c r="O27" s="38"/>
      <c r="P27" s="38"/>
      <c r="Q27" s="12" t="str">
        <f t="shared" si="1"/>
        <v/>
      </c>
      <c r="R27" s="50"/>
      <c r="S27" s="50"/>
      <c r="T27" s="50"/>
      <c r="U27" s="53"/>
      <c r="V27" s="54"/>
      <c r="W27" s="56"/>
      <c r="X27" s="57"/>
      <c r="Y27" s="38"/>
      <c r="Z27" s="38"/>
    </row>
    <row r="28">
      <c r="A28" s="38">
        <v>22.0</v>
      </c>
      <c r="B28" s="38" t="s">
        <v>107</v>
      </c>
      <c r="C28" s="39"/>
      <c r="D28" s="38" t="s">
        <v>55</v>
      </c>
      <c r="E28" s="38" t="s">
        <v>137</v>
      </c>
      <c r="F28" s="41" t="s">
        <v>138</v>
      </c>
      <c r="G28" s="43"/>
      <c r="H28" s="45"/>
      <c r="I28" s="38"/>
      <c r="J28" s="38">
        <f>4.9*1000</f>
        <v>4900</v>
      </c>
      <c r="K28" s="46">
        <v>0.009293981481481481</v>
      </c>
      <c r="L28" s="47" t="s">
        <v>60</v>
      </c>
      <c r="M28" s="46"/>
      <c r="N28" s="46"/>
      <c r="O28" s="38"/>
      <c r="P28" s="64">
        <v>42990.0</v>
      </c>
      <c r="Q28" s="12" t="str">
        <f t="shared" si="1"/>
        <v/>
      </c>
      <c r="R28" s="50"/>
      <c r="S28" s="50"/>
      <c r="T28" s="50"/>
      <c r="U28" s="53"/>
      <c r="V28" s="54"/>
      <c r="W28" s="56"/>
      <c r="X28" s="57"/>
      <c r="Y28" s="38"/>
      <c r="Z28" s="38"/>
      <c r="AA28" s="65"/>
      <c r="AB28" s="65"/>
      <c r="AC28" s="65"/>
      <c r="AD28" s="65"/>
      <c r="AE28" s="65"/>
      <c r="AF28" s="65"/>
      <c r="AG28" s="65"/>
      <c r="AH28" s="65"/>
      <c r="AI28" s="65"/>
      <c r="AJ28" s="65"/>
      <c r="AK28" s="65"/>
      <c r="AL28" s="65"/>
      <c r="AM28" s="65"/>
      <c r="AN28" s="65"/>
    </row>
    <row r="29">
      <c r="A29" s="39">
        <v>22.01</v>
      </c>
      <c r="B29" s="38" t="s">
        <v>107</v>
      </c>
      <c r="C29" s="39"/>
      <c r="D29" s="38" t="s">
        <v>55</v>
      </c>
      <c r="E29" s="38"/>
      <c r="F29" s="41"/>
      <c r="G29" s="43" t="s">
        <v>147</v>
      </c>
      <c r="H29" s="58" t="s">
        <v>149</v>
      </c>
      <c r="I29" s="38"/>
      <c r="J29" s="38"/>
      <c r="K29" s="46"/>
      <c r="L29" s="47"/>
      <c r="M29" s="46">
        <v>0.0</v>
      </c>
      <c r="N29" s="46">
        <v>0.0011805555555555556</v>
      </c>
      <c r="O29" s="60">
        <f t="shared" ref="O29:O34" si="3">N29-M29</f>
        <v>0.001180555556</v>
      </c>
      <c r="P29" s="64">
        <v>42990.0</v>
      </c>
      <c r="Q29" s="61" t="str">
        <f t="shared" si="1"/>
        <v>https://www.youtube.com/embed/Uq2PJjcHiqI?start=0&amp;end=102&amp;autoplay=1</v>
      </c>
      <c r="R29" s="67" t="s">
        <v>61</v>
      </c>
      <c r="S29" s="67" t="s">
        <v>124</v>
      </c>
      <c r="T29" s="67" t="s">
        <v>61</v>
      </c>
      <c r="U29" s="53"/>
      <c r="V29" s="54"/>
      <c r="W29" s="56"/>
      <c r="X29" s="57"/>
      <c r="Y29" s="38"/>
      <c r="Z29" s="38"/>
      <c r="AA29" s="65"/>
      <c r="AB29" s="65"/>
      <c r="AC29" s="65"/>
      <c r="AD29" s="65"/>
      <c r="AE29" s="65"/>
      <c r="AF29" s="65"/>
      <c r="AG29" s="65"/>
      <c r="AH29" s="65"/>
      <c r="AI29" s="65"/>
      <c r="AJ29" s="65"/>
      <c r="AK29" s="65"/>
      <c r="AL29" s="65"/>
      <c r="AM29" s="65"/>
      <c r="AN29" s="65"/>
    </row>
    <row r="30">
      <c r="A30" s="39">
        <v>22.02</v>
      </c>
      <c r="B30" s="38" t="s">
        <v>107</v>
      </c>
      <c r="C30" s="39"/>
      <c r="D30" s="38" t="s">
        <v>55</v>
      </c>
      <c r="E30" s="38"/>
      <c r="F30" s="41"/>
      <c r="G30" s="43" t="s">
        <v>152</v>
      </c>
      <c r="H30" s="58" t="s">
        <v>153</v>
      </c>
      <c r="I30" s="38"/>
      <c r="J30" s="38"/>
      <c r="K30" s="46"/>
      <c r="L30" s="47"/>
      <c r="M30" s="46">
        <v>0.0011805555555555556</v>
      </c>
      <c r="N30" s="46">
        <v>0.003101851851851852</v>
      </c>
      <c r="O30" s="60">
        <f t="shared" si="3"/>
        <v>0.001921296296</v>
      </c>
      <c r="P30" s="64">
        <v>42990.0</v>
      </c>
      <c r="Q30" s="61" t="str">
        <f t="shared" si="1"/>
        <v>https://www.youtube.com/embed/Uq2PJjcHiqI?start=102&amp;end=268&amp;autoplay=1</v>
      </c>
      <c r="R30" s="67" t="s">
        <v>61</v>
      </c>
      <c r="S30" s="67" t="s">
        <v>124</v>
      </c>
      <c r="T30" s="67" t="s">
        <v>61</v>
      </c>
      <c r="U30" s="53"/>
      <c r="V30" s="54"/>
      <c r="W30" s="56"/>
      <c r="X30" s="57"/>
      <c r="Y30" s="38"/>
      <c r="Z30" s="38"/>
      <c r="AA30" s="65"/>
      <c r="AB30" s="65"/>
      <c r="AC30" s="65"/>
      <c r="AD30" s="65"/>
      <c r="AE30" s="65"/>
      <c r="AF30" s="65"/>
      <c r="AG30" s="65"/>
      <c r="AH30" s="65"/>
      <c r="AI30" s="65"/>
      <c r="AJ30" s="65"/>
      <c r="AK30" s="65"/>
      <c r="AL30" s="65"/>
      <c r="AM30" s="65"/>
      <c r="AN30" s="65"/>
    </row>
    <row r="31">
      <c r="A31" s="39">
        <v>22.03</v>
      </c>
      <c r="B31" s="38" t="s">
        <v>107</v>
      </c>
      <c r="C31" s="38"/>
      <c r="D31" s="38" t="s">
        <v>55</v>
      </c>
      <c r="E31" s="38"/>
      <c r="F31" s="41"/>
      <c r="G31" s="43" t="s">
        <v>158</v>
      </c>
      <c r="H31" s="58" t="s">
        <v>159</v>
      </c>
      <c r="I31" s="38"/>
      <c r="J31" s="38"/>
      <c r="K31" s="46"/>
      <c r="L31" s="47"/>
      <c r="M31" s="46">
        <v>0.003101851851851852</v>
      </c>
      <c r="N31" s="46">
        <v>0.004641203703703704</v>
      </c>
      <c r="O31" s="60">
        <f t="shared" si="3"/>
        <v>0.001539351852</v>
      </c>
      <c r="P31" s="64">
        <v>42990.0</v>
      </c>
      <c r="Q31" s="61" t="str">
        <f t="shared" si="1"/>
        <v>https://www.youtube.com/embed/Uq2PJjcHiqI?start=268&amp;end=401&amp;autoplay=1</v>
      </c>
      <c r="R31" s="67" t="s">
        <v>61</v>
      </c>
      <c r="S31" s="67" t="s">
        <v>124</v>
      </c>
      <c r="T31" s="67" t="s">
        <v>61</v>
      </c>
      <c r="U31" s="53"/>
      <c r="V31" s="54"/>
      <c r="W31" s="56"/>
      <c r="X31" s="70"/>
      <c r="Y31" s="59"/>
      <c r="Z31" s="59" t="s">
        <v>162</v>
      </c>
      <c r="AA31" s="65"/>
      <c r="AB31" s="65"/>
      <c r="AC31" s="65"/>
      <c r="AD31" s="65"/>
      <c r="AE31" s="65"/>
      <c r="AF31" s="65"/>
      <c r="AG31" s="65"/>
      <c r="AH31" s="65"/>
      <c r="AI31" s="65"/>
      <c r="AJ31" s="65"/>
      <c r="AK31" s="65"/>
      <c r="AL31" s="65"/>
      <c r="AM31" s="65"/>
      <c r="AN31" s="65"/>
    </row>
    <row r="32">
      <c r="A32" s="39">
        <v>22.04</v>
      </c>
      <c r="B32" s="38" t="s">
        <v>107</v>
      </c>
      <c r="C32" s="38"/>
      <c r="D32" s="38" t="s">
        <v>55</v>
      </c>
      <c r="E32" s="38"/>
      <c r="F32" s="41"/>
      <c r="G32" s="43" t="s">
        <v>163</v>
      </c>
      <c r="H32" s="58" t="s">
        <v>164</v>
      </c>
      <c r="I32" s="38"/>
      <c r="J32" s="38"/>
      <c r="K32" s="46"/>
      <c r="L32" s="47"/>
      <c r="M32" s="46">
        <v>0.004641203703703704</v>
      </c>
      <c r="N32" s="46">
        <v>0.0072106481481481475</v>
      </c>
      <c r="O32" s="60">
        <f t="shared" si="3"/>
        <v>0.002569444444</v>
      </c>
      <c r="P32" s="64">
        <v>42990.0</v>
      </c>
      <c r="Q32" s="61" t="str">
        <f t="shared" si="1"/>
        <v>https://www.youtube.com/embed/Uq2PJjcHiqI?start=401&amp;end=623&amp;autoplay=1</v>
      </c>
      <c r="R32" s="67" t="s">
        <v>61</v>
      </c>
      <c r="S32" s="67" t="s">
        <v>124</v>
      </c>
      <c r="T32" s="67" t="s">
        <v>61</v>
      </c>
      <c r="U32" s="53"/>
      <c r="V32" s="54"/>
      <c r="W32" s="56"/>
      <c r="X32" s="70"/>
      <c r="Y32" s="59"/>
      <c r="Z32" s="59"/>
      <c r="AA32" s="65"/>
      <c r="AB32" s="65"/>
      <c r="AC32" s="65"/>
      <c r="AD32" s="65"/>
      <c r="AE32" s="65"/>
      <c r="AF32" s="65"/>
      <c r="AG32" s="65"/>
      <c r="AH32" s="65"/>
      <c r="AI32" s="65"/>
      <c r="AJ32" s="65"/>
      <c r="AK32" s="65"/>
      <c r="AL32" s="65"/>
      <c r="AM32" s="65"/>
      <c r="AN32" s="65"/>
    </row>
    <row r="33">
      <c r="A33" s="39">
        <v>22.05</v>
      </c>
      <c r="B33" s="38" t="s">
        <v>107</v>
      </c>
      <c r="C33" s="38"/>
      <c r="D33" s="38" t="s">
        <v>55</v>
      </c>
      <c r="E33" s="38"/>
      <c r="F33" s="41"/>
      <c r="G33" s="62" t="s">
        <v>167</v>
      </c>
      <c r="H33" s="58" t="s">
        <v>168</v>
      </c>
      <c r="I33" s="38"/>
      <c r="J33" s="38"/>
      <c r="K33" s="46"/>
      <c r="L33" s="47"/>
      <c r="M33" s="46">
        <v>0.0072106481481481475</v>
      </c>
      <c r="N33" s="46">
        <v>0.007673611111111111</v>
      </c>
      <c r="O33" s="60">
        <f t="shared" si="3"/>
        <v>0.000462962963</v>
      </c>
      <c r="P33" s="64">
        <v>42990.0</v>
      </c>
      <c r="Q33" s="61" t="str">
        <f t="shared" si="1"/>
        <v>https://www.youtube.com/embed/Uq2PJjcHiqI?start=623&amp;end=663&amp;autoplay=1</v>
      </c>
      <c r="R33" s="67" t="s">
        <v>61</v>
      </c>
      <c r="S33" s="67" t="s">
        <v>124</v>
      </c>
      <c r="T33" s="67" t="s">
        <v>61</v>
      </c>
      <c r="U33" s="53"/>
      <c r="V33" s="54"/>
      <c r="W33" s="56"/>
      <c r="X33" s="70"/>
      <c r="Y33" s="59"/>
      <c r="Z33" s="59" t="s">
        <v>169</v>
      </c>
      <c r="AA33" s="65"/>
      <c r="AB33" s="65"/>
      <c r="AC33" s="65"/>
      <c r="AD33" s="65"/>
      <c r="AE33" s="65"/>
      <c r="AF33" s="65"/>
      <c r="AG33" s="65"/>
      <c r="AH33" s="65"/>
      <c r="AI33" s="65"/>
      <c r="AJ33" s="65"/>
      <c r="AK33" s="65"/>
      <c r="AL33" s="65"/>
      <c r="AM33" s="65"/>
      <c r="AN33" s="65"/>
    </row>
    <row r="34">
      <c r="A34" s="39">
        <v>22.06</v>
      </c>
      <c r="B34" s="38" t="s">
        <v>107</v>
      </c>
      <c r="C34" s="39"/>
      <c r="D34" s="38" t="s">
        <v>55</v>
      </c>
      <c r="E34" s="38"/>
      <c r="F34" s="41"/>
      <c r="G34" s="43" t="s">
        <v>170</v>
      </c>
      <c r="H34" s="58" t="s">
        <v>171</v>
      </c>
      <c r="I34" s="38"/>
      <c r="J34" s="38"/>
      <c r="K34" s="46"/>
      <c r="L34" s="47"/>
      <c r="M34" s="46">
        <v>0.0076851851851851855</v>
      </c>
      <c r="N34" s="46">
        <v>0.009282407407407408</v>
      </c>
      <c r="O34" s="60">
        <f t="shared" si="3"/>
        <v>0.001597222222</v>
      </c>
      <c r="P34" s="64">
        <v>42990.0</v>
      </c>
      <c r="Q34" s="61" t="str">
        <f t="shared" si="1"/>
        <v>https://www.youtube.com/embed/Uq2PJjcHiqI?start=664&amp;end=802&amp;autoplay=1</v>
      </c>
      <c r="R34" s="67" t="s">
        <v>61</v>
      </c>
      <c r="S34" s="67" t="s">
        <v>124</v>
      </c>
      <c r="T34" s="67" t="s">
        <v>61</v>
      </c>
      <c r="U34" s="53"/>
      <c r="V34" s="54"/>
      <c r="W34" s="56"/>
      <c r="X34" s="70"/>
      <c r="Y34" s="59"/>
      <c r="Z34" s="59"/>
      <c r="AA34" s="65"/>
      <c r="AB34" s="65"/>
      <c r="AC34" s="65"/>
      <c r="AD34" s="65"/>
      <c r="AE34" s="65"/>
      <c r="AF34" s="65"/>
      <c r="AG34" s="65"/>
      <c r="AH34" s="65"/>
      <c r="AI34" s="65"/>
      <c r="AJ34" s="65"/>
      <c r="AK34" s="65"/>
      <c r="AL34" s="65"/>
      <c r="AM34" s="65"/>
      <c r="AN34" s="65"/>
    </row>
    <row r="35">
      <c r="A35" s="38">
        <v>23.0</v>
      </c>
      <c r="B35" s="38" t="s">
        <v>107</v>
      </c>
      <c r="C35" s="38"/>
      <c r="D35" s="38" t="s">
        <v>55</v>
      </c>
      <c r="E35" s="38" t="s">
        <v>176</v>
      </c>
      <c r="F35" s="41" t="s">
        <v>177</v>
      </c>
      <c r="G35" s="43"/>
      <c r="H35" s="45"/>
      <c r="I35" s="38"/>
      <c r="J35" s="38">
        <f>3.6*1000</f>
        <v>3600</v>
      </c>
      <c r="K35" s="46">
        <v>0.007476851851851853</v>
      </c>
      <c r="L35" s="47" t="s">
        <v>60</v>
      </c>
      <c r="M35" s="46"/>
      <c r="N35" s="46"/>
      <c r="O35" s="38"/>
      <c r="P35" s="64">
        <v>42991.0</v>
      </c>
      <c r="Q35" s="12" t="str">
        <f t="shared" si="1"/>
        <v/>
      </c>
      <c r="R35" s="50"/>
      <c r="S35" s="50"/>
      <c r="T35" s="50"/>
      <c r="U35" s="53"/>
      <c r="V35" s="54"/>
      <c r="W35" s="56"/>
      <c r="X35" s="57"/>
      <c r="Y35" s="38"/>
      <c r="Z35" s="38"/>
      <c r="AA35" s="65"/>
      <c r="AB35" s="65"/>
      <c r="AC35" s="65"/>
      <c r="AD35" s="65"/>
      <c r="AE35" s="65"/>
      <c r="AF35" s="65"/>
      <c r="AG35" s="65"/>
      <c r="AH35" s="65"/>
      <c r="AI35" s="65"/>
      <c r="AJ35" s="65"/>
      <c r="AK35" s="65"/>
      <c r="AL35" s="65"/>
      <c r="AM35" s="65"/>
      <c r="AN35" s="65"/>
    </row>
    <row r="36">
      <c r="A36" s="39">
        <v>23.01</v>
      </c>
      <c r="B36" s="38" t="s">
        <v>107</v>
      </c>
      <c r="C36" s="38"/>
      <c r="D36" s="38" t="s">
        <v>55</v>
      </c>
      <c r="E36" s="38"/>
      <c r="F36" s="41"/>
      <c r="G36" s="43" t="s">
        <v>180</v>
      </c>
      <c r="H36" s="71" t="s">
        <v>181</v>
      </c>
      <c r="I36" s="38"/>
      <c r="J36" s="38"/>
      <c r="K36" s="46"/>
      <c r="L36" s="47"/>
      <c r="M36" s="46">
        <v>0.0</v>
      </c>
      <c r="N36" s="46">
        <v>0.0015162037037037036</v>
      </c>
      <c r="O36" s="60">
        <f t="shared" ref="O36:O38" si="4">N36-M36</f>
        <v>0.001516203704</v>
      </c>
      <c r="P36" s="64">
        <v>42991.0</v>
      </c>
      <c r="Q36" s="61" t="str">
        <f t="shared" si="1"/>
        <v>https://www.youtube.com/embed/5LJPOCxc3E8?start=0&amp;end=131&amp;autoplay=1</v>
      </c>
      <c r="R36" s="50"/>
      <c r="S36" s="50"/>
      <c r="T36" s="50"/>
      <c r="U36" s="53"/>
      <c r="V36" s="54"/>
      <c r="W36" s="56"/>
      <c r="X36" s="57"/>
      <c r="Y36" s="38"/>
      <c r="Z36" s="38"/>
      <c r="AA36" s="65"/>
      <c r="AB36" s="65"/>
      <c r="AC36" s="65"/>
      <c r="AD36" s="65"/>
      <c r="AE36" s="65"/>
      <c r="AF36" s="65"/>
      <c r="AG36" s="65"/>
      <c r="AH36" s="65"/>
      <c r="AI36" s="65"/>
      <c r="AJ36" s="65"/>
      <c r="AK36" s="65"/>
      <c r="AL36" s="65"/>
      <c r="AM36" s="65"/>
      <c r="AN36" s="65"/>
    </row>
    <row r="37">
      <c r="A37" s="39">
        <v>23.02</v>
      </c>
      <c r="B37" s="38" t="s">
        <v>107</v>
      </c>
      <c r="C37" s="38"/>
      <c r="D37" s="38" t="s">
        <v>55</v>
      </c>
      <c r="E37" s="38"/>
      <c r="F37" s="41"/>
      <c r="G37" s="43" t="s">
        <v>184</v>
      </c>
      <c r="H37" s="71" t="s">
        <v>185</v>
      </c>
      <c r="I37" s="38"/>
      <c r="J37" s="38"/>
      <c r="K37" s="46"/>
      <c r="L37" s="47"/>
      <c r="M37" s="46">
        <v>0.0015162037037037036</v>
      </c>
      <c r="N37" s="46">
        <v>0.004085648148148148</v>
      </c>
      <c r="O37" s="60">
        <f t="shared" si="4"/>
        <v>0.002569444444</v>
      </c>
      <c r="P37" s="64">
        <v>42991.0</v>
      </c>
      <c r="Q37" s="61" t="str">
        <f t="shared" si="1"/>
        <v>https://www.youtube.com/embed/5LJPOCxc3E8?start=131&amp;end=353&amp;autoplay=1</v>
      </c>
      <c r="R37" s="50"/>
      <c r="S37" s="50"/>
      <c r="T37" s="50"/>
      <c r="U37" s="53"/>
      <c r="V37" s="54"/>
      <c r="W37" s="56"/>
      <c r="X37" s="57"/>
      <c r="Y37" s="38"/>
      <c r="Z37" s="38"/>
      <c r="AA37" s="65"/>
      <c r="AB37" s="65"/>
      <c r="AC37" s="65"/>
      <c r="AD37" s="65"/>
      <c r="AE37" s="65"/>
      <c r="AF37" s="65"/>
      <c r="AG37" s="65"/>
      <c r="AH37" s="65"/>
      <c r="AI37" s="65"/>
      <c r="AJ37" s="65"/>
      <c r="AK37" s="65"/>
      <c r="AL37" s="65"/>
      <c r="AM37" s="65"/>
      <c r="AN37" s="65"/>
    </row>
    <row r="38">
      <c r="A38" s="39">
        <v>23.03</v>
      </c>
      <c r="B38" s="38" t="s">
        <v>107</v>
      </c>
      <c r="C38" s="38"/>
      <c r="D38" s="38" t="s">
        <v>55</v>
      </c>
      <c r="E38" s="38"/>
      <c r="F38" s="41"/>
      <c r="G38" s="43" t="s">
        <v>191</v>
      </c>
      <c r="H38" s="71" t="s">
        <v>192</v>
      </c>
      <c r="I38" s="38"/>
      <c r="J38" s="38"/>
      <c r="K38" s="46"/>
      <c r="L38" s="47"/>
      <c r="M38" s="46">
        <v>0.004143518518518519</v>
      </c>
      <c r="N38" s="46">
        <v>0.007395833333333334</v>
      </c>
      <c r="O38" s="60">
        <f t="shared" si="4"/>
        <v>0.003252314815</v>
      </c>
      <c r="P38" s="64">
        <v>42991.0</v>
      </c>
      <c r="Q38" s="61" t="str">
        <f t="shared" si="1"/>
        <v>https://www.youtube.com/embed/5LJPOCxc3E8?start=358&amp;end=639&amp;autoplay=1</v>
      </c>
      <c r="R38" s="50"/>
      <c r="S38" s="50"/>
      <c r="T38" s="50"/>
      <c r="U38" s="53"/>
      <c r="V38" s="54"/>
      <c r="W38" s="56"/>
      <c r="X38" s="57"/>
      <c r="Y38" s="38"/>
      <c r="Z38" s="38"/>
      <c r="AA38" s="65"/>
      <c r="AB38" s="65"/>
      <c r="AC38" s="65"/>
      <c r="AD38" s="65"/>
      <c r="AE38" s="65"/>
      <c r="AF38" s="65"/>
      <c r="AG38" s="65"/>
      <c r="AH38" s="65"/>
      <c r="AI38" s="65"/>
      <c r="AJ38" s="65"/>
      <c r="AK38" s="65"/>
      <c r="AL38" s="65"/>
      <c r="AM38" s="65"/>
      <c r="AN38" s="65"/>
    </row>
    <row r="39">
      <c r="A39" s="73">
        <v>24.0</v>
      </c>
      <c r="B39" s="39" t="s">
        <v>107</v>
      </c>
      <c r="C39" s="38"/>
      <c r="D39" s="39" t="s">
        <v>55</v>
      </c>
      <c r="E39" s="74" t="s">
        <v>188</v>
      </c>
      <c r="F39" s="75" t="s">
        <v>189</v>
      </c>
      <c r="G39" s="76" t="s">
        <v>322</v>
      </c>
      <c r="H39" s="65"/>
      <c r="I39" s="73"/>
      <c r="J39" s="73">
        <f>2.4*1000</f>
        <v>2400</v>
      </c>
      <c r="K39" s="46">
        <v>0.008252314814814815</v>
      </c>
      <c r="L39" s="73" t="s">
        <v>60</v>
      </c>
      <c r="M39" s="46"/>
      <c r="N39" s="46"/>
      <c r="O39" s="38"/>
      <c r="P39" s="64">
        <v>43008.0</v>
      </c>
      <c r="Q39" s="12" t="str">
        <f t="shared" si="1"/>
        <v/>
      </c>
      <c r="R39" s="50"/>
      <c r="S39" s="50"/>
      <c r="T39" s="50"/>
      <c r="U39" s="53"/>
      <c r="V39" s="54"/>
      <c r="W39" s="56"/>
      <c r="X39" s="69"/>
      <c r="Y39" s="39"/>
      <c r="Z39" s="39" t="s">
        <v>325</v>
      </c>
      <c r="AA39" s="65"/>
      <c r="AB39" s="65"/>
      <c r="AC39" s="65"/>
      <c r="AD39" s="65"/>
      <c r="AE39" s="65"/>
      <c r="AF39" s="65"/>
      <c r="AG39" s="65"/>
      <c r="AH39" s="65"/>
      <c r="AI39" s="65"/>
      <c r="AJ39" s="65"/>
      <c r="AK39" s="65"/>
      <c r="AL39" s="65"/>
      <c r="AM39" s="65"/>
      <c r="AN39" s="65"/>
    </row>
    <row r="40">
      <c r="A40" s="39">
        <v>24.01</v>
      </c>
      <c r="B40" s="39" t="s">
        <v>107</v>
      </c>
      <c r="C40" s="39"/>
      <c r="D40" s="38" t="s">
        <v>55</v>
      </c>
      <c r="E40" s="38"/>
      <c r="F40" s="43"/>
      <c r="G40" s="39" t="s">
        <v>326</v>
      </c>
      <c r="H40" s="71" t="s">
        <v>327</v>
      </c>
      <c r="I40" s="38"/>
      <c r="J40" s="38"/>
      <c r="K40" s="46"/>
      <c r="L40" s="47"/>
      <c r="M40" s="46">
        <v>0.0014236111111111112</v>
      </c>
      <c r="N40" s="46">
        <v>0.0019560185185185184</v>
      </c>
      <c r="O40" s="60">
        <f t="shared" ref="O40:O43" si="5">N40-M40</f>
        <v>0.0005324074074</v>
      </c>
      <c r="P40" s="64">
        <v>43008.0</v>
      </c>
      <c r="Q40" s="61" t="str">
        <f t="shared" si="1"/>
        <v>https://www.youtube.com/embed/LdrmgXtd_rs?start=123&amp;end=169&amp;autoplay=1</v>
      </c>
      <c r="R40" s="67" t="s">
        <v>61</v>
      </c>
      <c r="S40" s="67" t="s">
        <v>124</v>
      </c>
      <c r="T40" s="67" t="s">
        <v>124</v>
      </c>
      <c r="U40" s="53"/>
      <c r="V40" s="54"/>
      <c r="W40" s="56"/>
      <c r="X40" s="77"/>
      <c r="Y40" s="65"/>
      <c r="Z40" s="65"/>
      <c r="AA40" s="65"/>
      <c r="AB40" s="65"/>
      <c r="AC40" s="65"/>
      <c r="AD40" s="65"/>
      <c r="AE40" s="65"/>
      <c r="AF40" s="65"/>
      <c r="AG40" s="65"/>
      <c r="AH40" s="65"/>
      <c r="AI40" s="65"/>
      <c r="AJ40" s="65"/>
      <c r="AK40" s="65"/>
      <c r="AL40" s="65"/>
      <c r="AM40" s="65"/>
      <c r="AN40" s="65"/>
    </row>
    <row r="41">
      <c r="A41" s="39">
        <v>24.02</v>
      </c>
      <c r="B41" s="39" t="s">
        <v>107</v>
      </c>
      <c r="C41" s="38"/>
      <c r="D41" s="38" t="s">
        <v>55</v>
      </c>
      <c r="E41" s="38"/>
      <c r="F41" s="43"/>
      <c r="G41" s="39" t="s">
        <v>331</v>
      </c>
      <c r="H41" s="71" t="s">
        <v>332</v>
      </c>
      <c r="I41" s="38"/>
      <c r="J41" s="38"/>
      <c r="K41" s="46"/>
      <c r="L41" s="47"/>
      <c r="M41" s="46">
        <v>0.0025810185185185185</v>
      </c>
      <c r="N41" s="46">
        <v>0.005462962962962963</v>
      </c>
      <c r="O41" s="60">
        <f t="shared" si="5"/>
        <v>0.002881944444</v>
      </c>
      <c r="P41" s="64">
        <v>43008.0</v>
      </c>
      <c r="Q41" s="61" t="str">
        <f t="shared" si="1"/>
        <v>https://www.youtube.com/embed/LdrmgXtd_rs?start=223&amp;end=472&amp;autoplay=1</v>
      </c>
      <c r="R41" s="50"/>
      <c r="S41" s="50"/>
      <c r="T41" s="50"/>
      <c r="U41" s="53"/>
      <c r="V41" s="54"/>
      <c r="W41" s="56"/>
      <c r="X41" s="57"/>
      <c r="Y41" s="38"/>
      <c r="Z41" s="38"/>
      <c r="AA41" s="65"/>
      <c r="AB41" s="65"/>
      <c r="AC41" s="65"/>
      <c r="AD41" s="65"/>
      <c r="AE41" s="65"/>
      <c r="AF41" s="65"/>
      <c r="AG41" s="65"/>
      <c r="AH41" s="65"/>
      <c r="AI41" s="65"/>
      <c r="AJ41" s="65"/>
      <c r="AK41" s="65"/>
      <c r="AL41" s="65"/>
      <c r="AM41" s="65"/>
      <c r="AN41" s="65"/>
    </row>
    <row r="42">
      <c r="A42" s="39">
        <v>24.03</v>
      </c>
      <c r="B42" s="39" t="s">
        <v>107</v>
      </c>
      <c r="C42" s="38"/>
      <c r="D42" s="38" t="s">
        <v>55</v>
      </c>
      <c r="E42" s="38"/>
      <c r="F42" s="43"/>
      <c r="G42" s="39" t="s">
        <v>335</v>
      </c>
      <c r="H42" s="71" t="s">
        <v>336</v>
      </c>
      <c r="I42" s="38"/>
      <c r="J42" s="38"/>
      <c r="K42" s="46"/>
      <c r="L42" s="47"/>
      <c r="M42" s="46">
        <v>0.005462962962962963</v>
      </c>
      <c r="N42" s="46">
        <v>0.00662037037037037</v>
      </c>
      <c r="O42" s="60">
        <f t="shared" si="5"/>
        <v>0.001157407407</v>
      </c>
      <c r="P42" s="64">
        <v>43008.0</v>
      </c>
      <c r="Q42" s="61" t="str">
        <f t="shared" si="1"/>
        <v>https://www.youtube.com/embed/LdrmgXtd_rs?start=472&amp;end=572&amp;autoplay=1</v>
      </c>
      <c r="R42" s="50"/>
      <c r="S42" s="50"/>
      <c r="T42" s="50"/>
      <c r="U42" s="53"/>
      <c r="V42" s="54"/>
      <c r="W42" s="56"/>
      <c r="X42" s="57"/>
      <c r="Y42" s="38"/>
      <c r="Z42" s="38"/>
      <c r="AA42" s="65"/>
      <c r="AB42" s="65"/>
      <c r="AC42" s="65"/>
      <c r="AD42" s="65"/>
      <c r="AE42" s="65"/>
      <c r="AF42" s="65"/>
      <c r="AG42" s="65"/>
      <c r="AH42" s="65"/>
      <c r="AI42" s="65"/>
      <c r="AJ42" s="65"/>
      <c r="AK42" s="65"/>
      <c r="AL42" s="65"/>
      <c r="AM42" s="65"/>
      <c r="AN42" s="65"/>
    </row>
    <row r="43">
      <c r="A43" s="39">
        <v>24.04</v>
      </c>
      <c r="B43" s="39" t="s">
        <v>107</v>
      </c>
      <c r="C43" s="38"/>
      <c r="D43" s="38" t="s">
        <v>55</v>
      </c>
      <c r="E43" s="38"/>
      <c r="F43" s="43"/>
      <c r="G43" s="39" t="s">
        <v>340</v>
      </c>
      <c r="H43" s="71" t="s">
        <v>341</v>
      </c>
      <c r="I43" s="38"/>
      <c r="J43" s="38"/>
      <c r="K43" s="46"/>
      <c r="L43" s="47"/>
      <c r="M43" s="46">
        <v>0.00662037037037037</v>
      </c>
      <c r="N43" s="46">
        <v>0.008240740740740741</v>
      </c>
      <c r="O43" s="60">
        <f t="shared" si="5"/>
        <v>0.00162037037</v>
      </c>
      <c r="P43" s="64">
        <v>43008.0</v>
      </c>
      <c r="Q43" s="61" t="str">
        <f t="shared" si="1"/>
        <v>https://www.youtube.com/embed/LdrmgXtd_rs?start=572&amp;end=712&amp;autoplay=1</v>
      </c>
      <c r="R43" s="50"/>
      <c r="S43" s="50"/>
      <c r="T43" s="50"/>
      <c r="U43" s="53"/>
      <c r="V43" s="54"/>
      <c r="W43" s="56"/>
      <c r="X43" s="57"/>
      <c r="Y43" s="38"/>
      <c r="Z43" s="38"/>
      <c r="AA43" s="65"/>
      <c r="AB43" s="65"/>
      <c r="AC43" s="65"/>
      <c r="AD43" s="65"/>
      <c r="AE43" s="65"/>
      <c r="AF43" s="65"/>
      <c r="AG43" s="65"/>
      <c r="AH43" s="65"/>
      <c r="AI43" s="65"/>
      <c r="AJ43" s="65"/>
      <c r="AK43" s="65"/>
      <c r="AL43" s="65"/>
      <c r="AM43" s="65"/>
      <c r="AN43" s="65"/>
    </row>
    <row r="44">
      <c r="A44" s="38">
        <v>25.0</v>
      </c>
      <c r="B44" s="39" t="s">
        <v>107</v>
      </c>
      <c r="C44" s="38"/>
      <c r="D44" s="39" t="s">
        <v>55</v>
      </c>
      <c r="E44" s="38" t="s">
        <v>196</v>
      </c>
      <c r="F44" s="41" t="s">
        <v>197</v>
      </c>
      <c r="G44" s="43"/>
      <c r="H44" s="45"/>
      <c r="I44" s="38"/>
      <c r="J44" s="38">
        <f>2.1*1000</f>
        <v>2100</v>
      </c>
      <c r="K44" s="46">
        <v>0.009618055555555555</v>
      </c>
      <c r="L44" s="47" t="s">
        <v>60</v>
      </c>
      <c r="M44" s="46"/>
      <c r="N44" s="46"/>
      <c r="O44" s="38"/>
      <c r="P44" s="64">
        <v>43008.0</v>
      </c>
      <c r="Q44" s="12" t="str">
        <f t="shared" si="1"/>
        <v/>
      </c>
      <c r="R44" s="38"/>
      <c r="S44" s="38"/>
      <c r="T44" s="38"/>
      <c r="U44" s="38"/>
      <c r="V44" s="38"/>
      <c r="W44" s="38"/>
      <c r="X44" s="69"/>
      <c r="Y44" s="39"/>
      <c r="Z44" s="39" t="s">
        <v>349</v>
      </c>
      <c r="AA44" s="38"/>
      <c r="AB44" s="38"/>
      <c r="AC44" s="79"/>
      <c r="AD44" s="79"/>
      <c r="AE44" s="79"/>
      <c r="AF44" s="79"/>
      <c r="AG44" s="79"/>
      <c r="AH44" s="79"/>
      <c r="AI44" s="79"/>
      <c r="AJ44" s="79"/>
      <c r="AK44" s="79"/>
      <c r="AL44" s="79"/>
      <c r="AM44" s="79"/>
      <c r="AN44" s="79"/>
    </row>
    <row r="45">
      <c r="A45" s="39">
        <v>25.01</v>
      </c>
      <c r="B45" s="39" t="s">
        <v>107</v>
      </c>
      <c r="C45" s="38"/>
      <c r="D45" s="39" t="s">
        <v>55</v>
      </c>
      <c r="E45" s="38"/>
      <c r="F45" s="43"/>
      <c r="G45" s="39" t="s">
        <v>340</v>
      </c>
      <c r="H45" s="71" t="s">
        <v>352</v>
      </c>
      <c r="I45" s="38"/>
      <c r="J45" s="38"/>
      <c r="K45" s="46"/>
      <c r="L45" s="47"/>
      <c r="M45" s="46">
        <v>2.3148148148148147E-5</v>
      </c>
      <c r="N45" s="46">
        <v>0.0060648148148148145</v>
      </c>
      <c r="O45" s="60">
        <f>N45-M45</f>
        <v>0.006041666667</v>
      </c>
      <c r="P45" s="64">
        <v>43008.0</v>
      </c>
      <c r="Q45" s="61" t="str">
        <f t="shared" si="1"/>
        <v>https://www.youtube.com/embed/gbWoqwJKhbM?start=2&amp;end=524&amp;autoplay=1</v>
      </c>
      <c r="R45" s="67" t="s">
        <v>61</v>
      </c>
      <c r="S45" s="67" t="s">
        <v>124</v>
      </c>
      <c r="T45" s="67" t="s">
        <v>124</v>
      </c>
      <c r="U45" s="53"/>
      <c r="V45" s="54"/>
      <c r="W45" s="56"/>
      <c r="X45" s="57"/>
      <c r="Y45" s="38"/>
      <c r="Z45" s="38"/>
      <c r="AA45" s="65"/>
      <c r="AB45" s="65"/>
      <c r="AC45" s="65"/>
      <c r="AD45" s="65"/>
      <c r="AE45" s="65"/>
      <c r="AF45" s="65"/>
      <c r="AG45" s="65"/>
      <c r="AH45" s="65"/>
      <c r="AI45" s="65"/>
      <c r="AJ45" s="65"/>
      <c r="AK45" s="65"/>
      <c r="AL45" s="65"/>
      <c r="AM45" s="65"/>
      <c r="AN45" s="65"/>
    </row>
    <row r="46">
      <c r="A46" s="38">
        <v>26.0</v>
      </c>
      <c r="B46" s="38" t="s">
        <v>107</v>
      </c>
      <c r="C46" s="38"/>
      <c r="D46" s="38" t="s">
        <v>55</v>
      </c>
      <c r="E46" s="38" t="s">
        <v>194</v>
      </c>
      <c r="F46" s="41" t="s">
        <v>195</v>
      </c>
      <c r="G46" s="43"/>
      <c r="H46" s="45"/>
      <c r="I46" s="38"/>
      <c r="J46" s="38">
        <f>14*1000</f>
        <v>14000</v>
      </c>
      <c r="K46" s="46">
        <v>0.007488425925925926</v>
      </c>
      <c r="L46" s="47" t="s">
        <v>60</v>
      </c>
      <c r="M46" s="46"/>
      <c r="N46" s="46"/>
      <c r="O46" s="38"/>
      <c r="P46" s="64">
        <v>42991.0</v>
      </c>
      <c r="Q46" s="12" t="str">
        <f t="shared" si="1"/>
        <v/>
      </c>
      <c r="R46" s="50"/>
      <c r="S46" s="50"/>
      <c r="T46" s="50"/>
      <c r="U46" s="53"/>
      <c r="V46" s="54"/>
      <c r="W46" s="56"/>
      <c r="X46" s="57"/>
      <c r="Y46" s="38"/>
      <c r="Z46" s="38"/>
      <c r="AA46" s="65"/>
      <c r="AB46" s="65"/>
      <c r="AC46" s="65"/>
      <c r="AD46" s="65"/>
      <c r="AE46" s="65"/>
      <c r="AF46" s="65"/>
      <c r="AG46" s="65"/>
      <c r="AH46" s="65"/>
      <c r="AI46" s="65"/>
      <c r="AJ46" s="65"/>
      <c r="AK46" s="65"/>
      <c r="AL46" s="65"/>
      <c r="AM46" s="65"/>
      <c r="AN46" s="65"/>
    </row>
    <row r="47">
      <c r="A47" s="39">
        <v>26.01</v>
      </c>
      <c r="B47" s="38" t="s">
        <v>107</v>
      </c>
      <c r="C47" s="38"/>
      <c r="D47" s="38" t="s">
        <v>55</v>
      </c>
      <c r="E47" s="38"/>
      <c r="F47" s="41"/>
      <c r="G47" s="43" t="s">
        <v>152</v>
      </c>
      <c r="H47" s="58" t="s">
        <v>199</v>
      </c>
      <c r="I47" s="38"/>
      <c r="J47" s="38"/>
      <c r="K47" s="46"/>
      <c r="L47" s="47"/>
      <c r="M47" s="46">
        <v>9.259259259259259E-4</v>
      </c>
      <c r="N47" s="46">
        <v>0.0029861111111111113</v>
      </c>
      <c r="O47" s="60">
        <f t="shared" ref="O47:O49" si="6">N47-M47</f>
        <v>0.002060185185</v>
      </c>
      <c r="P47" s="64">
        <v>42991.0</v>
      </c>
      <c r="Q47" s="61" t="str">
        <f t="shared" si="1"/>
        <v>https://www.youtube.com/embed/RdBz1kIwrqo?start=80&amp;end=258&amp;autoplay=1</v>
      </c>
      <c r="R47" s="50"/>
      <c r="S47" s="50"/>
      <c r="T47" s="50"/>
      <c r="U47" s="53"/>
      <c r="V47" s="54"/>
      <c r="W47" s="56"/>
      <c r="X47" s="70"/>
      <c r="Y47" s="59"/>
      <c r="Z47" s="59" t="s">
        <v>204</v>
      </c>
      <c r="AA47" s="65"/>
      <c r="AB47" s="65"/>
      <c r="AC47" s="65"/>
      <c r="AD47" s="65"/>
      <c r="AE47" s="65"/>
      <c r="AF47" s="65"/>
      <c r="AG47" s="65"/>
      <c r="AH47" s="65"/>
      <c r="AI47" s="65"/>
      <c r="AJ47" s="65"/>
      <c r="AK47" s="65"/>
      <c r="AL47" s="65"/>
      <c r="AM47" s="65"/>
      <c r="AN47" s="65"/>
    </row>
    <row r="48">
      <c r="A48" s="39">
        <v>26.02</v>
      </c>
      <c r="B48" s="38" t="s">
        <v>107</v>
      </c>
      <c r="C48" s="38"/>
      <c r="D48" s="38" t="s">
        <v>55</v>
      </c>
      <c r="E48" s="38"/>
      <c r="F48" s="41"/>
      <c r="G48" s="43" t="s">
        <v>205</v>
      </c>
      <c r="H48" s="58" t="s">
        <v>206</v>
      </c>
      <c r="I48" s="38"/>
      <c r="J48" s="38"/>
      <c r="K48" s="46"/>
      <c r="L48" s="47"/>
      <c r="M48" s="46">
        <v>0.0030787037037037037</v>
      </c>
      <c r="N48" s="46">
        <v>0.004641203703703704</v>
      </c>
      <c r="O48" s="60">
        <f t="shared" si="6"/>
        <v>0.0015625</v>
      </c>
      <c r="P48" s="64">
        <v>42991.0</v>
      </c>
      <c r="Q48" s="61" t="str">
        <f t="shared" si="1"/>
        <v>https://www.youtube.com/embed/RdBz1kIwrqo?start=266&amp;end=401&amp;autoplay=1</v>
      </c>
      <c r="R48" s="50"/>
      <c r="S48" s="50"/>
      <c r="T48" s="50"/>
      <c r="U48" s="53"/>
      <c r="V48" s="54"/>
      <c r="W48" s="56"/>
      <c r="X48" s="70"/>
      <c r="Y48" s="59"/>
      <c r="Z48" s="59"/>
      <c r="AA48" s="65"/>
      <c r="AB48" s="65"/>
      <c r="AC48" s="65"/>
      <c r="AD48" s="65"/>
      <c r="AE48" s="65"/>
      <c r="AF48" s="65"/>
      <c r="AG48" s="65"/>
      <c r="AH48" s="65"/>
      <c r="AI48" s="65"/>
      <c r="AJ48" s="65"/>
      <c r="AK48" s="65"/>
      <c r="AL48" s="65"/>
      <c r="AM48" s="65"/>
      <c r="AN48" s="65"/>
    </row>
    <row r="49">
      <c r="A49" s="39">
        <v>26.03</v>
      </c>
      <c r="B49" s="38" t="s">
        <v>107</v>
      </c>
      <c r="C49" s="38"/>
      <c r="D49" s="38" t="s">
        <v>55</v>
      </c>
      <c r="E49" s="38"/>
      <c r="F49" s="41"/>
      <c r="G49" s="43" t="s">
        <v>212</v>
      </c>
      <c r="H49" s="58" t="s">
        <v>213</v>
      </c>
      <c r="I49" s="38"/>
      <c r="J49" s="38"/>
      <c r="K49" s="46"/>
      <c r="L49" s="47"/>
      <c r="M49" s="46">
        <v>0.006516203703703704</v>
      </c>
      <c r="N49" s="46">
        <v>0.007476851851851853</v>
      </c>
      <c r="O49" s="60">
        <f t="shared" si="6"/>
        <v>0.0009606481481</v>
      </c>
      <c r="P49" s="64">
        <v>42991.0</v>
      </c>
      <c r="Q49" s="61" t="str">
        <f t="shared" si="1"/>
        <v>https://www.youtube.com/embed/RdBz1kIwrqo?start=563&amp;end=646&amp;autoplay=1</v>
      </c>
      <c r="R49" s="50"/>
      <c r="S49" s="50"/>
      <c r="T49" s="50"/>
      <c r="U49" s="53"/>
      <c r="V49" s="54"/>
      <c r="W49" s="56"/>
      <c r="X49" s="70"/>
      <c r="Y49" s="59"/>
      <c r="Z49" s="59"/>
      <c r="AA49" s="65"/>
      <c r="AB49" s="65"/>
      <c r="AC49" s="65"/>
      <c r="AD49" s="65"/>
      <c r="AE49" s="65"/>
      <c r="AF49" s="65"/>
      <c r="AG49" s="65"/>
      <c r="AH49" s="65"/>
      <c r="AI49" s="65"/>
      <c r="AJ49" s="65"/>
      <c r="AK49" s="65"/>
      <c r="AL49" s="65"/>
      <c r="AM49" s="65"/>
      <c r="AN49" s="65"/>
    </row>
    <row r="50">
      <c r="A50" s="38">
        <v>27.0</v>
      </c>
      <c r="B50" s="38" t="s">
        <v>107</v>
      </c>
      <c r="C50" s="38"/>
      <c r="D50" s="38" t="s">
        <v>55</v>
      </c>
      <c r="E50" s="38" t="s">
        <v>209</v>
      </c>
      <c r="F50" s="41" t="s">
        <v>210</v>
      </c>
      <c r="G50" s="43"/>
      <c r="H50" s="45"/>
      <c r="I50" s="38"/>
      <c r="J50" s="38">
        <f>15*1000</f>
        <v>15000</v>
      </c>
      <c r="K50" s="46">
        <v>0.0032407407407407406</v>
      </c>
      <c r="L50" s="47" t="s">
        <v>60</v>
      </c>
      <c r="M50" s="46"/>
      <c r="N50" s="46"/>
      <c r="O50" s="38"/>
      <c r="P50" s="64">
        <v>42991.0</v>
      </c>
      <c r="Q50" s="12" t="str">
        <f t="shared" si="1"/>
        <v/>
      </c>
      <c r="R50" s="50"/>
      <c r="S50" s="50"/>
      <c r="T50" s="50"/>
      <c r="U50" s="53"/>
      <c r="V50" s="54"/>
      <c r="W50" s="56"/>
      <c r="X50" s="70"/>
      <c r="Y50" s="59"/>
      <c r="Z50" s="59" t="s">
        <v>221</v>
      </c>
      <c r="AA50" s="65"/>
      <c r="AB50" s="65"/>
      <c r="AC50" s="65"/>
      <c r="AD50" s="65"/>
      <c r="AE50" s="65"/>
      <c r="AF50" s="65"/>
      <c r="AG50" s="65"/>
      <c r="AH50" s="65"/>
      <c r="AI50" s="65"/>
      <c r="AJ50" s="65"/>
      <c r="AK50" s="65"/>
      <c r="AL50" s="65"/>
      <c r="AM50" s="65"/>
      <c r="AN50" s="65"/>
    </row>
    <row r="51">
      <c r="A51" s="38">
        <v>28.0</v>
      </c>
      <c r="B51" s="38" t="s">
        <v>107</v>
      </c>
      <c r="C51" s="38"/>
      <c r="D51" s="38" t="s">
        <v>55</v>
      </c>
      <c r="E51" s="38" t="s">
        <v>215</v>
      </c>
      <c r="F51" s="41" t="s">
        <v>216</v>
      </c>
      <c r="G51" s="43"/>
      <c r="H51" s="45"/>
      <c r="I51" s="38"/>
      <c r="J51" s="38">
        <f>9.3*1000</f>
        <v>9300</v>
      </c>
      <c r="K51" s="46">
        <v>0.00806712962962963</v>
      </c>
      <c r="L51" s="47" t="s">
        <v>60</v>
      </c>
      <c r="M51" s="46"/>
      <c r="N51" s="46"/>
      <c r="O51" s="38"/>
      <c r="P51" s="64">
        <v>42991.0</v>
      </c>
      <c r="Q51" s="12" t="str">
        <f t="shared" si="1"/>
        <v/>
      </c>
      <c r="R51" s="50"/>
      <c r="S51" s="50"/>
      <c r="T51" s="50"/>
      <c r="U51" s="53"/>
      <c r="V51" s="54"/>
      <c r="W51" s="56"/>
      <c r="X51" s="57"/>
      <c r="Y51" s="38"/>
      <c r="Z51" s="38"/>
      <c r="AA51" s="65"/>
      <c r="AB51" s="65"/>
      <c r="AC51" s="65"/>
      <c r="AD51" s="65"/>
      <c r="AE51" s="65"/>
      <c r="AF51" s="65"/>
      <c r="AG51" s="65"/>
      <c r="AH51" s="65"/>
      <c r="AI51" s="65"/>
      <c r="AJ51" s="65"/>
      <c r="AK51" s="65"/>
      <c r="AL51" s="65"/>
      <c r="AM51" s="65"/>
      <c r="AN51" s="65"/>
    </row>
    <row r="52">
      <c r="A52" s="39">
        <v>28.01</v>
      </c>
      <c r="B52" s="38" t="s">
        <v>107</v>
      </c>
      <c r="C52" s="38"/>
      <c r="D52" s="38" t="s">
        <v>55</v>
      </c>
      <c r="E52" s="38"/>
      <c r="F52" s="41"/>
      <c r="G52" s="43" t="s">
        <v>226</v>
      </c>
      <c r="H52" s="58" t="s">
        <v>227</v>
      </c>
      <c r="I52" s="38"/>
      <c r="J52" s="38"/>
      <c r="K52" s="46"/>
      <c r="L52" s="47"/>
      <c r="M52" s="46">
        <v>0.0</v>
      </c>
      <c r="N52" s="46">
        <v>8.796296296296296E-4</v>
      </c>
      <c r="O52" s="60">
        <f t="shared" ref="O52:O55" si="7">N52-M52</f>
        <v>0.0008796296296</v>
      </c>
      <c r="P52" s="64">
        <v>42991.0</v>
      </c>
      <c r="Q52" s="61" t="str">
        <f t="shared" si="1"/>
        <v>https://www.youtube.com/embed/N0PD3TuLvoo?start=0&amp;end=76&amp;autoplay=1</v>
      </c>
      <c r="R52" s="50"/>
      <c r="S52" s="50"/>
      <c r="T52" s="50"/>
      <c r="U52" s="53"/>
      <c r="V52" s="54"/>
      <c r="W52" s="56"/>
      <c r="X52" s="70"/>
      <c r="Y52" s="59"/>
      <c r="Z52" s="59"/>
      <c r="AA52" s="65"/>
      <c r="AB52" s="65"/>
      <c r="AC52" s="65"/>
      <c r="AD52" s="65"/>
      <c r="AE52" s="65"/>
      <c r="AF52" s="65"/>
      <c r="AG52" s="65"/>
      <c r="AH52" s="65"/>
      <c r="AI52" s="65"/>
      <c r="AJ52" s="65"/>
      <c r="AK52" s="65"/>
      <c r="AL52" s="65"/>
      <c r="AM52" s="65"/>
      <c r="AN52" s="65"/>
    </row>
    <row r="53">
      <c r="A53" s="39">
        <v>28.02</v>
      </c>
      <c r="B53" s="38" t="s">
        <v>107</v>
      </c>
      <c r="C53" s="38"/>
      <c r="D53" s="38" t="s">
        <v>55</v>
      </c>
      <c r="E53" s="38"/>
      <c r="F53" s="41"/>
      <c r="G53" s="43" t="s">
        <v>234</v>
      </c>
      <c r="H53" s="58" t="s">
        <v>235</v>
      </c>
      <c r="I53" s="38"/>
      <c r="J53" s="38"/>
      <c r="K53" s="46"/>
      <c r="L53" s="47"/>
      <c r="M53" s="46">
        <v>8.912037037037036E-4</v>
      </c>
      <c r="N53" s="46">
        <v>0.0021296296296296298</v>
      </c>
      <c r="O53" s="60">
        <f t="shared" si="7"/>
        <v>0.001238425926</v>
      </c>
      <c r="P53" s="64">
        <v>42991.0</v>
      </c>
      <c r="Q53" s="61" t="str">
        <f t="shared" si="1"/>
        <v>https://www.youtube.com/embed/N0PD3TuLvoo?start=77&amp;end=184&amp;autoplay=1</v>
      </c>
      <c r="R53" s="50"/>
      <c r="S53" s="50"/>
      <c r="T53" s="50"/>
      <c r="U53" s="53"/>
      <c r="V53" s="54"/>
      <c r="W53" s="56"/>
      <c r="X53" s="70"/>
      <c r="Y53" s="59"/>
      <c r="Z53" s="59" t="s">
        <v>238</v>
      </c>
      <c r="AA53" s="65"/>
      <c r="AB53" s="65"/>
      <c r="AC53" s="65"/>
      <c r="AD53" s="65"/>
      <c r="AE53" s="65"/>
      <c r="AF53" s="65"/>
      <c r="AG53" s="65"/>
      <c r="AH53" s="65"/>
      <c r="AI53" s="65"/>
      <c r="AJ53" s="65"/>
      <c r="AK53" s="65"/>
      <c r="AL53" s="65"/>
      <c r="AM53" s="65"/>
      <c r="AN53" s="65"/>
    </row>
    <row r="54">
      <c r="A54" s="39">
        <v>28.03</v>
      </c>
      <c r="B54" s="38" t="s">
        <v>107</v>
      </c>
      <c r="C54" s="38"/>
      <c r="D54" s="38" t="s">
        <v>55</v>
      </c>
      <c r="E54" s="38"/>
      <c r="F54" s="41"/>
      <c r="G54" s="62" t="s">
        <v>240</v>
      </c>
      <c r="H54" s="58" t="s">
        <v>242</v>
      </c>
      <c r="I54" s="38"/>
      <c r="J54" s="38"/>
      <c r="K54" s="46"/>
      <c r="L54" s="47"/>
      <c r="M54" s="46">
        <v>0.0022800925925925927</v>
      </c>
      <c r="N54" s="46">
        <v>0.0035185185185185185</v>
      </c>
      <c r="O54" s="60">
        <f t="shared" si="7"/>
        <v>0.001238425926</v>
      </c>
      <c r="P54" s="64">
        <v>42991.0</v>
      </c>
      <c r="Q54" s="61" t="str">
        <f t="shared" si="1"/>
        <v>https://www.youtube.com/embed/N0PD3TuLvoo?start=197&amp;end=304&amp;autoplay=1</v>
      </c>
      <c r="R54" s="50"/>
      <c r="S54" s="50"/>
      <c r="T54" s="50"/>
      <c r="U54" s="53"/>
      <c r="V54" s="54"/>
      <c r="W54" s="56"/>
      <c r="X54" s="70"/>
      <c r="Y54" s="59"/>
      <c r="Z54" s="59" t="s">
        <v>238</v>
      </c>
      <c r="AA54" s="65"/>
      <c r="AB54" s="65"/>
      <c r="AC54" s="65"/>
      <c r="AD54" s="65"/>
      <c r="AE54" s="65"/>
      <c r="AF54" s="65"/>
      <c r="AG54" s="65"/>
      <c r="AH54" s="65"/>
      <c r="AI54" s="65"/>
      <c r="AJ54" s="65"/>
      <c r="AK54" s="65"/>
      <c r="AL54" s="65"/>
      <c r="AM54" s="65"/>
      <c r="AN54" s="65"/>
    </row>
    <row r="55">
      <c r="A55" s="39">
        <v>28.04</v>
      </c>
      <c r="B55" s="38" t="s">
        <v>107</v>
      </c>
      <c r="C55" s="38"/>
      <c r="D55" s="38" t="s">
        <v>55</v>
      </c>
      <c r="E55" s="38"/>
      <c r="F55" s="41"/>
      <c r="G55" s="43" t="s">
        <v>245</v>
      </c>
      <c r="H55" s="58" t="s">
        <v>246</v>
      </c>
      <c r="I55" s="38"/>
      <c r="J55" s="38"/>
      <c r="K55" s="46"/>
      <c r="L55" s="47"/>
      <c r="M55" s="46">
        <v>0.0035185185185185185</v>
      </c>
      <c r="N55" s="46">
        <v>0.006099537037037036</v>
      </c>
      <c r="O55" s="60">
        <f t="shared" si="7"/>
        <v>0.002581018519</v>
      </c>
      <c r="P55" s="64">
        <v>42991.0</v>
      </c>
      <c r="Q55" s="61" t="str">
        <f t="shared" si="1"/>
        <v>https://www.youtube.com/embed/N0PD3TuLvoo?start=304&amp;end=527&amp;autoplay=1</v>
      </c>
      <c r="R55" s="50"/>
      <c r="S55" s="50"/>
      <c r="T55" s="50"/>
      <c r="U55" s="53"/>
      <c r="V55" s="54"/>
      <c r="W55" s="56"/>
      <c r="X55" s="70"/>
      <c r="Y55" s="59"/>
      <c r="Z55" s="59" t="s">
        <v>251</v>
      </c>
      <c r="AA55" s="65"/>
      <c r="AB55" s="65"/>
      <c r="AC55" s="65"/>
      <c r="AD55" s="65"/>
      <c r="AE55" s="65"/>
      <c r="AF55" s="65"/>
      <c r="AG55" s="65"/>
      <c r="AH55" s="65"/>
      <c r="AI55" s="65"/>
      <c r="AJ55" s="65"/>
      <c r="AK55" s="65"/>
      <c r="AL55" s="65"/>
      <c r="AM55" s="65"/>
      <c r="AN55" s="65"/>
    </row>
    <row r="56">
      <c r="A56" s="38">
        <v>29.0</v>
      </c>
      <c r="B56" s="38" t="s">
        <v>107</v>
      </c>
      <c r="C56" s="38"/>
      <c r="D56" s="38" t="s">
        <v>55</v>
      </c>
      <c r="E56" s="38" t="s">
        <v>217</v>
      </c>
      <c r="F56" s="41" t="s">
        <v>218</v>
      </c>
      <c r="G56" s="43"/>
      <c r="H56" s="45"/>
      <c r="I56" s="38"/>
      <c r="J56" s="38">
        <f>35*1000</f>
        <v>35000</v>
      </c>
      <c r="K56" s="46">
        <v>0.007685185185185185</v>
      </c>
      <c r="L56" s="47" t="s">
        <v>60</v>
      </c>
      <c r="M56" s="46"/>
      <c r="N56" s="46"/>
      <c r="O56" s="38"/>
      <c r="P56" s="64">
        <v>42992.0</v>
      </c>
      <c r="Q56" s="12" t="str">
        <f t="shared" si="1"/>
        <v/>
      </c>
      <c r="R56" s="50"/>
      <c r="S56" s="50"/>
      <c r="T56" s="50"/>
      <c r="U56" s="53"/>
      <c r="V56" s="54"/>
      <c r="W56" s="56"/>
      <c r="X56" s="57"/>
      <c r="Y56" s="38"/>
      <c r="Z56" s="38"/>
      <c r="AA56" s="65"/>
      <c r="AB56" s="65"/>
      <c r="AC56" s="65"/>
      <c r="AD56" s="65"/>
      <c r="AE56" s="65"/>
      <c r="AF56" s="65"/>
      <c r="AG56" s="65"/>
      <c r="AH56" s="65"/>
      <c r="AI56" s="65"/>
      <c r="AJ56" s="65"/>
      <c r="AK56" s="65"/>
      <c r="AL56" s="65"/>
      <c r="AM56" s="65"/>
      <c r="AN56" s="65"/>
    </row>
    <row r="57">
      <c r="A57" s="39">
        <v>29.01</v>
      </c>
      <c r="B57" s="38" t="s">
        <v>107</v>
      </c>
      <c r="C57" s="38"/>
      <c r="D57" s="38" t="s">
        <v>55</v>
      </c>
      <c r="E57" s="38"/>
      <c r="F57" s="41"/>
      <c r="G57" s="43" t="s">
        <v>120</v>
      </c>
      <c r="H57" s="58" t="s">
        <v>260</v>
      </c>
      <c r="I57" s="38"/>
      <c r="J57" s="38"/>
      <c r="K57" s="46"/>
      <c r="L57" s="47"/>
      <c r="M57" s="46">
        <v>0.0</v>
      </c>
      <c r="N57" s="46">
        <v>0.0024421296296296296</v>
      </c>
      <c r="O57" s="60">
        <f t="shared" ref="O57:O61" si="8">N57-M57</f>
        <v>0.00244212963</v>
      </c>
      <c r="P57" s="64">
        <v>42992.0</v>
      </c>
      <c r="Q57" s="61" t="str">
        <f t="shared" si="1"/>
        <v>https://www.youtube.com/embed/C3_6Ub1GnfA?start=0&amp;end=211&amp;autoplay=1</v>
      </c>
      <c r="R57" s="50"/>
      <c r="S57" s="50"/>
      <c r="T57" s="50"/>
      <c r="U57" s="53"/>
      <c r="V57" s="54"/>
      <c r="W57" s="56"/>
      <c r="X57" s="57"/>
      <c r="Y57" s="38"/>
      <c r="Z57" s="38"/>
      <c r="AA57" s="65"/>
      <c r="AB57" s="65"/>
      <c r="AC57" s="65"/>
      <c r="AD57" s="65"/>
      <c r="AE57" s="65"/>
      <c r="AF57" s="65"/>
      <c r="AG57" s="65"/>
      <c r="AH57" s="65"/>
      <c r="AI57" s="65"/>
      <c r="AJ57" s="65"/>
      <c r="AK57" s="65"/>
      <c r="AL57" s="65"/>
      <c r="AM57" s="65"/>
      <c r="AN57" s="65"/>
    </row>
    <row r="58">
      <c r="A58" s="39">
        <v>29.02</v>
      </c>
      <c r="B58" s="38" t="s">
        <v>107</v>
      </c>
      <c r="C58" s="38"/>
      <c r="D58" s="38" t="s">
        <v>55</v>
      </c>
      <c r="E58" s="38"/>
      <c r="F58" s="41"/>
      <c r="G58" s="43" t="s">
        <v>205</v>
      </c>
      <c r="H58" s="58" t="s">
        <v>265</v>
      </c>
      <c r="I58" s="38"/>
      <c r="J58" s="38"/>
      <c r="K58" s="46"/>
      <c r="L58" s="47"/>
      <c r="M58" s="46">
        <v>0.0024421296296296296</v>
      </c>
      <c r="N58" s="46">
        <v>0.004976851851851852</v>
      </c>
      <c r="O58" s="60">
        <f t="shared" si="8"/>
        <v>0.002534722222</v>
      </c>
      <c r="P58" s="88">
        <v>42992.0</v>
      </c>
      <c r="Q58" s="61" t="str">
        <f t="shared" si="1"/>
        <v>https://www.youtube.com/embed/C3_6Ub1GnfA?start=211&amp;end=430&amp;autoplay=1</v>
      </c>
      <c r="R58" s="50"/>
      <c r="S58" s="50"/>
      <c r="T58" s="50"/>
      <c r="U58" s="53"/>
      <c r="V58" s="54"/>
      <c r="W58" s="56"/>
      <c r="X58" s="57"/>
      <c r="Y58" s="38"/>
      <c r="Z58" s="38"/>
      <c r="AA58" s="65"/>
      <c r="AB58" s="65"/>
      <c r="AC58" s="65"/>
      <c r="AD58" s="65"/>
      <c r="AE58" s="65"/>
      <c r="AF58" s="65"/>
      <c r="AG58" s="65"/>
      <c r="AH58" s="65"/>
      <c r="AI58" s="65"/>
      <c r="AJ58" s="65"/>
      <c r="AK58" s="65"/>
      <c r="AL58" s="65"/>
      <c r="AM58" s="65"/>
      <c r="AN58" s="65"/>
    </row>
    <row r="59">
      <c r="A59" s="39">
        <v>29.03</v>
      </c>
      <c r="B59" s="38" t="s">
        <v>107</v>
      </c>
      <c r="C59" s="38"/>
      <c r="D59" s="38" t="s">
        <v>55</v>
      </c>
      <c r="E59" s="38"/>
      <c r="F59" s="41"/>
      <c r="G59" s="43" t="s">
        <v>269</v>
      </c>
      <c r="H59" s="58" t="s">
        <v>270</v>
      </c>
      <c r="I59" s="38"/>
      <c r="J59" s="38"/>
      <c r="K59" s="46"/>
      <c r="L59" s="47"/>
      <c r="M59" s="46">
        <v>0.0049884259259259265</v>
      </c>
      <c r="N59" s="46">
        <v>0.006018518518518518</v>
      </c>
      <c r="O59" s="60">
        <f t="shared" si="8"/>
        <v>0.001030092593</v>
      </c>
      <c r="P59" s="88">
        <v>42992.0</v>
      </c>
      <c r="Q59" s="61" t="str">
        <f t="shared" si="1"/>
        <v>https://www.youtube.com/embed/C3_6Ub1GnfA?start=431&amp;end=520&amp;autoplay=1</v>
      </c>
      <c r="R59" s="50"/>
      <c r="S59" s="50"/>
      <c r="T59" s="50"/>
      <c r="U59" s="53"/>
      <c r="V59" s="54"/>
      <c r="W59" s="56"/>
      <c r="X59" s="57"/>
      <c r="Y59" s="38"/>
      <c r="Z59" s="38"/>
      <c r="AA59" s="65"/>
      <c r="AB59" s="65"/>
      <c r="AC59" s="65"/>
      <c r="AD59" s="65"/>
      <c r="AE59" s="65"/>
      <c r="AF59" s="65"/>
      <c r="AG59" s="65"/>
      <c r="AH59" s="65"/>
      <c r="AI59" s="65"/>
      <c r="AJ59" s="65"/>
      <c r="AK59" s="65"/>
      <c r="AL59" s="65"/>
      <c r="AM59" s="65"/>
      <c r="AN59" s="65"/>
    </row>
    <row r="60">
      <c r="A60" s="39">
        <v>29.04</v>
      </c>
      <c r="B60" s="38" t="s">
        <v>107</v>
      </c>
      <c r="C60" s="39"/>
      <c r="D60" s="38" t="s">
        <v>55</v>
      </c>
      <c r="E60" s="38"/>
      <c r="F60" s="41"/>
      <c r="G60" s="62" t="s">
        <v>272</v>
      </c>
      <c r="H60" s="58" t="s">
        <v>273</v>
      </c>
      <c r="I60" s="38"/>
      <c r="J60" s="38"/>
      <c r="K60" s="46"/>
      <c r="L60" s="47"/>
      <c r="M60" s="46">
        <v>0.0062268518518518515</v>
      </c>
      <c r="N60" s="46">
        <v>0.006817129629629629</v>
      </c>
      <c r="O60" s="60">
        <f t="shared" si="8"/>
        <v>0.0005902777778</v>
      </c>
      <c r="P60" s="88">
        <v>42992.0</v>
      </c>
      <c r="Q60" s="61" t="str">
        <f t="shared" si="1"/>
        <v>https://www.youtube.com/embed/C3_6Ub1GnfA?start=538&amp;end=589&amp;autoplay=1</v>
      </c>
      <c r="R60" s="50"/>
      <c r="S60" s="50"/>
      <c r="T60" s="50"/>
      <c r="U60" s="53"/>
      <c r="V60" s="54"/>
      <c r="W60" s="56"/>
      <c r="X60" s="57"/>
      <c r="Y60" s="38"/>
      <c r="Z60" s="38"/>
      <c r="AA60" s="65"/>
      <c r="AB60" s="65"/>
      <c r="AC60" s="65"/>
      <c r="AD60" s="65"/>
      <c r="AE60" s="65"/>
      <c r="AF60" s="65"/>
      <c r="AG60" s="65"/>
      <c r="AH60" s="65"/>
      <c r="AI60" s="65"/>
      <c r="AJ60" s="65"/>
      <c r="AK60" s="65"/>
      <c r="AL60" s="65"/>
      <c r="AM60" s="65"/>
      <c r="AN60" s="65"/>
    </row>
    <row r="61">
      <c r="A61" s="39">
        <v>29.05</v>
      </c>
      <c r="B61" s="38" t="s">
        <v>107</v>
      </c>
      <c r="C61" s="38"/>
      <c r="D61" s="38" t="s">
        <v>55</v>
      </c>
      <c r="E61" s="38"/>
      <c r="F61" s="41"/>
      <c r="G61" s="43" t="s">
        <v>152</v>
      </c>
      <c r="H61" s="58" t="s">
        <v>278</v>
      </c>
      <c r="I61" s="38"/>
      <c r="J61" s="38"/>
      <c r="K61" s="46"/>
      <c r="L61" s="47"/>
      <c r="M61" s="46">
        <v>0.006817129629629629</v>
      </c>
      <c r="N61" s="46">
        <v>0.007673611111111111</v>
      </c>
      <c r="O61" s="60">
        <f t="shared" si="8"/>
        <v>0.0008564814815</v>
      </c>
      <c r="P61" s="88">
        <v>42992.0</v>
      </c>
      <c r="Q61" s="61" t="str">
        <f t="shared" si="1"/>
        <v>https://www.youtube.com/embed/C3_6Ub1GnfA?start=589&amp;end=663&amp;autoplay=1</v>
      </c>
      <c r="R61" s="50"/>
      <c r="S61" s="50"/>
      <c r="T61" s="50"/>
      <c r="U61" s="53"/>
      <c r="V61" s="54"/>
      <c r="W61" s="56"/>
      <c r="X61" s="57"/>
      <c r="Y61" s="38"/>
      <c r="Z61" s="38"/>
      <c r="AA61" s="65"/>
      <c r="AB61" s="65"/>
      <c r="AC61" s="65"/>
      <c r="AD61" s="65"/>
      <c r="AE61" s="65"/>
      <c r="AF61" s="65"/>
      <c r="AG61" s="65"/>
      <c r="AH61" s="65"/>
      <c r="AI61" s="65"/>
      <c r="AJ61" s="65"/>
      <c r="AK61" s="65"/>
      <c r="AL61" s="65"/>
      <c r="AM61" s="65"/>
      <c r="AN61" s="65"/>
    </row>
    <row r="62">
      <c r="A62" s="38">
        <v>30.0</v>
      </c>
      <c r="B62" s="38"/>
      <c r="C62" s="38"/>
      <c r="D62" s="38"/>
      <c r="E62" s="38" t="s">
        <v>224</v>
      </c>
      <c r="F62" s="41" t="s">
        <v>225</v>
      </c>
      <c r="G62" s="43"/>
      <c r="H62" s="45"/>
      <c r="I62" s="38"/>
      <c r="J62" s="38">
        <f>6.9*1000</f>
        <v>6900</v>
      </c>
      <c r="K62" s="46">
        <v>0.005208333333333333</v>
      </c>
      <c r="L62" s="47" t="s">
        <v>60</v>
      </c>
      <c r="M62" s="46"/>
      <c r="N62" s="46"/>
      <c r="O62" s="38"/>
      <c r="P62" s="38"/>
      <c r="Q62" s="12" t="str">
        <f t="shared" si="1"/>
        <v/>
      </c>
      <c r="R62" s="50"/>
      <c r="S62" s="50"/>
      <c r="T62" s="50"/>
      <c r="U62" s="53"/>
      <c r="V62" s="54"/>
      <c r="W62" s="56"/>
      <c r="X62" s="57"/>
      <c r="Y62" s="38"/>
      <c r="Z62" s="38"/>
    </row>
    <row r="63">
      <c r="A63" s="38">
        <v>31.0</v>
      </c>
      <c r="B63" s="38"/>
      <c r="C63" s="39"/>
      <c r="D63" s="38"/>
      <c r="E63" s="38" t="s">
        <v>229</v>
      </c>
      <c r="F63" s="41" t="s">
        <v>230</v>
      </c>
      <c r="G63" s="43"/>
      <c r="H63" s="45"/>
      <c r="I63" s="38"/>
      <c r="J63" s="38">
        <f>645</f>
        <v>645</v>
      </c>
      <c r="K63" s="46">
        <v>0.004861111111111111</v>
      </c>
      <c r="L63" s="47" t="s">
        <v>60</v>
      </c>
      <c r="M63" s="46"/>
      <c r="N63" s="46"/>
      <c r="O63" s="38"/>
      <c r="P63" s="38"/>
      <c r="Q63" s="12" t="str">
        <f t="shared" si="1"/>
        <v/>
      </c>
      <c r="R63" s="50"/>
      <c r="S63" s="50"/>
      <c r="T63" s="50"/>
      <c r="U63" s="53"/>
      <c r="V63" s="54"/>
      <c r="W63" s="56"/>
      <c r="X63" s="57"/>
      <c r="Y63" s="38"/>
      <c r="Z63" s="38"/>
    </row>
    <row r="64">
      <c r="A64" s="38">
        <v>32.0</v>
      </c>
      <c r="B64" s="38"/>
      <c r="C64" s="38"/>
      <c r="D64" s="38"/>
      <c r="E64" s="38" t="s">
        <v>232</v>
      </c>
      <c r="F64" s="41" t="s">
        <v>233</v>
      </c>
      <c r="G64" s="43"/>
      <c r="H64" s="45"/>
      <c r="I64" s="38"/>
      <c r="J64" s="38">
        <f>282</f>
        <v>282</v>
      </c>
      <c r="K64" s="46">
        <v>0.0012037037037037038</v>
      </c>
      <c r="L64" s="47" t="s">
        <v>60</v>
      </c>
      <c r="M64" s="46"/>
      <c r="N64" s="46"/>
      <c r="O64" s="38"/>
      <c r="P64" s="38"/>
      <c r="Q64" s="12" t="str">
        <f t="shared" si="1"/>
        <v/>
      </c>
      <c r="R64" s="50"/>
      <c r="S64" s="50"/>
      <c r="T64" s="50"/>
      <c r="U64" s="53"/>
      <c r="V64" s="54"/>
      <c r="W64" s="56"/>
      <c r="X64" s="57"/>
      <c r="Y64" s="38"/>
      <c r="Z64" s="38"/>
    </row>
    <row r="65">
      <c r="A65" s="38">
        <v>33.0</v>
      </c>
      <c r="B65" s="38"/>
      <c r="C65" s="38"/>
      <c r="D65" s="38"/>
      <c r="E65" s="38" t="s">
        <v>239</v>
      </c>
      <c r="F65" s="41" t="s">
        <v>241</v>
      </c>
      <c r="G65" s="43"/>
      <c r="H65" s="45"/>
      <c r="I65" s="38"/>
      <c r="J65" s="38">
        <f>732</f>
        <v>732</v>
      </c>
      <c r="K65" s="46">
        <v>0.007337962962962963</v>
      </c>
      <c r="L65" s="47" t="s">
        <v>60</v>
      </c>
      <c r="M65" s="46"/>
      <c r="N65" s="46"/>
      <c r="O65" s="38"/>
      <c r="P65" s="38"/>
      <c r="Q65" s="12" t="str">
        <f t="shared" si="1"/>
        <v/>
      </c>
      <c r="R65" s="50"/>
      <c r="S65" s="50"/>
      <c r="T65" s="50"/>
      <c r="U65" s="53"/>
      <c r="V65" s="54"/>
      <c r="W65" s="56"/>
      <c r="X65" s="57"/>
      <c r="Y65" s="38"/>
      <c r="Z65" s="38"/>
    </row>
    <row r="66">
      <c r="A66" s="39">
        <v>33.01</v>
      </c>
      <c r="B66" s="39" t="s">
        <v>107</v>
      </c>
      <c r="C66" s="38"/>
      <c r="D66" s="39" t="s">
        <v>55</v>
      </c>
      <c r="E66" s="38"/>
      <c r="F66" s="41"/>
      <c r="G66" s="62" t="s">
        <v>361</v>
      </c>
      <c r="H66" s="58" t="s">
        <v>362</v>
      </c>
      <c r="I66" s="38"/>
      <c r="J66" s="38"/>
      <c r="K66" s="46"/>
      <c r="L66" s="47"/>
      <c r="M66" s="84">
        <v>7.754629629629629E-4</v>
      </c>
      <c r="N66" s="84">
        <v>0.004108796296296296</v>
      </c>
      <c r="O66" s="60">
        <f t="shared" ref="O66:O67" si="9">N66-M66</f>
        <v>0.003333333333</v>
      </c>
      <c r="P66" s="64">
        <v>43012.0</v>
      </c>
      <c r="Q66" s="61" t="str">
        <f t="shared" si="1"/>
        <v>https://www.youtube.com/embed/BEz8X5SUwjY?start=67&amp;end=355&amp;autoplay=1</v>
      </c>
      <c r="R66" s="67" t="s">
        <v>61</v>
      </c>
      <c r="S66" s="67" t="s">
        <v>61</v>
      </c>
      <c r="T66" s="67" t="s">
        <v>61</v>
      </c>
      <c r="U66" s="53"/>
      <c r="V66" s="54"/>
      <c r="W66" s="85" t="s">
        <v>62</v>
      </c>
      <c r="X66" s="70"/>
      <c r="Y66" s="59"/>
      <c r="Z66" s="86" t="s">
        <v>371</v>
      </c>
      <c r="AA66" s="65"/>
      <c r="AB66" s="65"/>
      <c r="AC66" s="65"/>
      <c r="AD66" s="65"/>
      <c r="AE66" s="65"/>
      <c r="AF66" s="65"/>
      <c r="AG66" s="65"/>
      <c r="AH66" s="38"/>
      <c r="AI66" s="38"/>
      <c r="AJ66" s="38"/>
      <c r="AK66" s="38"/>
      <c r="AL66" s="38"/>
      <c r="AM66" s="38"/>
      <c r="AN66" s="38"/>
    </row>
    <row r="67">
      <c r="A67" s="39">
        <v>33.02</v>
      </c>
      <c r="B67" s="39" t="s">
        <v>107</v>
      </c>
      <c r="C67" s="38"/>
      <c r="D67" s="39" t="s">
        <v>55</v>
      </c>
      <c r="E67" s="38"/>
      <c r="F67" s="41"/>
      <c r="G67" s="62" t="s">
        <v>373</v>
      </c>
      <c r="H67" s="58" t="s">
        <v>374</v>
      </c>
      <c r="I67" s="38"/>
      <c r="J67" s="38"/>
      <c r="K67" s="46"/>
      <c r="L67" s="47"/>
      <c r="M67" s="84">
        <v>0.004108796296296296</v>
      </c>
      <c r="N67" s="84">
        <v>0.007326388888888889</v>
      </c>
      <c r="O67" s="60">
        <f t="shared" si="9"/>
        <v>0.003217592593</v>
      </c>
      <c r="P67" s="64">
        <v>43012.0</v>
      </c>
      <c r="Q67" s="61" t="str">
        <f t="shared" si="1"/>
        <v>https://www.youtube.com/embed/BEz8X5SUwjY?start=355&amp;end=633&amp;autoplay=1</v>
      </c>
      <c r="R67" s="67" t="s">
        <v>61</v>
      </c>
      <c r="S67" s="67" t="s">
        <v>61</v>
      </c>
      <c r="T67" s="67" t="s">
        <v>61</v>
      </c>
      <c r="U67" s="53"/>
      <c r="V67" s="54"/>
      <c r="W67" s="85" t="s">
        <v>62</v>
      </c>
      <c r="X67" s="70"/>
      <c r="Y67" s="59"/>
      <c r="Z67" s="59"/>
      <c r="AA67" s="65"/>
      <c r="AB67" s="65"/>
      <c r="AC67" s="65"/>
      <c r="AD67" s="65"/>
      <c r="AE67" s="65"/>
      <c r="AF67" s="65"/>
      <c r="AG67" s="65"/>
      <c r="AH67" s="38"/>
      <c r="AI67" s="38"/>
      <c r="AJ67" s="38"/>
      <c r="AK67" s="38"/>
      <c r="AL67" s="38"/>
      <c r="AM67" s="38"/>
      <c r="AN67" s="38"/>
    </row>
    <row r="68">
      <c r="A68" s="38">
        <v>34.0</v>
      </c>
      <c r="B68" s="39" t="s">
        <v>107</v>
      </c>
      <c r="C68" s="38"/>
      <c r="D68" s="39" t="s">
        <v>55</v>
      </c>
      <c r="E68" s="38" t="s">
        <v>247</v>
      </c>
      <c r="F68" s="41" t="s">
        <v>248</v>
      </c>
      <c r="G68" s="43"/>
      <c r="H68" s="45"/>
      <c r="I68" s="38"/>
      <c r="J68" s="38">
        <f>459</f>
        <v>459</v>
      </c>
      <c r="K68" s="46">
        <v>0.007638888888888889</v>
      </c>
      <c r="L68" s="47" t="s">
        <v>60</v>
      </c>
      <c r="M68" s="46"/>
      <c r="N68" s="46"/>
      <c r="O68" s="38"/>
      <c r="P68" s="64">
        <v>43012.0</v>
      </c>
      <c r="Q68" s="12" t="str">
        <f t="shared" si="1"/>
        <v/>
      </c>
      <c r="R68" s="50"/>
      <c r="S68" s="50"/>
      <c r="T68" s="50"/>
      <c r="U68" s="53"/>
      <c r="V68" s="54"/>
      <c r="W68" s="56"/>
      <c r="X68" s="57"/>
      <c r="Y68" s="38"/>
      <c r="Z68" s="38"/>
    </row>
    <row r="69">
      <c r="A69" s="39">
        <v>34.01</v>
      </c>
      <c r="B69" s="39" t="s">
        <v>107</v>
      </c>
      <c r="C69" s="38"/>
      <c r="D69" s="39" t="s">
        <v>55</v>
      </c>
      <c r="E69" s="38"/>
      <c r="F69" s="41"/>
      <c r="G69" s="62" t="s">
        <v>380</v>
      </c>
      <c r="H69" s="58" t="s">
        <v>382</v>
      </c>
      <c r="I69" s="38"/>
      <c r="J69" s="38"/>
      <c r="K69" s="46"/>
      <c r="L69" s="47"/>
      <c r="M69" s="84">
        <v>0.0</v>
      </c>
      <c r="N69" s="84">
        <v>0.0042592592592592595</v>
      </c>
      <c r="O69" s="60">
        <f t="shared" ref="O69:O71" si="10">N69-M69</f>
        <v>0.004259259259</v>
      </c>
      <c r="P69" s="64">
        <v>43012.0</v>
      </c>
      <c r="Q69" s="61" t="str">
        <f t="shared" si="1"/>
        <v>https://www.youtube.com/embed/lzMEDrUFlpw?start=0&amp;end=368&amp;autoplay=1</v>
      </c>
      <c r="R69" s="50"/>
      <c r="S69" s="50"/>
      <c r="T69" s="50"/>
      <c r="U69" s="53"/>
      <c r="V69" s="54"/>
      <c r="W69" s="85" t="s">
        <v>62</v>
      </c>
      <c r="X69" s="70"/>
      <c r="Y69" s="59"/>
      <c r="Z69" s="59"/>
      <c r="AA69" s="65"/>
      <c r="AB69" s="65"/>
      <c r="AC69" s="65"/>
      <c r="AD69" s="65"/>
      <c r="AE69" s="65"/>
      <c r="AF69" s="65"/>
      <c r="AG69" s="65"/>
      <c r="AH69" s="38"/>
      <c r="AI69" s="38"/>
      <c r="AJ69" s="38"/>
      <c r="AK69" s="38"/>
      <c r="AL69" s="38"/>
      <c r="AM69" s="38"/>
      <c r="AN69" s="38"/>
    </row>
    <row r="70">
      <c r="A70" s="39">
        <v>34.02</v>
      </c>
      <c r="B70" s="39" t="s">
        <v>107</v>
      </c>
      <c r="C70" s="38"/>
      <c r="D70" s="39" t="s">
        <v>55</v>
      </c>
      <c r="E70" s="38"/>
      <c r="F70" s="41"/>
      <c r="G70" s="62" t="s">
        <v>386</v>
      </c>
      <c r="H70" s="58" t="s">
        <v>388</v>
      </c>
      <c r="I70" s="38"/>
      <c r="J70" s="38"/>
      <c r="K70" s="46"/>
      <c r="L70" s="47"/>
      <c r="M70" s="84">
        <v>0.0042592592592592595</v>
      </c>
      <c r="N70" s="84">
        <v>0.006273148148148148</v>
      </c>
      <c r="O70" s="60">
        <f t="shared" si="10"/>
        <v>0.002013888889</v>
      </c>
      <c r="P70" s="64">
        <v>43012.0</v>
      </c>
      <c r="Q70" s="61" t="str">
        <f t="shared" si="1"/>
        <v>https://www.youtube.com/embed/lzMEDrUFlpw?start=368&amp;end=542&amp;autoplay=1</v>
      </c>
      <c r="R70" s="50"/>
      <c r="S70" s="50"/>
      <c r="T70" s="50"/>
      <c r="U70" s="53"/>
      <c r="V70" s="54"/>
      <c r="W70" s="85" t="s">
        <v>62</v>
      </c>
      <c r="X70" s="70"/>
      <c r="Y70" s="59"/>
      <c r="Z70" s="59"/>
      <c r="AA70" s="65"/>
      <c r="AB70" s="65"/>
      <c r="AC70" s="65"/>
      <c r="AD70" s="65"/>
      <c r="AE70" s="65"/>
      <c r="AF70" s="65"/>
      <c r="AG70" s="65"/>
      <c r="AH70" s="38"/>
      <c r="AI70" s="38"/>
      <c r="AJ70" s="38"/>
      <c r="AK70" s="38"/>
      <c r="AL70" s="38"/>
      <c r="AM70" s="38"/>
      <c r="AN70" s="38"/>
    </row>
    <row r="71">
      <c r="A71" s="39">
        <v>34.03</v>
      </c>
      <c r="B71" s="39" t="s">
        <v>107</v>
      </c>
      <c r="C71" s="38"/>
      <c r="D71" s="39" t="s">
        <v>55</v>
      </c>
      <c r="E71" s="38"/>
      <c r="F71" s="41"/>
      <c r="G71" s="62" t="s">
        <v>389</v>
      </c>
      <c r="H71" s="58" t="s">
        <v>390</v>
      </c>
      <c r="I71" s="38"/>
      <c r="J71" s="38"/>
      <c r="K71" s="46"/>
      <c r="L71" s="47"/>
      <c r="M71" s="84">
        <v>0.006273148148148148</v>
      </c>
      <c r="N71" s="84">
        <v>0.007627314814814815</v>
      </c>
      <c r="O71" s="60">
        <f t="shared" si="10"/>
        <v>0.001354166667</v>
      </c>
      <c r="P71" s="64">
        <v>43012.0</v>
      </c>
      <c r="Q71" s="61" t="str">
        <f t="shared" si="1"/>
        <v>https://www.youtube.com/embed/lzMEDrUFlpw?start=542&amp;end=659&amp;autoplay=1</v>
      </c>
      <c r="R71" s="50"/>
      <c r="S71" s="50"/>
      <c r="T71" s="50"/>
      <c r="U71" s="53"/>
      <c r="V71" s="54"/>
      <c r="W71" s="85" t="s">
        <v>62</v>
      </c>
      <c r="X71" s="70"/>
      <c r="Y71" s="59"/>
      <c r="Z71" s="59"/>
      <c r="AA71" s="65"/>
      <c r="AB71" s="65"/>
      <c r="AC71" s="65"/>
      <c r="AD71" s="65"/>
      <c r="AE71" s="65"/>
      <c r="AF71" s="65"/>
      <c r="AG71" s="65"/>
      <c r="AH71" s="38"/>
      <c r="AI71" s="38"/>
      <c r="AJ71" s="38"/>
      <c r="AK71" s="38"/>
      <c r="AL71" s="38"/>
      <c r="AM71" s="38"/>
      <c r="AN71" s="38"/>
    </row>
    <row r="72">
      <c r="A72" s="38">
        <v>35.0</v>
      </c>
      <c r="B72" s="39" t="s">
        <v>107</v>
      </c>
      <c r="C72" s="38"/>
      <c r="D72" s="39" t="s">
        <v>55</v>
      </c>
      <c r="E72" s="38" t="s">
        <v>253</v>
      </c>
      <c r="F72" s="41" t="s">
        <v>254</v>
      </c>
      <c r="G72" s="43"/>
      <c r="H72" s="45"/>
      <c r="I72" s="38"/>
      <c r="J72" s="38">
        <f>419</f>
        <v>419</v>
      </c>
      <c r="K72" s="46">
        <v>0.0059490740740740745</v>
      </c>
      <c r="L72" s="47" t="s">
        <v>60</v>
      </c>
      <c r="M72" s="46"/>
      <c r="N72" s="46"/>
      <c r="O72" s="38"/>
      <c r="P72" s="64">
        <v>43012.0</v>
      </c>
      <c r="Q72" s="12" t="str">
        <f t="shared" si="1"/>
        <v/>
      </c>
      <c r="R72" s="50"/>
      <c r="S72" s="50"/>
      <c r="T72" s="50"/>
      <c r="U72" s="53"/>
      <c r="V72" s="54"/>
      <c r="W72" s="56"/>
      <c r="X72" s="57"/>
      <c r="Y72" s="38"/>
      <c r="Z72" s="38"/>
    </row>
    <row r="73">
      <c r="A73" s="39">
        <v>35.01</v>
      </c>
      <c r="B73" s="39" t="s">
        <v>107</v>
      </c>
      <c r="C73" s="38"/>
      <c r="D73" s="39" t="s">
        <v>55</v>
      </c>
      <c r="E73" s="38"/>
      <c r="F73" s="41"/>
      <c r="G73" s="62" t="s">
        <v>392</v>
      </c>
      <c r="H73" s="58" t="s">
        <v>394</v>
      </c>
      <c r="I73" s="38"/>
      <c r="J73" s="38"/>
      <c r="K73" s="46"/>
      <c r="L73" s="47"/>
      <c r="M73" s="84">
        <v>0.0</v>
      </c>
      <c r="N73" s="84">
        <v>0.004016203703703704</v>
      </c>
      <c r="O73" s="60">
        <f t="shared" ref="O73:O74" si="11">N73-M73</f>
        <v>0.004016203704</v>
      </c>
      <c r="P73" s="64">
        <v>43012.0</v>
      </c>
      <c r="Q73" s="61" t="str">
        <f t="shared" si="1"/>
        <v>https://www.youtube.com/embed/qCG2vqnaUx4?start=0&amp;end=347&amp;autoplay=1</v>
      </c>
      <c r="R73" s="50"/>
      <c r="S73" s="50"/>
      <c r="T73" s="50"/>
      <c r="U73" s="53"/>
      <c r="V73" s="54"/>
      <c r="W73" s="85" t="s">
        <v>62</v>
      </c>
      <c r="X73" s="57"/>
      <c r="Y73" s="38"/>
      <c r="Z73" s="38"/>
      <c r="AA73" s="65"/>
      <c r="AB73" s="65"/>
      <c r="AC73" s="65"/>
      <c r="AD73" s="65"/>
      <c r="AE73" s="65"/>
      <c r="AF73" s="65"/>
      <c r="AG73" s="65"/>
      <c r="AH73" s="38"/>
      <c r="AI73" s="38"/>
      <c r="AJ73" s="38"/>
      <c r="AK73" s="38"/>
      <c r="AL73" s="38"/>
      <c r="AM73" s="38"/>
      <c r="AN73" s="38"/>
    </row>
    <row r="74">
      <c r="A74" s="39">
        <v>35.02</v>
      </c>
      <c r="B74" s="39" t="s">
        <v>107</v>
      </c>
      <c r="C74" s="38"/>
      <c r="D74" s="39" t="s">
        <v>55</v>
      </c>
      <c r="E74" s="38"/>
      <c r="F74" s="41"/>
      <c r="G74" s="62" t="s">
        <v>398</v>
      </c>
      <c r="H74" s="58" t="s">
        <v>399</v>
      </c>
      <c r="I74" s="38"/>
      <c r="J74" s="38"/>
      <c r="K74" s="46"/>
      <c r="L74" s="47"/>
      <c r="M74" s="84">
        <v>0.004016203703703704</v>
      </c>
      <c r="N74" s="84">
        <v>0.0059490740740740745</v>
      </c>
      <c r="O74" s="60">
        <f t="shared" si="11"/>
        <v>0.00193287037</v>
      </c>
      <c r="P74" s="64">
        <v>43012.0</v>
      </c>
      <c r="Q74" s="61" t="str">
        <f t="shared" si="1"/>
        <v>https://www.youtube.com/embed/qCG2vqnaUx4?start=347&amp;end=514&amp;autoplay=1</v>
      </c>
      <c r="R74" s="50"/>
      <c r="S74" s="50"/>
      <c r="T74" s="50"/>
      <c r="U74" s="53"/>
      <c r="V74" s="54"/>
      <c r="W74" s="85" t="s">
        <v>62</v>
      </c>
      <c r="X74" s="57"/>
      <c r="Y74" s="38"/>
      <c r="Z74" s="38"/>
      <c r="AA74" s="65"/>
      <c r="AB74" s="65"/>
      <c r="AC74" s="65"/>
      <c r="AD74" s="65"/>
      <c r="AE74" s="65"/>
      <c r="AF74" s="65"/>
      <c r="AG74" s="65"/>
      <c r="AH74" s="38"/>
      <c r="AI74" s="38"/>
      <c r="AJ74" s="38"/>
      <c r="AK74" s="38"/>
      <c r="AL74" s="38"/>
      <c r="AM74" s="38"/>
      <c r="AN74" s="38"/>
    </row>
    <row r="75">
      <c r="A75" s="38">
        <v>36.0</v>
      </c>
      <c r="B75" s="39" t="s">
        <v>107</v>
      </c>
      <c r="C75" s="38"/>
      <c r="D75" s="39" t="s">
        <v>55</v>
      </c>
      <c r="E75" s="38" t="s">
        <v>258</v>
      </c>
      <c r="F75" s="41" t="s">
        <v>259</v>
      </c>
      <c r="G75" s="43"/>
      <c r="H75" s="45"/>
      <c r="I75" s="38"/>
      <c r="J75" s="38">
        <f>755</f>
        <v>755</v>
      </c>
      <c r="K75" s="46">
        <v>0.008344907407407409</v>
      </c>
      <c r="L75" s="47" t="s">
        <v>60</v>
      </c>
      <c r="M75" s="46"/>
      <c r="N75" s="46"/>
      <c r="O75" s="38"/>
      <c r="P75" s="88">
        <v>43013.0</v>
      </c>
      <c r="Q75" s="12" t="str">
        <f t="shared" si="1"/>
        <v/>
      </c>
      <c r="R75" s="50"/>
      <c r="S75" s="50"/>
      <c r="T75" s="50"/>
      <c r="U75" s="53"/>
      <c r="V75" s="54"/>
      <c r="W75" s="56"/>
      <c r="X75" s="57"/>
      <c r="Y75" s="38"/>
      <c r="Z75" s="38"/>
    </row>
    <row r="76">
      <c r="A76" s="39">
        <v>36.01</v>
      </c>
      <c r="B76" s="39" t="s">
        <v>107</v>
      </c>
      <c r="C76" s="38"/>
      <c r="D76" s="39" t="s">
        <v>55</v>
      </c>
      <c r="E76" s="38"/>
      <c r="F76" s="41"/>
      <c r="G76" s="62" t="s">
        <v>404</v>
      </c>
      <c r="H76" s="58" t="s">
        <v>405</v>
      </c>
      <c r="I76" s="38"/>
      <c r="J76" s="38"/>
      <c r="K76" s="46"/>
      <c r="L76" s="47"/>
      <c r="M76" s="84">
        <v>3.587962962962963E-4</v>
      </c>
      <c r="N76" s="84">
        <v>0.0035416666666666665</v>
      </c>
      <c r="O76" s="60">
        <f t="shared" ref="O76:O79" si="12">N76-M76</f>
        <v>0.00318287037</v>
      </c>
      <c r="P76" s="88">
        <v>43013.0</v>
      </c>
      <c r="Q76" s="61" t="str">
        <f t="shared" si="1"/>
        <v>https://www.youtube.com/embed/ycnvyB8pDEM?start=31&amp;end=306&amp;autoplay=1</v>
      </c>
      <c r="R76" s="67" t="s">
        <v>124</v>
      </c>
      <c r="S76" s="67" t="s">
        <v>61</v>
      </c>
      <c r="T76" s="67" t="s">
        <v>61</v>
      </c>
      <c r="U76" s="53"/>
      <c r="V76" s="54"/>
      <c r="W76" s="85" t="s">
        <v>62</v>
      </c>
      <c r="X76" s="57"/>
      <c r="Y76" s="38"/>
      <c r="Z76" s="86" t="s">
        <v>407</v>
      </c>
      <c r="AA76" s="65"/>
      <c r="AB76" s="65"/>
      <c r="AC76" s="65"/>
      <c r="AD76" s="65"/>
      <c r="AE76" s="65"/>
      <c r="AF76" s="65"/>
      <c r="AG76" s="65"/>
      <c r="AH76" s="38"/>
      <c r="AI76" s="38"/>
      <c r="AJ76" s="38"/>
      <c r="AK76" s="38"/>
      <c r="AL76" s="38"/>
      <c r="AM76" s="38"/>
      <c r="AN76" s="38"/>
    </row>
    <row r="77">
      <c r="A77" s="39">
        <v>36.02</v>
      </c>
      <c r="B77" s="39" t="s">
        <v>107</v>
      </c>
      <c r="C77" s="39"/>
      <c r="D77" s="39" t="s">
        <v>55</v>
      </c>
      <c r="E77" s="38"/>
      <c r="F77" s="41"/>
      <c r="G77" s="62" t="s">
        <v>408</v>
      </c>
      <c r="H77" s="58" t="s">
        <v>409</v>
      </c>
      <c r="I77" s="38"/>
      <c r="J77" s="38"/>
      <c r="K77" s="46"/>
      <c r="L77" s="47"/>
      <c r="M77" s="84">
        <v>0.003553240740740741</v>
      </c>
      <c r="N77" s="84">
        <v>0.004571759259259259</v>
      </c>
      <c r="O77" s="60">
        <f t="shared" si="12"/>
        <v>0.001018518519</v>
      </c>
      <c r="P77" s="88">
        <v>43013.0</v>
      </c>
      <c r="Q77" s="61" t="str">
        <f t="shared" si="1"/>
        <v>https://www.youtube.com/embed/ycnvyB8pDEM?start=307&amp;end=395&amp;autoplay=1</v>
      </c>
      <c r="R77" s="67" t="s">
        <v>61</v>
      </c>
      <c r="S77" s="67" t="s">
        <v>61</v>
      </c>
      <c r="T77" s="67" t="s">
        <v>61</v>
      </c>
      <c r="U77" s="53"/>
      <c r="V77" s="54"/>
      <c r="W77" s="85" t="s">
        <v>62</v>
      </c>
      <c r="X77" s="57"/>
      <c r="Y77" s="38"/>
      <c r="Z77" s="38"/>
      <c r="AA77" s="65"/>
      <c r="AB77" s="65"/>
      <c r="AC77" s="65"/>
      <c r="AD77" s="65"/>
      <c r="AE77" s="65"/>
      <c r="AF77" s="65"/>
      <c r="AG77" s="65"/>
      <c r="AH77" s="38"/>
      <c r="AI77" s="38"/>
      <c r="AJ77" s="38"/>
      <c r="AK77" s="38"/>
      <c r="AL77" s="38"/>
      <c r="AM77" s="38"/>
      <c r="AN77" s="38"/>
    </row>
    <row r="78">
      <c r="A78" s="39">
        <v>36.03</v>
      </c>
      <c r="B78" s="39" t="s">
        <v>107</v>
      </c>
      <c r="C78" s="38"/>
      <c r="D78" s="39" t="s">
        <v>55</v>
      </c>
      <c r="E78" s="38"/>
      <c r="F78" s="41"/>
      <c r="G78" s="62" t="s">
        <v>415</v>
      </c>
      <c r="H78" s="58" t="s">
        <v>416</v>
      </c>
      <c r="I78" s="38"/>
      <c r="J78" s="38"/>
      <c r="K78" s="46"/>
      <c r="L78" s="47"/>
      <c r="M78" s="84">
        <v>0.004571759259259259</v>
      </c>
      <c r="N78" s="84">
        <v>0.006111111111111111</v>
      </c>
      <c r="O78" s="60">
        <f t="shared" si="12"/>
        <v>0.001539351852</v>
      </c>
      <c r="P78" s="88">
        <v>43013.0</v>
      </c>
      <c r="Q78" s="61" t="str">
        <f t="shared" si="1"/>
        <v>https://www.youtube.com/embed/ycnvyB8pDEM?start=395&amp;end=528&amp;autoplay=1</v>
      </c>
      <c r="R78" s="67" t="s">
        <v>61</v>
      </c>
      <c r="S78" s="67" t="s">
        <v>61</v>
      </c>
      <c r="T78" s="67" t="s">
        <v>61</v>
      </c>
      <c r="U78" s="53"/>
      <c r="V78" s="54"/>
      <c r="W78" s="85" t="s">
        <v>62</v>
      </c>
      <c r="X78" s="57"/>
      <c r="Y78" s="38"/>
      <c r="Z78" s="39" t="s">
        <v>417</v>
      </c>
      <c r="AA78" s="65"/>
      <c r="AB78" s="65"/>
      <c r="AC78" s="65"/>
      <c r="AD78" s="65"/>
      <c r="AE78" s="65"/>
      <c r="AF78" s="65"/>
      <c r="AG78" s="65"/>
      <c r="AH78" s="38"/>
      <c r="AI78" s="38"/>
      <c r="AJ78" s="38"/>
      <c r="AK78" s="38"/>
      <c r="AL78" s="38"/>
      <c r="AM78" s="38"/>
      <c r="AN78" s="38"/>
    </row>
    <row r="79">
      <c r="A79" s="39">
        <v>36.04</v>
      </c>
      <c r="B79" s="39" t="s">
        <v>107</v>
      </c>
      <c r="C79" s="38"/>
      <c r="D79" s="39" t="s">
        <v>55</v>
      </c>
      <c r="E79" s="38"/>
      <c r="F79" s="41"/>
      <c r="G79" s="62" t="s">
        <v>418</v>
      </c>
      <c r="H79" s="58" t="s">
        <v>419</v>
      </c>
      <c r="I79" s="38"/>
      <c r="J79" s="38"/>
      <c r="K79" s="46"/>
      <c r="L79" s="47"/>
      <c r="M79" s="84">
        <v>0.006111111111111111</v>
      </c>
      <c r="N79" s="84">
        <v>0.0078125</v>
      </c>
      <c r="O79" s="60">
        <f t="shared" si="12"/>
        <v>0.001701388889</v>
      </c>
      <c r="P79" s="88">
        <v>43013.0</v>
      </c>
      <c r="Q79" s="61" t="str">
        <f t="shared" si="1"/>
        <v>https://www.youtube.com/embed/ycnvyB8pDEM?start=528&amp;end=675&amp;autoplay=1</v>
      </c>
      <c r="R79" s="67" t="s">
        <v>61</v>
      </c>
      <c r="S79" s="67" t="s">
        <v>61</v>
      </c>
      <c r="T79" s="67" t="s">
        <v>61</v>
      </c>
      <c r="U79" s="53"/>
      <c r="V79" s="54"/>
      <c r="W79" s="85" t="s">
        <v>62</v>
      </c>
      <c r="X79" s="57"/>
      <c r="Y79" s="38"/>
      <c r="Z79" s="39" t="s">
        <v>417</v>
      </c>
      <c r="AH79" s="38"/>
      <c r="AI79" s="38"/>
      <c r="AJ79" s="38"/>
      <c r="AK79" s="38"/>
      <c r="AL79" s="38"/>
      <c r="AM79" s="38"/>
      <c r="AN79" s="38"/>
    </row>
    <row r="80">
      <c r="A80" s="38">
        <v>37.0</v>
      </c>
      <c r="B80" s="39" t="s">
        <v>107</v>
      </c>
      <c r="C80" s="38"/>
      <c r="D80" s="39" t="s">
        <v>55</v>
      </c>
      <c r="E80" s="38" t="s">
        <v>261</v>
      </c>
      <c r="F80" s="41" t="s">
        <v>262</v>
      </c>
      <c r="G80" s="43"/>
      <c r="H80" s="45"/>
      <c r="I80" s="38"/>
      <c r="J80" s="38">
        <f>773</f>
        <v>773</v>
      </c>
      <c r="K80" s="46">
        <v>0.00954861111111111</v>
      </c>
      <c r="L80" s="47" t="s">
        <v>60</v>
      </c>
      <c r="M80" s="46"/>
      <c r="N80" s="46"/>
      <c r="O80" s="38"/>
      <c r="P80" s="88">
        <v>43013.0</v>
      </c>
      <c r="Q80" s="12" t="str">
        <f t="shared" si="1"/>
        <v/>
      </c>
      <c r="R80" s="50"/>
      <c r="S80" s="50"/>
      <c r="T80" s="50"/>
      <c r="U80" s="53"/>
      <c r="V80" s="54"/>
      <c r="W80" s="56"/>
      <c r="X80" s="57"/>
      <c r="Y80" s="38"/>
      <c r="Z80" s="38"/>
    </row>
    <row r="81">
      <c r="A81" s="39">
        <v>37.01</v>
      </c>
      <c r="B81" s="39" t="s">
        <v>107</v>
      </c>
      <c r="C81" s="38"/>
      <c r="D81" s="39" t="s">
        <v>55</v>
      </c>
      <c r="E81" s="38"/>
      <c r="F81" s="41"/>
      <c r="G81" s="62" t="s">
        <v>423</v>
      </c>
      <c r="H81" s="58" t="s">
        <v>424</v>
      </c>
      <c r="I81" s="38"/>
      <c r="J81" s="38"/>
      <c r="K81" s="46"/>
      <c r="L81" s="47"/>
      <c r="M81" s="90">
        <v>0.0</v>
      </c>
      <c r="N81" s="90">
        <v>0.0036805555555555554</v>
      </c>
      <c r="O81" s="60">
        <f t="shared" ref="O81:O83" si="13">N81-M81</f>
        <v>0.003680555556</v>
      </c>
      <c r="P81" s="88">
        <v>43013.0</v>
      </c>
      <c r="Q81" s="61" t="str">
        <f t="shared" si="1"/>
        <v>https://www.youtube.com/embed/xANxZaCCD70?start=0&amp;end=318&amp;autoplay=1</v>
      </c>
      <c r="R81" s="67" t="s">
        <v>61</v>
      </c>
      <c r="S81" s="67" t="s">
        <v>61</v>
      </c>
      <c r="T81" s="67" t="s">
        <v>61</v>
      </c>
      <c r="U81" s="51"/>
      <c r="V81" s="52"/>
      <c r="W81" s="81" t="s">
        <v>62</v>
      </c>
      <c r="X81" s="57"/>
      <c r="Y81" s="38"/>
      <c r="Z81" s="38"/>
      <c r="AA81" s="38"/>
      <c r="AB81" s="38"/>
      <c r="AH81" s="38"/>
      <c r="AI81" s="38"/>
      <c r="AJ81" s="38"/>
      <c r="AK81" s="38"/>
      <c r="AL81" s="38"/>
      <c r="AM81" s="38"/>
      <c r="AN81" s="38"/>
    </row>
    <row r="82">
      <c r="A82" s="39">
        <v>37.02</v>
      </c>
      <c r="B82" s="39" t="s">
        <v>107</v>
      </c>
      <c r="C82" s="38"/>
      <c r="D82" s="39" t="s">
        <v>55</v>
      </c>
      <c r="E82" s="38"/>
      <c r="F82" s="41"/>
      <c r="G82" s="62" t="s">
        <v>429</v>
      </c>
      <c r="H82" s="58" t="s">
        <v>430</v>
      </c>
      <c r="I82" s="38"/>
      <c r="J82" s="38"/>
      <c r="K82" s="46"/>
      <c r="L82" s="47"/>
      <c r="M82" s="90">
        <v>0.0036805555555555554</v>
      </c>
      <c r="N82" s="90">
        <v>0.005069444444444444</v>
      </c>
      <c r="O82" s="60">
        <f t="shared" si="13"/>
        <v>0.001388888889</v>
      </c>
      <c r="P82" s="88">
        <v>43013.0</v>
      </c>
      <c r="Q82" s="61" t="str">
        <f t="shared" si="1"/>
        <v>https://www.youtube.com/embed/xANxZaCCD70?start=318&amp;end=438&amp;autoplay=1</v>
      </c>
      <c r="R82" s="63" t="s">
        <v>124</v>
      </c>
      <c r="S82" s="63" t="s">
        <v>61</v>
      </c>
      <c r="T82" s="63" t="s">
        <v>61</v>
      </c>
      <c r="U82" s="51"/>
      <c r="V82" s="52"/>
      <c r="W82" s="81" t="s">
        <v>62</v>
      </c>
      <c r="X82" s="57"/>
      <c r="Y82" s="38"/>
      <c r="Z82" s="39" t="s">
        <v>431</v>
      </c>
      <c r="AA82" s="38"/>
      <c r="AB82" s="38"/>
      <c r="AH82" s="38"/>
      <c r="AI82" s="38"/>
      <c r="AJ82" s="38"/>
      <c r="AK82" s="38"/>
      <c r="AL82" s="38"/>
      <c r="AM82" s="38"/>
      <c r="AN82" s="38"/>
    </row>
    <row r="83">
      <c r="A83" s="39">
        <v>37.03</v>
      </c>
      <c r="B83" s="39" t="s">
        <v>107</v>
      </c>
      <c r="C83" s="38"/>
      <c r="D83" s="39" t="s">
        <v>55</v>
      </c>
      <c r="E83" s="38"/>
      <c r="F83" s="41"/>
      <c r="G83" s="62" t="s">
        <v>435</v>
      </c>
      <c r="H83" s="58" t="s">
        <v>436</v>
      </c>
      <c r="I83" s="38"/>
      <c r="J83" s="38"/>
      <c r="K83" s="46"/>
      <c r="L83" s="47"/>
      <c r="M83" s="90">
        <v>0.005092592592592593</v>
      </c>
      <c r="N83" s="90">
        <v>0.009537037037037037</v>
      </c>
      <c r="O83" s="60">
        <f t="shared" si="13"/>
        <v>0.004444444444</v>
      </c>
      <c r="P83" s="88">
        <v>43013.0</v>
      </c>
      <c r="Q83" s="61" t="str">
        <f t="shared" si="1"/>
        <v>https://www.youtube.com/embed/xANxZaCCD70?start=440&amp;end=824&amp;autoplay=1</v>
      </c>
      <c r="R83" s="42"/>
      <c r="S83" s="42"/>
      <c r="T83" s="42"/>
      <c r="U83" s="51"/>
      <c r="V83" s="52"/>
      <c r="W83" s="81" t="s">
        <v>62</v>
      </c>
      <c r="X83" s="57"/>
      <c r="Y83" s="38"/>
      <c r="Z83" s="39" t="s">
        <v>437</v>
      </c>
      <c r="AA83" s="38"/>
      <c r="AB83" s="38"/>
      <c r="AH83" s="38"/>
      <c r="AI83" s="38"/>
      <c r="AJ83" s="38"/>
      <c r="AK83" s="38"/>
      <c r="AL83" s="38"/>
      <c r="AM83" s="38"/>
      <c r="AN83" s="38"/>
    </row>
    <row r="84">
      <c r="A84" s="38">
        <v>38.0</v>
      </c>
      <c r="B84" s="39" t="s">
        <v>107</v>
      </c>
      <c r="C84" s="38"/>
      <c r="D84" s="39" t="s">
        <v>71</v>
      </c>
      <c r="E84" s="38" t="s">
        <v>266</v>
      </c>
      <c r="F84" s="41" t="s">
        <v>268</v>
      </c>
      <c r="G84" s="43"/>
      <c r="H84" s="45"/>
      <c r="I84" s="38"/>
      <c r="J84" s="38">
        <f>427</f>
        <v>427</v>
      </c>
      <c r="K84" s="46">
        <v>0.003356481481481481</v>
      </c>
      <c r="L84" s="47" t="s">
        <v>60</v>
      </c>
      <c r="M84" s="46"/>
      <c r="N84" s="46"/>
      <c r="O84" s="38"/>
      <c r="P84" s="88">
        <v>43014.0</v>
      </c>
      <c r="Q84" s="12" t="str">
        <f t="shared" si="1"/>
        <v/>
      </c>
      <c r="R84" s="50"/>
      <c r="S84" s="50"/>
      <c r="T84" s="50"/>
      <c r="U84" s="53"/>
      <c r="V84" s="54"/>
      <c r="W84" s="56"/>
      <c r="X84" s="57"/>
      <c r="Y84" s="38"/>
      <c r="Z84" s="38"/>
    </row>
    <row r="85">
      <c r="A85" s="38">
        <v>39.0</v>
      </c>
      <c r="B85" s="38"/>
      <c r="C85" s="38"/>
      <c r="D85" s="38"/>
      <c r="E85" s="38" t="s">
        <v>276</v>
      </c>
      <c r="F85" s="41" t="s">
        <v>277</v>
      </c>
      <c r="G85" s="43"/>
      <c r="H85" s="45"/>
      <c r="I85" s="38"/>
      <c r="J85" s="38">
        <f>5.9*1000</f>
        <v>5900</v>
      </c>
      <c r="K85" s="46">
        <v>0.006574074074074073</v>
      </c>
      <c r="L85" s="47" t="s">
        <v>60</v>
      </c>
      <c r="M85" s="46"/>
      <c r="N85" s="46"/>
      <c r="O85" s="38"/>
      <c r="P85" s="38"/>
      <c r="Q85" s="12" t="str">
        <f t="shared" si="1"/>
        <v/>
      </c>
      <c r="R85" s="50"/>
      <c r="S85" s="50"/>
      <c r="T85" s="50"/>
      <c r="U85" s="53"/>
      <c r="V85" s="54"/>
      <c r="W85" s="56"/>
      <c r="X85" s="57"/>
      <c r="Y85" s="38"/>
      <c r="Z85" s="38"/>
    </row>
    <row r="86">
      <c r="A86" s="38">
        <v>40.0</v>
      </c>
      <c r="B86" s="63" t="s">
        <v>274</v>
      </c>
      <c r="C86" s="51"/>
      <c r="D86" s="39" t="s">
        <v>55</v>
      </c>
      <c r="E86" s="38" t="s">
        <v>282</v>
      </c>
      <c r="F86" s="41" t="s">
        <v>283</v>
      </c>
      <c r="G86" s="43"/>
      <c r="H86" s="45"/>
      <c r="I86" s="38"/>
      <c r="J86" s="38">
        <f>3*1000</f>
        <v>3000</v>
      </c>
      <c r="K86" s="46">
        <v>0.003194444444444444</v>
      </c>
      <c r="L86" s="47" t="s">
        <v>60</v>
      </c>
      <c r="M86" s="46"/>
      <c r="N86" s="46"/>
      <c r="O86" s="38"/>
      <c r="P86" s="82">
        <v>43015.0</v>
      </c>
      <c r="Q86" s="12" t="str">
        <f t="shared" si="1"/>
        <v/>
      </c>
      <c r="R86" s="50"/>
      <c r="S86" s="50"/>
      <c r="T86" s="50"/>
      <c r="U86" s="53"/>
      <c r="V86" s="54"/>
      <c r="W86" s="56"/>
      <c r="X86" s="57"/>
      <c r="Y86" s="38"/>
      <c r="Z86" s="38"/>
    </row>
    <row r="87">
      <c r="A87" s="39">
        <v>40.01</v>
      </c>
      <c r="B87" s="63" t="s">
        <v>274</v>
      </c>
      <c r="C87" s="51"/>
      <c r="D87" s="39" t="s">
        <v>55</v>
      </c>
      <c r="E87" s="38"/>
      <c r="F87" s="41"/>
      <c r="G87" s="62" t="s">
        <v>749</v>
      </c>
      <c r="H87" s="58" t="s">
        <v>750</v>
      </c>
      <c r="I87" s="38"/>
      <c r="J87" s="38"/>
      <c r="K87" s="46"/>
      <c r="L87" s="47"/>
      <c r="M87" s="90">
        <v>0.0</v>
      </c>
      <c r="N87" s="90">
        <v>0.0031944444444444446</v>
      </c>
      <c r="O87" s="60">
        <f>N87-M87</f>
        <v>0.003194444444</v>
      </c>
      <c r="P87" s="82">
        <v>43015.0</v>
      </c>
      <c r="Q87" s="61" t="str">
        <f t="shared" si="1"/>
        <v>https://www.youtube.com/embed/THua8SMPtK4?start=0&amp;end=276&amp;autoplay=1</v>
      </c>
      <c r="R87" s="63" t="s">
        <v>61</v>
      </c>
      <c r="S87" s="63" t="s">
        <v>91</v>
      </c>
      <c r="T87" s="63" t="s">
        <v>61</v>
      </c>
      <c r="U87" s="51"/>
      <c r="V87" s="52"/>
      <c r="W87" s="81" t="s">
        <v>62</v>
      </c>
      <c r="X87" s="57"/>
      <c r="Y87" s="38"/>
      <c r="Z87" s="39" t="s">
        <v>753</v>
      </c>
      <c r="AA87" s="38"/>
      <c r="AB87" s="38"/>
      <c r="AH87" s="38"/>
      <c r="AI87" s="38"/>
    </row>
    <row r="88">
      <c r="A88" s="38">
        <v>41.0</v>
      </c>
      <c r="B88" s="63" t="s">
        <v>274</v>
      </c>
      <c r="C88" s="51"/>
      <c r="D88" s="39" t="s">
        <v>55</v>
      </c>
      <c r="E88" s="38" t="s">
        <v>287</v>
      </c>
      <c r="F88" s="41" t="s">
        <v>288</v>
      </c>
      <c r="G88" s="43"/>
      <c r="H88" s="45"/>
      <c r="I88" s="38"/>
      <c r="J88" s="38">
        <f>3.3*1000</f>
        <v>3300</v>
      </c>
      <c r="K88" s="46">
        <v>0.008865740740740742</v>
      </c>
      <c r="L88" s="47" t="s">
        <v>60</v>
      </c>
      <c r="M88" s="46"/>
      <c r="N88" s="46"/>
      <c r="O88" s="38"/>
      <c r="P88" s="82">
        <v>43015.0</v>
      </c>
      <c r="Q88" s="12" t="str">
        <f t="shared" si="1"/>
        <v/>
      </c>
      <c r="R88" s="50"/>
      <c r="S88" s="50"/>
      <c r="T88" s="50"/>
      <c r="U88" s="53"/>
      <c r="V88" s="54"/>
      <c r="W88" s="56"/>
      <c r="X88" s="57"/>
      <c r="Y88" s="38"/>
      <c r="Z88" s="38"/>
    </row>
    <row r="89">
      <c r="A89" s="39">
        <v>41.01</v>
      </c>
      <c r="B89" s="63" t="s">
        <v>274</v>
      </c>
      <c r="C89" s="51"/>
      <c r="D89" s="39" t="s">
        <v>55</v>
      </c>
      <c r="E89" s="38"/>
      <c r="F89" s="41"/>
      <c r="G89" s="62" t="s">
        <v>756</v>
      </c>
      <c r="H89" s="58" t="s">
        <v>757</v>
      </c>
      <c r="I89" s="38"/>
      <c r="J89" s="38"/>
      <c r="K89" s="46"/>
      <c r="L89" s="47"/>
      <c r="M89" s="90">
        <v>9.953703703703704E-4</v>
      </c>
      <c r="N89" s="90">
        <v>0.0021759259259259258</v>
      </c>
      <c r="O89" s="60">
        <f t="shared" ref="O89:O92" si="14">N89-M89</f>
        <v>0.001180555556</v>
      </c>
      <c r="P89" s="82">
        <v>43015.0</v>
      </c>
      <c r="Q89" s="61" t="str">
        <f t="shared" si="1"/>
        <v>https://www.youtube.com/embed/6_9IYK6ZlyY?start=86&amp;end=188&amp;autoplay=1</v>
      </c>
      <c r="R89" s="63" t="s">
        <v>61</v>
      </c>
      <c r="S89" s="63" t="s">
        <v>61</v>
      </c>
      <c r="T89" s="63" t="s">
        <v>61</v>
      </c>
      <c r="U89" s="51"/>
      <c r="V89" s="52"/>
      <c r="W89" s="81" t="s">
        <v>62</v>
      </c>
      <c r="X89" s="57"/>
      <c r="Y89" s="38"/>
      <c r="Z89" s="38"/>
      <c r="AA89" s="38"/>
      <c r="AB89" s="38"/>
      <c r="AH89" s="39"/>
      <c r="AI89" s="39"/>
    </row>
    <row r="90">
      <c r="A90" s="39">
        <v>41.02</v>
      </c>
      <c r="B90" s="63" t="s">
        <v>274</v>
      </c>
      <c r="C90" s="51"/>
      <c r="D90" s="39" t="s">
        <v>55</v>
      </c>
      <c r="E90" s="38"/>
      <c r="F90" s="41"/>
      <c r="G90" s="62" t="s">
        <v>760</v>
      </c>
      <c r="H90" s="58" t="s">
        <v>761</v>
      </c>
      <c r="I90" s="38"/>
      <c r="J90" s="38"/>
      <c r="K90" s="46"/>
      <c r="L90" s="47"/>
      <c r="M90" s="90">
        <v>0.0021875</v>
      </c>
      <c r="N90" s="90">
        <v>0.0036458333333333334</v>
      </c>
      <c r="O90" s="60">
        <f t="shared" si="14"/>
        <v>0.001458333333</v>
      </c>
      <c r="P90" s="82">
        <v>43015.0</v>
      </c>
      <c r="Q90" s="61" t="str">
        <f t="shared" si="1"/>
        <v>https://www.youtube.com/embed/6_9IYK6ZlyY?start=189&amp;end=315&amp;autoplay=1</v>
      </c>
      <c r="R90" s="63" t="s">
        <v>61</v>
      </c>
      <c r="S90" s="63" t="s">
        <v>61</v>
      </c>
      <c r="T90" s="63" t="s">
        <v>61</v>
      </c>
      <c r="U90" s="51"/>
      <c r="V90" s="52"/>
      <c r="W90" s="81" t="s">
        <v>62</v>
      </c>
      <c r="X90" s="57"/>
      <c r="Y90" s="38"/>
      <c r="Z90" s="39" t="s">
        <v>764</v>
      </c>
      <c r="AA90" s="38"/>
      <c r="AB90" s="38"/>
      <c r="AH90" s="39"/>
      <c r="AI90" s="39"/>
    </row>
    <row r="91">
      <c r="A91" s="39">
        <v>41.03</v>
      </c>
      <c r="B91" s="63" t="s">
        <v>274</v>
      </c>
      <c r="C91" s="51"/>
      <c r="D91" s="39" t="s">
        <v>55</v>
      </c>
      <c r="E91" s="38"/>
      <c r="F91" s="41"/>
      <c r="G91" s="62" t="s">
        <v>765</v>
      </c>
      <c r="H91" s="58" t="s">
        <v>766</v>
      </c>
      <c r="I91" s="38"/>
      <c r="J91" s="38"/>
      <c r="K91" s="46"/>
      <c r="L91" s="47"/>
      <c r="M91" s="90">
        <v>0.0036574074074074074</v>
      </c>
      <c r="N91" s="90">
        <v>0.005509259259259259</v>
      </c>
      <c r="O91" s="60">
        <f t="shared" si="14"/>
        <v>0.001851851852</v>
      </c>
      <c r="P91" s="82">
        <v>43015.0</v>
      </c>
      <c r="Q91" s="61" t="str">
        <f t="shared" si="1"/>
        <v>https://www.youtube.com/embed/6_9IYK6ZlyY?start=316&amp;end=476&amp;autoplay=1</v>
      </c>
      <c r="R91" s="63" t="s">
        <v>61</v>
      </c>
      <c r="S91" s="63" t="s">
        <v>61</v>
      </c>
      <c r="T91" s="63" t="s">
        <v>61</v>
      </c>
      <c r="U91" s="51"/>
      <c r="V91" s="52"/>
      <c r="W91" s="81" t="s">
        <v>62</v>
      </c>
      <c r="X91" s="57"/>
      <c r="Y91" s="38"/>
      <c r="Z91" s="39" t="s">
        <v>764</v>
      </c>
      <c r="AA91" s="38"/>
      <c r="AB91" s="38"/>
      <c r="AH91" s="39"/>
      <c r="AI91" s="39"/>
    </row>
    <row r="92">
      <c r="A92" s="39">
        <v>41.04</v>
      </c>
      <c r="B92" s="63" t="s">
        <v>274</v>
      </c>
      <c r="C92" s="51"/>
      <c r="D92" s="39" t="s">
        <v>55</v>
      </c>
      <c r="E92" s="38"/>
      <c r="F92" s="41"/>
      <c r="G92" s="62" t="s">
        <v>767</v>
      </c>
      <c r="H92" s="58" t="s">
        <v>768</v>
      </c>
      <c r="I92" s="38"/>
      <c r="J92" s="38"/>
      <c r="K92" s="46"/>
      <c r="L92" s="47"/>
      <c r="M92" s="90">
        <v>0.005520833333333333</v>
      </c>
      <c r="N92" s="90">
        <v>0.008842592592592593</v>
      </c>
      <c r="O92" s="60">
        <f t="shared" si="14"/>
        <v>0.003321759259</v>
      </c>
      <c r="P92" s="82">
        <v>43015.0</v>
      </c>
      <c r="Q92" s="61" t="str">
        <f t="shared" si="1"/>
        <v>https://www.youtube.com/embed/6_9IYK6ZlyY?start=477&amp;end=764&amp;autoplay=1</v>
      </c>
      <c r="R92" s="63" t="s">
        <v>61</v>
      </c>
      <c r="S92" s="63" t="s">
        <v>61</v>
      </c>
      <c r="T92" s="63" t="s">
        <v>61</v>
      </c>
      <c r="U92" s="51"/>
      <c r="V92" s="52"/>
      <c r="W92" s="81" t="s">
        <v>62</v>
      </c>
      <c r="X92" s="57"/>
      <c r="Y92" s="38"/>
      <c r="Z92" s="39" t="s">
        <v>764</v>
      </c>
      <c r="AA92" s="38"/>
      <c r="AB92" s="38"/>
      <c r="AH92" s="39"/>
      <c r="AI92" s="39"/>
    </row>
    <row r="93">
      <c r="A93" s="38">
        <v>42.0</v>
      </c>
      <c r="B93" s="63" t="s">
        <v>274</v>
      </c>
      <c r="C93" s="51"/>
      <c r="D93" s="39" t="s">
        <v>55</v>
      </c>
      <c r="E93" s="38" t="s">
        <v>294</v>
      </c>
      <c r="F93" s="41" t="s">
        <v>295</v>
      </c>
      <c r="G93" s="43"/>
      <c r="H93" s="45"/>
      <c r="I93" s="38"/>
      <c r="J93" s="38">
        <f>1.7*1000</f>
        <v>1700</v>
      </c>
      <c r="K93" s="46">
        <v>0.0051967592592592595</v>
      </c>
      <c r="L93" s="47" t="s">
        <v>60</v>
      </c>
      <c r="M93" s="46"/>
      <c r="N93" s="46"/>
      <c r="O93" s="38"/>
      <c r="P93" s="82">
        <v>43015.0</v>
      </c>
      <c r="Q93" s="12" t="str">
        <f t="shared" si="1"/>
        <v/>
      </c>
      <c r="R93" s="50"/>
      <c r="S93" s="50"/>
      <c r="T93" s="50"/>
      <c r="U93" s="53"/>
      <c r="V93" s="54"/>
      <c r="W93" s="56"/>
      <c r="X93" s="57"/>
      <c r="Y93" s="38"/>
      <c r="Z93" s="38"/>
    </row>
    <row r="94">
      <c r="A94" s="39">
        <v>42.1</v>
      </c>
      <c r="B94" s="63" t="s">
        <v>274</v>
      </c>
      <c r="C94" s="51"/>
      <c r="D94" s="39" t="s">
        <v>55</v>
      </c>
      <c r="E94" s="38"/>
      <c r="F94" s="41"/>
      <c r="G94" s="62" t="s">
        <v>775</v>
      </c>
      <c r="H94" s="58" t="s">
        <v>776</v>
      </c>
      <c r="I94" s="38"/>
      <c r="J94" s="38"/>
      <c r="K94" s="46"/>
      <c r="L94" s="47"/>
      <c r="M94" s="90">
        <v>0.0</v>
      </c>
      <c r="N94" s="90">
        <v>0.0051736111111111115</v>
      </c>
      <c r="O94" s="60">
        <f>N94-M94</f>
        <v>0.005173611111</v>
      </c>
      <c r="P94" s="82">
        <v>43015.0</v>
      </c>
      <c r="Q94" s="61" t="str">
        <f t="shared" si="1"/>
        <v>https://www.youtube.com/embed/LXrKKz7Mld8?start=0&amp;end=447&amp;autoplay=1</v>
      </c>
      <c r="R94" s="63" t="s">
        <v>61</v>
      </c>
      <c r="S94" s="63" t="s">
        <v>61</v>
      </c>
      <c r="T94" s="63" t="s">
        <v>61</v>
      </c>
      <c r="U94" s="51"/>
      <c r="V94" s="52"/>
      <c r="W94" s="81" t="s">
        <v>62</v>
      </c>
      <c r="X94" s="57"/>
      <c r="Y94" s="38"/>
      <c r="Z94" s="39" t="s">
        <v>778</v>
      </c>
      <c r="AA94" s="38"/>
      <c r="AB94" s="38"/>
      <c r="AH94" s="38"/>
      <c r="AI94" s="38"/>
    </row>
    <row r="95">
      <c r="A95" s="38">
        <v>43.0</v>
      </c>
      <c r="B95" s="63" t="s">
        <v>274</v>
      </c>
      <c r="C95" s="51"/>
      <c r="D95" s="39" t="s">
        <v>55</v>
      </c>
      <c r="E95" s="38" t="s">
        <v>299</v>
      </c>
      <c r="F95" s="41" t="s">
        <v>302</v>
      </c>
      <c r="G95" s="43"/>
      <c r="H95" s="45"/>
      <c r="I95" s="38"/>
      <c r="J95" s="38">
        <f>1*1000</f>
        <v>1000</v>
      </c>
      <c r="K95" s="46">
        <v>0.0034490740740740745</v>
      </c>
      <c r="L95" s="47" t="s">
        <v>60</v>
      </c>
      <c r="M95" s="46"/>
      <c r="N95" s="46"/>
      <c r="O95" s="38"/>
      <c r="P95" s="82">
        <v>43015.0</v>
      </c>
      <c r="Q95" s="12" t="str">
        <f t="shared" si="1"/>
        <v/>
      </c>
      <c r="R95" s="50"/>
      <c r="S95" s="50"/>
      <c r="T95" s="50"/>
      <c r="U95" s="53"/>
      <c r="V95" s="54"/>
      <c r="W95" s="56"/>
      <c r="X95" s="57"/>
      <c r="Y95" s="38"/>
      <c r="Z95" s="38"/>
    </row>
    <row r="96">
      <c r="A96" s="39">
        <v>43.1</v>
      </c>
      <c r="B96" s="63" t="s">
        <v>274</v>
      </c>
      <c r="C96" s="51"/>
      <c r="D96" s="39" t="s">
        <v>55</v>
      </c>
      <c r="E96" s="38"/>
      <c r="F96" s="41"/>
      <c r="G96" s="62" t="s">
        <v>782</v>
      </c>
      <c r="H96" s="58" t="s">
        <v>783</v>
      </c>
      <c r="I96" s="38"/>
      <c r="J96" s="38"/>
      <c r="K96" s="46"/>
      <c r="L96" s="47"/>
      <c r="M96" s="90">
        <v>0.0</v>
      </c>
      <c r="N96" s="90">
        <v>0.0034375</v>
      </c>
      <c r="O96" s="60">
        <f>N96-M96</f>
        <v>0.0034375</v>
      </c>
      <c r="P96" s="82">
        <v>43015.0</v>
      </c>
      <c r="Q96" s="61" t="str">
        <f t="shared" si="1"/>
        <v>https://www.youtube.com/embed/ufZ1BZcZzKI?start=0&amp;end=297&amp;autoplay=1</v>
      </c>
      <c r="R96" s="63" t="s">
        <v>61</v>
      </c>
      <c r="S96" s="63" t="s">
        <v>61</v>
      </c>
      <c r="T96" s="63" t="s">
        <v>61</v>
      </c>
      <c r="U96" s="51"/>
      <c r="V96" s="52"/>
      <c r="W96" s="81" t="s">
        <v>62</v>
      </c>
      <c r="X96" s="57"/>
      <c r="Y96" s="38"/>
      <c r="Z96" s="123" t="s">
        <v>764</v>
      </c>
      <c r="AA96" s="38"/>
      <c r="AB96" s="38"/>
      <c r="AH96" s="38"/>
      <c r="AI96" s="38"/>
    </row>
    <row r="97">
      <c r="A97" s="38">
        <v>44.0</v>
      </c>
      <c r="B97" s="63" t="s">
        <v>274</v>
      </c>
      <c r="C97" s="51"/>
      <c r="D97" s="39" t="s">
        <v>55</v>
      </c>
      <c r="E97" s="38" t="s">
        <v>309</v>
      </c>
      <c r="F97" s="41" t="s">
        <v>310</v>
      </c>
      <c r="G97" s="43"/>
      <c r="H97" s="45"/>
      <c r="I97" s="38"/>
      <c r="J97" s="38">
        <f>1.3*1000</f>
        <v>1300</v>
      </c>
      <c r="K97" s="46">
        <v>0.005324074074074075</v>
      </c>
      <c r="L97" s="47" t="s">
        <v>60</v>
      </c>
      <c r="M97" s="46"/>
      <c r="N97" s="46"/>
      <c r="O97" s="38"/>
      <c r="P97" s="82">
        <v>43015.0</v>
      </c>
      <c r="Q97" s="12" t="str">
        <f t="shared" si="1"/>
        <v/>
      </c>
      <c r="R97" s="50"/>
      <c r="S97" s="50"/>
      <c r="T97" s="50"/>
      <c r="U97" s="53"/>
      <c r="V97" s="54"/>
      <c r="W97" s="56"/>
      <c r="X97" s="57"/>
      <c r="Y97" s="38"/>
      <c r="Z97" s="38"/>
    </row>
    <row r="98">
      <c r="A98" s="39">
        <v>44.1</v>
      </c>
      <c r="B98" s="63" t="s">
        <v>274</v>
      </c>
      <c r="C98" s="51"/>
      <c r="D98" s="39" t="s">
        <v>55</v>
      </c>
      <c r="E98" s="38"/>
      <c r="F98" s="41"/>
      <c r="G98" s="62" t="s">
        <v>788</v>
      </c>
      <c r="H98" s="58" t="s">
        <v>789</v>
      </c>
      <c r="I98" s="38"/>
      <c r="J98" s="38"/>
      <c r="K98" s="46"/>
      <c r="L98" s="47"/>
      <c r="M98" s="90">
        <v>0.0030208333333333333</v>
      </c>
      <c r="N98" s="90">
        <v>0.0052893518518518515</v>
      </c>
      <c r="O98" s="60">
        <f>N98-M98</f>
        <v>0.002268518519</v>
      </c>
      <c r="P98" s="82">
        <v>43015.0</v>
      </c>
      <c r="Q98" s="61" t="str">
        <f t="shared" si="1"/>
        <v>https://www.youtube.com/embed/rNhQIKC2jPM?start=261&amp;end=457&amp;autoplay=1</v>
      </c>
      <c r="R98" s="63" t="s">
        <v>61</v>
      </c>
      <c r="S98" s="63" t="s">
        <v>61</v>
      </c>
      <c r="T98" s="63" t="s">
        <v>61</v>
      </c>
      <c r="U98" s="51"/>
      <c r="V98" s="52"/>
      <c r="W98" s="81" t="s">
        <v>62</v>
      </c>
      <c r="X98" s="57"/>
      <c r="Y98" s="38"/>
      <c r="Z98" s="39" t="s">
        <v>764</v>
      </c>
      <c r="AA98" s="38"/>
      <c r="AB98" s="38"/>
      <c r="AC98" s="65"/>
      <c r="AD98" s="65"/>
      <c r="AE98" s="65"/>
      <c r="AF98" s="65"/>
      <c r="AG98" s="65"/>
      <c r="AH98" s="38"/>
      <c r="AI98" s="38"/>
    </row>
    <row r="99">
      <c r="A99" s="38">
        <v>45.0</v>
      </c>
      <c r="B99" s="63" t="s">
        <v>274</v>
      </c>
      <c r="C99" s="51"/>
      <c r="D99" s="39" t="s">
        <v>55</v>
      </c>
      <c r="E99" s="38" t="s">
        <v>318</v>
      </c>
      <c r="F99" s="41" t="s">
        <v>319</v>
      </c>
      <c r="G99" s="43"/>
      <c r="H99" s="45"/>
      <c r="I99" s="38"/>
      <c r="J99" s="38">
        <f>1.3*1000</f>
        <v>1300</v>
      </c>
      <c r="K99" s="46">
        <v>0.008240740740740741</v>
      </c>
      <c r="L99" s="47" t="s">
        <v>60</v>
      </c>
      <c r="M99" s="46"/>
      <c r="N99" s="46"/>
      <c r="O99" s="38"/>
      <c r="P99" s="82">
        <v>43015.0</v>
      </c>
      <c r="Q99" s="12" t="str">
        <f t="shared" si="1"/>
        <v/>
      </c>
      <c r="R99" s="50"/>
      <c r="S99" s="50"/>
      <c r="T99" s="50"/>
      <c r="U99" s="53"/>
      <c r="V99" s="54"/>
      <c r="W99" s="56"/>
      <c r="X99" s="57"/>
      <c r="Y99" s="38"/>
      <c r="Z99" s="38"/>
    </row>
    <row r="100">
      <c r="A100" s="39">
        <v>45.1</v>
      </c>
      <c r="B100" s="63" t="s">
        <v>274</v>
      </c>
      <c r="C100" s="51"/>
      <c r="D100" s="39" t="s">
        <v>55</v>
      </c>
      <c r="E100" s="38"/>
      <c r="F100" s="41"/>
      <c r="G100" s="62" t="s">
        <v>793</v>
      </c>
      <c r="H100" s="58" t="s">
        <v>794</v>
      </c>
      <c r="I100" s="38"/>
      <c r="J100" s="38"/>
      <c r="K100" s="46"/>
      <c r="L100" s="47"/>
      <c r="M100" s="90">
        <v>0.0</v>
      </c>
      <c r="N100" s="90">
        <v>0.004166666666666667</v>
      </c>
      <c r="O100" s="60">
        <f>N100-M100</f>
        <v>0.004166666667</v>
      </c>
      <c r="P100" s="82">
        <v>43015.0</v>
      </c>
      <c r="Q100" s="61" t="str">
        <f t="shared" si="1"/>
        <v>https://www.youtube.com/embed/FndfcBhZklU?start=0&amp;end=360&amp;autoplay=1</v>
      </c>
      <c r="R100" s="63" t="s">
        <v>91</v>
      </c>
      <c r="S100" s="63" t="s">
        <v>61</v>
      </c>
      <c r="T100" s="63" t="s">
        <v>61</v>
      </c>
      <c r="U100" s="51"/>
      <c r="V100" s="52"/>
      <c r="W100" s="55"/>
      <c r="X100" s="57"/>
      <c r="Y100" s="38"/>
      <c r="Z100" s="39" t="s">
        <v>796</v>
      </c>
      <c r="AA100" s="38"/>
      <c r="AB100" s="38"/>
      <c r="AC100" s="65"/>
      <c r="AD100" s="65"/>
      <c r="AE100" s="65"/>
      <c r="AF100" s="65"/>
      <c r="AG100" s="65"/>
      <c r="AH100" s="38"/>
      <c r="AI100" s="38"/>
    </row>
    <row r="101">
      <c r="A101" s="38">
        <v>46.0</v>
      </c>
      <c r="B101" s="63" t="s">
        <v>274</v>
      </c>
      <c r="C101" s="51"/>
      <c r="D101" s="39" t="s">
        <v>55</v>
      </c>
      <c r="E101" s="38" t="s">
        <v>323</v>
      </c>
      <c r="F101" s="41" t="s">
        <v>324</v>
      </c>
      <c r="G101" s="43"/>
      <c r="H101" s="45"/>
      <c r="I101" s="38"/>
      <c r="J101" s="38">
        <f>940</f>
        <v>940</v>
      </c>
      <c r="K101" s="46">
        <v>0.0025925925925925925</v>
      </c>
      <c r="L101" s="47" t="s">
        <v>60</v>
      </c>
      <c r="M101" s="46"/>
      <c r="N101" s="46"/>
      <c r="O101" s="38"/>
      <c r="P101" s="82">
        <v>43015.0</v>
      </c>
      <c r="Q101" s="12" t="str">
        <f t="shared" si="1"/>
        <v/>
      </c>
      <c r="R101" s="50"/>
      <c r="S101" s="50"/>
      <c r="T101" s="50"/>
      <c r="U101" s="53"/>
      <c r="V101" s="54"/>
      <c r="W101" s="56"/>
      <c r="X101" s="57"/>
      <c r="Y101" s="38"/>
      <c r="Z101" s="38"/>
    </row>
    <row r="102">
      <c r="A102" s="39">
        <v>46.1</v>
      </c>
      <c r="B102" s="63" t="s">
        <v>274</v>
      </c>
      <c r="C102" s="51"/>
      <c r="D102" s="39" t="s">
        <v>55</v>
      </c>
      <c r="E102" s="38"/>
      <c r="F102" s="41"/>
      <c r="G102" s="62" t="s">
        <v>799</v>
      </c>
      <c r="H102" s="45"/>
      <c r="I102" s="38"/>
      <c r="J102" s="38"/>
      <c r="K102" s="46"/>
      <c r="L102" s="47"/>
      <c r="M102" s="90">
        <v>0.0</v>
      </c>
      <c r="N102" s="90">
        <v>0.0025694444444444445</v>
      </c>
      <c r="O102" s="60">
        <f>N102-M102</f>
        <v>0.002569444444</v>
      </c>
      <c r="P102" s="82">
        <v>43015.0</v>
      </c>
      <c r="Q102" s="61" t="str">
        <f t="shared" si="1"/>
        <v>https://www.youtube.com/embed/20u8yHim1tM?start=0&amp;end=222&amp;autoplay=1</v>
      </c>
      <c r="R102" s="63" t="s">
        <v>61</v>
      </c>
      <c r="S102" s="63" t="s">
        <v>61</v>
      </c>
      <c r="T102" s="63" t="s">
        <v>61</v>
      </c>
      <c r="U102" s="51"/>
      <c r="V102" s="52"/>
      <c r="W102" s="81" t="s">
        <v>62</v>
      </c>
      <c r="X102" s="57"/>
      <c r="Y102" s="38"/>
      <c r="Z102" s="39" t="s">
        <v>801</v>
      </c>
      <c r="AA102" s="38"/>
      <c r="AB102" s="38"/>
      <c r="AC102" s="65"/>
      <c r="AD102" s="65"/>
      <c r="AE102" s="65"/>
      <c r="AF102" s="65"/>
      <c r="AG102" s="65"/>
      <c r="AH102" s="38"/>
      <c r="AI102" s="38"/>
    </row>
    <row r="103">
      <c r="A103" s="38">
        <v>47.0</v>
      </c>
      <c r="B103" s="63" t="s">
        <v>274</v>
      </c>
      <c r="C103" s="51"/>
      <c r="D103" s="39" t="s">
        <v>71</v>
      </c>
      <c r="E103" s="38" t="s">
        <v>328</v>
      </c>
      <c r="F103" s="41" t="s">
        <v>329</v>
      </c>
      <c r="G103" s="43"/>
      <c r="H103" s="45"/>
      <c r="I103" s="38"/>
      <c r="J103" s="38">
        <f>864</f>
        <v>864</v>
      </c>
      <c r="K103" s="46">
        <v>0.004189814814814815</v>
      </c>
      <c r="L103" s="47" t="s">
        <v>60</v>
      </c>
      <c r="M103" s="46"/>
      <c r="N103" s="46"/>
      <c r="O103" s="38"/>
      <c r="P103" s="82">
        <v>43015.0</v>
      </c>
      <c r="Q103" s="12" t="str">
        <f t="shared" si="1"/>
        <v/>
      </c>
      <c r="R103" s="50"/>
      <c r="S103" s="50"/>
      <c r="T103" s="50"/>
      <c r="U103" s="53"/>
      <c r="V103" s="54"/>
      <c r="W103" s="56"/>
      <c r="X103" s="57"/>
      <c r="Y103" s="38"/>
      <c r="Z103" s="38"/>
    </row>
    <row r="104">
      <c r="A104" s="38">
        <v>48.0</v>
      </c>
      <c r="B104" s="63" t="s">
        <v>274</v>
      </c>
      <c r="C104" s="51"/>
      <c r="D104" s="39" t="s">
        <v>55</v>
      </c>
      <c r="E104" s="38" t="s">
        <v>333</v>
      </c>
      <c r="F104" s="41" t="s">
        <v>334</v>
      </c>
      <c r="G104" s="43"/>
      <c r="H104" s="45"/>
      <c r="I104" s="38"/>
      <c r="J104" s="38">
        <f>1.1*1000</f>
        <v>1100</v>
      </c>
      <c r="K104" s="46">
        <v>0.003298611111111111</v>
      </c>
      <c r="L104" s="47" t="s">
        <v>60</v>
      </c>
      <c r="M104" s="46"/>
      <c r="N104" s="46"/>
      <c r="O104" s="38"/>
      <c r="P104" s="82">
        <v>43015.0</v>
      </c>
      <c r="Q104" s="12" t="str">
        <f t="shared" si="1"/>
        <v/>
      </c>
      <c r="R104" s="50"/>
      <c r="S104" s="50"/>
      <c r="T104" s="50"/>
      <c r="U104" s="53"/>
      <c r="V104" s="54"/>
      <c r="W104" s="56"/>
      <c r="X104" s="57"/>
      <c r="Y104" s="38"/>
      <c r="Z104" s="38"/>
    </row>
    <row r="105">
      <c r="A105" s="39">
        <v>48.1</v>
      </c>
      <c r="B105" s="63" t="s">
        <v>274</v>
      </c>
      <c r="C105" s="51"/>
      <c r="D105" s="39" t="s">
        <v>55</v>
      </c>
      <c r="E105" s="38"/>
      <c r="F105" s="41"/>
      <c r="G105" s="62" t="s">
        <v>806</v>
      </c>
      <c r="H105" s="45"/>
      <c r="I105" s="38"/>
      <c r="J105" s="38"/>
      <c r="K105" s="46"/>
      <c r="L105" s="47"/>
      <c r="M105" s="90">
        <v>0.0</v>
      </c>
      <c r="N105" s="90">
        <v>0.003287037037037037</v>
      </c>
      <c r="O105" s="60">
        <f>N105-M105</f>
        <v>0.003287037037</v>
      </c>
      <c r="P105" s="82">
        <v>43015.0</v>
      </c>
      <c r="Q105" s="61" t="str">
        <f t="shared" si="1"/>
        <v>https://www.youtube.com/embed/QEUeYDEFtsE?start=0&amp;end=284&amp;autoplay=1</v>
      </c>
      <c r="R105" s="63" t="s">
        <v>61</v>
      </c>
      <c r="S105" s="63" t="s">
        <v>91</v>
      </c>
      <c r="T105" s="63" t="s">
        <v>61</v>
      </c>
      <c r="U105" s="51"/>
      <c r="V105" s="52"/>
      <c r="W105" s="81" t="s">
        <v>62</v>
      </c>
      <c r="X105" s="57"/>
      <c r="Y105" s="38"/>
      <c r="Z105" s="39" t="s">
        <v>807</v>
      </c>
      <c r="AA105" s="38"/>
      <c r="AB105" s="38"/>
      <c r="AH105" s="59"/>
      <c r="AI105" s="59"/>
    </row>
    <row r="106">
      <c r="A106" s="38">
        <v>49.0</v>
      </c>
      <c r="B106" s="63" t="s">
        <v>274</v>
      </c>
      <c r="C106" s="51"/>
      <c r="D106" s="39" t="s">
        <v>55</v>
      </c>
      <c r="E106" s="38" t="s">
        <v>338</v>
      </c>
      <c r="F106" s="41" t="s">
        <v>339</v>
      </c>
      <c r="G106" s="43"/>
      <c r="H106" s="45"/>
      <c r="I106" s="38"/>
      <c r="J106" s="38">
        <f>1.5*1000</f>
        <v>1500</v>
      </c>
      <c r="K106" s="46">
        <v>0.008946759259259258</v>
      </c>
      <c r="L106" s="47" t="s">
        <v>60</v>
      </c>
      <c r="M106" s="46"/>
      <c r="N106" s="46"/>
      <c r="O106" s="38"/>
      <c r="P106" s="82">
        <v>43015.0</v>
      </c>
      <c r="Q106" s="12" t="str">
        <f t="shared" si="1"/>
        <v/>
      </c>
      <c r="R106" s="50"/>
      <c r="S106" s="50"/>
      <c r="T106" s="50"/>
      <c r="U106" s="53"/>
      <c r="V106" s="54"/>
      <c r="W106" s="56"/>
      <c r="X106" s="57"/>
      <c r="Y106" s="38"/>
      <c r="Z106" s="38"/>
    </row>
    <row r="107">
      <c r="A107" s="39">
        <v>49.01</v>
      </c>
      <c r="B107" s="63" t="s">
        <v>274</v>
      </c>
      <c r="C107" s="51"/>
      <c r="D107" s="39" t="s">
        <v>55</v>
      </c>
      <c r="E107" s="38"/>
      <c r="F107" s="41"/>
      <c r="G107" s="62" t="s">
        <v>810</v>
      </c>
      <c r="H107" s="45"/>
      <c r="I107" s="38"/>
      <c r="J107" s="38"/>
      <c r="K107" s="46"/>
      <c r="L107" s="47"/>
      <c r="M107" s="84">
        <v>0.0</v>
      </c>
      <c r="N107" s="90">
        <v>0.004166666666666667</v>
      </c>
      <c r="O107" s="60">
        <f t="shared" ref="O107:O108" si="15">N107-M107</f>
        <v>0.004166666667</v>
      </c>
      <c r="P107" s="82">
        <v>43015.0</v>
      </c>
      <c r="Q107" s="61" t="str">
        <f t="shared" si="1"/>
        <v>https://www.youtube.com/embed/Yhp3rFuo5Cw?start=0&amp;end=360&amp;autoplay=1</v>
      </c>
      <c r="R107" s="67" t="s">
        <v>61</v>
      </c>
      <c r="S107" s="67" t="s">
        <v>61</v>
      </c>
      <c r="T107" s="67" t="s">
        <v>61</v>
      </c>
      <c r="U107" s="53"/>
      <c r="V107" s="54"/>
      <c r="W107" s="85" t="s">
        <v>62</v>
      </c>
      <c r="X107" s="57"/>
      <c r="Y107" s="38"/>
      <c r="Z107" s="39" t="s">
        <v>813</v>
      </c>
      <c r="AA107" s="65"/>
      <c r="AB107" s="65"/>
      <c r="AC107" s="65"/>
      <c r="AD107" s="65"/>
      <c r="AE107" s="65"/>
      <c r="AF107" s="65"/>
      <c r="AG107" s="65"/>
      <c r="AH107" s="38"/>
      <c r="AI107" s="38"/>
    </row>
    <row r="108">
      <c r="A108" s="39">
        <v>49.02</v>
      </c>
      <c r="B108" s="63" t="s">
        <v>274</v>
      </c>
      <c r="C108" s="51"/>
      <c r="D108" s="39" t="s">
        <v>55</v>
      </c>
      <c r="E108" s="38"/>
      <c r="F108" s="41"/>
      <c r="G108" s="62" t="s">
        <v>814</v>
      </c>
      <c r="H108" s="58"/>
      <c r="I108" s="38"/>
      <c r="J108" s="38"/>
      <c r="K108" s="46"/>
      <c r="L108" s="47"/>
      <c r="M108" s="84">
        <v>0.004178240740740741</v>
      </c>
      <c r="N108" s="84">
        <v>0.008923611111111111</v>
      </c>
      <c r="O108" s="46">
        <f t="shared" si="15"/>
        <v>0.00474537037</v>
      </c>
      <c r="P108" s="82">
        <v>43015.0</v>
      </c>
      <c r="Q108" s="61" t="str">
        <f t="shared" si="1"/>
        <v>https://www.youtube.com/embed/Yhp3rFuo5Cw?start=361&amp;end=771&amp;autoplay=1</v>
      </c>
      <c r="R108" s="67" t="s">
        <v>61</v>
      </c>
      <c r="S108" s="67" t="s">
        <v>61</v>
      </c>
      <c r="T108" s="67" t="s">
        <v>61</v>
      </c>
      <c r="U108" s="53"/>
      <c r="V108" s="54"/>
      <c r="W108" s="85" t="s">
        <v>62</v>
      </c>
      <c r="X108" s="57"/>
      <c r="Y108" s="38"/>
      <c r="Z108" s="39" t="s">
        <v>813</v>
      </c>
      <c r="AA108" s="65"/>
      <c r="AB108" s="65"/>
      <c r="AC108" s="65"/>
      <c r="AD108" s="65"/>
      <c r="AE108" s="65"/>
      <c r="AF108" s="65"/>
      <c r="AG108" s="65"/>
      <c r="AH108" s="38"/>
      <c r="AI108" s="38"/>
    </row>
    <row r="109">
      <c r="A109" s="38">
        <v>50.0</v>
      </c>
      <c r="B109" s="39" t="s">
        <v>107</v>
      </c>
      <c r="C109" s="38"/>
      <c r="D109" s="39" t="s">
        <v>55</v>
      </c>
      <c r="E109" s="38" t="s">
        <v>343</v>
      </c>
      <c r="F109" s="41" t="s">
        <v>344</v>
      </c>
      <c r="G109" s="43"/>
      <c r="H109" s="45"/>
      <c r="I109" s="38"/>
      <c r="J109" s="38">
        <f>1.7*1000</f>
        <v>1700</v>
      </c>
      <c r="K109" s="46">
        <v>0.010266203703703703</v>
      </c>
      <c r="L109" s="47" t="s">
        <v>60</v>
      </c>
      <c r="M109" s="46"/>
      <c r="N109" s="46"/>
      <c r="O109" s="38"/>
      <c r="P109" s="88">
        <v>43014.0</v>
      </c>
      <c r="Q109" s="12" t="str">
        <f t="shared" si="1"/>
        <v/>
      </c>
      <c r="R109" s="50"/>
      <c r="S109" s="50"/>
      <c r="T109" s="50"/>
      <c r="U109" s="53"/>
      <c r="V109" s="54"/>
      <c r="W109" s="56"/>
      <c r="X109" s="57"/>
      <c r="Y109" s="38"/>
      <c r="Z109" s="38"/>
    </row>
    <row r="110">
      <c r="A110" s="39">
        <v>50.01</v>
      </c>
      <c r="B110" s="39" t="s">
        <v>107</v>
      </c>
      <c r="C110" s="38"/>
      <c r="D110" s="39" t="s">
        <v>55</v>
      </c>
      <c r="E110" s="38"/>
      <c r="F110" s="41"/>
      <c r="G110" s="62" t="s">
        <v>446</v>
      </c>
      <c r="H110" s="58" t="s">
        <v>447</v>
      </c>
      <c r="I110" s="38"/>
      <c r="J110" s="38"/>
      <c r="K110" s="46"/>
      <c r="L110" s="47"/>
      <c r="M110" s="84">
        <v>0.0</v>
      </c>
      <c r="N110" s="84">
        <v>0.003981481481481482</v>
      </c>
      <c r="O110" s="60">
        <f t="shared" ref="O110:O113" si="16">N110-M110</f>
        <v>0.003981481481</v>
      </c>
      <c r="P110" s="88">
        <v>43014.0</v>
      </c>
      <c r="Q110" s="61" t="str">
        <f t="shared" si="1"/>
        <v>https://www.youtube.com/embed/8qjQH_-WzyE?start=0&amp;end=344&amp;autoplay=1</v>
      </c>
      <c r="R110" s="67" t="s">
        <v>61</v>
      </c>
      <c r="S110" s="67" t="s">
        <v>91</v>
      </c>
      <c r="T110" s="67" t="s">
        <v>61</v>
      </c>
      <c r="U110" s="53"/>
      <c r="V110" s="54"/>
      <c r="W110" s="81" t="s">
        <v>62</v>
      </c>
      <c r="X110" s="57"/>
      <c r="Y110" s="38"/>
      <c r="Z110" s="38"/>
      <c r="AH110" s="38"/>
      <c r="AI110" s="38"/>
      <c r="AJ110" s="38"/>
      <c r="AK110" s="38"/>
      <c r="AL110" s="38"/>
      <c r="AM110" s="38"/>
      <c r="AN110" s="38"/>
    </row>
    <row r="111">
      <c r="A111" s="39">
        <v>50.02</v>
      </c>
      <c r="B111" s="39" t="s">
        <v>107</v>
      </c>
      <c r="C111" s="38"/>
      <c r="D111" s="39" t="s">
        <v>71</v>
      </c>
      <c r="E111" s="38"/>
      <c r="F111" s="41"/>
      <c r="G111" s="62" t="s">
        <v>453</v>
      </c>
      <c r="H111" s="58" t="s">
        <v>454</v>
      </c>
      <c r="I111" s="38"/>
      <c r="J111" s="38"/>
      <c r="K111" s="46"/>
      <c r="L111" s="47"/>
      <c r="M111" s="84">
        <v>0.003993055555555555</v>
      </c>
      <c r="N111" s="84">
        <v>0.00474537037037037</v>
      </c>
      <c r="O111" s="60">
        <f t="shared" si="16"/>
        <v>0.0007523148148</v>
      </c>
      <c r="P111" s="88">
        <v>43014.0</v>
      </c>
      <c r="Q111" s="61" t="str">
        <f t="shared" si="1"/>
        <v>https://www.youtube.com/embed/8qjQH_-WzyE?start=345&amp;end=410&amp;autoplay=1</v>
      </c>
      <c r="R111" s="67" t="s">
        <v>61</v>
      </c>
      <c r="S111" s="67" t="s">
        <v>61</v>
      </c>
      <c r="T111" s="67" t="s">
        <v>61</v>
      </c>
      <c r="U111" s="53"/>
      <c r="V111" s="54"/>
      <c r="W111" s="81" t="s">
        <v>76</v>
      </c>
      <c r="X111" s="57"/>
      <c r="Y111" s="38"/>
      <c r="Z111" s="39" t="s">
        <v>456</v>
      </c>
      <c r="AH111" s="38"/>
      <c r="AI111" s="38"/>
      <c r="AJ111" s="38"/>
      <c r="AK111" s="38"/>
      <c r="AL111" s="38"/>
      <c r="AM111" s="38"/>
      <c r="AN111" s="38"/>
    </row>
    <row r="112">
      <c r="A112" s="39">
        <v>50.03</v>
      </c>
      <c r="B112" s="39" t="s">
        <v>107</v>
      </c>
      <c r="C112" s="38"/>
      <c r="D112" s="39" t="s">
        <v>55</v>
      </c>
      <c r="E112" s="38"/>
      <c r="F112" s="41"/>
      <c r="G112" s="62" t="s">
        <v>457</v>
      </c>
      <c r="H112" s="58" t="s">
        <v>458</v>
      </c>
      <c r="I112" s="38"/>
      <c r="J112" s="38"/>
      <c r="K112" s="46"/>
      <c r="L112" s="47"/>
      <c r="M112" s="84">
        <v>0.004756944444444445</v>
      </c>
      <c r="N112" s="84">
        <v>0.007175925925925926</v>
      </c>
      <c r="O112" s="60">
        <f t="shared" si="16"/>
        <v>0.002418981481</v>
      </c>
      <c r="P112" s="88">
        <v>43014.0</v>
      </c>
      <c r="Q112" s="61" t="str">
        <f t="shared" si="1"/>
        <v>https://www.youtube.com/embed/8qjQH_-WzyE?start=411&amp;end=620&amp;autoplay=1</v>
      </c>
      <c r="R112" s="67" t="s">
        <v>61</v>
      </c>
      <c r="S112" s="67" t="s">
        <v>61</v>
      </c>
      <c r="T112" s="67" t="s">
        <v>61</v>
      </c>
      <c r="U112" s="53"/>
      <c r="V112" s="54"/>
      <c r="W112" s="81" t="s">
        <v>62</v>
      </c>
      <c r="X112" s="57"/>
      <c r="Y112" s="38"/>
      <c r="Z112" s="38"/>
      <c r="AH112" s="38"/>
      <c r="AI112" s="38"/>
      <c r="AJ112" s="38"/>
      <c r="AK112" s="38"/>
      <c r="AL112" s="38"/>
      <c r="AM112" s="38"/>
      <c r="AN112" s="38"/>
    </row>
    <row r="113">
      <c r="A113" s="39">
        <v>50.04</v>
      </c>
      <c r="B113" s="39" t="s">
        <v>107</v>
      </c>
      <c r="C113" s="38"/>
      <c r="D113" s="39" t="s">
        <v>55</v>
      </c>
      <c r="E113" s="38"/>
      <c r="F113" s="41"/>
      <c r="G113" s="62" t="s">
        <v>462</v>
      </c>
      <c r="H113" s="58" t="s">
        <v>463</v>
      </c>
      <c r="I113" s="38"/>
      <c r="J113" s="38"/>
      <c r="K113" s="46"/>
      <c r="L113" s="47"/>
      <c r="M113" s="84">
        <v>0.0071875</v>
      </c>
      <c r="N113" s="84">
        <v>0.009421296296296296</v>
      </c>
      <c r="O113" s="60">
        <f t="shared" si="16"/>
        <v>0.002233796296</v>
      </c>
      <c r="P113" s="88">
        <v>43014.0</v>
      </c>
      <c r="Q113" s="61" t="str">
        <f t="shared" si="1"/>
        <v>https://www.youtube.com/embed/8qjQH_-WzyE?start=621&amp;end=814&amp;autoplay=1</v>
      </c>
      <c r="R113" s="67" t="s">
        <v>61</v>
      </c>
      <c r="S113" s="67" t="s">
        <v>61</v>
      </c>
      <c r="T113" s="67" t="s">
        <v>61</v>
      </c>
      <c r="U113" s="53"/>
      <c r="V113" s="54"/>
      <c r="W113" s="81" t="s">
        <v>62</v>
      </c>
      <c r="X113" s="57"/>
      <c r="Y113" s="38"/>
      <c r="Z113" s="38"/>
      <c r="AH113" s="38"/>
      <c r="AI113" s="38"/>
      <c r="AJ113" s="38"/>
      <c r="AK113" s="38"/>
      <c r="AL113" s="38"/>
      <c r="AM113" s="38"/>
      <c r="AN113" s="38"/>
    </row>
    <row r="114">
      <c r="A114" s="38">
        <v>51.0</v>
      </c>
      <c r="B114" s="39" t="s">
        <v>107</v>
      </c>
      <c r="C114" s="38"/>
      <c r="D114" s="39" t="s">
        <v>55</v>
      </c>
      <c r="E114" s="38" t="s">
        <v>347</v>
      </c>
      <c r="F114" s="41" t="s">
        <v>348</v>
      </c>
      <c r="G114" s="43"/>
      <c r="H114" s="45"/>
      <c r="I114" s="38"/>
      <c r="J114" s="38">
        <f>679</f>
        <v>679</v>
      </c>
      <c r="K114" s="46">
        <v>0.006087962962962964</v>
      </c>
      <c r="L114" s="47" t="s">
        <v>60</v>
      </c>
      <c r="M114" s="46"/>
      <c r="N114" s="46"/>
      <c r="O114" s="38"/>
      <c r="P114" s="82">
        <v>43016.0</v>
      </c>
      <c r="Q114" s="12" t="str">
        <f t="shared" si="1"/>
        <v/>
      </c>
      <c r="R114" s="50"/>
      <c r="S114" s="50"/>
      <c r="T114" s="50"/>
      <c r="U114" s="53"/>
      <c r="V114" s="54"/>
      <c r="W114" s="56"/>
      <c r="X114" s="57"/>
      <c r="Y114" s="38"/>
      <c r="Z114" s="38"/>
    </row>
    <row r="115">
      <c r="A115" s="39">
        <v>51.01</v>
      </c>
      <c r="B115" s="39" t="s">
        <v>107</v>
      </c>
      <c r="C115" s="38"/>
      <c r="D115" s="39" t="s">
        <v>55</v>
      </c>
      <c r="E115" s="38"/>
      <c r="F115" s="41"/>
      <c r="G115" s="62" t="s">
        <v>470</v>
      </c>
      <c r="H115" s="58" t="s">
        <v>472</v>
      </c>
      <c r="I115" s="38"/>
      <c r="J115" s="38"/>
      <c r="K115" s="46"/>
      <c r="L115" s="47"/>
      <c r="M115" s="84">
        <v>0.0</v>
      </c>
      <c r="N115" s="84">
        <v>0.0046875</v>
      </c>
      <c r="O115" s="60">
        <f>N115-M115</f>
        <v>0.0046875</v>
      </c>
      <c r="P115" s="82">
        <v>43016.0</v>
      </c>
      <c r="Q115" s="61" t="str">
        <f t="shared" si="1"/>
        <v>https://www.youtube.com/embed/vHWsmGyjOk0?start=0&amp;end=405&amp;autoplay=1</v>
      </c>
      <c r="R115" s="67" t="s">
        <v>61</v>
      </c>
      <c r="S115" s="67" t="s">
        <v>61</v>
      </c>
      <c r="T115" s="67" t="s">
        <v>61</v>
      </c>
      <c r="U115" s="53"/>
      <c r="V115" s="54"/>
      <c r="W115" s="81" t="s">
        <v>62</v>
      </c>
      <c r="X115" s="57"/>
      <c r="Y115" s="38"/>
      <c r="Z115" s="39" t="s">
        <v>474</v>
      </c>
      <c r="AH115" s="38"/>
      <c r="AI115" s="38"/>
      <c r="AJ115" s="38"/>
      <c r="AK115" s="38"/>
      <c r="AL115" s="38"/>
      <c r="AM115" s="38"/>
      <c r="AN115" s="38"/>
    </row>
    <row r="116">
      <c r="A116" s="38">
        <v>52.0</v>
      </c>
      <c r="B116" s="39" t="s">
        <v>107</v>
      </c>
      <c r="C116" s="39"/>
      <c r="D116" s="39" t="s">
        <v>55</v>
      </c>
      <c r="E116" s="38" t="s">
        <v>353</v>
      </c>
      <c r="F116" s="41" t="s">
        <v>354</v>
      </c>
      <c r="G116" s="43"/>
      <c r="H116" s="45"/>
      <c r="I116" s="38"/>
      <c r="J116" s="38">
        <f>928</f>
        <v>928</v>
      </c>
      <c r="K116" s="46">
        <v>0.01</v>
      </c>
      <c r="L116" s="47" t="s">
        <v>60</v>
      </c>
      <c r="M116" s="46"/>
      <c r="N116" s="46"/>
      <c r="O116" s="38"/>
      <c r="P116" s="82">
        <v>43016.0</v>
      </c>
      <c r="Q116" s="12" t="str">
        <f t="shared" si="1"/>
        <v/>
      </c>
      <c r="R116" s="50"/>
      <c r="S116" s="50"/>
      <c r="T116" s="50"/>
      <c r="U116" s="53"/>
      <c r="V116" s="54"/>
      <c r="W116" s="56"/>
      <c r="X116" s="57"/>
      <c r="Y116" s="38"/>
      <c r="Z116" s="38"/>
    </row>
    <row r="117">
      <c r="A117" s="39">
        <v>52.01</v>
      </c>
      <c r="B117" s="39" t="s">
        <v>107</v>
      </c>
      <c r="C117" s="38"/>
      <c r="D117" s="92" t="s">
        <v>55</v>
      </c>
      <c r="E117" s="38"/>
      <c r="F117" s="41"/>
      <c r="G117" s="62" t="s">
        <v>487</v>
      </c>
      <c r="H117" s="58" t="s">
        <v>488</v>
      </c>
      <c r="I117" s="38"/>
      <c r="J117" s="38"/>
      <c r="K117" s="46"/>
      <c r="L117" s="47"/>
      <c r="M117" s="84">
        <v>0.0</v>
      </c>
      <c r="N117" s="84">
        <v>0.003171296296296296</v>
      </c>
      <c r="O117" s="60">
        <f t="shared" ref="O117:O118" si="17">N117-M117</f>
        <v>0.003171296296</v>
      </c>
      <c r="P117" s="82">
        <v>43016.0</v>
      </c>
      <c r="Q117" s="61" t="str">
        <f t="shared" si="1"/>
        <v>https://www.youtube.com/embed/-udb2VYB5uo?start=0&amp;end=274&amp;autoplay=1</v>
      </c>
      <c r="R117" s="67" t="s">
        <v>61</v>
      </c>
      <c r="S117" s="67" t="s">
        <v>61</v>
      </c>
      <c r="T117" s="67" t="s">
        <v>61</v>
      </c>
      <c r="U117" s="53"/>
      <c r="V117" s="54"/>
      <c r="W117" s="81" t="s">
        <v>62</v>
      </c>
      <c r="X117" s="57"/>
      <c r="Y117" s="38"/>
      <c r="Z117" s="38"/>
      <c r="AH117" s="38"/>
      <c r="AI117" s="38"/>
      <c r="AJ117" s="38"/>
      <c r="AK117" s="38"/>
      <c r="AL117" s="38"/>
      <c r="AM117" s="38"/>
      <c r="AN117" s="38"/>
    </row>
    <row r="118">
      <c r="A118" s="39">
        <v>52.02</v>
      </c>
      <c r="B118" s="39" t="s">
        <v>107</v>
      </c>
      <c r="C118" s="38"/>
      <c r="D118" s="92" t="s">
        <v>55</v>
      </c>
      <c r="E118" s="38"/>
      <c r="F118" s="41"/>
      <c r="G118" s="62" t="s">
        <v>491</v>
      </c>
      <c r="H118" s="58" t="s">
        <v>492</v>
      </c>
      <c r="I118" s="38"/>
      <c r="J118" s="38"/>
      <c r="K118" s="46"/>
      <c r="L118" s="47"/>
      <c r="M118" s="84">
        <v>0.00318287037037037</v>
      </c>
      <c r="N118" s="84">
        <v>0.009988425925925927</v>
      </c>
      <c r="O118" s="60">
        <f t="shared" si="17"/>
        <v>0.006805555556</v>
      </c>
      <c r="P118" s="82">
        <v>43016.0</v>
      </c>
      <c r="Q118" s="61" t="str">
        <f t="shared" si="1"/>
        <v>https://www.youtube.com/embed/-udb2VYB5uo?start=275&amp;end=863&amp;autoplay=1</v>
      </c>
      <c r="R118" s="67" t="s">
        <v>61</v>
      </c>
      <c r="S118" s="67" t="s">
        <v>61</v>
      </c>
      <c r="T118" s="67" t="s">
        <v>61</v>
      </c>
      <c r="U118" s="53"/>
      <c r="V118" s="54"/>
      <c r="W118" s="81" t="s">
        <v>62</v>
      </c>
      <c r="X118" s="57"/>
      <c r="Y118" s="38"/>
      <c r="Z118" s="38"/>
      <c r="AH118" s="38"/>
      <c r="AI118" s="38"/>
      <c r="AJ118" s="38"/>
      <c r="AK118" s="38"/>
      <c r="AL118" s="38"/>
      <c r="AM118" s="38"/>
      <c r="AN118" s="38"/>
    </row>
    <row r="119">
      <c r="A119" s="38">
        <v>53.0</v>
      </c>
      <c r="B119" s="39" t="s">
        <v>107</v>
      </c>
      <c r="C119" s="39"/>
      <c r="D119" s="39" t="s">
        <v>55</v>
      </c>
      <c r="E119" s="38" t="s">
        <v>357</v>
      </c>
      <c r="F119" s="41" t="s">
        <v>358</v>
      </c>
      <c r="G119" s="43"/>
      <c r="H119" s="45"/>
      <c r="I119" s="38"/>
      <c r="J119" s="38">
        <f>961</f>
        <v>961</v>
      </c>
      <c r="K119" s="46">
        <v>0.008981481481481481</v>
      </c>
      <c r="L119" s="47" t="s">
        <v>60</v>
      </c>
      <c r="M119" s="46"/>
      <c r="N119" s="46"/>
      <c r="O119" s="38"/>
      <c r="P119" s="82">
        <v>43017.0</v>
      </c>
      <c r="Q119" s="12" t="str">
        <f t="shared" si="1"/>
        <v/>
      </c>
      <c r="R119" s="50"/>
      <c r="S119" s="50"/>
      <c r="T119" s="50"/>
      <c r="U119" s="53"/>
      <c r="V119" s="54"/>
      <c r="W119" s="56"/>
      <c r="X119" s="57"/>
      <c r="Y119" s="38"/>
      <c r="Z119" s="38"/>
    </row>
    <row r="120">
      <c r="A120" s="39">
        <v>53.01</v>
      </c>
      <c r="B120" s="39" t="s">
        <v>107</v>
      </c>
      <c r="C120" s="39"/>
      <c r="D120" s="39" t="s">
        <v>55</v>
      </c>
      <c r="E120" s="38"/>
      <c r="F120" s="41"/>
      <c r="G120" s="62" t="s">
        <v>373</v>
      </c>
      <c r="H120" s="58" t="s">
        <v>496</v>
      </c>
      <c r="I120" s="38"/>
      <c r="J120" s="38"/>
      <c r="K120" s="46"/>
      <c r="L120" s="47"/>
      <c r="M120" s="105">
        <v>0.0</v>
      </c>
      <c r="N120" s="84">
        <v>0.002199074074074074</v>
      </c>
      <c r="O120" s="60">
        <f t="shared" ref="O120:O123" si="18">N120-M120</f>
        <v>0.002199074074</v>
      </c>
      <c r="P120" s="82">
        <v>43017.0</v>
      </c>
      <c r="Q120" s="61" t="str">
        <f t="shared" si="1"/>
        <v>https://www.youtube.com/embed/f-MLHIb4dFU?start=0&amp;end=190&amp;autoplay=1</v>
      </c>
      <c r="R120" s="67" t="s">
        <v>61</v>
      </c>
      <c r="S120" s="67" t="s">
        <v>61</v>
      </c>
      <c r="T120" s="67" t="s">
        <v>61</v>
      </c>
      <c r="U120" s="53"/>
      <c r="V120" s="54"/>
      <c r="W120" s="85" t="s">
        <v>62</v>
      </c>
      <c r="X120" s="57"/>
      <c r="Y120" s="38"/>
      <c r="Z120" s="39" t="s">
        <v>501</v>
      </c>
      <c r="AH120" s="38"/>
      <c r="AI120" s="38"/>
      <c r="AJ120" s="38"/>
      <c r="AK120" s="38"/>
      <c r="AL120" s="38"/>
      <c r="AM120" s="38"/>
      <c r="AN120" s="38"/>
    </row>
    <row r="121">
      <c r="A121" s="39">
        <v>53.02</v>
      </c>
      <c r="B121" s="39" t="s">
        <v>107</v>
      </c>
      <c r="C121" s="38"/>
      <c r="D121" s="39" t="s">
        <v>55</v>
      </c>
      <c r="E121" s="38"/>
      <c r="F121" s="41"/>
      <c r="G121" s="62" t="s">
        <v>502</v>
      </c>
      <c r="H121" s="45" t="s">
        <v>171</v>
      </c>
      <c r="I121" s="38"/>
      <c r="J121" s="38"/>
      <c r="K121" s="46"/>
      <c r="L121" s="47"/>
      <c r="M121" s="84">
        <v>0.003171296296296296</v>
      </c>
      <c r="N121" s="84">
        <v>0.004814814814814815</v>
      </c>
      <c r="O121" s="60">
        <f t="shared" si="18"/>
        <v>0.001643518519</v>
      </c>
      <c r="P121" s="82">
        <v>43017.0</v>
      </c>
      <c r="Q121" s="61" t="str">
        <f t="shared" si="1"/>
        <v>https://www.youtube.com/embed/f-MLHIb4dFU?start=274&amp;end=416&amp;autoplay=1</v>
      </c>
      <c r="R121" s="67" t="s">
        <v>61</v>
      </c>
      <c r="S121" s="67" t="s">
        <v>61</v>
      </c>
      <c r="T121" s="67" t="s">
        <v>61</v>
      </c>
      <c r="U121" s="53"/>
      <c r="V121" s="54"/>
      <c r="W121" s="85" t="s">
        <v>62</v>
      </c>
      <c r="X121" s="57"/>
      <c r="Y121" s="38"/>
      <c r="Z121" s="39" t="s">
        <v>506</v>
      </c>
      <c r="AH121" s="38"/>
      <c r="AI121" s="38"/>
      <c r="AJ121" s="38"/>
      <c r="AK121" s="38"/>
      <c r="AL121" s="38"/>
      <c r="AM121" s="38"/>
      <c r="AN121" s="38"/>
    </row>
    <row r="122">
      <c r="A122" s="39">
        <v>53.03</v>
      </c>
      <c r="B122" s="39" t="s">
        <v>107</v>
      </c>
      <c r="C122" s="38"/>
      <c r="D122" s="39" t="s">
        <v>55</v>
      </c>
      <c r="E122" s="38"/>
      <c r="F122" s="41"/>
      <c r="G122" s="62" t="s">
        <v>507</v>
      </c>
      <c r="H122" s="58" t="s">
        <v>508</v>
      </c>
      <c r="I122" s="38"/>
      <c r="J122" s="38"/>
      <c r="K122" s="46"/>
      <c r="L122" s="47"/>
      <c r="M122" s="84">
        <v>0.006527777777777778</v>
      </c>
      <c r="N122" s="84">
        <v>0.007060185185185185</v>
      </c>
      <c r="O122" s="60">
        <f t="shared" si="18"/>
        <v>0.0005324074074</v>
      </c>
      <c r="P122" s="82">
        <v>43017.0</v>
      </c>
      <c r="Q122" s="61" t="str">
        <f t="shared" si="1"/>
        <v>https://www.youtube.com/embed/f-MLHIb4dFU?start=564&amp;end=610&amp;autoplay=1</v>
      </c>
      <c r="R122" s="67" t="s">
        <v>61</v>
      </c>
      <c r="S122" s="67" t="s">
        <v>61</v>
      </c>
      <c r="T122" s="67" t="s">
        <v>61</v>
      </c>
      <c r="U122" s="53"/>
      <c r="V122" s="54"/>
      <c r="W122" s="85" t="s">
        <v>62</v>
      </c>
      <c r="X122" s="57"/>
      <c r="Y122" s="38"/>
      <c r="Z122" s="38"/>
      <c r="AH122" s="38"/>
      <c r="AI122" s="38"/>
      <c r="AJ122" s="38"/>
      <c r="AK122" s="38"/>
      <c r="AL122" s="38"/>
      <c r="AM122" s="38"/>
      <c r="AN122" s="38"/>
    </row>
    <row r="123">
      <c r="A123" s="39">
        <v>53.04</v>
      </c>
      <c r="B123" s="39" t="s">
        <v>107</v>
      </c>
      <c r="C123" s="38"/>
      <c r="D123" s="39" t="s">
        <v>55</v>
      </c>
      <c r="E123" s="38"/>
      <c r="F123" s="41"/>
      <c r="G123" s="43" t="s">
        <v>269</v>
      </c>
      <c r="H123" s="58" t="s">
        <v>270</v>
      </c>
      <c r="I123" s="38"/>
      <c r="J123" s="38"/>
      <c r="K123" s="46"/>
      <c r="L123" s="47"/>
      <c r="M123" s="84">
        <v>0.007233796296296296</v>
      </c>
      <c r="N123" s="84">
        <v>0.008275462962962964</v>
      </c>
      <c r="O123" s="60">
        <f t="shared" si="18"/>
        <v>0.001041666667</v>
      </c>
      <c r="P123" s="82">
        <v>43017.0</v>
      </c>
      <c r="Q123" s="61" t="str">
        <f t="shared" si="1"/>
        <v>https://www.youtube.com/embed/f-MLHIb4dFU?start=625&amp;end=715&amp;autoplay=1</v>
      </c>
      <c r="R123" s="67" t="s">
        <v>61</v>
      </c>
      <c r="S123" s="67" t="s">
        <v>61</v>
      </c>
      <c r="T123" s="67" t="s">
        <v>61</v>
      </c>
      <c r="U123" s="53"/>
      <c r="V123" s="54"/>
      <c r="W123" s="85" t="s">
        <v>62</v>
      </c>
      <c r="X123" s="57"/>
      <c r="Y123" s="38"/>
      <c r="Z123" s="39" t="s">
        <v>512</v>
      </c>
      <c r="AH123" s="38"/>
      <c r="AI123" s="38"/>
      <c r="AJ123" s="38"/>
      <c r="AK123" s="38"/>
      <c r="AL123" s="38"/>
      <c r="AM123" s="38"/>
      <c r="AN123" s="38"/>
    </row>
    <row r="124">
      <c r="A124" s="38">
        <v>54.0</v>
      </c>
      <c r="B124" s="38"/>
      <c r="C124" s="38"/>
      <c r="D124" s="38"/>
      <c r="E124" s="38" t="s">
        <v>364</v>
      </c>
      <c r="F124" s="41" t="s">
        <v>366</v>
      </c>
      <c r="G124" s="43"/>
      <c r="H124" s="45"/>
      <c r="I124" s="38"/>
      <c r="J124" s="38">
        <f>1.3*1000</f>
        <v>1300</v>
      </c>
      <c r="K124" s="46">
        <v>0.009317129629629628</v>
      </c>
      <c r="L124" s="47" t="s">
        <v>60</v>
      </c>
      <c r="M124" s="46"/>
      <c r="N124" s="46"/>
      <c r="O124" s="38"/>
      <c r="P124" s="38"/>
      <c r="Q124" s="12" t="str">
        <f t="shared" si="1"/>
        <v/>
      </c>
      <c r="R124" s="50"/>
      <c r="S124" s="50"/>
      <c r="T124" s="50"/>
      <c r="U124" s="53"/>
      <c r="V124" s="54"/>
      <c r="W124" s="56"/>
      <c r="X124" s="57"/>
      <c r="Y124" s="38"/>
      <c r="Z124" s="38"/>
    </row>
    <row r="125">
      <c r="A125" s="38">
        <v>55.0</v>
      </c>
      <c r="B125" s="38"/>
      <c r="C125" s="38"/>
      <c r="D125" s="38"/>
      <c r="E125" s="38" t="s">
        <v>369</v>
      </c>
      <c r="F125" s="41" t="s">
        <v>370</v>
      </c>
      <c r="G125" s="43"/>
      <c r="H125" s="45"/>
      <c r="I125" s="38"/>
      <c r="J125" s="38">
        <f>959</f>
        <v>959</v>
      </c>
      <c r="K125" s="46">
        <v>0.009074074074074073</v>
      </c>
      <c r="L125" s="47" t="s">
        <v>60</v>
      </c>
      <c r="M125" s="46"/>
      <c r="N125" s="46"/>
      <c r="O125" s="38"/>
      <c r="P125" s="38"/>
      <c r="Q125" s="12" t="str">
        <f t="shared" si="1"/>
        <v/>
      </c>
      <c r="R125" s="50"/>
      <c r="S125" s="50"/>
      <c r="T125" s="50"/>
      <c r="U125" s="53"/>
      <c r="V125" s="54"/>
      <c r="W125" s="56"/>
      <c r="X125" s="57"/>
      <c r="Y125" s="38"/>
      <c r="Z125" s="38"/>
    </row>
    <row r="126">
      <c r="A126" s="38">
        <v>56.0</v>
      </c>
      <c r="B126" s="38"/>
      <c r="C126" s="38"/>
      <c r="D126" s="38"/>
      <c r="E126" s="38" t="s">
        <v>375</v>
      </c>
      <c r="F126" s="41" t="s">
        <v>376</v>
      </c>
      <c r="G126" s="43"/>
      <c r="H126" s="45"/>
      <c r="I126" s="38"/>
      <c r="J126" s="38">
        <f>1.1*1000</f>
        <v>1100</v>
      </c>
      <c r="K126" s="46">
        <v>0.005185185185185185</v>
      </c>
      <c r="L126" s="47" t="s">
        <v>60</v>
      </c>
      <c r="M126" s="46"/>
      <c r="N126" s="46"/>
      <c r="O126" s="38"/>
      <c r="P126" s="38"/>
      <c r="Q126" s="12" t="str">
        <f t="shared" si="1"/>
        <v/>
      </c>
      <c r="R126" s="50"/>
      <c r="S126" s="50"/>
      <c r="T126" s="50"/>
      <c r="U126" s="53"/>
      <c r="V126" s="54"/>
      <c r="W126" s="56"/>
      <c r="X126" s="57"/>
      <c r="Y126" s="38"/>
      <c r="Z126" s="38"/>
    </row>
    <row r="127">
      <c r="A127" s="38">
        <v>57.0</v>
      </c>
      <c r="B127" s="38"/>
      <c r="C127" s="38"/>
      <c r="D127" s="38"/>
      <c r="E127" s="38" t="s">
        <v>378</v>
      </c>
      <c r="F127" s="41" t="s">
        <v>379</v>
      </c>
      <c r="G127" s="43"/>
      <c r="H127" s="45"/>
      <c r="I127" s="38"/>
      <c r="J127" s="38">
        <f>1*1000</f>
        <v>1000</v>
      </c>
      <c r="K127" s="46">
        <v>0.008599537037037036</v>
      </c>
      <c r="L127" s="47" t="s">
        <v>60</v>
      </c>
      <c r="M127" s="46"/>
      <c r="N127" s="46"/>
      <c r="O127" s="38"/>
      <c r="P127" s="38"/>
      <c r="Q127" s="12" t="str">
        <f t="shared" si="1"/>
        <v/>
      </c>
      <c r="R127" s="50"/>
      <c r="S127" s="50"/>
      <c r="T127" s="50"/>
      <c r="U127" s="53"/>
      <c r="V127" s="54"/>
      <c r="W127" s="56"/>
      <c r="X127" s="57"/>
      <c r="Y127" s="38"/>
      <c r="Z127" s="38"/>
    </row>
    <row r="128">
      <c r="A128" s="38">
        <v>58.0</v>
      </c>
      <c r="B128" s="38"/>
      <c r="C128" s="38"/>
      <c r="D128" s="38"/>
      <c r="E128" s="38" t="s">
        <v>383</v>
      </c>
      <c r="F128" s="41" t="s">
        <v>384</v>
      </c>
      <c r="G128" s="43"/>
      <c r="H128" s="45"/>
      <c r="I128" s="38"/>
      <c r="J128" s="38">
        <f>1.5*1000</f>
        <v>1500</v>
      </c>
      <c r="K128" s="46">
        <v>0.01</v>
      </c>
      <c r="L128" s="47" t="s">
        <v>60</v>
      </c>
      <c r="M128" s="46"/>
      <c r="N128" s="46"/>
      <c r="O128" s="38"/>
      <c r="P128" s="38"/>
      <c r="Q128" s="12" t="str">
        <f t="shared" si="1"/>
        <v/>
      </c>
      <c r="R128" s="50"/>
      <c r="S128" s="50"/>
      <c r="T128" s="50"/>
      <c r="U128" s="53"/>
      <c r="V128" s="54"/>
      <c r="W128" s="56"/>
      <c r="X128" s="57"/>
      <c r="Y128" s="38"/>
      <c r="Z128" s="38"/>
    </row>
    <row r="129">
      <c r="A129" s="38">
        <v>59.0</v>
      </c>
      <c r="B129" s="38" t="s">
        <v>49</v>
      </c>
      <c r="C129" s="38"/>
      <c r="D129" s="38" t="s">
        <v>55</v>
      </c>
      <c r="E129" s="38" t="s">
        <v>140</v>
      </c>
      <c r="F129" s="41" t="s">
        <v>141</v>
      </c>
      <c r="G129" s="43"/>
      <c r="H129" s="45"/>
      <c r="I129" s="38"/>
      <c r="J129" s="38">
        <f>3.6*1000</f>
        <v>3600</v>
      </c>
      <c r="K129" s="46">
        <v>0.036516203703703703</v>
      </c>
      <c r="L129" s="47" t="s">
        <v>60</v>
      </c>
      <c r="M129" s="46"/>
      <c r="N129" s="46"/>
      <c r="O129" s="38"/>
      <c r="P129" s="49">
        <v>42989.0</v>
      </c>
      <c r="Q129" s="12" t="str">
        <f t="shared" si="1"/>
        <v/>
      </c>
      <c r="R129" s="98" t="s">
        <v>61</v>
      </c>
      <c r="S129" s="50" t="s">
        <v>61</v>
      </c>
      <c r="T129" s="50" t="s">
        <v>61</v>
      </c>
      <c r="U129" s="53"/>
      <c r="V129" s="54"/>
      <c r="W129" s="56" t="s">
        <v>62</v>
      </c>
      <c r="X129" s="57"/>
      <c r="Y129" s="38"/>
      <c r="Z129" s="38"/>
    </row>
    <row r="130">
      <c r="A130" s="100">
        <v>59.01</v>
      </c>
      <c r="B130" s="38" t="s">
        <v>49</v>
      </c>
      <c r="C130" s="39"/>
      <c r="D130" s="38" t="s">
        <v>55</v>
      </c>
      <c r="E130" s="38"/>
      <c r="F130" s="38"/>
      <c r="G130" s="38" t="s">
        <v>143</v>
      </c>
      <c r="H130" s="58" t="s">
        <v>2095</v>
      </c>
      <c r="I130" s="38"/>
      <c r="J130" s="38"/>
      <c r="K130" s="46"/>
      <c r="L130" s="47"/>
      <c r="M130" s="46">
        <v>0.0</v>
      </c>
      <c r="N130" s="46">
        <v>0.005208333333333333</v>
      </c>
      <c r="O130" s="60">
        <f t="shared" ref="O130:O143" si="19">N130-M130</f>
        <v>0.005208333333</v>
      </c>
      <c r="P130" s="49">
        <v>42989.0</v>
      </c>
      <c r="Q130" s="61" t="str">
        <f t="shared" si="1"/>
        <v>https://www.youtube.com/embed/ByaheAphduQ?start=0&amp;end=450&amp;autoplay=1</v>
      </c>
      <c r="R130" s="98" t="s">
        <v>61</v>
      </c>
      <c r="S130" s="50" t="s">
        <v>61</v>
      </c>
      <c r="T130" s="50" t="s">
        <v>61</v>
      </c>
      <c r="U130" s="53"/>
      <c r="V130" s="54"/>
      <c r="W130" s="56" t="s">
        <v>62</v>
      </c>
      <c r="X130" s="57"/>
      <c r="Y130" s="38"/>
      <c r="Z130" s="38"/>
    </row>
    <row r="131">
      <c r="A131" s="100">
        <v>59.02</v>
      </c>
      <c r="B131" s="38" t="s">
        <v>49</v>
      </c>
      <c r="C131" s="38"/>
      <c r="D131" s="38" t="s">
        <v>55</v>
      </c>
      <c r="E131" s="38"/>
      <c r="F131" s="38"/>
      <c r="G131" s="38" t="s">
        <v>154</v>
      </c>
      <c r="H131" s="45" t="s">
        <v>155</v>
      </c>
      <c r="I131" s="38"/>
      <c r="J131" s="38"/>
      <c r="K131" s="46"/>
      <c r="L131" s="47"/>
      <c r="M131" s="46">
        <v>0.00619212962962963</v>
      </c>
      <c r="N131" s="46">
        <v>0.011064814814814814</v>
      </c>
      <c r="O131" s="60">
        <f t="shared" si="19"/>
        <v>0.004872685185</v>
      </c>
      <c r="P131" s="49">
        <v>42989.0</v>
      </c>
      <c r="Q131" s="61" t="str">
        <f t="shared" si="1"/>
        <v>https://www.youtube.com/embed/ByaheAphduQ?start=535&amp;end=956&amp;autoplay=1</v>
      </c>
      <c r="R131" s="98" t="s">
        <v>61</v>
      </c>
      <c r="S131" s="50" t="s">
        <v>61</v>
      </c>
      <c r="T131" s="50" t="s">
        <v>61</v>
      </c>
      <c r="U131" s="53"/>
      <c r="V131" s="54"/>
      <c r="W131" s="56" t="s">
        <v>62</v>
      </c>
      <c r="X131" s="57"/>
      <c r="Y131" s="38"/>
      <c r="Z131" s="38"/>
    </row>
    <row r="132">
      <c r="A132" s="100">
        <v>59.03</v>
      </c>
      <c r="B132" s="38" t="s">
        <v>49</v>
      </c>
      <c r="C132" s="38"/>
      <c r="D132" s="38" t="s">
        <v>55</v>
      </c>
      <c r="E132" s="38"/>
      <c r="F132" s="38"/>
      <c r="G132" s="38" t="s">
        <v>160</v>
      </c>
      <c r="H132" s="12" t="s">
        <v>161</v>
      </c>
      <c r="I132" s="38"/>
      <c r="J132" s="38"/>
      <c r="K132" s="46"/>
      <c r="L132" s="47"/>
      <c r="M132" s="46">
        <v>0.012615740740740742</v>
      </c>
      <c r="N132" s="46">
        <v>0.013877314814814815</v>
      </c>
      <c r="O132" s="60">
        <f t="shared" si="19"/>
        <v>0.001261574074</v>
      </c>
      <c r="P132" s="49">
        <v>42989.0</v>
      </c>
      <c r="Q132" s="61" t="str">
        <f t="shared" si="1"/>
        <v>https://www.youtube.com/embed/ByaheAphduQ?start=1090&amp;end=1199&amp;autoplay=1</v>
      </c>
      <c r="R132" s="98" t="s">
        <v>61</v>
      </c>
      <c r="S132" s="50" t="s">
        <v>61</v>
      </c>
      <c r="T132" s="50" t="s">
        <v>61</v>
      </c>
      <c r="U132" s="53"/>
      <c r="V132" s="54"/>
      <c r="W132" s="56" t="s">
        <v>62</v>
      </c>
      <c r="X132" s="57"/>
      <c r="Y132" s="38"/>
      <c r="Z132" s="38"/>
    </row>
    <row r="133">
      <c r="A133" s="100">
        <v>59.04</v>
      </c>
      <c r="B133" s="38" t="s">
        <v>49</v>
      </c>
      <c r="C133" s="39"/>
      <c r="D133" s="38" t="s">
        <v>55</v>
      </c>
      <c r="E133" s="38"/>
      <c r="F133" s="38"/>
      <c r="G133" s="38" t="s">
        <v>165</v>
      </c>
      <c r="H133" s="45" t="s">
        <v>166</v>
      </c>
      <c r="I133" s="38"/>
      <c r="J133" s="38"/>
      <c r="K133" s="46"/>
      <c r="L133" s="47"/>
      <c r="M133" s="46">
        <v>0.013946759259259258</v>
      </c>
      <c r="N133" s="46">
        <v>0.014814814814814814</v>
      </c>
      <c r="O133" s="60">
        <f t="shared" si="19"/>
        <v>0.0008680555556</v>
      </c>
      <c r="P133" s="49">
        <v>42989.0</v>
      </c>
      <c r="Q133" s="61" t="str">
        <f t="shared" si="1"/>
        <v>https://www.youtube.com/embed/ByaheAphduQ?start=1205&amp;end=1280&amp;autoplay=1</v>
      </c>
      <c r="R133" s="98" t="s">
        <v>61</v>
      </c>
      <c r="S133" s="50" t="s">
        <v>61</v>
      </c>
      <c r="T133" s="50" t="s">
        <v>61</v>
      </c>
      <c r="U133" s="53"/>
      <c r="V133" s="54"/>
      <c r="W133" s="56" t="s">
        <v>62</v>
      </c>
      <c r="X133" s="57"/>
      <c r="Y133" s="38"/>
      <c r="Z133" s="38"/>
    </row>
    <row r="134">
      <c r="A134" s="100">
        <v>59.05</v>
      </c>
      <c r="B134" s="38" t="s">
        <v>49</v>
      </c>
      <c r="C134" s="38"/>
      <c r="D134" s="38" t="s">
        <v>55</v>
      </c>
      <c r="E134" s="38"/>
      <c r="F134" s="38"/>
      <c r="G134" s="38" t="s">
        <v>174</v>
      </c>
      <c r="H134" s="12" t="s">
        <v>175</v>
      </c>
      <c r="I134" s="38"/>
      <c r="J134" s="38"/>
      <c r="K134" s="46"/>
      <c r="L134" s="47"/>
      <c r="M134" s="46">
        <v>0.014837962962962963</v>
      </c>
      <c r="N134" s="46">
        <v>0.016319444444444445</v>
      </c>
      <c r="O134" s="60">
        <f t="shared" si="19"/>
        <v>0.001481481481</v>
      </c>
      <c r="P134" s="49">
        <v>42989.0</v>
      </c>
      <c r="Q134" s="61" t="str">
        <f t="shared" si="1"/>
        <v>https://www.youtube.com/embed/ByaheAphduQ?start=1282&amp;end=1410&amp;autoplay=1</v>
      </c>
      <c r="R134" s="98" t="s">
        <v>61</v>
      </c>
      <c r="S134" s="50" t="s">
        <v>61</v>
      </c>
      <c r="T134" s="50" t="s">
        <v>61</v>
      </c>
      <c r="U134" s="53"/>
      <c r="V134" s="54"/>
      <c r="W134" s="56" t="s">
        <v>62</v>
      </c>
      <c r="X134" s="57"/>
      <c r="Y134" s="38"/>
      <c r="Z134" s="38"/>
    </row>
    <row r="135">
      <c r="A135" s="100">
        <v>59.06</v>
      </c>
      <c r="B135" s="38" t="s">
        <v>49</v>
      </c>
      <c r="C135" s="38"/>
      <c r="D135" s="38" t="s">
        <v>55</v>
      </c>
      <c r="E135" s="38"/>
      <c r="F135" s="38"/>
      <c r="G135" s="38" t="s">
        <v>178</v>
      </c>
      <c r="H135" s="12"/>
      <c r="I135" s="38"/>
      <c r="J135" s="38"/>
      <c r="K135" s="46"/>
      <c r="L135" s="47"/>
      <c r="M135" s="46">
        <v>0.01678240740740741</v>
      </c>
      <c r="N135" s="46">
        <v>0.01875</v>
      </c>
      <c r="O135" s="60">
        <f t="shared" si="19"/>
        <v>0.001967592593</v>
      </c>
      <c r="P135" s="49">
        <v>42989.0</v>
      </c>
      <c r="Q135" s="61" t="str">
        <f t="shared" si="1"/>
        <v>https://www.youtube.com/embed/ByaheAphduQ?start=1450&amp;end=1620&amp;autoplay=1</v>
      </c>
      <c r="R135" s="98" t="s">
        <v>61</v>
      </c>
      <c r="S135" s="50" t="s">
        <v>61</v>
      </c>
      <c r="T135" s="50" t="s">
        <v>61</v>
      </c>
      <c r="U135" s="53"/>
      <c r="V135" s="54"/>
      <c r="W135" s="56" t="s">
        <v>62</v>
      </c>
      <c r="X135" s="57"/>
      <c r="Y135" s="38"/>
      <c r="Z135" s="38"/>
    </row>
    <row r="136">
      <c r="A136" s="100">
        <v>59.07</v>
      </c>
      <c r="B136" s="38" t="s">
        <v>49</v>
      </c>
      <c r="C136" s="38"/>
      <c r="D136" s="38" t="s">
        <v>55</v>
      </c>
      <c r="E136" s="38"/>
      <c r="F136" s="38"/>
      <c r="G136" s="38" t="s">
        <v>179</v>
      </c>
      <c r="H136" s="45"/>
      <c r="I136" s="38"/>
      <c r="J136" s="38"/>
      <c r="K136" s="46"/>
      <c r="L136" s="47"/>
      <c r="M136" s="46">
        <v>0.019490740740740743</v>
      </c>
      <c r="N136" s="46">
        <v>0.02071759259259259</v>
      </c>
      <c r="O136" s="60">
        <f t="shared" si="19"/>
        <v>0.001226851852</v>
      </c>
      <c r="P136" s="49">
        <v>42989.0</v>
      </c>
      <c r="Q136" s="61" t="str">
        <f t="shared" si="1"/>
        <v>https://www.youtube.com/embed/ByaheAphduQ?start=1684&amp;end=1790&amp;autoplay=1</v>
      </c>
      <c r="R136" s="98" t="s">
        <v>61</v>
      </c>
      <c r="S136" s="50" t="s">
        <v>61</v>
      </c>
      <c r="T136" s="50" t="s">
        <v>61</v>
      </c>
      <c r="U136" s="53"/>
      <c r="V136" s="54"/>
      <c r="W136" s="56" t="s">
        <v>62</v>
      </c>
      <c r="X136" s="57"/>
      <c r="Y136" s="38"/>
      <c r="Z136" s="38"/>
    </row>
    <row r="137">
      <c r="A137" s="100">
        <v>59.08</v>
      </c>
      <c r="B137" s="38" t="s">
        <v>49</v>
      </c>
      <c r="C137" s="38"/>
      <c r="D137" s="38" t="s">
        <v>55</v>
      </c>
      <c r="E137" s="38"/>
      <c r="F137" s="38"/>
      <c r="G137" s="38" t="s">
        <v>182</v>
      </c>
      <c r="H137" s="58" t="s">
        <v>2106</v>
      </c>
      <c r="I137" s="38"/>
      <c r="J137" s="38"/>
      <c r="K137" s="46"/>
      <c r="L137" s="47"/>
      <c r="M137" s="46">
        <v>0.021122685185185185</v>
      </c>
      <c r="N137" s="46">
        <v>0.02170138888888889</v>
      </c>
      <c r="O137" s="60">
        <f t="shared" si="19"/>
        <v>0.0005787037037</v>
      </c>
      <c r="P137" s="49">
        <v>42989.0</v>
      </c>
      <c r="Q137" s="61" t="str">
        <f t="shared" si="1"/>
        <v>https://www.youtube.com/embed/ByaheAphduQ?start=1825&amp;end=1875&amp;autoplay=1</v>
      </c>
      <c r="R137" s="98" t="s">
        <v>61</v>
      </c>
      <c r="S137" s="50" t="s">
        <v>61</v>
      </c>
      <c r="T137" s="50" t="s">
        <v>61</v>
      </c>
      <c r="U137" s="53"/>
      <c r="V137" s="54"/>
      <c r="W137" s="56" t="s">
        <v>62</v>
      </c>
      <c r="X137" s="57"/>
      <c r="Y137" s="38"/>
      <c r="Z137" s="38"/>
    </row>
    <row r="138">
      <c r="A138" s="100">
        <v>59.09</v>
      </c>
      <c r="B138" s="38" t="s">
        <v>49</v>
      </c>
      <c r="C138" s="38"/>
      <c r="D138" s="38" t="s">
        <v>55</v>
      </c>
      <c r="E138" s="38"/>
      <c r="F138" s="38"/>
      <c r="G138" s="39" t="s">
        <v>2109</v>
      </c>
      <c r="H138" s="45" t="s">
        <v>187</v>
      </c>
      <c r="I138" s="38"/>
      <c r="J138" s="38"/>
      <c r="K138" s="46"/>
      <c r="L138" s="47"/>
      <c r="M138" s="46">
        <v>0.02280092592592593</v>
      </c>
      <c r="N138" s="46">
        <v>0.024212962962962964</v>
      </c>
      <c r="O138" s="60">
        <f t="shared" si="19"/>
        <v>0.001412037037</v>
      </c>
      <c r="P138" s="49">
        <v>42989.0</v>
      </c>
      <c r="Q138" s="61" t="str">
        <f t="shared" si="1"/>
        <v>https://www.youtube.com/embed/ByaheAphduQ?start=1970&amp;end=2092&amp;autoplay=1</v>
      </c>
      <c r="R138" s="98" t="s">
        <v>61</v>
      </c>
      <c r="S138" s="50" t="s">
        <v>61</v>
      </c>
      <c r="T138" s="50" t="s">
        <v>61</v>
      </c>
      <c r="U138" s="53"/>
      <c r="V138" s="54"/>
      <c r="W138" s="56" t="s">
        <v>62</v>
      </c>
      <c r="X138" s="57"/>
      <c r="Y138" s="38"/>
      <c r="Z138" s="38"/>
    </row>
    <row r="139">
      <c r="A139" s="100">
        <v>59.1</v>
      </c>
      <c r="B139" s="38" t="s">
        <v>49</v>
      </c>
      <c r="C139" s="38"/>
      <c r="D139" s="38" t="s">
        <v>55</v>
      </c>
      <c r="E139" s="38"/>
      <c r="F139" s="38"/>
      <c r="G139" s="38" t="s">
        <v>190</v>
      </c>
      <c r="H139" s="45"/>
      <c r="I139" s="38"/>
      <c r="J139" s="38"/>
      <c r="K139" s="46"/>
      <c r="L139" s="47"/>
      <c r="M139" s="46">
        <v>0.024999999999999998</v>
      </c>
      <c r="N139" s="46">
        <v>0.02659722222222222</v>
      </c>
      <c r="O139" s="60">
        <f t="shared" si="19"/>
        <v>0.001597222222</v>
      </c>
      <c r="P139" s="49">
        <v>42989.0</v>
      </c>
      <c r="Q139" s="61" t="str">
        <f t="shared" si="1"/>
        <v>https://www.youtube.com/embed/ByaheAphduQ?start=2160&amp;end=2298&amp;autoplay=1</v>
      </c>
      <c r="R139" s="98" t="s">
        <v>61</v>
      </c>
      <c r="S139" s="50" t="s">
        <v>61</v>
      </c>
      <c r="T139" s="50" t="s">
        <v>61</v>
      </c>
      <c r="U139" s="53"/>
      <c r="V139" s="54"/>
      <c r="W139" s="56" t="s">
        <v>62</v>
      </c>
      <c r="X139" s="57"/>
      <c r="Y139" s="38"/>
      <c r="Z139" s="38"/>
    </row>
    <row r="140">
      <c r="A140" s="100">
        <v>59.11</v>
      </c>
      <c r="B140" s="38" t="s">
        <v>49</v>
      </c>
      <c r="C140" s="38"/>
      <c r="D140" s="38" t="s">
        <v>55</v>
      </c>
      <c r="E140" s="38"/>
      <c r="F140" s="38"/>
      <c r="G140" s="38" t="s">
        <v>193</v>
      </c>
      <c r="H140" s="45"/>
      <c r="I140" s="38"/>
      <c r="J140" s="38"/>
      <c r="K140" s="46"/>
      <c r="L140" s="47"/>
      <c r="M140" s="46">
        <v>0.026736111111111113</v>
      </c>
      <c r="N140" s="46">
        <v>0.02957175925925926</v>
      </c>
      <c r="O140" s="60">
        <f t="shared" si="19"/>
        <v>0.002835648148</v>
      </c>
      <c r="P140" s="49">
        <v>42989.0</v>
      </c>
      <c r="Q140" s="61" t="str">
        <f t="shared" si="1"/>
        <v>https://www.youtube.com/embed/ByaheAphduQ?start=2310&amp;end=2555&amp;autoplay=1</v>
      </c>
      <c r="R140" s="98" t="s">
        <v>61</v>
      </c>
      <c r="S140" s="50" t="s">
        <v>61</v>
      </c>
      <c r="T140" s="50" t="s">
        <v>61</v>
      </c>
      <c r="U140" s="53"/>
      <c r="V140" s="54"/>
      <c r="W140" s="56" t="s">
        <v>62</v>
      </c>
      <c r="X140" s="57"/>
      <c r="Y140" s="38"/>
      <c r="Z140" s="38"/>
    </row>
    <row r="141">
      <c r="A141" s="100">
        <v>59.1200000000001</v>
      </c>
      <c r="B141" s="38" t="s">
        <v>49</v>
      </c>
      <c r="C141" s="38"/>
      <c r="D141" s="38" t="s">
        <v>55</v>
      </c>
      <c r="E141" s="38"/>
      <c r="F141" s="38"/>
      <c r="G141" s="38" t="s">
        <v>198</v>
      </c>
      <c r="H141" s="45"/>
      <c r="I141" s="38"/>
      <c r="J141" s="38"/>
      <c r="K141" s="46"/>
      <c r="L141" s="47"/>
      <c r="M141" s="46">
        <v>0.030034722222222223</v>
      </c>
      <c r="N141" s="46">
        <v>0.030671296296296294</v>
      </c>
      <c r="O141" s="60">
        <f t="shared" si="19"/>
        <v>0.0006365740741</v>
      </c>
      <c r="P141" s="49">
        <v>42989.0</v>
      </c>
      <c r="Q141" s="61" t="str">
        <f t="shared" si="1"/>
        <v>https://www.youtube.com/embed/ByaheAphduQ?start=2595&amp;end=2650&amp;autoplay=1</v>
      </c>
      <c r="R141" s="98" t="s">
        <v>61</v>
      </c>
      <c r="S141" s="50" t="s">
        <v>61</v>
      </c>
      <c r="T141" s="50" t="s">
        <v>61</v>
      </c>
      <c r="U141" s="53"/>
      <c r="V141" s="54"/>
      <c r="W141" s="56" t="s">
        <v>62</v>
      </c>
      <c r="X141" s="57"/>
      <c r="Y141" s="38"/>
      <c r="Z141" s="38"/>
    </row>
    <row r="142">
      <c r="A142" s="100">
        <v>59.1300000000001</v>
      </c>
      <c r="B142" s="38" t="s">
        <v>49</v>
      </c>
      <c r="C142" s="38"/>
      <c r="D142" s="38" t="s">
        <v>55</v>
      </c>
      <c r="E142" s="38"/>
      <c r="F142" s="38"/>
      <c r="G142" s="38" t="s">
        <v>200</v>
      </c>
      <c r="H142" s="45" t="s">
        <v>201</v>
      </c>
      <c r="I142" s="38"/>
      <c r="J142" s="38"/>
      <c r="K142" s="46"/>
      <c r="L142" s="47"/>
      <c r="M142" s="46">
        <v>0.03194444444444445</v>
      </c>
      <c r="N142" s="46">
        <v>0.03391203703703704</v>
      </c>
      <c r="O142" s="60">
        <f t="shared" si="19"/>
        <v>0.001967592593</v>
      </c>
      <c r="P142" s="49">
        <v>42989.0</v>
      </c>
      <c r="Q142" s="61" t="str">
        <f t="shared" si="1"/>
        <v>https://www.youtube.com/embed/ByaheAphduQ?start=2760&amp;end=2930&amp;autoplay=1</v>
      </c>
      <c r="R142" s="98" t="s">
        <v>61</v>
      </c>
      <c r="S142" s="50" t="s">
        <v>61</v>
      </c>
      <c r="T142" s="50" t="s">
        <v>61</v>
      </c>
      <c r="U142" s="53"/>
      <c r="V142" s="54"/>
      <c r="W142" s="56" t="s">
        <v>62</v>
      </c>
      <c r="X142" s="57"/>
      <c r="Y142" s="38"/>
      <c r="Z142" s="38"/>
    </row>
    <row r="143">
      <c r="A143" s="100">
        <v>59.1400000000001</v>
      </c>
      <c r="B143" s="38" t="s">
        <v>49</v>
      </c>
      <c r="C143" s="38"/>
      <c r="D143" s="38" t="s">
        <v>55</v>
      </c>
      <c r="E143" s="38"/>
      <c r="F143" s="38"/>
      <c r="G143" s="38" t="s">
        <v>202</v>
      </c>
      <c r="H143" s="45" t="s">
        <v>203</v>
      </c>
      <c r="I143" s="38"/>
      <c r="J143" s="38"/>
      <c r="K143" s="46"/>
      <c r="L143" s="47"/>
      <c r="M143" s="46">
        <v>0.03460648148148148</v>
      </c>
      <c r="N143" s="46">
        <v>0.035196759259259254</v>
      </c>
      <c r="O143" s="60">
        <f t="shared" si="19"/>
        <v>0.0005902777778</v>
      </c>
      <c r="P143" s="49">
        <v>42989.0</v>
      </c>
      <c r="Q143" s="61" t="str">
        <f t="shared" si="1"/>
        <v>https://www.youtube.com/embed/ByaheAphduQ?start=2990&amp;end=3041&amp;autoplay=1</v>
      </c>
      <c r="R143" s="98" t="s">
        <v>61</v>
      </c>
      <c r="S143" s="50" t="s">
        <v>61</v>
      </c>
      <c r="T143" s="50" t="s">
        <v>61</v>
      </c>
      <c r="U143" s="53"/>
      <c r="V143" s="54"/>
      <c r="W143" s="56" t="s">
        <v>62</v>
      </c>
      <c r="X143" s="57"/>
      <c r="Y143" s="38"/>
      <c r="Z143" s="38"/>
    </row>
    <row r="144">
      <c r="A144" s="38">
        <v>60.0</v>
      </c>
      <c r="B144" s="38"/>
      <c r="C144" s="38"/>
      <c r="D144" s="38"/>
      <c r="E144" s="38" t="s">
        <v>396</v>
      </c>
      <c r="F144" s="41" t="s">
        <v>397</v>
      </c>
      <c r="G144" s="43"/>
      <c r="H144" s="45"/>
      <c r="I144" s="38"/>
      <c r="J144" s="38">
        <f>2.3*1000</f>
        <v>2300</v>
      </c>
      <c r="K144" s="46">
        <v>0.005601851851851852</v>
      </c>
      <c r="L144" s="47" t="s">
        <v>211</v>
      </c>
      <c r="M144" s="46"/>
      <c r="N144" s="46"/>
      <c r="O144" s="38"/>
      <c r="P144" s="38"/>
      <c r="Q144" s="12" t="str">
        <f t="shared" si="1"/>
        <v/>
      </c>
      <c r="R144" s="50"/>
      <c r="S144" s="50"/>
      <c r="T144" s="50"/>
      <c r="U144" s="53"/>
      <c r="V144" s="54"/>
      <c r="W144" s="56"/>
      <c r="X144" s="57"/>
      <c r="Y144" s="38"/>
      <c r="Z144" s="38"/>
    </row>
    <row r="145">
      <c r="A145" s="38">
        <v>61.0</v>
      </c>
      <c r="B145" s="38"/>
      <c r="C145" s="38"/>
      <c r="D145" s="38"/>
      <c r="E145" s="38" t="s">
        <v>401</v>
      </c>
      <c r="F145" s="41" t="s">
        <v>402</v>
      </c>
      <c r="G145" s="43"/>
      <c r="H145" s="45"/>
      <c r="I145" s="38"/>
      <c r="J145" s="38">
        <f>709</f>
        <v>709</v>
      </c>
      <c r="K145" s="46">
        <v>0.002013888888888889</v>
      </c>
      <c r="L145" s="47" t="s">
        <v>211</v>
      </c>
      <c r="M145" s="46"/>
      <c r="N145" s="46"/>
      <c r="O145" s="38"/>
      <c r="P145" s="38"/>
      <c r="Q145" s="12" t="str">
        <f t="shared" si="1"/>
        <v/>
      </c>
      <c r="R145" s="50"/>
      <c r="S145" s="50"/>
      <c r="T145" s="50"/>
      <c r="U145" s="53"/>
      <c r="V145" s="54"/>
      <c r="W145" s="56"/>
      <c r="X145" s="57"/>
      <c r="Y145" s="38"/>
      <c r="Z145" s="38"/>
    </row>
    <row r="146">
      <c r="A146" s="38">
        <v>62.0</v>
      </c>
      <c r="B146" s="38" t="s">
        <v>49</v>
      </c>
      <c r="C146" s="39"/>
      <c r="D146" s="38" t="s">
        <v>55</v>
      </c>
      <c r="E146" s="38" t="s">
        <v>207</v>
      </c>
      <c r="F146" s="41" t="s">
        <v>208</v>
      </c>
      <c r="G146" s="43"/>
      <c r="H146" s="45"/>
      <c r="I146" s="38"/>
      <c r="J146" s="38">
        <f>6.1*1000</f>
        <v>6100</v>
      </c>
      <c r="K146" s="46">
        <v>0.036041666666666666</v>
      </c>
      <c r="L146" s="47" t="s">
        <v>211</v>
      </c>
      <c r="M146" s="46"/>
      <c r="N146" s="46"/>
      <c r="O146" s="38"/>
      <c r="P146" s="49">
        <v>42997.0</v>
      </c>
      <c r="Q146" s="12" t="str">
        <f t="shared" si="1"/>
        <v/>
      </c>
      <c r="R146" s="50" t="s">
        <v>61</v>
      </c>
      <c r="S146" s="50" t="s">
        <v>61</v>
      </c>
      <c r="T146" s="50" t="s">
        <v>61</v>
      </c>
      <c r="U146" s="53"/>
      <c r="V146" s="54"/>
      <c r="W146" s="56" t="s">
        <v>76</v>
      </c>
      <c r="X146" s="57"/>
      <c r="Y146" s="38"/>
      <c r="Z146" s="38"/>
    </row>
    <row r="147">
      <c r="A147" s="38">
        <v>62.1</v>
      </c>
      <c r="B147" s="38" t="s">
        <v>49</v>
      </c>
      <c r="C147" s="38"/>
      <c r="D147" s="38" t="s">
        <v>55</v>
      </c>
      <c r="E147" s="38"/>
      <c r="F147" s="41"/>
      <c r="G147" s="43" t="s">
        <v>214</v>
      </c>
      <c r="H147" s="45"/>
      <c r="I147" s="38"/>
      <c r="J147" s="38"/>
      <c r="K147" s="46"/>
      <c r="L147" s="47"/>
      <c r="M147" s="46">
        <v>0.002916666666666667</v>
      </c>
      <c r="N147" s="46">
        <v>0.004166666666666667</v>
      </c>
      <c r="O147" s="60">
        <f t="shared" ref="O147:O159" si="20">N147-M147</f>
        <v>0.00125</v>
      </c>
      <c r="P147" s="49">
        <v>42997.0</v>
      </c>
      <c r="Q147" s="61" t="str">
        <f t="shared" si="1"/>
        <v>https://www.youtube.com/embed/s3LVHHEe2vc?start=252&amp;end=360&amp;autoplay=1</v>
      </c>
      <c r="R147" s="50" t="s">
        <v>61</v>
      </c>
      <c r="S147" s="50" t="s">
        <v>61</v>
      </c>
      <c r="T147" s="50" t="s">
        <v>61</v>
      </c>
      <c r="U147" s="53"/>
      <c r="V147" s="54"/>
      <c r="W147" s="56" t="s">
        <v>76</v>
      </c>
      <c r="X147" s="57"/>
      <c r="Y147" s="38"/>
      <c r="Z147" s="38"/>
    </row>
    <row r="148">
      <c r="A148" s="38">
        <v>62.2</v>
      </c>
      <c r="B148" s="38" t="s">
        <v>49</v>
      </c>
      <c r="C148" s="38"/>
      <c r="D148" s="38" t="s">
        <v>55</v>
      </c>
      <c r="E148" s="38"/>
      <c r="F148" s="41"/>
      <c r="G148" s="43" t="s">
        <v>219</v>
      </c>
      <c r="H148" s="45" t="s">
        <v>220</v>
      </c>
      <c r="I148" s="38"/>
      <c r="J148" s="38"/>
      <c r="K148" s="46"/>
      <c r="L148" s="47"/>
      <c r="M148" s="46">
        <v>0.0050347222222222225</v>
      </c>
      <c r="N148" s="46">
        <v>0.006493055555555555</v>
      </c>
      <c r="O148" s="60">
        <f t="shared" si="20"/>
        <v>0.001458333333</v>
      </c>
      <c r="P148" s="49">
        <v>42997.0</v>
      </c>
      <c r="Q148" s="61" t="str">
        <f t="shared" si="1"/>
        <v>https://www.youtube.com/embed/s3LVHHEe2vc?start=435&amp;end=561&amp;autoplay=1</v>
      </c>
      <c r="R148" s="50" t="s">
        <v>61</v>
      </c>
      <c r="S148" s="50" t="s">
        <v>61</v>
      </c>
      <c r="T148" s="50" t="s">
        <v>61</v>
      </c>
      <c r="U148" s="53"/>
      <c r="V148" s="54"/>
      <c r="W148" s="56" t="s">
        <v>76</v>
      </c>
      <c r="X148" s="57"/>
      <c r="Y148" s="38"/>
      <c r="Z148" s="38"/>
    </row>
    <row r="149">
      <c r="A149" s="38">
        <v>62.3</v>
      </c>
      <c r="B149" s="38" t="s">
        <v>49</v>
      </c>
      <c r="C149" s="38"/>
      <c r="D149" s="38" t="s">
        <v>55</v>
      </c>
      <c r="E149" s="38"/>
      <c r="F149" s="41"/>
      <c r="G149" s="43" t="s">
        <v>222</v>
      </c>
      <c r="H149" s="45" t="s">
        <v>223</v>
      </c>
      <c r="I149" s="38"/>
      <c r="J149" s="38"/>
      <c r="K149" s="46"/>
      <c r="L149" s="47"/>
      <c r="M149" s="46">
        <v>0.008449074074074074</v>
      </c>
      <c r="N149" s="46">
        <v>0.011574074074074075</v>
      </c>
      <c r="O149" s="60">
        <f t="shared" si="20"/>
        <v>0.003125</v>
      </c>
      <c r="P149" s="49">
        <v>42997.0</v>
      </c>
      <c r="Q149" s="61" t="str">
        <f t="shared" si="1"/>
        <v>https://www.youtube.com/embed/s3LVHHEe2vc?start=730&amp;end=1000&amp;autoplay=1</v>
      </c>
      <c r="R149" s="50" t="s">
        <v>61</v>
      </c>
      <c r="S149" s="50" t="s">
        <v>61</v>
      </c>
      <c r="T149" s="50" t="s">
        <v>61</v>
      </c>
      <c r="U149" s="53"/>
      <c r="V149" s="54"/>
      <c r="W149" s="56" t="s">
        <v>76</v>
      </c>
      <c r="X149" s="57"/>
      <c r="Y149" s="38"/>
      <c r="Z149" s="38"/>
    </row>
    <row r="150">
      <c r="A150" s="38">
        <v>62.4</v>
      </c>
      <c r="B150" s="38" t="s">
        <v>49</v>
      </c>
      <c r="C150" s="38"/>
      <c r="D150" s="38" t="s">
        <v>55</v>
      </c>
      <c r="E150" s="38"/>
      <c r="F150" s="41"/>
      <c r="G150" s="43" t="s">
        <v>228</v>
      </c>
      <c r="H150" s="45"/>
      <c r="I150" s="38"/>
      <c r="J150" s="38"/>
      <c r="K150" s="46"/>
      <c r="L150" s="47"/>
      <c r="M150" s="46">
        <v>0.025891203703703704</v>
      </c>
      <c r="N150" s="46">
        <v>0.027083333333333334</v>
      </c>
      <c r="O150" s="60">
        <f t="shared" si="20"/>
        <v>0.00119212963</v>
      </c>
      <c r="P150" s="49">
        <v>42997.0</v>
      </c>
      <c r="Q150" s="61" t="str">
        <f t="shared" si="1"/>
        <v>https://www.youtube.com/embed/s3LVHHEe2vc?start=2237&amp;end=2340&amp;autoplay=1</v>
      </c>
      <c r="R150" s="50" t="s">
        <v>61</v>
      </c>
      <c r="S150" s="50" t="s">
        <v>61</v>
      </c>
      <c r="T150" s="50" t="s">
        <v>61</v>
      </c>
      <c r="U150" s="53"/>
      <c r="V150" s="54"/>
      <c r="W150" s="56" t="s">
        <v>76</v>
      </c>
      <c r="X150" s="57"/>
      <c r="Y150" s="38"/>
      <c r="Z150" s="38"/>
    </row>
    <row r="151">
      <c r="A151" s="38">
        <v>62.5</v>
      </c>
      <c r="B151" s="38" t="s">
        <v>49</v>
      </c>
      <c r="C151" s="38"/>
      <c r="D151" s="38" t="s">
        <v>55</v>
      </c>
      <c r="E151" s="38"/>
      <c r="F151" s="41"/>
      <c r="G151" s="43" t="s">
        <v>231</v>
      </c>
      <c r="H151" s="45"/>
      <c r="I151" s="38"/>
      <c r="J151" s="38"/>
      <c r="K151" s="46"/>
      <c r="L151" s="47"/>
      <c r="M151" s="46">
        <v>0.027546296296296294</v>
      </c>
      <c r="N151" s="46">
        <v>0.028645833333333332</v>
      </c>
      <c r="O151" s="60">
        <f t="shared" si="20"/>
        <v>0.001099537037</v>
      </c>
      <c r="P151" s="49">
        <v>42997.0</v>
      </c>
      <c r="Q151" s="61" t="str">
        <f t="shared" si="1"/>
        <v>https://www.youtube.com/embed/s3LVHHEe2vc?start=2380&amp;end=2475&amp;autoplay=1</v>
      </c>
      <c r="R151" s="50" t="s">
        <v>61</v>
      </c>
      <c r="S151" s="50" t="s">
        <v>61</v>
      </c>
      <c r="T151" s="50" t="s">
        <v>61</v>
      </c>
      <c r="U151" s="53"/>
      <c r="V151" s="54"/>
      <c r="W151" s="56" t="s">
        <v>76</v>
      </c>
      <c r="X151" s="57"/>
      <c r="Y151" s="38"/>
      <c r="Z151" s="38"/>
    </row>
    <row r="152">
      <c r="A152" s="38">
        <v>62.6</v>
      </c>
      <c r="B152" s="38" t="s">
        <v>49</v>
      </c>
      <c r="C152" s="38"/>
      <c r="D152" s="38" t="s">
        <v>55</v>
      </c>
      <c r="E152" s="38"/>
      <c r="F152" s="41"/>
      <c r="G152" s="43" t="s">
        <v>236</v>
      </c>
      <c r="H152" s="45"/>
      <c r="I152" s="38"/>
      <c r="J152" s="38"/>
      <c r="K152" s="46"/>
      <c r="L152" s="47"/>
      <c r="M152" s="46">
        <v>0.028645833333333332</v>
      </c>
      <c r="N152" s="46">
        <v>0.03043981481481482</v>
      </c>
      <c r="O152" s="60">
        <f t="shared" si="20"/>
        <v>0.001793981481</v>
      </c>
      <c r="P152" s="49">
        <v>42997.0</v>
      </c>
      <c r="Q152" s="61" t="str">
        <f t="shared" si="1"/>
        <v>https://www.youtube.com/embed/s3LVHHEe2vc?start=2475&amp;end=2630&amp;autoplay=1</v>
      </c>
      <c r="R152" s="50" t="s">
        <v>61</v>
      </c>
      <c r="S152" s="50" t="s">
        <v>61</v>
      </c>
      <c r="T152" s="50" t="s">
        <v>61</v>
      </c>
      <c r="U152" s="53"/>
      <c r="V152" s="54"/>
      <c r="W152" s="56" t="s">
        <v>76</v>
      </c>
      <c r="X152" s="57"/>
      <c r="Y152" s="38"/>
      <c r="Z152" s="38"/>
    </row>
    <row r="153">
      <c r="A153" s="38">
        <v>62.7</v>
      </c>
      <c r="B153" s="38" t="s">
        <v>49</v>
      </c>
      <c r="C153" s="38"/>
      <c r="D153" s="38" t="s">
        <v>55</v>
      </c>
      <c r="E153" s="38"/>
      <c r="F153" s="41"/>
      <c r="G153" s="43" t="s">
        <v>237</v>
      </c>
      <c r="H153" s="45"/>
      <c r="I153" s="38"/>
      <c r="J153" s="38"/>
      <c r="K153" s="46"/>
      <c r="L153" s="47"/>
      <c r="M153" s="46">
        <v>0.030497685185185183</v>
      </c>
      <c r="N153" s="46">
        <v>0.032870370370370376</v>
      </c>
      <c r="O153" s="60">
        <f t="shared" si="20"/>
        <v>0.002372685185</v>
      </c>
      <c r="P153" s="49">
        <v>42997.0</v>
      </c>
      <c r="Q153" s="61" t="str">
        <f t="shared" si="1"/>
        <v>https://www.youtube.com/embed/s3LVHHEe2vc?start=2635&amp;end=2840&amp;autoplay=1</v>
      </c>
      <c r="R153" s="50" t="s">
        <v>61</v>
      </c>
      <c r="S153" s="50" t="s">
        <v>61</v>
      </c>
      <c r="T153" s="50" t="s">
        <v>61</v>
      </c>
      <c r="U153" s="53"/>
      <c r="V153" s="54"/>
      <c r="W153" s="56" t="s">
        <v>76</v>
      </c>
      <c r="X153" s="57"/>
      <c r="Y153" s="38"/>
      <c r="Z153" s="38"/>
    </row>
    <row r="154">
      <c r="A154" s="38">
        <v>63.0</v>
      </c>
      <c r="B154" s="63" t="s">
        <v>410</v>
      </c>
      <c r="C154" s="51"/>
      <c r="D154" s="39" t="s">
        <v>55</v>
      </c>
      <c r="E154" s="38" t="s">
        <v>412</v>
      </c>
      <c r="F154" s="41" t="s">
        <v>413</v>
      </c>
      <c r="G154" s="62" t="s">
        <v>1453</v>
      </c>
      <c r="H154" s="135" t="s">
        <v>1456</v>
      </c>
      <c r="I154" s="38"/>
      <c r="J154" s="38">
        <f>1.2*1000</f>
        <v>1200</v>
      </c>
      <c r="K154" s="46">
        <v>0.01144675925925926</v>
      </c>
      <c r="L154" s="47" t="s">
        <v>211</v>
      </c>
      <c r="M154" s="48"/>
      <c r="N154" s="48"/>
      <c r="O154" s="48">
        <f t="shared" si="20"/>
        <v>0</v>
      </c>
      <c r="P154" s="89">
        <v>43022.0</v>
      </c>
      <c r="Q154" s="12" t="str">
        <f t="shared" si="1"/>
        <v/>
      </c>
      <c r="R154" s="63" t="s">
        <v>61</v>
      </c>
      <c r="S154" s="63" t="s">
        <v>61</v>
      </c>
      <c r="T154" s="63" t="s">
        <v>61</v>
      </c>
      <c r="U154" s="51"/>
      <c r="V154" s="52"/>
      <c r="W154" s="55"/>
      <c r="X154" s="57"/>
      <c r="Y154" s="38"/>
      <c r="Z154" s="38"/>
      <c r="AA154" s="38"/>
      <c r="AB154" s="38"/>
    </row>
    <row r="155">
      <c r="A155" s="38">
        <v>64.0</v>
      </c>
      <c r="B155" s="63" t="s">
        <v>410</v>
      </c>
      <c r="C155" s="51"/>
      <c r="D155" s="39" t="s">
        <v>55</v>
      </c>
      <c r="E155" s="38" t="s">
        <v>421</v>
      </c>
      <c r="F155" s="41" t="s">
        <v>422</v>
      </c>
      <c r="G155" s="43"/>
      <c r="H155" s="45"/>
      <c r="I155" s="38"/>
      <c r="J155" s="38">
        <f>694</f>
        <v>694</v>
      </c>
      <c r="K155" s="46">
        <v>0.00912037037037037</v>
      </c>
      <c r="L155" s="47" t="s">
        <v>211</v>
      </c>
      <c r="M155" s="48"/>
      <c r="N155" s="48"/>
      <c r="O155" s="48">
        <f t="shared" si="20"/>
        <v>0</v>
      </c>
      <c r="P155" s="89">
        <v>43022.0</v>
      </c>
      <c r="Q155" s="12" t="str">
        <f t="shared" si="1"/>
        <v/>
      </c>
      <c r="R155" s="63" t="s">
        <v>61</v>
      </c>
      <c r="S155" s="63" t="s">
        <v>61</v>
      </c>
      <c r="T155" s="63" t="s">
        <v>61</v>
      </c>
      <c r="U155" s="51"/>
      <c r="V155" s="52"/>
      <c r="W155" s="55"/>
      <c r="X155" s="57"/>
      <c r="Y155" s="38"/>
      <c r="Z155" s="38"/>
      <c r="AA155" s="38"/>
      <c r="AB155" s="38"/>
    </row>
    <row r="156">
      <c r="A156" s="135">
        <v>64.01</v>
      </c>
      <c r="B156" s="63" t="s">
        <v>410</v>
      </c>
      <c r="C156" s="51"/>
      <c r="D156" s="39" t="s">
        <v>55</v>
      </c>
      <c r="G156" s="135" t="s">
        <v>1465</v>
      </c>
      <c r="H156" s="135" t="s">
        <v>1466</v>
      </c>
      <c r="I156" s="136"/>
      <c r="J156" s="136"/>
      <c r="K156" s="136"/>
      <c r="L156" s="136"/>
      <c r="M156" s="137">
        <v>0.004629629629629629</v>
      </c>
      <c r="N156" s="137">
        <v>0.0077083333333333335</v>
      </c>
      <c r="O156" s="124">
        <f t="shared" si="20"/>
        <v>0.003078703704</v>
      </c>
      <c r="P156" s="89">
        <v>43022.0</v>
      </c>
      <c r="Q156" s="61" t="str">
        <f t="shared" si="1"/>
        <v>https://www.youtube.com/embed/ytrFjytVgtk?start=400&amp;end=666&amp;autoplay=1</v>
      </c>
      <c r="R156" s="135" t="s">
        <v>61</v>
      </c>
      <c r="S156" s="135" t="s">
        <v>61</v>
      </c>
      <c r="T156" s="135" t="s">
        <v>61</v>
      </c>
      <c r="U156" s="135" t="s">
        <v>76</v>
      </c>
      <c r="V156" s="136"/>
      <c r="W156" s="135"/>
      <c r="X156" s="135"/>
    </row>
    <row r="157">
      <c r="A157" s="38">
        <v>65.0</v>
      </c>
      <c r="B157" s="63" t="s">
        <v>410</v>
      </c>
      <c r="C157" s="51"/>
      <c r="D157" s="39" t="s">
        <v>55</v>
      </c>
      <c r="E157" s="38" t="s">
        <v>426</v>
      </c>
      <c r="F157" s="41" t="s">
        <v>427</v>
      </c>
      <c r="G157" s="43"/>
      <c r="H157" s="45"/>
      <c r="I157" s="38"/>
      <c r="J157" s="38">
        <f>588</f>
        <v>588</v>
      </c>
      <c r="K157" s="46">
        <v>0.007199074074074074</v>
      </c>
      <c r="L157" s="47" t="s">
        <v>211</v>
      </c>
      <c r="M157" s="48"/>
      <c r="N157" s="48"/>
      <c r="O157" s="48">
        <f t="shared" si="20"/>
        <v>0</v>
      </c>
      <c r="P157" s="38"/>
      <c r="Q157" s="12" t="str">
        <f t="shared" si="1"/>
        <v/>
      </c>
      <c r="R157" s="42"/>
      <c r="S157" s="42"/>
      <c r="T157" s="42"/>
      <c r="U157" s="51"/>
      <c r="V157" s="52"/>
      <c r="W157" s="55"/>
      <c r="X157" s="57"/>
      <c r="Y157" s="38"/>
      <c r="Z157" s="38"/>
      <c r="AA157" s="38"/>
      <c r="AB157" s="38"/>
    </row>
    <row r="158">
      <c r="A158" s="135">
        <v>65.01</v>
      </c>
      <c r="B158" s="63" t="s">
        <v>410</v>
      </c>
      <c r="C158" s="51"/>
      <c r="D158" s="39" t="s">
        <v>55</v>
      </c>
      <c r="E158" s="38"/>
      <c r="F158" s="41"/>
      <c r="G158" s="62" t="s">
        <v>1471</v>
      </c>
      <c r="H158" s="45"/>
      <c r="I158" s="38"/>
      <c r="J158" s="38"/>
      <c r="K158" s="46"/>
      <c r="L158" s="47"/>
      <c r="M158" s="125">
        <v>1.1574074074074075E-4</v>
      </c>
      <c r="N158" s="125">
        <v>0.0028935185185185184</v>
      </c>
      <c r="O158" s="48">
        <f t="shared" si="20"/>
        <v>0.002777777778</v>
      </c>
      <c r="P158" s="89">
        <v>43023.0</v>
      </c>
      <c r="Q158" s="61" t="str">
        <f t="shared" si="1"/>
        <v>https://www.youtube.com/embed/28dLjjiriJA?start=10&amp;end=250&amp;autoplay=1</v>
      </c>
      <c r="R158" s="63" t="s">
        <v>61</v>
      </c>
      <c r="S158" s="63" t="s">
        <v>61</v>
      </c>
      <c r="T158" s="63" t="s">
        <v>61</v>
      </c>
      <c r="U158" s="51"/>
      <c r="V158" s="52"/>
      <c r="W158" s="55"/>
      <c r="X158" s="57"/>
      <c r="Y158" s="38"/>
      <c r="Z158" s="38"/>
    </row>
    <row r="159">
      <c r="A159" s="135">
        <v>65.02</v>
      </c>
      <c r="B159" s="63" t="s">
        <v>410</v>
      </c>
      <c r="C159" s="51"/>
      <c r="D159" s="39" t="s">
        <v>55</v>
      </c>
      <c r="E159" s="38"/>
      <c r="F159" s="41"/>
      <c r="G159" s="62" t="s">
        <v>1474</v>
      </c>
      <c r="H159" s="45"/>
      <c r="I159" s="38"/>
      <c r="J159" s="38"/>
      <c r="K159" s="46"/>
      <c r="L159" s="47"/>
      <c r="M159" s="125">
        <v>0.002916666666666667</v>
      </c>
      <c r="N159" s="125">
        <v>0.006712962962962963</v>
      </c>
      <c r="O159" s="48">
        <f t="shared" si="20"/>
        <v>0.003796296296</v>
      </c>
      <c r="P159" s="89">
        <v>43023.0</v>
      </c>
      <c r="Q159" s="61" t="str">
        <f t="shared" si="1"/>
        <v>https://www.youtube.com/embed/28dLjjiriJA?start=252&amp;end=580&amp;autoplay=1</v>
      </c>
      <c r="R159" s="63" t="s">
        <v>61</v>
      </c>
      <c r="S159" s="63" t="s">
        <v>61</v>
      </c>
      <c r="T159" s="63" t="s">
        <v>61</v>
      </c>
      <c r="U159" s="51"/>
      <c r="V159" s="52"/>
      <c r="W159" s="55"/>
      <c r="X159" s="57"/>
      <c r="Y159" s="38"/>
      <c r="Z159" s="38"/>
    </row>
    <row r="160">
      <c r="A160" s="38">
        <v>66.0</v>
      </c>
      <c r="B160" s="38"/>
      <c r="C160" s="38"/>
      <c r="D160" s="38"/>
      <c r="E160" s="38" t="s">
        <v>432</v>
      </c>
      <c r="F160" s="41" t="s">
        <v>434</v>
      </c>
      <c r="G160" s="43"/>
      <c r="H160" s="45"/>
      <c r="I160" s="38"/>
      <c r="J160" s="38">
        <f>2.9*1000</f>
        <v>2900</v>
      </c>
      <c r="K160" s="46">
        <v>0.027766203703703706</v>
      </c>
      <c r="L160" s="47" t="s">
        <v>211</v>
      </c>
      <c r="M160" s="46"/>
      <c r="N160" s="46"/>
      <c r="O160" s="38"/>
      <c r="P160" s="38"/>
      <c r="Q160" s="12" t="str">
        <f t="shared" si="1"/>
        <v/>
      </c>
      <c r="R160" s="50"/>
      <c r="S160" s="50"/>
      <c r="T160" s="50"/>
      <c r="U160" s="53"/>
      <c r="V160" s="54"/>
      <c r="W160" s="56"/>
      <c r="X160" s="57"/>
      <c r="Y160" s="38"/>
      <c r="Z160" s="38"/>
    </row>
    <row r="161">
      <c r="A161" s="38">
        <v>67.0</v>
      </c>
      <c r="B161" s="38"/>
      <c r="C161" s="38"/>
      <c r="D161" s="38"/>
      <c r="E161" s="38" t="s">
        <v>439</v>
      </c>
      <c r="F161" s="41" t="s">
        <v>440</v>
      </c>
      <c r="G161" s="43"/>
      <c r="H161" s="45"/>
      <c r="I161" s="38"/>
      <c r="J161" s="38">
        <f>575</f>
        <v>575</v>
      </c>
      <c r="K161" s="46">
        <v>0.0050347222222222225</v>
      </c>
      <c r="L161" s="47" t="s">
        <v>211</v>
      </c>
      <c r="M161" s="46"/>
      <c r="N161" s="46"/>
      <c r="O161" s="38"/>
      <c r="P161" s="38"/>
      <c r="Q161" s="12" t="str">
        <f t="shared" si="1"/>
        <v/>
      </c>
      <c r="R161" s="50"/>
      <c r="S161" s="50"/>
      <c r="T161" s="50"/>
      <c r="U161" s="53"/>
      <c r="V161" s="54"/>
      <c r="W161" s="56"/>
      <c r="X161" s="57"/>
      <c r="Y161" s="38"/>
      <c r="Z161" s="38"/>
    </row>
    <row r="162">
      <c r="A162" s="38">
        <v>68.0</v>
      </c>
      <c r="B162" s="63" t="s">
        <v>410</v>
      </c>
      <c r="C162" s="51"/>
      <c r="D162" s="39" t="s">
        <v>55</v>
      </c>
      <c r="E162" s="38" t="s">
        <v>443</v>
      </c>
      <c r="F162" s="41" t="s">
        <v>444</v>
      </c>
      <c r="G162" s="62" t="s">
        <v>1477</v>
      </c>
      <c r="H162" s="58" t="s">
        <v>1478</v>
      </c>
      <c r="I162" s="38"/>
      <c r="J162" s="38">
        <f t="shared" ref="J162:J163" si="21">2.5*1000</f>
        <v>2500</v>
      </c>
      <c r="K162" s="46">
        <v>0.024166666666666666</v>
      </c>
      <c r="L162" s="47" t="s">
        <v>211</v>
      </c>
      <c r="M162" s="125">
        <v>3.125E-4</v>
      </c>
      <c r="N162" s="125">
        <v>0.02361111111111111</v>
      </c>
      <c r="O162" s="48">
        <f t="shared" ref="O162:O165" si="22">N162-M162</f>
        <v>0.02329861111</v>
      </c>
      <c r="P162" s="82">
        <v>43029.0</v>
      </c>
      <c r="Q162" s="12" t="str">
        <f t="shared" si="1"/>
        <v/>
      </c>
      <c r="R162" s="63" t="s">
        <v>61</v>
      </c>
      <c r="S162" s="63" t="s">
        <v>61</v>
      </c>
      <c r="T162" s="63" t="s">
        <v>61</v>
      </c>
      <c r="U162" s="51"/>
      <c r="V162" s="52"/>
      <c r="W162" s="81" t="s">
        <v>62</v>
      </c>
      <c r="X162" s="57"/>
      <c r="Y162" s="38"/>
      <c r="Z162" s="38"/>
      <c r="AA162" s="38"/>
      <c r="AB162" s="38"/>
    </row>
    <row r="163" ht="14.25" customHeight="1">
      <c r="A163" s="38">
        <v>69.0</v>
      </c>
      <c r="B163" s="63" t="s">
        <v>410</v>
      </c>
      <c r="C163" s="51"/>
      <c r="D163" s="39" t="s">
        <v>145</v>
      </c>
      <c r="E163" s="38" t="s">
        <v>448</v>
      </c>
      <c r="F163" s="41" t="s">
        <v>449</v>
      </c>
      <c r="G163" s="43"/>
      <c r="H163" s="45"/>
      <c r="I163" s="38"/>
      <c r="J163" s="38">
        <f t="shared" si="21"/>
        <v>2500</v>
      </c>
      <c r="K163" s="46">
        <v>0.03542824074074074</v>
      </c>
      <c r="L163" s="47" t="s">
        <v>211</v>
      </c>
      <c r="M163" s="48"/>
      <c r="N163" s="48"/>
      <c r="O163" s="48">
        <f t="shared" si="22"/>
        <v>0</v>
      </c>
      <c r="P163" s="38"/>
      <c r="Q163" s="12" t="str">
        <f t="shared" si="1"/>
        <v/>
      </c>
      <c r="R163" s="42"/>
      <c r="S163" s="42"/>
      <c r="T163" s="42"/>
      <c r="U163" s="51"/>
      <c r="V163" s="52"/>
      <c r="W163" s="55"/>
      <c r="X163" s="57"/>
      <c r="Y163" s="38"/>
      <c r="Z163" s="38"/>
      <c r="AA163" s="38"/>
      <c r="AB163" s="38"/>
    </row>
    <row r="164">
      <c r="A164" s="39">
        <v>69.01</v>
      </c>
      <c r="B164" s="63" t="s">
        <v>410</v>
      </c>
      <c r="C164" s="51"/>
      <c r="D164" s="39" t="s">
        <v>145</v>
      </c>
      <c r="E164" s="38"/>
      <c r="F164" s="41"/>
      <c r="G164" s="62" t="s">
        <v>1483</v>
      </c>
      <c r="H164" s="58" t="s">
        <v>1478</v>
      </c>
      <c r="I164" s="38"/>
      <c r="J164" s="38"/>
      <c r="K164" s="46"/>
      <c r="L164" s="47"/>
      <c r="M164" s="125">
        <v>0.00931712962962963</v>
      </c>
      <c r="N164" s="125">
        <v>0.021354166666666667</v>
      </c>
      <c r="O164" s="48">
        <f t="shared" si="22"/>
        <v>0.01203703704</v>
      </c>
      <c r="P164" s="38"/>
      <c r="Q164" s="61" t="str">
        <f t="shared" si="1"/>
        <v>https://www.youtube.com/embed/M-zdPqtp9Kk?start=805&amp;end=1845&amp;autoplay=1</v>
      </c>
      <c r="R164" s="63" t="s">
        <v>61</v>
      </c>
      <c r="S164" s="63" t="s">
        <v>1486</v>
      </c>
      <c r="T164" s="63" t="s">
        <v>61</v>
      </c>
      <c r="U164" s="51"/>
      <c r="V164" s="52"/>
      <c r="W164" s="55"/>
      <c r="X164" s="69" t="s">
        <v>62</v>
      </c>
      <c r="Y164" s="38"/>
      <c r="Z164" s="38"/>
      <c r="AA164" s="38"/>
      <c r="AB164" s="38"/>
    </row>
    <row r="165">
      <c r="A165" s="39">
        <v>69.02</v>
      </c>
      <c r="B165" s="63" t="s">
        <v>410</v>
      </c>
      <c r="C165" s="51"/>
      <c r="D165" s="39" t="s">
        <v>145</v>
      </c>
      <c r="E165" s="38"/>
      <c r="F165" s="41"/>
      <c r="G165" s="62" t="s">
        <v>1487</v>
      </c>
      <c r="H165" s="58" t="s">
        <v>1488</v>
      </c>
      <c r="I165" s="38"/>
      <c r="J165" s="38"/>
      <c r="K165" s="46"/>
      <c r="L165" s="47"/>
      <c r="M165" s="125">
        <v>0.021354166666666667</v>
      </c>
      <c r="N165" s="125">
        <v>0.03611111111111111</v>
      </c>
      <c r="O165" s="48">
        <f t="shared" si="22"/>
        <v>0.01475694444</v>
      </c>
      <c r="P165" s="38"/>
      <c r="Q165" s="61" t="str">
        <f t="shared" si="1"/>
        <v>https://www.youtube.com/embed/M-zdPqtp9Kk?start=1845&amp;end=3120&amp;autoplay=1</v>
      </c>
      <c r="R165" s="63" t="s">
        <v>61</v>
      </c>
      <c r="S165" s="63" t="s">
        <v>1486</v>
      </c>
      <c r="T165" s="63" t="s">
        <v>61</v>
      </c>
      <c r="U165" s="51"/>
      <c r="V165" s="52"/>
      <c r="W165" s="55"/>
      <c r="X165" s="69" t="s">
        <v>62</v>
      </c>
      <c r="Y165" s="38"/>
      <c r="Z165" s="38"/>
      <c r="AA165" s="38"/>
      <c r="AB165" s="38"/>
    </row>
    <row r="166">
      <c r="A166" s="38">
        <v>70.0</v>
      </c>
      <c r="B166" s="38"/>
      <c r="C166" s="38"/>
      <c r="D166" s="38"/>
      <c r="E166" s="38" t="s">
        <v>451</v>
      </c>
      <c r="F166" s="41" t="s">
        <v>452</v>
      </c>
      <c r="G166" s="43"/>
      <c r="H166" s="45"/>
      <c r="I166" s="38"/>
      <c r="J166" s="38">
        <f>568</f>
        <v>568</v>
      </c>
      <c r="K166" s="46">
        <v>0.0035185185185185185</v>
      </c>
      <c r="L166" s="47" t="s">
        <v>211</v>
      </c>
      <c r="M166" s="46"/>
      <c r="N166" s="46"/>
      <c r="O166" s="38"/>
      <c r="P166" s="38"/>
      <c r="Q166" s="12" t="str">
        <f t="shared" si="1"/>
        <v/>
      </c>
      <c r="R166" s="50"/>
      <c r="S166" s="50"/>
      <c r="T166" s="50"/>
      <c r="U166" s="53"/>
      <c r="V166" s="54"/>
      <c r="W166" s="56"/>
      <c r="X166" s="57"/>
      <c r="Y166" s="38"/>
      <c r="Z166" s="38"/>
    </row>
    <row r="167">
      <c r="A167" s="38">
        <v>71.0</v>
      </c>
      <c r="B167" s="38"/>
      <c r="C167" s="38"/>
      <c r="D167" s="38"/>
      <c r="E167" s="38" t="s">
        <v>459</v>
      </c>
      <c r="F167" s="41" t="s">
        <v>460</v>
      </c>
      <c r="G167" s="43"/>
      <c r="H167" s="45"/>
      <c r="I167" s="38"/>
      <c r="J167" s="38">
        <f>1.1*1000</f>
        <v>1100</v>
      </c>
      <c r="K167" s="46">
        <v>0.008553240740740741</v>
      </c>
      <c r="L167" s="47" t="s">
        <v>211</v>
      </c>
      <c r="M167" s="46"/>
      <c r="N167" s="46"/>
      <c r="O167" s="38"/>
      <c r="P167" s="38"/>
      <c r="Q167" s="12" t="str">
        <f t="shared" si="1"/>
        <v/>
      </c>
      <c r="R167" s="50"/>
      <c r="S167" s="50"/>
      <c r="T167" s="50"/>
      <c r="U167" s="53"/>
      <c r="V167" s="54"/>
      <c r="W167" s="56"/>
      <c r="X167" s="57"/>
      <c r="Y167" s="38"/>
      <c r="Z167" s="38"/>
    </row>
    <row r="168">
      <c r="A168" s="38">
        <v>72.0</v>
      </c>
      <c r="B168" s="38"/>
      <c r="C168" s="38"/>
      <c r="D168" s="38"/>
      <c r="E168" s="38" t="s">
        <v>466</v>
      </c>
      <c r="F168" s="41" t="s">
        <v>467</v>
      </c>
      <c r="G168" s="43"/>
      <c r="H168" s="45"/>
      <c r="I168" s="38"/>
      <c r="J168" s="38">
        <f>868</f>
        <v>868</v>
      </c>
      <c r="K168" s="46">
        <v>0.01091435185185185</v>
      </c>
      <c r="L168" s="47" t="s">
        <v>211</v>
      </c>
      <c r="M168" s="46"/>
      <c r="N168" s="46"/>
      <c r="O168" s="38"/>
      <c r="P168" s="38"/>
      <c r="Q168" s="12" t="str">
        <f t="shared" si="1"/>
        <v/>
      </c>
      <c r="R168" s="50"/>
      <c r="S168" s="50"/>
      <c r="T168" s="50"/>
      <c r="U168" s="53"/>
      <c r="V168" s="54"/>
      <c r="W168" s="56"/>
      <c r="X168" s="57"/>
      <c r="Y168" s="38"/>
      <c r="Z168" s="38"/>
    </row>
    <row r="169">
      <c r="A169" s="38">
        <v>73.0</v>
      </c>
      <c r="B169" s="63" t="s">
        <v>274</v>
      </c>
      <c r="C169" s="51"/>
      <c r="D169" s="39" t="s">
        <v>55</v>
      </c>
      <c r="E169" s="38" t="s">
        <v>469</v>
      </c>
      <c r="F169" s="41" t="s">
        <v>471</v>
      </c>
      <c r="G169" s="43"/>
      <c r="H169" s="45"/>
      <c r="I169" s="38"/>
      <c r="J169" s="38">
        <f>28*1000</f>
        <v>28000</v>
      </c>
      <c r="K169" s="46">
        <v>0.06715277777777778</v>
      </c>
      <c r="L169" s="47" t="s">
        <v>211</v>
      </c>
      <c r="M169" s="48"/>
      <c r="N169" s="48"/>
      <c r="O169" s="48">
        <f t="shared" ref="O169:O185" si="23">N169-M169</f>
        <v>0</v>
      </c>
      <c r="P169" s="89">
        <v>43021.0</v>
      </c>
      <c r="Q169" s="12" t="str">
        <f t="shared" si="1"/>
        <v/>
      </c>
      <c r="R169" s="42"/>
      <c r="S169" s="42"/>
      <c r="T169" s="42"/>
      <c r="U169" s="51"/>
      <c r="V169" s="52"/>
      <c r="W169" s="55"/>
      <c r="X169" s="57"/>
      <c r="Y169" s="38"/>
      <c r="Z169" s="38"/>
      <c r="AA169" s="38"/>
      <c r="AB169" s="38"/>
      <c r="AC169" s="65"/>
      <c r="AD169" s="65"/>
      <c r="AE169" s="65"/>
      <c r="AF169" s="65"/>
      <c r="AG169" s="65"/>
      <c r="AH169" s="38"/>
      <c r="AI169" s="38"/>
    </row>
    <row r="170">
      <c r="A170" s="39">
        <v>73.01</v>
      </c>
      <c r="B170" s="63" t="s">
        <v>274</v>
      </c>
      <c r="C170" s="51"/>
      <c r="D170" s="39" t="s">
        <v>55</v>
      </c>
      <c r="E170" s="38"/>
      <c r="F170" s="41"/>
      <c r="G170" s="62" t="s">
        <v>819</v>
      </c>
      <c r="H170" s="58" t="s">
        <v>820</v>
      </c>
      <c r="I170" s="38"/>
      <c r="J170" s="38"/>
      <c r="K170" s="46"/>
      <c r="L170" s="47"/>
      <c r="M170" s="84">
        <v>0.0025925925925925925</v>
      </c>
      <c r="N170" s="105">
        <v>0.007939814814814814</v>
      </c>
      <c r="O170" s="124">
        <f t="shared" si="23"/>
        <v>0.005347222222</v>
      </c>
      <c r="P170" s="89">
        <v>43021.0</v>
      </c>
      <c r="Q170" s="12"/>
      <c r="R170" s="67" t="s">
        <v>91</v>
      </c>
      <c r="S170" s="67" t="s">
        <v>91</v>
      </c>
      <c r="T170" s="67" t="s">
        <v>61</v>
      </c>
      <c r="U170" s="53"/>
      <c r="V170" s="54"/>
      <c r="W170" s="85" t="s">
        <v>62</v>
      </c>
      <c r="X170" s="70"/>
      <c r="Y170" s="59"/>
      <c r="Z170" s="39" t="s">
        <v>823</v>
      </c>
      <c r="AA170" s="65"/>
      <c r="AB170" s="65"/>
      <c r="AC170" s="65"/>
      <c r="AD170" s="65"/>
      <c r="AE170" s="65"/>
      <c r="AF170" s="65"/>
      <c r="AG170" s="65"/>
      <c r="AH170" s="38"/>
      <c r="AI170" s="38"/>
    </row>
    <row r="171">
      <c r="A171" s="39">
        <v>73.02</v>
      </c>
      <c r="B171" s="63" t="s">
        <v>274</v>
      </c>
      <c r="C171" s="51"/>
      <c r="D171" s="39" t="s">
        <v>55</v>
      </c>
      <c r="E171" s="38"/>
      <c r="F171" s="41"/>
      <c r="G171" s="62" t="s">
        <v>824</v>
      </c>
      <c r="H171" s="58"/>
      <c r="I171" s="38"/>
      <c r="J171" s="38"/>
      <c r="K171" s="46"/>
      <c r="L171" s="47"/>
      <c r="M171" s="84">
        <v>0.011631944444444445</v>
      </c>
      <c r="N171" s="84">
        <v>0.015104166666666667</v>
      </c>
      <c r="O171" s="46">
        <f t="shared" si="23"/>
        <v>0.003472222222</v>
      </c>
      <c r="P171" s="89">
        <v>43021.0</v>
      </c>
      <c r="Q171" s="12"/>
      <c r="R171" s="67" t="s">
        <v>61</v>
      </c>
      <c r="S171" s="67" t="s">
        <v>91</v>
      </c>
      <c r="T171" s="67" t="s">
        <v>61</v>
      </c>
      <c r="U171" s="53"/>
      <c r="V171" s="54"/>
      <c r="W171" s="85" t="s">
        <v>62</v>
      </c>
      <c r="X171" s="70"/>
      <c r="Y171" s="59"/>
      <c r="Z171" s="59"/>
      <c r="AA171" s="65"/>
      <c r="AB171" s="65"/>
      <c r="AC171" s="65"/>
      <c r="AD171" s="65"/>
      <c r="AE171" s="65"/>
      <c r="AF171" s="65"/>
      <c r="AG171" s="65"/>
      <c r="AH171" s="38"/>
      <c r="AI171" s="38"/>
    </row>
    <row r="172">
      <c r="A172" s="39">
        <v>73.03</v>
      </c>
      <c r="B172" s="63" t="s">
        <v>274</v>
      </c>
      <c r="C172" s="51"/>
      <c r="D172" s="39" t="s">
        <v>55</v>
      </c>
      <c r="E172" s="38"/>
      <c r="F172" s="41"/>
      <c r="G172" s="62" t="s">
        <v>827</v>
      </c>
      <c r="H172" s="58"/>
      <c r="I172" s="38"/>
      <c r="J172" s="38"/>
      <c r="K172" s="46"/>
      <c r="L172" s="47"/>
      <c r="M172" s="84">
        <v>0.015474537037037037</v>
      </c>
      <c r="N172" s="84">
        <v>0.017361111111111112</v>
      </c>
      <c r="O172" s="46">
        <f t="shared" si="23"/>
        <v>0.001886574074</v>
      </c>
      <c r="P172" s="89">
        <v>43021.0</v>
      </c>
      <c r="Q172" s="12"/>
      <c r="R172" s="67" t="s">
        <v>61</v>
      </c>
      <c r="S172" s="67" t="s">
        <v>91</v>
      </c>
      <c r="T172" s="67" t="s">
        <v>61</v>
      </c>
      <c r="U172" s="53"/>
      <c r="V172" s="54"/>
      <c r="W172" s="85" t="s">
        <v>62</v>
      </c>
      <c r="X172" s="70"/>
      <c r="Y172" s="59"/>
      <c r="Z172" s="59"/>
      <c r="AA172" s="65"/>
      <c r="AB172" s="65"/>
      <c r="AC172" s="65"/>
      <c r="AD172" s="65"/>
      <c r="AE172" s="65"/>
      <c r="AF172" s="65"/>
      <c r="AG172" s="65"/>
      <c r="AH172" s="38"/>
      <c r="AI172" s="38"/>
    </row>
    <row r="173">
      <c r="A173" s="39">
        <v>73.04</v>
      </c>
      <c r="B173" s="63" t="s">
        <v>274</v>
      </c>
      <c r="C173" s="51"/>
      <c r="D173" s="39" t="s">
        <v>55</v>
      </c>
      <c r="E173" s="38"/>
      <c r="F173" s="41"/>
      <c r="G173" s="62" t="s">
        <v>828</v>
      </c>
      <c r="H173" s="58"/>
      <c r="I173" s="38"/>
      <c r="J173" s="38"/>
      <c r="K173" s="46"/>
      <c r="L173" s="47"/>
      <c r="M173" s="84">
        <v>0.017372685185185185</v>
      </c>
      <c r="N173" s="84">
        <v>0.019965277777777776</v>
      </c>
      <c r="O173" s="46">
        <f t="shared" si="23"/>
        <v>0.002592592593</v>
      </c>
      <c r="P173" s="89">
        <v>43021.0</v>
      </c>
      <c r="Q173" s="12"/>
      <c r="R173" s="67" t="s">
        <v>61</v>
      </c>
      <c r="S173" s="67" t="s">
        <v>91</v>
      </c>
      <c r="T173" s="67" t="s">
        <v>61</v>
      </c>
      <c r="U173" s="53"/>
      <c r="V173" s="54"/>
      <c r="W173" s="85" t="s">
        <v>62</v>
      </c>
      <c r="X173" s="70"/>
      <c r="Y173" s="59"/>
      <c r="Z173" s="59"/>
      <c r="AA173" s="65"/>
      <c r="AB173" s="65"/>
      <c r="AC173" s="65"/>
      <c r="AD173" s="65"/>
      <c r="AE173" s="65"/>
      <c r="AF173" s="65"/>
      <c r="AG173" s="65"/>
      <c r="AH173" s="38"/>
      <c r="AI173" s="38"/>
    </row>
    <row r="174">
      <c r="A174" s="39">
        <v>73.05</v>
      </c>
      <c r="B174" s="63" t="s">
        <v>274</v>
      </c>
      <c r="C174" s="51"/>
      <c r="D174" s="39" t="s">
        <v>55</v>
      </c>
      <c r="E174" s="38"/>
      <c r="F174" s="41"/>
      <c r="G174" s="62" t="s">
        <v>831</v>
      </c>
      <c r="H174" s="45"/>
      <c r="I174" s="38"/>
      <c r="J174" s="38"/>
      <c r="K174" s="46"/>
      <c r="L174" s="47"/>
      <c r="M174" s="84">
        <v>0.020104166666666666</v>
      </c>
      <c r="N174" s="84">
        <v>0.024583333333333332</v>
      </c>
      <c r="O174" s="46">
        <f t="shared" si="23"/>
        <v>0.004479166667</v>
      </c>
      <c r="P174" s="89">
        <v>43021.0</v>
      </c>
      <c r="Q174" s="12"/>
      <c r="R174" s="67" t="s">
        <v>61</v>
      </c>
      <c r="S174" s="67" t="s">
        <v>91</v>
      </c>
      <c r="T174" s="67" t="s">
        <v>61</v>
      </c>
      <c r="U174" s="53"/>
      <c r="V174" s="54"/>
      <c r="W174" s="85" t="s">
        <v>62</v>
      </c>
      <c r="X174" s="57"/>
      <c r="Y174" s="38"/>
      <c r="Z174" s="38"/>
      <c r="AA174" s="65"/>
      <c r="AB174" s="65"/>
      <c r="AC174" s="65"/>
      <c r="AD174" s="65"/>
      <c r="AE174" s="65"/>
      <c r="AF174" s="65"/>
      <c r="AG174" s="65"/>
      <c r="AH174" s="38"/>
      <c r="AI174" s="38"/>
    </row>
    <row r="175">
      <c r="A175" s="39">
        <v>73.06</v>
      </c>
      <c r="B175" s="63" t="s">
        <v>274</v>
      </c>
      <c r="C175" s="51"/>
      <c r="D175" s="39" t="s">
        <v>55</v>
      </c>
      <c r="E175" s="38"/>
      <c r="F175" s="41"/>
      <c r="G175" s="62" t="s">
        <v>834</v>
      </c>
      <c r="H175" s="71"/>
      <c r="I175" s="38"/>
      <c r="J175" s="38"/>
      <c r="K175" s="46"/>
      <c r="L175" s="47"/>
      <c r="M175" s="84">
        <v>0.025520833333333333</v>
      </c>
      <c r="N175" s="84">
        <v>0.029189814814814814</v>
      </c>
      <c r="O175" s="46">
        <f t="shared" si="23"/>
        <v>0.003668981481</v>
      </c>
      <c r="P175" s="89">
        <v>43021.0</v>
      </c>
      <c r="Q175" s="12"/>
      <c r="R175" s="67" t="s">
        <v>61</v>
      </c>
      <c r="S175" s="67" t="s">
        <v>91</v>
      </c>
      <c r="T175" s="67" t="s">
        <v>61</v>
      </c>
      <c r="U175" s="53"/>
      <c r="V175" s="54"/>
      <c r="W175" s="85" t="s">
        <v>62</v>
      </c>
      <c r="X175" s="57"/>
      <c r="Y175" s="38"/>
      <c r="Z175" s="38"/>
      <c r="AA175" s="65"/>
      <c r="AB175" s="65"/>
      <c r="AC175" s="65"/>
      <c r="AD175" s="65"/>
      <c r="AE175" s="65"/>
      <c r="AF175" s="65"/>
      <c r="AG175" s="65"/>
      <c r="AH175" s="38"/>
      <c r="AI175" s="38"/>
    </row>
    <row r="176">
      <c r="A176" s="39">
        <v>73.07</v>
      </c>
      <c r="B176" s="63" t="s">
        <v>274</v>
      </c>
      <c r="C176" s="51"/>
      <c r="D176" s="39" t="s">
        <v>55</v>
      </c>
      <c r="E176" s="38"/>
      <c r="F176" s="41"/>
      <c r="G176" s="62" t="s">
        <v>835</v>
      </c>
      <c r="H176" s="71"/>
      <c r="I176" s="38"/>
      <c r="J176" s="38"/>
      <c r="K176" s="46"/>
      <c r="L176" s="47"/>
      <c r="M176" s="84">
        <v>0.029421296296296296</v>
      </c>
      <c r="N176" s="84">
        <v>0.03574074074074074</v>
      </c>
      <c r="O176" s="46">
        <f t="shared" si="23"/>
        <v>0.006319444444</v>
      </c>
      <c r="P176" s="89">
        <v>43021.0</v>
      </c>
      <c r="Q176" s="12"/>
      <c r="R176" s="67" t="s">
        <v>61</v>
      </c>
      <c r="S176" s="67" t="s">
        <v>91</v>
      </c>
      <c r="T176" s="67" t="s">
        <v>61</v>
      </c>
      <c r="U176" s="53"/>
      <c r="V176" s="54"/>
      <c r="W176" s="85" t="s">
        <v>62</v>
      </c>
      <c r="X176" s="57"/>
      <c r="Y176" s="38"/>
      <c r="Z176" s="38"/>
      <c r="AA176" s="65"/>
      <c r="AB176" s="65"/>
      <c r="AC176" s="65"/>
      <c r="AD176" s="65"/>
      <c r="AE176" s="65"/>
      <c r="AF176" s="65"/>
      <c r="AG176" s="65"/>
      <c r="AH176" s="38"/>
      <c r="AI176" s="38"/>
    </row>
    <row r="177">
      <c r="A177" s="39">
        <v>73.08</v>
      </c>
      <c r="B177" s="63" t="s">
        <v>274</v>
      </c>
      <c r="C177" s="51"/>
      <c r="D177" s="39" t="s">
        <v>55</v>
      </c>
      <c r="E177" s="38"/>
      <c r="F177" s="41"/>
      <c r="G177" s="62" t="s">
        <v>838</v>
      </c>
      <c r="H177" s="71"/>
      <c r="I177" s="38"/>
      <c r="J177" s="38"/>
      <c r="K177" s="46"/>
      <c r="L177" s="47"/>
      <c r="M177" s="84">
        <v>0.03582175925925926</v>
      </c>
      <c r="N177" s="84">
        <v>0.039780092592592596</v>
      </c>
      <c r="O177" s="46">
        <f t="shared" si="23"/>
        <v>0.003958333333</v>
      </c>
      <c r="P177" s="89">
        <v>43021.0</v>
      </c>
      <c r="Q177" s="12"/>
      <c r="R177" s="67" t="s">
        <v>61</v>
      </c>
      <c r="S177" s="67" t="s">
        <v>91</v>
      </c>
      <c r="T177" s="67" t="s">
        <v>61</v>
      </c>
      <c r="U177" s="53"/>
      <c r="V177" s="54"/>
      <c r="W177" s="85" t="s">
        <v>62</v>
      </c>
      <c r="X177" s="57"/>
      <c r="Y177" s="38"/>
      <c r="Z177" s="38"/>
      <c r="AA177" s="65"/>
      <c r="AB177" s="65"/>
      <c r="AC177" s="65"/>
      <c r="AD177" s="65"/>
      <c r="AE177" s="65"/>
      <c r="AF177" s="65"/>
      <c r="AG177" s="65"/>
      <c r="AH177" s="38"/>
      <c r="AI177" s="38"/>
    </row>
    <row r="178">
      <c r="A178" s="39">
        <v>73.09</v>
      </c>
      <c r="B178" s="63" t="s">
        <v>274</v>
      </c>
      <c r="C178" s="51"/>
      <c r="D178" s="39" t="s">
        <v>55</v>
      </c>
      <c r="E178" s="74"/>
      <c r="F178" s="75"/>
      <c r="G178" s="76" t="s">
        <v>839</v>
      </c>
      <c r="H178" s="65"/>
      <c r="I178" s="73"/>
      <c r="J178" s="73"/>
      <c r="K178" s="46"/>
      <c r="L178" s="73"/>
      <c r="M178" s="84">
        <v>0.03841435185185185</v>
      </c>
      <c r="N178" s="84">
        <v>0.04483796296296296</v>
      </c>
      <c r="O178" s="46">
        <f t="shared" si="23"/>
        <v>0.006423611111</v>
      </c>
      <c r="P178" s="89">
        <v>43021.0</v>
      </c>
      <c r="Q178" s="12"/>
      <c r="R178" s="67" t="s">
        <v>61</v>
      </c>
      <c r="S178" s="67" t="s">
        <v>91</v>
      </c>
      <c r="T178" s="67" t="s">
        <v>61</v>
      </c>
      <c r="U178" s="53"/>
      <c r="V178" s="54"/>
      <c r="W178" s="85" t="s">
        <v>62</v>
      </c>
      <c r="X178" s="69"/>
      <c r="Y178" s="39"/>
      <c r="Z178" s="39"/>
      <c r="AA178" s="65"/>
      <c r="AB178" s="65"/>
      <c r="AC178" s="65"/>
      <c r="AD178" s="65"/>
      <c r="AE178" s="65"/>
      <c r="AF178" s="65"/>
      <c r="AG178" s="65"/>
      <c r="AH178" s="38"/>
      <c r="AI178" s="38"/>
    </row>
    <row r="179">
      <c r="A179" s="107">
        <v>73.1</v>
      </c>
      <c r="B179" s="63" t="s">
        <v>274</v>
      </c>
      <c r="C179" s="51"/>
      <c r="D179" s="39" t="s">
        <v>55</v>
      </c>
      <c r="E179" s="38"/>
      <c r="F179" s="43"/>
      <c r="G179" s="39" t="s">
        <v>841</v>
      </c>
      <c r="H179" s="71"/>
      <c r="I179" s="38"/>
      <c r="J179" s="38"/>
      <c r="K179" s="46"/>
      <c r="L179" s="47"/>
      <c r="M179" s="84">
        <v>0.044849537037037035</v>
      </c>
      <c r="N179" s="84">
        <v>0.04753472222222222</v>
      </c>
      <c r="O179" s="46">
        <f t="shared" si="23"/>
        <v>0.002685185185</v>
      </c>
      <c r="P179" s="89">
        <v>43021.0</v>
      </c>
      <c r="Q179" s="12"/>
      <c r="R179" s="67" t="s">
        <v>61</v>
      </c>
      <c r="S179" s="67" t="s">
        <v>91</v>
      </c>
      <c r="T179" s="67" t="s">
        <v>61</v>
      </c>
      <c r="U179" s="53"/>
      <c r="V179" s="54"/>
      <c r="W179" s="85" t="s">
        <v>62</v>
      </c>
      <c r="X179" s="77"/>
      <c r="Y179" s="65"/>
      <c r="Z179" s="65"/>
      <c r="AA179" s="65"/>
      <c r="AB179" s="65"/>
      <c r="AC179" s="65"/>
      <c r="AD179" s="65"/>
      <c r="AE179" s="65"/>
      <c r="AF179" s="65"/>
      <c r="AG179" s="65"/>
      <c r="AH179" s="38"/>
      <c r="AI179" s="38"/>
    </row>
    <row r="180">
      <c r="A180" s="39">
        <v>73.11</v>
      </c>
      <c r="B180" s="63" t="s">
        <v>274</v>
      </c>
      <c r="C180" s="51"/>
      <c r="D180" s="39" t="s">
        <v>55</v>
      </c>
      <c r="E180" s="38"/>
      <c r="F180" s="43"/>
      <c r="G180" s="39" t="s">
        <v>843</v>
      </c>
      <c r="H180" s="71"/>
      <c r="I180" s="38"/>
      <c r="J180" s="38"/>
      <c r="K180" s="46"/>
      <c r="L180" s="47"/>
      <c r="M180" s="84">
        <v>0.04857638888888889</v>
      </c>
      <c r="N180" s="84">
        <v>0.05061342592592592</v>
      </c>
      <c r="O180" s="46">
        <f t="shared" si="23"/>
        <v>0.002037037037</v>
      </c>
      <c r="P180" s="89">
        <v>43021.0</v>
      </c>
      <c r="Q180" s="12"/>
      <c r="R180" s="67" t="s">
        <v>61</v>
      </c>
      <c r="S180" s="67" t="s">
        <v>91</v>
      </c>
      <c r="T180" s="67" t="s">
        <v>61</v>
      </c>
      <c r="U180" s="53"/>
      <c r="V180" s="54"/>
      <c r="W180" s="85" t="s">
        <v>62</v>
      </c>
      <c r="X180" s="57"/>
      <c r="Y180" s="38"/>
      <c r="Z180" s="38"/>
      <c r="AA180" s="65"/>
      <c r="AB180" s="65"/>
      <c r="AC180" s="65"/>
      <c r="AD180" s="65"/>
      <c r="AE180" s="65"/>
      <c r="AF180" s="65"/>
      <c r="AG180" s="65"/>
      <c r="AH180" s="38"/>
      <c r="AI180" s="38"/>
    </row>
    <row r="181">
      <c r="A181" s="39">
        <v>73.12</v>
      </c>
      <c r="B181" s="63" t="s">
        <v>274</v>
      </c>
      <c r="C181" s="51"/>
      <c r="D181" s="39" t="s">
        <v>55</v>
      </c>
      <c r="E181" s="38"/>
      <c r="F181" s="43"/>
      <c r="G181" s="39" t="s">
        <v>844</v>
      </c>
      <c r="H181" s="71"/>
      <c r="I181" s="38"/>
      <c r="J181" s="38"/>
      <c r="K181" s="46"/>
      <c r="L181" s="47"/>
      <c r="M181" s="84">
        <v>0.05085648148148148</v>
      </c>
      <c r="N181" s="84">
        <v>0.0522337962962963</v>
      </c>
      <c r="O181" s="46">
        <f t="shared" si="23"/>
        <v>0.001377314815</v>
      </c>
      <c r="P181" s="89">
        <v>43021.0</v>
      </c>
      <c r="Q181" s="12"/>
      <c r="R181" s="67" t="s">
        <v>61</v>
      </c>
      <c r="S181" s="67" t="s">
        <v>91</v>
      </c>
      <c r="T181" s="67" t="s">
        <v>61</v>
      </c>
      <c r="U181" s="53"/>
      <c r="V181" s="54"/>
      <c r="W181" s="85" t="s">
        <v>62</v>
      </c>
      <c r="X181" s="57"/>
      <c r="Y181" s="38"/>
      <c r="Z181" s="38"/>
      <c r="AA181" s="65"/>
      <c r="AB181" s="65"/>
      <c r="AC181" s="65"/>
      <c r="AD181" s="65"/>
      <c r="AE181" s="65"/>
      <c r="AF181" s="65"/>
      <c r="AG181" s="65"/>
      <c r="AH181" s="38"/>
      <c r="AI181" s="38"/>
    </row>
    <row r="182">
      <c r="A182" s="39">
        <v>73.13</v>
      </c>
      <c r="B182" s="63" t="s">
        <v>274</v>
      </c>
      <c r="C182" s="51"/>
      <c r="D182" s="39" t="s">
        <v>55</v>
      </c>
      <c r="E182" s="38"/>
      <c r="F182" s="43"/>
      <c r="G182" s="39" t="s">
        <v>847</v>
      </c>
      <c r="H182" s="71"/>
      <c r="I182" s="38"/>
      <c r="J182" s="38"/>
      <c r="K182" s="46"/>
      <c r="L182" s="47"/>
      <c r="M182" s="84">
        <v>0.052256944444444446</v>
      </c>
      <c r="N182" s="84">
        <v>0.05506944444444444</v>
      </c>
      <c r="O182" s="46">
        <f t="shared" si="23"/>
        <v>0.0028125</v>
      </c>
      <c r="P182" s="89">
        <v>43021.0</v>
      </c>
      <c r="Q182" s="12"/>
      <c r="R182" s="67" t="s">
        <v>61</v>
      </c>
      <c r="S182" s="67" t="s">
        <v>91</v>
      </c>
      <c r="T182" s="67" t="s">
        <v>61</v>
      </c>
      <c r="U182" s="53"/>
      <c r="V182" s="54"/>
      <c r="W182" s="85" t="s">
        <v>62</v>
      </c>
      <c r="X182" s="57"/>
      <c r="Y182" s="38"/>
      <c r="Z182" s="38"/>
      <c r="AA182" s="65"/>
      <c r="AB182" s="65"/>
      <c r="AC182" s="65"/>
      <c r="AD182" s="65"/>
      <c r="AE182" s="65"/>
      <c r="AF182" s="65"/>
      <c r="AG182" s="65"/>
      <c r="AH182" s="38"/>
      <c r="AI182" s="38"/>
    </row>
    <row r="183">
      <c r="A183" s="39">
        <v>73.14</v>
      </c>
      <c r="B183" s="63" t="s">
        <v>274</v>
      </c>
      <c r="C183" s="51"/>
      <c r="D183" s="39" t="s">
        <v>55</v>
      </c>
      <c r="E183" s="38"/>
      <c r="F183" s="43"/>
      <c r="G183" s="39" t="s">
        <v>849</v>
      </c>
      <c r="H183" s="71"/>
      <c r="I183" s="38"/>
      <c r="J183" s="38"/>
      <c r="K183" s="46"/>
      <c r="L183" s="47"/>
      <c r="M183" s="84">
        <v>0.05511574074074074</v>
      </c>
      <c r="N183" s="84">
        <v>0.05832175925925926</v>
      </c>
      <c r="O183" s="46">
        <f t="shared" si="23"/>
        <v>0.003206018519</v>
      </c>
      <c r="P183" s="89">
        <v>43021.0</v>
      </c>
      <c r="Q183" s="12"/>
      <c r="R183" s="67" t="s">
        <v>61</v>
      </c>
      <c r="S183" s="67" t="s">
        <v>91</v>
      </c>
      <c r="T183" s="67" t="s">
        <v>61</v>
      </c>
      <c r="U183" s="53"/>
      <c r="V183" s="54"/>
      <c r="W183" s="85" t="s">
        <v>62</v>
      </c>
      <c r="X183" s="69"/>
      <c r="Y183" s="39"/>
      <c r="Z183" s="39"/>
      <c r="AA183" s="38"/>
      <c r="AB183" s="38"/>
      <c r="AC183" s="79"/>
      <c r="AD183" s="79"/>
      <c r="AE183" s="79"/>
      <c r="AF183" s="79"/>
      <c r="AG183" s="79"/>
      <c r="AH183" s="38"/>
      <c r="AI183" s="38"/>
    </row>
    <row r="184">
      <c r="A184" s="39">
        <v>73.15</v>
      </c>
      <c r="B184" s="63" t="s">
        <v>274</v>
      </c>
      <c r="C184" s="51"/>
      <c r="D184" s="39" t="s">
        <v>55</v>
      </c>
      <c r="E184" s="38"/>
      <c r="F184" s="43"/>
      <c r="G184" s="39" t="s">
        <v>851</v>
      </c>
      <c r="H184" s="71"/>
      <c r="I184" s="38"/>
      <c r="J184" s="38"/>
      <c r="K184" s="46"/>
      <c r="L184" s="47"/>
      <c r="M184" s="84">
        <v>0.05834490740740741</v>
      </c>
      <c r="N184" s="84">
        <v>0.0625</v>
      </c>
      <c r="O184" s="46">
        <f t="shared" si="23"/>
        <v>0.004155092593</v>
      </c>
      <c r="P184" s="89">
        <v>43021.0</v>
      </c>
      <c r="Q184" s="12"/>
      <c r="R184" s="67" t="s">
        <v>61</v>
      </c>
      <c r="S184" s="67" t="s">
        <v>91</v>
      </c>
      <c r="T184" s="67" t="s">
        <v>61</v>
      </c>
      <c r="U184" s="53"/>
      <c r="V184" s="54"/>
      <c r="W184" s="85" t="s">
        <v>62</v>
      </c>
      <c r="X184" s="57"/>
      <c r="Y184" s="38"/>
      <c r="Z184" s="38"/>
      <c r="AA184" s="65"/>
      <c r="AB184" s="65"/>
      <c r="AC184" s="65"/>
      <c r="AD184" s="65"/>
      <c r="AE184" s="65"/>
      <c r="AF184" s="65"/>
      <c r="AG184" s="65"/>
      <c r="AH184" s="38"/>
      <c r="AI184" s="38"/>
    </row>
    <row r="185">
      <c r="A185" s="39">
        <v>73.16</v>
      </c>
      <c r="B185" s="63" t="s">
        <v>274</v>
      </c>
      <c r="C185" s="51"/>
      <c r="D185" s="39" t="s">
        <v>55</v>
      </c>
      <c r="E185" s="38"/>
      <c r="F185" s="41"/>
      <c r="G185" s="62" t="s">
        <v>852</v>
      </c>
      <c r="H185" s="45"/>
      <c r="I185" s="38"/>
      <c r="J185" s="38"/>
      <c r="K185" s="46"/>
      <c r="L185" s="47"/>
      <c r="M185" s="84">
        <v>0.0625</v>
      </c>
      <c r="N185" s="84">
        <v>0.06510416666666667</v>
      </c>
      <c r="O185" s="46">
        <f t="shared" si="23"/>
        <v>0.002604166667</v>
      </c>
      <c r="P185" s="89">
        <v>43021.0</v>
      </c>
      <c r="Q185" s="12"/>
      <c r="R185" s="67" t="s">
        <v>61</v>
      </c>
      <c r="S185" s="67" t="s">
        <v>91</v>
      </c>
      <c r="T185" s="67" t="s">
        <v>61</v>
      </c>
      <c r="U185" s="53"/>
      <c r="V185" s="54"/>
      <c r="W185" s="85" t="s">
        <v>62</v>
      </c>
      <c r="X185" s="57"/>
      <c r="Y185" s="38"/>
      <c r="Z185" s="38"/>
      <c r="AA185" s="65"/>
      <c r="AB185" s="65"/>
      <c r="AC185" s="65"/>
      <c r="AD185" s="65"/>
      <c r="AE185" s="65"/>
      <c r="AF185" s="65"/>
      <c r="AG185" s="65"/>
      <c r="AH185" s="38"/>
      <c r="AI185" s="38"/>
    </row>
    <row r="186">
      <c r="A186" s="38">
        <v>74.0</v>
      </c>
      <c r="B186" s="38" t="s">
        <v>49</v>
      </c>
      <c r="C186" s="38"/>
      <c r="D186" s="38" t="s">
        <v>55</v>
      </c>
      <c r="E186" s="38" t="s">
        <v>243</v>
      </c>
      <c r="F186" s="41" t="s">
        <v>244</v>
      </c>
      <c r="G186" s="43"/>
      <c r="H186" s="45"/>
      <c r="I186" s="38"/>
      <c r="J186" s="38">
        <f>4.4*1000</f>
        <v>4400</v>
      </c>
      <c r="K186" s="46">
        <v>0.0422800925925926</v>
      </c>
      <c r="L186" s="47" t="s">
        <v>211</v>
      </c>
      <c r="M186" s="46"/>
      <c r="N186" s="46"/>
      <c r="O186" s="38"/>
      <c r="P186" s="49">
        <v>43003.0</v>
      </c>
      <c r="Q186" s="12" t="str">
        <f t="shared" ref="Q186:Q296" si="24">HYPERLINK(IF(INT(A186)-A186=0,"",REPLACE(INDIRECT("MasterList!e"&amp;INT(A186)+1),25,8,"embed/")&amp;"?start="&amp;HOUR(M186)*3600+MINUTE(M186)*60+SECOND(M186)&amp;"&amp;end="&amp;HOUR(N186)*3600+MINUTE(N186)*60+SECOND(N186)&amp;"&amp;autoplay=1"))</f>
        <v/>
      </c>
      <c r="R186" s="50" t="s">
        <v>61</v>
      </c>
      <c r="S186" s="50" t="s">
        <v>249</v>
      </c>
      <c r="T186" s="50" t="s">
        <v>61</v>
      </c>
      <c r="U186" s="53"/>
      <c r="V186" s="54"/>
      <c r="W186" s="56" t="s">
        <v>62</v>
      </c>
      <c r="X186" s="57"/>
      <c r="Y186" s="38"/>
      <c r="Z186" s="38"/>
    </row>
    <row r="187">
      <c r="A187" s="100">
        <v>74.01</v>
      </c>
      <c r="B187" s="38" t="s">
        <v>49</v>
      </c>
      <c r="C187" s="38"/>
      <c r="D187" s="38" t="s">
        <v>55</v>
      </c>
      <c r="E187" s="38"/>
      <c r="F187" s="41"/>
      <c r="G187" s="62" t="s">
        <v>2180</v>
      </c>
      <c r="H187" s="45"/>
      <c r="I187" s="38"/>
      <c r="J187" s="38"/>
      <c r="K187" s="46"/>
      <c r="L187" s="47"/>
      <c r="M187" s="46">
        <v>0.004398148148148148</v>
      </c>
      <c r="N187" s="46">
        <v>0.00474537037037037</v>
      </c>
      <c r="O187" s="60">
        <f t="shared" ref="O187:O197" si="25">N187-M187</f>
        <v>0.0003472222222</v>
      </c>
      <c r="P187" s="49">
        <v>43003.0</v>
      </c>
      <c r="Q187" s="61" t="str">
        <f t="shared" si="24"/>
        <v>https://www.youtube.com/embed/YFmL65VsWdk?start=380&amp;end=410&amp;autoplay=1</v>
      </c>
      <c r="R187" s="50" t="s">
        <v>61</v>
      </c>
      <c r="S187" s="50" t="s">
        <v>252</v>
      </c>
      <c r="T187" s="50" t="s">
        <v>61</v>
      </c>
      <c r="U187" s="53"/>
      <c r="V187" s="54"/>
      <c r="W187" s="56" t="s">
        <v>76</v>
      </c>
      <c r="X187" s="57"/>
      <c r="Y187" s="38"/>
      <c r="Z187" s="38"/>
    </row>
    <row r="188">
      <c r="A188" s="100">
        <v>74.02</v>
      </c>
      <c r="B188" s="38" t="s">
        <v>49</v>
      </c>
      <c r="C188" s="38"/>
      <c r="D188" s="38" t="s">
        <v>55</v>
      </c>
      <c r="E188" s="38"/>
      <c r="F188" s="41"/>
      <c r="G188" s="43" t="s">
        <v>255</v>
      </c>
      <c r="H188" s="45" t="s">
        <v>256</v>
      </c>
      <c r="I188" s="38"/>
      <c r="J188" s="38"/>
      <c r="K188" s="46"/>
      <c r="L188" s="47"/>
      <c r="M188" s="46">
        <v>0.004780092592592592</v>
      </c>
      <c r="N188" s="46">
        <v>0.005486111111111112</v>
      </c>
      <c r="O188" s="60">
        <f t="shared" si="25"/>
        <v>0.0007060185185</v>
      </c>
      <c r="P188" s="49">
        <v>43003.0</v>
      </c>
      <c r="Q188" s="61" t="str">
        <f t="shared" si="24"/>
        <v>https://www.youtube.com/embed/YFmL65VsWdk?start=413&amp;end=474&amp;autoplay=1</v>
      </c>
      <c r="R188" s="50" t="s">
        <v>61</v>
      </c>
      <c r="S188" s="50" t="s">
        <v>252</v>
      </c>
      <c r="T188" s="50" t="s">
        <v>61</v>
      </c>
      <c r="U188" s="53"/>
      <c r="V188" s="54"/>
      <c r="W188" s="56" t="s">
        <v>76</v>
      </c>
      <c r="X188" s="57"/>
      <c r="Y188" s="38"/>
      <c r="Z188" s="38"/>
    </row>
    <row r="189">
      <c r="A189" s="100">
        <v>74.03</v>
      </c>
      <c r="B189" s="38" t="s">
        <v>49</v>
      </c>
      <c r="C189" s="38"/>
      <c r="D189" s="38" t="s">
        <v>55</v>
      </c>
      <c r="E189" s="38"/>
      <c r="F189" s="41"/>
      <c r="G189" s="43" t="s">
        <v>257</v>
      </c>
      <c r="H189" s="45"/>
      <c r="I189" s="38"/>
      <c r="J189" s="38"/>
      <c r="K189" s="46"/>
      <c r="L189" s="47"/>
      <c r="M189" s="46">
        <v>0.007106481481481481</v>
      </c>
      <c r="N189" s="46">
        <v>0.00925925925925926</v>
      </c>
      <c r="O189" s="60">
        <f t="shared" si="25"/>
        <v>0.002152777778</v>
      </c>
      <c r="P189" s="49">
        <v>43003.0</v>
      </c>
      <c r="Q189" s="61" t="str">
        <f t="shared" si="24"/>
        <v>https://www.youtube.com/embed/YFmL65VsWdk?start=614&amp;end=800&amp;autoplay=1</v>
      </c>
      <c r="R189" s="50" t="s">
        <v>61</v>
      </c>
      <c r="S189" s="50" t="s">
        <v>252</v>
      </c>
      <c r="T189" s="50" t="s">
        <v>61</v>
      </c>
      <c r="U189" s="53"/>
      <c r="V189" s="54"/>
      <c r="W189" s="56" t="s">
        <v>76</v>
      </c>
      <c r="X189" s="57"/>
      <c r="Y189" s="38"/>
      <c r="Z189" s="38"/>
    </row>
    <row r="190">
      <c r="A190" s="100">
        <v>74.04</v>
      </c>
      <c r="B190" s="38" t="s">
        <v>49</v>
      </c>
      <c r="C190" s="38"/>
      <c r="D190" s="38" t="s">
        <v>55</v>
      </c>
      <c r="E190" s="38"/>
      <c r="F190" s="41"/>
      <c r="G190" s="43" t="s">
        <v>263</v>
      </c>
      <c r="H190" s="45" t="s">
        <v>264</v>
      </c>
      <c r="I190" s="38"/>
      <c r="J190" s="38"/>
      <c r="K190" s="46"/>
      <c r="L190" s="47"/>
      <c r="M190" s="46">
        <v>0.009270833333333334</v>
      </c>
      <c r="N190" s="46">
        <v>0.01099537037037037</v>
      </c>
      <c r="O190" s="60">
        <f t="shared" si="25"/>
        <v>0.001724537037</v>
      </c>
      <c r="P190" s="49">
        <v>43003.0</v>
      </c>
      <c r="Q190" s="61" t="str">
        <f t="shared" si="24"/>
        <v>https://www.youtube.com/embed/YFmL65VsWdk?start=801&amp;end=950&amp;autoplay=1</v>
      </c>
      <c r="R190" s="50" t="s">
        <v>61</v>
      </c>
      <c r="S190" s="50" t="s">
        <v>252</v>
      </c>
      <c r="T190" s="50" t="s">
        <v>61</v>
      </c>
      <c r="U190" s="53"/>
      <c r="V190" s="54"/>
      <c r="W190" s="56" t="s">
        <v>76</v>
      </c>
      <c r="X190" s="57"/>
      <c r="Y190" s="38"/>
      <c r="Z190" s="38"/>
    </row>
    <row r="191">
      <c r="A191" s="100">
        <v>74.05</v>
      </c>
      <c r="B191" s="38" t="s">
        <v>49</v>
      </c>
      <c r="C191" s="38"/>
      <c r="D191" s="38" t="s">
        <v>55</v>
      </c>
      <c r="E191" s="38"/>
      <c r="F191" s="41"/>
      <c r="G191" s="43" t="s">
        <v>267</v>
      </c>
      <c r="H191" s="45"/>
      <c r="I191" s="38"/>
      <c r="J191" s="38"/>
      <c r="K191" s="46"/>
      <c r="L191" s="47"/>
      <c r="M191" s="46">
        <v>0.009895833333333333</v>
      </c>
      <c r="N191" s="46">
        <v>0.010416666666666666</v>
      </c>
      <c r="O191" s="60">
        <f t="shared" si="25"/>
        <v>0.0005208333333</v>
      </c>
      <c r="P191" s="49">
        <v>43003.0</v>
      </c>
      <c r="Q191" s="61" t="str">
        <f t="shared" si="24"/>
        <v>https://www.youtube.com/embed/YFmL65VsWdk?start=855&amp;end=900&amp;autoplay=1</v>
      </c>
      <c r="R191" s="50" t="s">
        <v>61</v>
      </c>
      <c r="S191" s="50" t="s">
        <v>252</v>
      </c>
      <c r="T191" s="50" t="s">
        <v>61</v>
      </c>
      <c r="U191" s="53"/>
      <c r="V191" s="54"/>
      <c r="W191" s="56" t="s">
        <v>76</v>
      </c>
      <c r="X191" s="57"/>
      <c r="Y191" s="38"/>
      <c r="Z191" s="38"/>
    </row>
    <row r="192">
      <c r="A192" s="100">
        <v>74.06</v>
      </c>
      <c r="B192" s="38" t="s">
        <v>49</v>
      </c>
      <c r="C192" s="38"/>
      <c r="D192" s="38" t="s">
        <v>55</v>
      </c>
      <c r="E192" s="38"/>
      <c r="F192" s="41"/>
      <c r="G192" s="43" t="s">
        <v>271</v>
      </c>
      <c r="H192" s="45"/>
      <c r="I192" s="38"/>
      <c r="J192" s="38"/>
      <c r="K192" s="46"/>
      <c r="L192" s="47"/>
      <c r="M192" s="46">
        <v>0.010474537037037037</v>
      </c>
      <c r="N192" s="46">
        <v>0.01099537037037037</v>
      </c>
      <c r="O192" s="60">
        <f t="shared" si="25"/>
        <v>0.0005208333333</v>
      </c>
      <c r="P192" s="49">
        <v>43003.0</v>
      </c>
      <c r="Q192" s="61" t="str">
        <f t="shared" si="24"/>
        <v>https://www.youtube.com/embed/YFmL65VsWdk?start=905&amp;end=950&amp;autoplay=1</v>
      </c>
      <c r="R192" s="50" t="s">
        <v>61</v>
      </c>
      <c r="S192" s="50" t="s">
        <v>252</v>
      </c>
      <c r="T192" s="50" t="s">
        <v>61</v>
      </c>
      <c r="U192" s="53"/>
      <c r="V192" s="54"/>
      <c r="W192" s="56" t="s">
        <v>76</v>
      </c>
      <c r="X192" s="57"/>
      <c r="Y192" s="38"/>
      <c r="Z192" s="38"/>
    </row>
    <row r="193">
      <c r="A193" s="100">
        <v>74.07</v>
      </c>
      <c r="B193" s="38" t="s">
        <v>49</v>
      </c>
      <c r="C193" s="38"/>
      <c r="D193" s="38" t="s">
        <v>55</v>
      </c>
      <c r="E193" s="38"/>
      <c r="F193" s="41"/>
      <c r="G193" s="43" t="s">
        <v>275</v>
      </c>
      <c r="H193" s="45"/>
      <c r="I193" s="38"/>
      <c r="J193" s="38"/>
      <c r="K193" s="46"/>
      <c r="L193" s="47"/>
      <c r="M193" s="46">
        <v>0.011168981481481481</v>
      </c>
      <c r="N193" s="46">
        <v>0.012430555555555554</v>
      </c>
      <c r="O193" s="60">
        <f t="shared" si="25"/>
        <v>0.001261574074</v>
      </c>
      <c r="P193" s="49">
        <v>43003.0</v>
      </c>
      <c r="Q193" s="61" t="str">
        <f t="shared" si="24"/>
        <v>https://www.youtube.com/embed/YFmL65VsWdk?start=965&amp;end=1074&amp;autoplay=1</v>
      </c>
      <c r="R193" s="50" t="s">
        <v>61</v>
      </c>
      <c r="S193" s="50" t="s">
        <v>252</v>
      </c>
      <c r="T193" s="50" t="s">
        <v>61</v>
      </c>
      <c r="U193" s="53"/>
      <c r="V193" s="54"/>
      <c r="W193" s="56" t="s">
        <v>76</v>
      </c>
      <c r="X193" s="57"/>
      <c r="Y193" s="38"/>
      <c r="Z193" s="38"/>
    </row>
    <row r="194">
      <c r="A194" s="100">
        <v>74.0799999999999</v>
      </c>
      <c r="B194" s="38" t="s">
        <v>49</v>
      </c>
      <c r="C194" s="38"/>
      <c r="D194" s="38" t="s">
        <v>55</v>
      </c>
      <c r="E194" s="38"/>
      <c r="F194" s="41"/>
      <c r="G194" s="43" t="s">
        <v>280</v>
      </c>
      <c r="H194" s="45"/>
      <c r="I194" s="38"/>
      <c r="J194" s="38"/>
      <c r="K194" s="46"/>
      <c r="L194" s="47"/>
      <c r="M194" s="46">
        <v>0.018229166666666668</v>
      </c>
      <c r="N194" s="46">
        <v>0.022222222222222223</v>
      </c>
      <c r="O194" s="60">
        <f t="shared" si="25"/>
        <v>0.003993055556</v>
      </c>
      <c r="P194" s="49">
        <v>43003.0</v>
      </c>
      <c r="Q194" s="61" t="str">
        <f t="shared" si="24"/>
        <v>https://www.youtube.com/embed/YFmL65VsWdk?start=1575&amp;end=1920&amp;autoplay=1</v>
      </c>
      <c r="R194" s="50" t="s">
        <v>61</v>
      </c>
      <c r="S194" s="50" t="s">
        <v>252</v>
      </c>
      <c r="T194" s="50" t="s">
        <v>61</v>
      </c>
      <c r="U194" s="53"/>
      <c r="V194" s="54"/>
      <c r="W194" s="56" t="s">
        <v>76</v>
      </c>
      <c r="X194" s="57"/>
      <c r="Y194" s="38"/>
      <c r="Z194" s="38"/>
    </row>
    <row r="195">
      <c r="A195" s="100">
        <v>74.0899999999999</v>
      </c>
      <c r="B195" s="38" t="s">
        <v>49</v>
      </c>
      <c r="C195" s="38"/>
      <c r="D195" s="38" t="s">
        <v>55</v>
      </c>
      <c r="E195" s="38"/>
      <c r="F195" s="41"/>
      <c r="G195" s="43" t="s">
        <v>284</v>
      </c>
      <c r="H195" s="45"/>
      <c r="I195" s="38"/>
      <c r="J195" s="38"/>
      <c r="K195" s="46"/>
      <c r="L195" s="47"/>
      <c r="M195" s="46">
        <v>0.0203125</v>
      </c>
      <c r="N195" s="46">
        <v>0.021597222222222223</v>
      </c>
      <c r="O195" s="60">
        <f t="shared" si="25"/>
        <v>0.001284722222</v>
      </c>
      <c r="P195" s="49">
        <v>43003.0</v>
      </c>
      <c r="Q195" s="61" t="str">
        <f t="shared" si="24"/>
        <v>https://www.youtube.com/embed/YFmL65VsWdk?start=1755&amp;end=1866&amp;autoplay=1</v>
      </c>
      <c r="R195" s="50" t="s">
        <v>61</v>
      </c>
      <c r="S195" s="50" t="s">
        <v>252</v>
      </c>
      <c r="T195" s="50" t="s">
        <v>61</v>
      </c>
      <c r="U195" s="53"/>
      <c r="V195" s="54"/>
      <c r="W195" s="56" t="s">
        <v>76</v>
      </c>
      <c r="X195" s="57"/>
      <c r="Y195" s="38"/>
      <c r="Z195" s="38"/>
    </row>
    <row r="196">
      <c r="A196" s="100">
        <v>74.0999999999999</v>
      </c>
      <c r="B196" s="38" t="s">
        <v>49</v>
      </c>
      <c r="C196" s="38"/>
      <c r="D196" s="38" t="s">
        <v>55</v>
      </c>
      <c r="E196" s="38"/>
      <c r="F196" s="41"/>
      <c r="G196" s="43" t="s">
        <v>289</v>
      </c>
      <c r="H196" s="45"/>
      <c r="I196" s="38"/>
      <c r="J196" s="38"/>
      <c r="K196" s="46"/>
      <c r="L196" s="47"/>
      <c r="M196" s="46">
        <v>0.02415509259259259</v>
      </c>
      <c r="N196" s="46">
        <v>0.025543981481481483</v>
      </c>
      <c r="O196" s="60">
        <f t="shared" si="25"/>
        <v>0.001388888889</v>
      </c>
      <c r="P196" s="49">
        <v>43003.0</v>
      </c>
      <c r="Q196" s="61" t="str">
        <f t="shared" si="24"/>
        <v>https://www.youtube.com/embed/YFmL65VsWdk?start=2087&amp;end=2207&amp;autoplay=1</v>
      </c>
      <c r="R196" s="50" t="s">
        <v>61</v>
      </c>
      <c r="S196" s="50" t="s">
        <v>252</v>
      </c>
      <c r="T196" s="50" t="s">
        <v>61</v>
      </c>
      <c r="U196" s="53"/>
      <c r="V196" s="54"/>
      <c r="W196" s="56" t="s">
        <v>76</v>
      </c>
      <c r="X196" s="57"/>
      <c r="Y196" s="38"/>
      <c r="Z196" s="38"/>
    </row>
    <row r="197">
      <c r="A197" s="100">
        <v>74.1099999999999</v>
      </c>
      <c r="B197" s="38" t="s">
        <v>49</v>
      </c>
      <c r="C197" s="38"/>
      <c r="D197" s="38" t="s">
        <v>55</v>
      </c>
      <c r="E197" s="38"/>
      <c r="F197" s="38"/>
      <c r="G197" s="38" t="s">
        <v>292</v>
      </c>
      <c r="H197" s="12" t="s">
        <v>293</v>
      </c>
      <c r="I197" s="38"/>
      <c r="J197" s="38"/>
      <c r="K197" s="46"/>
      <c r="L197" s="47"/>
      <c r="M197" s="46">
        <v>0.02922453703703704</v>
      </c>
      <c r="N197" s="46">
        <v>0.032407407407407406</v>
      </c>
      <c r="O197" s="60">
        <f t="shared" si="25"/>
        <v>0.00318287037</v>
      </c>
      <c r="P197" s="49">
        <v>43003.0</v>
      </c>
      <c r="Q197" s="61" t="str">
        <f t="shared" si="24"/>
        <v>https://www.youtube.com/embed/YFmL65VsWdk?start=2525&amp;end=2800&amp;autoplay=1</v>
      </c>
      <c r="R197" s="50" t="s">
        <v>61</v>
      </c>
      <c r="S197" s="50" t="s">
        <v>252</v>
      </c>
      <c r="T197" s="50" t="s">
        <v>61</v>
      </c>
      <c r="U197" s="53"/>
      <c r="V197" s="54"/>
      <c r="W197" s="56" t="s">
        <v>76</v>
      </c>
      <c r="X197" s="57"/>
      <c r="Y197" s="38"/>
      <c r="Z197" s="38"/>
    </row>
    <row r="198">
      <c r="A198" s="38">
        <v>75.0</v>
      </c>
      <c r="B198" s="38"/>
      <c r="C198" s="38"/>
      <c r="D198" s="38"/>
      <c r="E198" s="38" t="s">
        <v>476</v>
      </c>
      <c r="F198" s="41" t="s">
        <v>477</v>
      </c>
      <c r="G198" s="43"/>
      <c r="H198" s="45"/>
      <c r="I198" s="38"/>
      <c r="J198" s="38">
        <f>7.3*1000</f>
        <v>7300</v>
      </c>
      <c r="K198" s="46">
        <v>0.048854166666666664</v>
      </c>
      <c r="L198" s="47" t="s">
        <v>211</v>
      </c>
      <c r="M198" s="46"/>
      <c r="N198" s="46"/>
      <c r="O198" s="38"/>
      <c r="P198" s="38"/>
      <c r="Q198" s="12" t="str">
        <f t="shared" si="24"/>
        <v/>
      </c>
      <c r="R198" s="50"/>
      <c r="S198" s="50"/>
      <c r="T198" s="50"/>
      <c r="U198" s="53"/>
      <c r="V198" s="54"/>
      <c r="W198" s="56"/>
      <c r="X198" s="57"/>
      <c r="Y198" s="38"/>
      <c r="Z198" s="38"/>
    </row>
    <row r="199">
      <c r="A199" s="38">
        <v>76.0</v>
      </c>
      <c r="B199" s="38"/>
      <c r="C199" s="38"/>
      <c r="D199" s="38"/>
      <c r="E199" s="38" t="s">
        <v>480</v>
      </c>
      <c r="F199" s="41" t="s">
        <v>481</v>
      </c>
      <c r="G199" s="43"/>
      <c r="H199" s="45"/>
      <c r="I199" s="38"/>
      <c r="J199" s="38">
        <f>7.9*1000</f>
        <v>7900</v>
      </c>
      <c r="K199" s="46">
        <v>0.02476851851851852</v>
      </c>
      <c r="L199" s="47" t="s">
        <v>211</v>
      </c>
      <c r="M199" s="46"/>
      <c r="N199" s="46"/>
      <c r="O199" s="38"/>
      <c r="P199" s="38"/>
      <c r="Q199" s="12" t="str">
        <f t="shared" si="24"/>
        <v/>
      </c>
      <c r="R199" s="50"/>
      <c r="S199" s="50"/>
      <c r="T199" s="50"/>
      <c r="U199" s="53"/>
      <c r="V199" s="54"/>
      <c r="W199" s="56"/>
      <c r="X199" s="57"/>
      <c r="Y199" s="38"/>
      <c r="Z199" s="38"/>
    </row>
    <row r="200">
      <c r="A200" s="38">
        <v>77.0</v>
      </c>
      <c r="B200" s="38"/>
      <c r="C200" s="38"/>
      <c r="D200" s="38"/>
      <c r="E200" s="38" t="s">
        <v>482</v>
      </c>
      <c r="F200" s="41" t="s">
        <v>483</v>
      </c>
      <c r="G200" s="43"/>
      <c r="H200" s="45"/>
      <c r="I200" s="38"/>
      <c r="J200" s="38">
        <f>11*1000</f>
        <v>11000</v>
      </c>
      <c r="K200" s="46">
        <v>0.0375462962962963</v>
      </c>
      <c r="L200" s="47" t="s">
        <v>211</v>
      </c>
      <c r="M200" s="46"/>
      <c r="N200" s="46"/>
      <c r="O200" s="38"/>
      <c r="P200" s="38"/>
      <c r="Q200" s="12" t="str">
        <f t="shared" si="24"/>
        <v/>
      </c>
      <c r="R200" s="50"/>
      <c r="S200" s="50"/>
      <c r="T200" s="50"/>
      <c r="U200" s="53"/>
      <c r="V200" s="54"/>
      <c r="W200" s="56"/>
      <c r="X200" s="57"/>
      <c r="Y200" s="38"/>
      <c r="Z200" s="38"/>
    </row>
    <row r="201">
      <c r="A201" s="38">
        <v>78.0</v>
      </c>
      <c r="B201" s="38"/>
      <c r="C201" s="38"/>
      <c r="D201" s="38"/>
      <c r="E201" s="38" t="s">
        <v>484</v>
      </c>
      <c r="F201" s="41" t="s">
        <v>486</v>
      </c>
      <c r="G201" s="43"/>
      <c r="H201" s="45"/>
      <c r="I201" s="38"/>
      <c r="J201" s="38">
        <f>6.6*1000</f>
        <v>6600</v>
      </c>
      <c r="K201" s="46">
        <v>0.024131944444444445</v>
      </c>
      <c r="L201" s="47" t="s">
        <v>211</v>
      </c>
      <c r="M201" s="46"/>
      <c r="N201" s="46"/>
      <c r="O201" s="38"/>
      <c r="P201" s="38"/>
      <c r="Q201" s="12" t="str">
        <f t="shared" si="24"/>
        <v/>
      </c>
      <c r="R201" s="50"/>
      <c r="S201" s="50"/>
      <c r="T201" s="50"/>
      <c r="U201" s="53"/>
      <c r="V201" s="54"/>
      <c r="W201" s="56"/>
      <c r="X201" s="57"/>
      <c r="Y201" s="38"/>
      <c r="Z201" s="38"/>
    </row>
    <row r="202">
      <c r="A202" s="38">
        <v>79.0</v>
      </c>
      <c r="B202" s="39" t="s">
        <v>49</v>
      </c>
      <c r="C202" s="38"/>
      <c r="D202" s="39" t="s">
        <v>55</v>
      </c>
      <c r="E202" s="38" t="s">
        <v>478</v>
      </c>
      <c r="F202" s="41" t="s">
        <v>479</v>
      </c>
      <c r="G202" s="43"/>
      <c r="H202" s="45"/>
      <c r="I202" s="38"/>
      <c r="J202" s="38">
        <f>5.8*1000</f>
        <v>5800</v>
      </c>
      <c r="K202" s="46">
        <v>0.03253472222222222</v>
      </c>
      <c r="L202" s="47" t="s">
        <v>211</v>
      </c>
      <c r="M202" s="46"/>
      <c r="N202" s="46"/>
      <c r="O202" s="38"/>
      <c r="P202" s="114">
        <v>43009.0</v>
      </c>
      <c r="Q202" s="12" t="str">
        <f t="shared" si="24"/>
        <v/>
      </c>
      <c r="R202" s="50"/>
      <c r="S202" s="50"/>
      <c r="T202" s="50"/>
      <c r="U202" s="53"/>
      <c r="V202" s="54"/>
      <c r="W202" s="56"/>
      <c r="X202" s="57"/>
      <c r="Y202" s="38"/>
      <c r="Z202" s="38"/>
    </row>
    <row r="203">
      <c r="A203" s="112">
        <v>79.01</v>
      </c>
      <c r="B203" s="39" t="s">
        <v>49</v>
      </c>
      <c r="C203" s="38"/>
      <c r="D203" s="39" t="s">
        <v>55</v>
      </c>
      <c r="E203" s="113"/>
      <c r="F203" s="113"/>
      <c r="G203" s="112" t="s">
        <v>485</v>
      </c>
      <c r="H203" s="113"/>
      <c r="I203" s="113"/>
      <c r="J203" s="113"/>
      <c r="K203" s="46"/>
      <c r="L203" s="113"/>
      <c r="M203" s="46">
        <v>0.013819444444444445</v>
      </c>
      <c r="N203" s="46">
        <v>0.014953703703703703</v>
      </c>
      <c r="O203" s="60">
        <f>N203-M203</f>
        <v>0.001134259259</v>
      </c>
      <c r="P203" s="114">
        <v>43009.0</v>
      </c>
      <c r="Q203" s="61" t="str">
        <f t="shared" si="24"/>
        <v>https://www.youtube.com/embed/uDANJcQm-So?start=1194&amp;end=1292&amp;autoplay=1</v>
      </c>
      <c r="R203" s="115"/>
      <c r="S203" s="115"/>
      <c r="T203" s="115"/>
      <c r="U203" s="116"/>
      <c r="V203" s="117"/>
      <c r="W203" s="118"/>
      <c r="X203" s="119"/>
      <c r="Y203" s="113"/>
      <c r="Z203" s="113"/>
    </row>
    <row r="204">
      <c r="A204" s="38">
        <v>80.0</v>
      </c>
      <c r="B204" s="38"/>
      <c r="C204" s="38"/>
      <c r="D204" s="38"/>
      <c r="E204" s="38" t="s">
        <v>493</v>
      </c>
      <c r="F204" s="41" t="s">
        <v>494</v>
      </c>
      <c r="G204" s="43"/>
      <c r="H204" s="45"/>
      <c r="I204" s="38"/>
      <c r="J204" s="38">
        <f>4.5*1000</f>
        <v>4500</v>
      </c>
      <c r="K204" s="46">
        <v>0.009895833333333333</v>
      </c>
      <c r="L204" s="47" t="s">
        <v>211</v>
      </c>
      <c r="M204" s="46"/>
      <c r="N204" s="46"/>
      <c r="O204" s="38"/>
      <c r="P204" s="38"/>
      <c r="Q204" s="12" t="str">
        <f t="shared" si="24"/>
        <v/>
      </c>
      <c r="R204" s="50"/>
      <c r="S204" s="50"/>
      <c r="T204" s="50"/>
      <c r="U204" s="53"/>
      <c r="V204" s="54"/>
      <c r="W204" s="56"/>
      <c r="X204" s="57"/>
      <c r="Y204" s="38"/>
      <c r="Z204" s="38"/>
    </row>
    <row r="205">
      <c r="A205" s="38">
        <v>81.0</v>
      </c>
      <c r="B205" s="38"/>
      <c r="C205" s="38"/>
      <c r="D205" s="38"/>
      <c r="E205" s="38" t="s">
        <v>497</v>
      </c>
      <c r="F205" s="41" t="s">
        <v>498</v>
      </c>
      <c r="G205" s="43"/>
      <c r="H205" s="45"/>
      <c r="I205" s="38"/>
      <c r="J205" s="38">
        <f>2*1000</f>
        <v>2000</v>
      </c>
      <c r="K205" s="46">
        <v>0.002789351851851852</v>
      </c>
      <c r="L205" s="47" t="s">
        <v>211</v>
      </c>
      <c r="M205" s="46"/>
      <c r="N205" s="46"/>
      <c r="O205" s="38"/>
      <c r="P205" s="38"/>
      <c r="Q205" s="12" t="str">
        <f t="shared" si="24"/>
        <v/>
      </c>
      <c r="R205" s="50"/>
      <c r="S205" s="50"/>
      <c r="T205" s="50"/>
      <c r="U205" s="53"/>
      <c r="V205" s="54"/>
      <c r="W205" s="56"/>
      <c r="X205" s="57"/>
      <c r="Y205" s="38"/>
      <c r="Z205" s="38"/>
    </row>
    <row r="206">
      <c r="A206" s="38">
        <v>82.0</v>
      </c>
      <c r="B206" s="38"/>
      <c r="C206" s="38"/>
      <c r="D206" s="38"/>
      <c r="E206" s="38" t="s">
        <v>504</v>
      </c>
      <c r="F206" s="41" t="s">
        <v>505</v>
      </c>
      <c r="G206" s="43"/>
      <c r="H206" s="45"/>
      <c r="I206" s="38"/>
      <c r="J206" s="38">
        <f>3.7*1000</f>
        <v>3700</v>
      </c>
      <c r="K206" s="46">
        <v>0.011875000000000002</v>
      </c>
      <c r="L206" s="47" t="s">
        <v>211</v>
      </c>
      <c r="M206" s="46"/>
      <c r="N206" s="46"/>
      <c r="O206" s="38"/>
      <c r="P206" s="38"/>
      <c r="Q206" s="12" t="str">
        <f t="shared" si="24"/>
        <v/>
      </c>
      <c r="R206" s="50"/>
      <c r="S206" s="50"/>
      <c r="T206" s="50"/>
      <c r="U206" s="53"/>
      <c r="V206" s="54"/>
      <c r="W206" s="56"/>
      <c r="X206" s="57"/>
      <c r="Y206" s="38"/>
      <c r="Z206" s="38"/>
    </row>
    <row r="207">
      <c r="A207" s="38">
        <v>83.0</v>
      </c>
      <c r="B207" s="38"/>
      <c r="C207" s="38"/>
      <c r="D207" s="38"/>
      <c r="E207" s="38" t="s">
        <v>510</v>
      </c>
      <c r="F207" s="41" t="s">
        <v>511</v>
      </c>
      <c r="G207" s="43"/>
      <c r="H207" s="45"/>
      <c r="I207" s="38"/>
      <c r="J207" s="38">
        <f>965</f>
        <v>965</v>
      </c>
      <c r="K207" s="46">
        <v>0.0016087962962962963</v>
      </c>
      <c r="L207" s="47" t="s">
        <v>211</v>
      </c>
      <c r="M207" s="46"/>
      <c r="N207" s="46"/>
      <c r="O207" s="38"/>
      <c r="P207" s="38"/>
      <c r="Q207" s="12" t="str">
        <f t="shared" si="24"/>
        <v/>
      </c>
      <c r="R207" s="50"/>
      <c r="S207" s="50"/>
      <c r="T207" s="50"/>
      <c r="U207" s="53"/>
      <c r="V207" s="54"/>
      <c r="W207" s="56"/>
      <c r="X207" s="57"/>
      <c r="Y207" s="38"/>
      <c r="Z207" s="38"/>
    </row>
    <row r="208">
      <c r="A208" s="38">
        <v>84.0</v>
      </c>
      <c r="B208" s="38"/>
      <c r="C208" s="38"/>
      <c r="D208" s="38"/>
      <c r="E208" s="38" t="s">
        <v>519</v>
      </c>
      <c r="F208" s="41" t="s">
        <v>520</v>
      </c>
      <c r="G208" s="43"/>
      <c r="H208" s="45"/>
      <c r="I208" s="38"/>
      <c r="J208" s="38">
        <f>3.9*1000</f>
        <v>3900</v>
      </c>
      <c r="K208" s="46">
        <v>0.04215277777777778</v>
      </c>
      <c r="L208" s="47" t="s">
        <v>211</v>
      </c>
      <c r="M208" s="46"/>
      <c r="N208" s="46"/>
      <c r="O208" s="38"/>
      <c r="P208" s="38"/>
      <c r="Q208" s="12" t="str">
        <f t="shared" si="24"/>
        <v/>
      </c>
      <c r="R208" s="50"/>
      <c r="S208" s="50"/>
      <c r="T208" s="50"/>
      <c r="U208" s="53"/>
      <c r="V208" s="54"/>
      <c r="W208" s="56"/>
      <c r="X208" s="57"/>
      <c r="Y208" s="38"/>
      <c r="Z208" s="38"/>
    </row>
    <row r="209">
      <c r="A209" s="38">
        <v>85.0</v>
      </c>
      <c r="B209" s="38"/>
      <c r="C209" s="38"/>
      <c r="D209" s="38"/>
      <c r="E209" s="38" t="s">
        <v>525</v>
      </c>
      <c r="F209" s="41" t="s">
        <v>527</v>
      </c>
      <c r="G209" s="43"/>
      <c r="H209" s="45"/>
      <c r="I209" s="38"/>
      <c r="J209" s="38">
        <f>3.5*1000</f>
        <v>3500</v>
      </c>
      <c r="K209" s="46">
        <v>0.007094907407407407</v>
      </c>
      <c r="L209" s="47" t="s">
        <v>211</v>
      </c>
      <c r="M209" s="46"/>
      <c r="N209" s="46"/>
      <c r="O209" s="38"/>
      <c r="P209" s="38"/>
      <c r="Q209" s="12" t="str">
        <f t="shared" si="24"/>
        <v/>
      </c>
      <c r="R209" s="50"/>
      <c r="S209" s="50"/>
      <c r="T209" s="50"/>
      <c r="U209" s="53"/>
      <c r="V209" s="54"/>
      <c r="W209" s="56"/>
      <c r="X209" s="57"/>
      <c r="Y209" s="38"/>
      <c r="Z209" s="38"/>
    </row>
    <row r="210">
      <c r="A210" s="38">
        <v>86.0</v>
      </c>
      <c r="B210" s="38"/>
      <c r="C210" s="38"/>
      <c r="D210" s="38"/>
      <c r="E210" s="38" t="s">
        <v>535</v>
      </c>
      <c r="F210" s="41" t="s">
        <v>536</v>
      </c>
      <c r="G210" s="43"/>
      <c r="H210" s="45"/>
      <c r="I210" s="38"/>
      <c r="J210" s="38">
        <f>7.4*1000</f>
        <v>7400</v>
      </c>
      <c r="K210" s="46">
        <v>0.027337962962962963</v>
      </c>
      <c r="L210" s="47" t="s">
        <v>211</v>
      </c>
      <c r="M210" s="46"/>
      <c r="N210" s="46"/>
      <c r="O210" s="38"/>
      <c r="P210" s="38"/>
      <c r="Q210" s="12" t="str">
        <f t="shared" si="24"/>
        <v/>
      </c>
      <c r="R210" s="50"/>
      <c r="S210" s="50"/>
      <c r="T210" s="50"/>
      <c r="U210" s="53"/>
      <c r="V210" s="54"/>
      <c r="W210" s="56"/>
      <c r="X210" s="57"/>
      <c r="Y210" s="38"/>
      <c r="Z210" s="38"/>
    </row>
    <row r="211">
      <c r="A211" s="38">
        <v>87.0</v>
      </c>
      <c r="B211" s="38"/>
      <c r="C211" s="38"/>
      <c r="D211" s="38"/>
      <c r="E211" s="38" t="s">
        <v>542</v>
      </c>
      <c r="F211" s="41" t="s">
        <v>543</v>
      </c>
      <c r="G211" s="43"/>
      <c r="H211" s="45"/>
      <c r="I211" s="38"/>
      <c r="J211" s="38">
        <f>4*1000</f>
        <v>4000</v>
      </c>
      <c r="K211" s="46">
        <v>0.01068287037037037</v>
      </c>
      <c r="L211" s="47" t="s">
        <v>211</v>
      </c>
      <c r="M211" s="46"/>
      <c r="N211" s="46"/>
      <c r="O211" s="38"/>
      <c r="P211" s="38"/>
      <c r="Q211" s="12" t="str">
        <f t="shared" si="24"/>
        <v/>
      </c>
      <c r="R211" s="50"/>
      <c r="S211" s="50"/>
      <c r="T211" s="50"/>
      <c r="U211" s="53"/>
      <c r="V211" s="54"/>
      <c r="W211" s="56"/>
      <c r="X211" s="57"/>
      <c r="Y211" s="38"/>
      <c r="Z211" s="38"/>
    </row>
    <row r="212">
      <c r="A212" s="38">
        <v>88.0</v>
      </c>
      <c r="B212" s="38"/>
      <c r="C212" s="38"/>
      <c r="D212" s="38"/>
      <c r="E212" s="38" t="s">
        <v>549</v>
      </c>
      <c r="F212" s="41" t="s">
        <v>550</v>
      </c>
      <c r="G212" s="43"/>
      <c r="H212" s="45"/>
      <c r="I212" s="38"/>
      <c r="J212" s="38">
        <f>4.1*1000</f>
        <v>4100</v>
      </c>
      <c r="K212" s="46">
        <v>0.018055555555555557</v>
      </c>
      <c r="L212" s="47" t="s">
        <v>211</v>
      </c>
      <c r="M212" s="46"/>
      <c r="N212" s="46"/>
      <c r="O212" s="38"/>
      <c r="P212" s="38"/>
      <c r="Q212" s="12" t="str">
        <f t="shared" si="24"/>
        <v/>
      </c>
      <c r="R212" s="50"/>
      <c r="S212" s="50"/>
      <c r="T212" s="50"/>
      <c r="U212" s="53"/>
      <c r="V212" s="54"/>
      <c r="W212" s="56"/>
      <c r="X212" s="57"/>
      <c r="Y212" s="38"/>
      <c r="Z212" s="38"/>
    </row>
    <row r="213">
      <c r="A213" s="38">
        <v>89.0</v>
      </c>
      <c r="B213" s="39" t="s">
        <v>49</v>
      </c>
      <c r="C213" s="38"/>
      <c r="D213" s="39" t="s">
        <v>55</v>
      </c>
      <c r="E213" s="38" t="s">
        <v>554</v>
      </c>
      <c r="F213" s="41" t="s">
        <v>555</v>
      </c>
      <c r="G213" s="43"/>
      <c r="H213" s="45"/>
      <c r="I213" s="38"/>
      <c r="J213" s="38">
        <f>15*1000</f>
        <v>15000</v>
      </c>
      <c r="K213" s="46">
        <v>0.0402662037037037</v>
      </c>
      <c r="L213" s="47" t="s">
        <v>211</v>
      </c>
      <c r="M213" s="46"/>
      <c r="N213" s="46"/>
      <c r="O213" s="38"/>
      <c r="P213" s="38"/>
      <c r="Q213" s="12" t="str">
        <f t="shared" si="24"/>
        <v/>
      </c>
      <c r="R213" s="50" t="s">
        <v>124</v>
      </c>
      <c r="S213" s="50" t="s">
        <v>62</v>
      </c>
      <c r="T213" s="50" t="s">
        <v>62</v>
      </c>
      <c r="U213" s="53"/>
      <c r="V213" s="54"/>
      <c r="W213" s="56"/>
      <c r="X213" s="57"/>
      <c r="Y213" s="38"/>
      <c r="Z213" s="38" t="s">
        <v>2221</v>
      </c>
    </row>
    <row r="214">
      <c r="A214" s="107">
        <v>89.01</v>
      </c>
      <c r="B214" s="63" t="s">
        <v>49</v>
      </c>
      <c r="C214" s="51"/>
      <c r="D214" s="39" t="s">
        <v>55</v>
      </c>
      <c r="E214" s="38"/>
      <c r="F214" s="41"/>
      <c r="G214" s="62" t="s">
        <v>609</v>
      </c>
      <c r="H214" s="58"/>
      <c r="I214" s="38"/>
      <c r="J214" s="38"/>
      <c r="K214" s="46"/>
      <c r="L214" s="47"/>
      <c r="M214" s="110">
        <v>0.0015046296296296296</v>
      </c>
      <c r="N214" s="111">
        <v>0.007361111111111111</v>
      </c>
      <c r="O214" s="46">
        <f t="shared" ref="O214:O225" si="26">N214-M214</f>
        <v>0.005856481481</v>
      </c>
      <c r="P214" s="89">
        <v>43020.0</v>
      </c>
      <c r="Q214" s="61" t="str">
        <f t="shared" si="24"/>
        <v>https://www.youtube.com/embed/Wrs0XEoFHAM?start=130&amp;end=636&amp;autoplay=1</v>
      </c>
      <c r="R214" s="50"/>
      <c r="S214" s="50"/>
      <c r="T214" s="50"/>
      <c r="U214" s="53"/>
      <c r="V214" s="54"/>
      <c r="W214" s="56"/>
      <c r="X214" s="57"/>
      <c r="Y214" s="38"/>
      <c r="Z214" s="38"/>
    </row>
    <row r="215">
      <c r="A215" s="39">
        <v>89.02</v>
      </c>
      <c r="B215" s="63" t="s">
        <v>49</v>
      </c>
      <c r="C215" s="51"/>
      <c r="D215" s="39" t="s">
        <v>55</v>
      </c>
      <c r="E215" s="38"/>
      <c r="F215" s="41"/>
      <c r="G215" s="62" t="s">
        <v>614</v>
      </c>
      <c r="H215" s="58"/>
      <c r="I215" s="38"/>
      <c r="J215" s="38"/>
      <c r="K215" s="46"/>
      <c r="L215" s="47"/>
      <c r="M215" s="110">
        <v>0.007523148148148148</v>
      </c>
      <c r="N215" s="111">
        <v>0.008703703703703703</v>
      </c>
      <c r="O215" s="46">
        <f t="shared" si="26"/>
        <v>0.001180555556</v>
      </c>
      <c r="P215" s="89">
        <v>43020.0</v>
      </c>
      <c r="Q215" s="61" t="str">
        <f t="shared" si="24"/>
        <v>https://www.youtube.com/embed/Wrs0XEoFHAM?start=650&amp;end=752&amp;autoplay=1</v>
      </c>
      <c r="R215" s="50"/>
      <c r="S215" s="50"/>
      <c r="T215" s="50"/>
      <c r="U215" s="53"/>
      <c r="V215" s="54"/>
      <c r="W215" s="56"/>
      <c r="X215" s="57"/>
      <c r="Y215" s="38"/>
      <c r="Z215" s="38"/>
    </row>
    <row r="216">
      <c r="A216" s="107">
        <v>89.03</v>
      </c>
      <c r="B216" s="63" t="s">
        <v>49</v>
      </c>
      <c r="C216" s="51"/>
      <c r="D216" s="39" t="s">
        <v>55</v>
      </c>
      <c r="E216" s="38"/>
      <c r="F216" s="41"/>
      <c r="G216" s="62" t="s">
        <v>615</v>
      </c>
      <c r="H216" s="58"/>
      <c r="I216" s="38"/>
      <c r="J216" s="38"/>
      <c r="K216" s="46"/>
      <c r="L216" s="47"/>
      <c r="M216" s="110">
        <v>0.009525462962962963</v>
      </c>
      <c r="N216" s="111">
        <v>0.010081018518518519</v>
      </c>
      <c r="O216" s="46">
        <f t="shared" si="26"/>
        <v>0.0005555555556</v>
      </c>
      <c r="P216" s="89">
        <v>43020.0</v>
      </c>
      <c r="Q216" s="61" t="str">
        <f t="shared" si="24"/>
        <v>https://www.youtube.com/embed/Wrs0XEoFHAM?start=823&amp;end=871&amp;autoplay=1</v>
      </c>
      <c r="R216" s="50"/>
      <c r="S216" s="50"/>
      <c r="T216" s="50"/>
      <c r="U216" s="53"/>
      <c r="V216" s="54"/>
      <c r="W216" s="56"/>
      <c r="X216" s="57"/>
      <c r="Y216" s="38"/>
      <c r="Z216" s="38"/>
    </row>
    <row r="217">
      <c r="A217" s="39">
        <v>89.04</v>
      </c>
      <c r="B217" s="63" t="s">
        <v>49</v>
      </c>
      <c r="C217" s="51"/>
      <c r="D217" s="39" t="s">
        <v>55</v>
      </c>
      <c r="E217" s="38"/>
      <c r="F217" s="41"/>
      <c r="G217" s="62" t="s">
        <v>616</v>
      </c>
      <c r="H217" s="58"/>
      <c r="I217" s="38"/>
      <c r="J217" s="38"/>
      <c r="K217" s="46"/>
      <c r="L217" s="47"/>
      <c r="M217" s="110">
        <v>0.01173611111111111</v>
      </c>
      <c r="N217" s="111">
        <v>0.012638888888888889</v>
      </c>
      <c r="O217" s="46">
        <f t="shared" si="26"/>
        <v>0.0009027777778</v>
      </c>
      <c r="P217" s="89">
        <v>43020.0</v>
      </c>
      <c r="Q217" s="61" t="str">
        <f t="shared" si="24"/>
        <v>https://www.youtube.com/embed/Wrs0XEoFHAM?start=1014&amp;end=1092&amp;autoplay=1</v>
      </c>
      <c r="R217" s="50"/>
      <c r="S217" s="50"/>
      <c r="T217" s="50"/>
      <c r="U217" s="53"/>
      <c r="V217" s="54"/>
      <c r="W217" s="56"/>
      <c r="X217" s="57"/>
      <c r="Y217" s="38"/>
      <c r="Z217" s="38"/>
    </row>
    <row r="218">
      <c r="A218" s="107">
        <v>89.05</v>
      </c>
      <c r="B218" s="63" t="s">
        <v>49</v>
      </c>
      <c r="C218" s="51"/>
      <c r="D218" s="39" t="s">
        <v>55</v>
      </c>
      <c r="E218" s="38"/>
      <c r="F218" s="41"/>
      <c r="G218" s="62" t="s">
        <v>617</v>
      </c>
      <c r="H218" s="58"/>
      <c r="I218" s="38"/>
      <c r="J218" s="38"/>
      <c r="K218" s="46"/>
      <c r="L218" s="47"/>
      <c r="M218" s="110">
        <v>0.012847222222222222</v>
      </c>
      <c r="N218" s="111">
        <v>0.01355324074074074</v>
      </c>
      <c r="O218" s="46">
        <f t="shared" si="26"/>
        <v>0.0007060185185</v>
      </c>
      <c r="P218" s="89">
        <v>43020.0</v>
      </c>
      <c r="Q218" s="61" t="str">
        <f t="shared" si="24"/>
        <v>https://www.youtube.com/embed/Wrs0XEoFHAM?start=1110&amp;end=1171&amp;autoplay=1</v>
      </c>
      <c r="R218" s="50"/>
      <c r="S218" s="50"/>
      <c r="T218" s="50"/>
      <c r="U218" s="53"/>
      <c r="V218" s="54"/>
      <c r="W218" s="56"/>
      <c r="X218" s="57"/>
      <c r="Y218" s="38"/>
      <c r="Z218" s="38"/>
    </row>
    <row r="219">
      <c r="A219" s="39">
        <v>89.06</v>
      </c>
      <c r="B219" s="63" t="s">
        <v>49</v>
      </c>
      <c r="C219" s="51"/>
      <c r="D219" s="39" t="s">
        <v>55</v>
      </c>
      <c r="E219" s="38"/>
      <c r="F219" s="41"/>
      <c r="G219" s="62" t="s">
        <v>618</v>
      </c>
      <c r="H219" s="58"/>
      <c r="I219" s="38"/>
      <c r="J219" s="38"/>
      <c r="K219" s="46"/>
      <c r="L219" s="47"/>
      <c r="M219" s="110">
        <v>0.013680555555555555</v>
      </c>
      <c r="N219" s="111">
        <v>0.017847222222222223</v>
      </c>
      <c r="O219" s="46">
        <f t="shared" si="26"/>
        <v>0.004166666667</v>
      </c>
      <c r="P219" s="89">
        <v>43020.0</v>
      </c>
      <c r="Q219" s="61" t="str">
        <f t="shared" si="24"/>
        <v>https://www.youtube.com/embed/Wrs0XEoFHAM?start=1182&amp;end=1542&amp;autoplay=1</v>
      </c>
      <c r="R219" s="50"/>
      <c r="S219" s="50"/>
      <c r="T219" s="50"/>
      <c r="U219" s="53"/>
      <c r="V219" s="54"/>
      <c r="W219" s="56"/>
      <c r="X219" s="57"/>
      <c r="Y219" s="38"/>
      <c r="Z219" s="38"/>
    </row>
    <row r="220">
      <c r="A220" s="107">
        <v>89.07</v>
      </c>
      <c r="B220" s="63" t="s">
        <v>49</v>
      </c>
      <c r="C220" s="51"/>
      <c r="D220" s="39" t="s">
        <v>55</v>
      </c>
      <c r="E220" s="38"/>
      <c r="F220" s="41"/>
      <c r="G220" s="62" t="s">
        <v>622</v>
      </c>
      <c r="H220" s="58"/>
      <c r="I220" s="38"/>
      <c r="J220" s="38"/>
      <c r="K220" s="46"/>
      <c r="L220" s="47"/>
      <c r="M220" s="110">
        <v>0.01840277777777778</v>
      </c>
      <c r="N220" s="111">
        <v>0.01960648148148148</v>
      </c>
      <c r="O220" s="46">
        <f t="shared" si="26"/>
        <v>0.001203703704</v>
      </c>
      <c r="P220" s="89">
        <v>43020.0</v>
      </c>
      <c r="Q220" s="61" t="str">
        <f t="shared" si="24"/>
        <v>https://www.youtube.com/embed/Wrs0XEoFHAM?start=1590&amp;end=1694&amp;autoplay=1</v>
      </c>
      <c r="R220" s="50"/>
      <c r="S220" s="50"/>
      <c r="T220" s="50"/>
      <c r="U220" s="53"/>
      <c r="V220" s="54"/>
      <c r="W220" s="56"/>
      <c r="X220" s="57"/>
      <c r="Y220" s="38"/>
      <c r="Z220" s="38"/>
    </row>
    <row r="221">
      <c r="A221" s="39">
        <v>89.0799999999999</v>
      </c>
      <c r="B221" s="63" t="s">
        <v>49</v>
      </c>
      <c r="C221" s="51"/>
      <c r="D221" s="39" t="s">
        <v>55</v>
      </c>
      <c r="E221" s="38"/>
      <c r="F221" s="41"/>
      <c r="G221" s="62" t="s">
        <v>623</v>
      </c>
      <c r="H221" s="58"/>
      <c r="I221" s="38"/>
      <c r="J221" s="38"/>
      <c r="K221" s="46"/>
      <c r="L221" s="47"/>
      <c r="M221" s="110">
        <v>0.020462962962962964</v>
      </c>
      <c r="N221" s="111">
        <v>0.02141203703703704</v>
      </c>
      <c r="O221" s="46">
        <f t="shared" si="26"/>
        <v>0.0009490740741</v>
      </c>
      <c r="P221" s="89">
        <v>43020.0</v>
      </c>
      <c r="Q221" s="61" t="str">
        <f t="shared" si="24"/>
        <v>https://www.youtube.com/embed/Wrs0XEoFHAM?start=1768&amp;end=1850&amp;autoplay=1</v>
      </c>
      <c r="R221" s="50"/>
      <c r="S221" s="50"/>
      <c r="T221" s="50"/>
      <c r="U221" s="53"/>
      <c r="V221" s="54"/>
      <c r="W221" s="56"/>
      <c r="X221" s="57"/>
      <c r="Y221" s="38"/>
      <c r="Z221" s="38"/>
    </row>
    <row r="222">
      <c r="A222" s="107">
        <v>89.0899999999999</v>
      </c>
      <c r="B222" s="63" t="s">
        <v>49</v>
      </c>
      <c r="C222" s="51"/>
      <c r="D222" s="39" t="s">
        <v>55</v>
      </c>
      <c r="E222" s="38"/>
      <c r="F222" s="41"/>
      <c r="G222" s="62" t="s">
        <v>626</v>
      </c>
      <c r="H222" s="58"/>
      <c r="I222" s="38"/>
      <c r="J222" s="38"/>
      <c r="K222" s="46"/>
      <c r="L222" s="47"/>
      <c r="M222" s="110">
        <v>0.0234375</v>
      </c>
      <c r="N222" s="111">
        <v>0.024305555555555556</v>
      </c>
      <c r="O222" s="46">
        <f t="shared" si="26"/>
        <v>0.0008680555556</v>
      </c>
      <c r="P222" s="89">
        <v>43020.0</v>
      </c>
      <c r="Q222" s="61" t="str">
        <f t="shared" si="24"/>
        <v>https://www.youtube.com/embed/Wrs0XEoFHAM?start=2025&amp;end=2100&amp;autoplay=1</v>
      </c>
      <c r="R222" s="50"/>
      <c r="S222" s="50"/>
      <c r="T222" s="50"/>
      <c r="U222" s="53"/>
      <c r="V222" s="54"/>
      <c r="W222" s="56"/>
      <c r="X222" s="57"/>
      <c r="Y222" s="38"/>
      <c r="Z222" s="38"/>
    </row>
    <row r="223">
      <c r="A223" s="107">
        <v>89.0999999999999</v>
      </c>
      <c r="B223" s="63" t="s">
        <v>49</v>
      </c>
      <c r="C223" s="51"/>
      <c r="D223" s="39" t="s">
        <v>55</v>
      </c>
      <c r="E223" s="38"/>
      <c r="F223" s="41"/>
      <c r="G223" s="62" t="s">
        <v>627</v>
      </c>
      <c r="H223" s="58"/>
      <c r="I223" s="38"/>
      <c r="J223" s="38"/>
      <c r="K223" s="46"/>
      <c r="L223" s="47"/>
      <c r="M223" s="110">
        <v>0.02511574074074074</v>
      </c>
      <c r="N223" s="111">
        <v>0.02621527777777778</v>
      </c>
      <c r="O223" s="46">
        <f t="shared" si="26"/>
        <v>0.001099537037</v>
      </c>
      <c r="P223" s="89">
        <v>43020.0</v>
      </c>
      <c r="Q223" s="61" t="str">
        <f t="shared" si="24"/>
        <v>https://www.youtube.com/embed/Wrs0XEoFHAM?start=2170&amp;end=2265&amp;autoplay=1</v>
      </c>
      <c r="R223" s="50"/>
      <c r="S223" s="50"/>
      <c r="T223" s="50"/>
      <c r="U223" s="53"/>
      <c r="V223" s="54"/>
      <c r="W223" s="56"/>
      <c r="X223" s="57"/>
      <c r="Y223" s="38"/>
      <c r="Z223" s="38"/>
    </row>
    <row r="224">
      <c r="A224" s="107">
        <v>89.1099999999999</v>
      </c>
      <c r="B224" s="63" t="s">
        <v>49</v>
      </c>
      <c r="C224" s="51"/>
      <c r="D224" s="39" t="s">
        <v>55</v>
      </c>
      <c r="E224" s="38"/>
      <c r="F224" s="41"/>
      <c r="G224" s="62" t="s">
        <v>630</v>
      </c>
      <c r="H224" s="58"/>
      <c r="I224" s="38"/>
      <c r="J224" s="38"/>
      <c r="K224" s="46"/>
      <c r="L224" s="47"/>
      <c r="M224" s="110">
        <v>0.028645833333333332</v>
      </c>
      <c r="N224" s="111">
        <v>0.031064814814814816</v>
      </c>
      <c r="O224" s="46">
        <f t="shared" si="26"/>
        <v>0.002418981481</v>
      </c>
      <c r="P224" s="89">
        <v>43020.0</v>
      </c>
      <c r="Q224" s="61" t="str">
        <f t="shared" si="24"/>
        <v>https://www.youtube.com/embed/Wrs0XEoFHAM?start=2475&amp;end=2684&amp;autoplay=1</v>
      </c>
      <c r="R224" s="50"/>
      <c r="S224" s="50"/>
      <c r="T224" s="50"/>
      <c r="U224" s="53"/>
      <c r="V224" s="54"/>
      <c r="W224" s="56"/>
      <c r="X224" s="57"/>
      <c r="Y224" s="38"/>
      <c r="Z224" s="38"/>
    </row>
    <row r="225">
      <c r="A225" s="107">
        <v>89.1199999999999</v>
      </c>
      <c r="B225" s="63" t="s">
        <v>49</v>
      </c>
      <c r="C225" s="51"/>
      <c r="D225" s="39" t="s">
        <v>55</v>
      </c>
      <c r="E225" s="38"/>
      <c r="F225" s="41"/>
      <c r="G225" s="62" t="s">
        <v>633</v>
      </c>
      <c r="H225" s="58"/>
      <c r="I225" s="38"/>
      <c r="J225" s="38"/>
      <c r="K225" s="46"/>
      <c r="L225" s="47"/>
      <c r="M225" s="110">
        <v>0.035474537037037034</v>
      </c>
      <c r="N225" s="111">
        <v>0.03771990740740741</v>
      </c>
      <c r="O225" s="46">
        <f t="shared" si="26"/>
        <v>0.00224537037</v>
      </c>
      <c r="P225" s="89">
        <v>43020.0</v>
      </c>
      <c r="Q225" s="61" t="str">
        <f t="shared" si="24"/>
        <v>https://www.youtube.com/embed/Wrs0XEoFHAM?start=3065&amp;end=3259&amp;autoplay=1</v>
      </c>
      <c r="R225" s="50"/>
      <c r="S225" s="50"/>
      <c r="T225" s="50"/>
      <c r="U225" s="53"/>
      <c r="V225" s="54"/>
      <c r="W225" s="56"/>
      <c r="X225" s="57"/>
      <c r="Y225" s="38"/>
      <c r="Z225" s="38"/>
    </row>
    <row r="226">
      <c r="A226" s="38">
        <v>90.0</v>
      </c>
      <c r="B226" s="38"/>
      <c r="C226" s="38"/>
      <c r="D226" s="38"/>
      <c r="E226" s="38" t="s">
        <v>559</v>
      </c>
      <c r="F226" s="41" t="s">
        <v>560</v>
      </c>
      <c r="G226" s="43"/>
      <c r="H226" s="45"/>
      <c r="I226" s="38"/>
      <c r="J226" s="38">
        <f>4.4*1000</f>
        <v>4400</v>
      </c>
      <c r="K226" s="46">
        <v>0.0021643518518518518</v>
      </c>
      <c r="L226" s="47" t="s">
        <v>211</v>
      </c>
      <c r="M226" s="46"/>
      <c r="N226" s="46"/>
      <c r="O226" s="38"/>
      <c r="P226" s="38"/>
      <c r="Q226" s="12" t="str">
        <f t="shared" si="24"/>
        <v/>
      </c>
      <c r="R226" s="50"/>
      <c r="S226" s="50"/>
      <c r="T226" s="50"/>
      <c r="U226" s="53"/>
      <c r="V226" s="54"/>
      <c r="W226" s="56"/>
      <c r="X226" s="119"/>
      <c r="Y226" s="113"/>
      <c r="Z226" s="113"/>
    </row>
    <row r="227">
      <c r="A227" s="39">
        <v>91.0</v>
      </c>
      <c r="B227" s="39" t="s">
        <v>107</v>
      </c>
      <c r="C227" s="38"/>
      <c r="D227" s="38" t="s">
        <v>55</v>
      </c>
      <c r="E227" s="38" t="s">
        <v>279</v>
      </c>
      <c r="F227" s="41" t="s">
        <v>281</v>
      </c>
      <c r="G227" s="43"/>
      <c r="H227" s="45"/>
      <c r="I227" s="38"/>
      <c r="J227" s="38">
        <f>44*1000</f>
        <v>44000</v>
      </c>
      <c r="K227" s="46">
        <v>0.02407407407407407</v>
      </c>
      <c r="L227" s="47" t="s">
        <v>211</v>
      </c>
      <c r="M227" s="46"/>
      <c r="N227" s="46"/>
      <c r="O227" s="38"/>
      <c r="P227" s="88">
        <v>43008.0</v>
      </c>
      <c r="Q227" s="12" t="str">
        <f t="shared" si="24"/>
        <v/>
      </c>
      <c r="R227" s="38"/>
      <c r="S227" s="38"/>
      <c r="T227" s="38"/>
      <c r="U227" s="38"/>
      <c r="V227" s="38"/>
      <c r="W227" s="38"/>
      <c r="X227" s="57"/>
      <c r="Y227" s="38"/>
      <c r="Z227" s="38"/>
      <c r="AA227" s="38"/>
      <c r="AB227" s="38"/>
      <c r="AC227" s="79"/>
      <c r="AD227" s="79"/>
      <c r="AE227" s="79"/>
      <c r="AF227" s="79"/>
      <c r="AG227" s="79"/>
      <c r="AH227" s="79"/>
      <c r="AI227" s="79"/>
      <c r="AJ227" s="79"/>
      <c r="AK227" s="79"/>
      <c r="AL227" s="79"/>
      <c r="AM227" s="79"/>
      <c r="AN227" s="79"/>
    </row>
    <row r="228">
      <c r="A228" s="39">
        <v>91.01</v>
      </c>
      <c r="B228" s="39" t="s">
        <v>107</v>
      </c>
      <c r="C228" s="38"/>
      <c r="D228" s="38" t="s">
        <v>55</v>
      </c>
      <c r="E228" s="38"/>
      <c r="F228" s="43"/>
      <c r="G228" s="39" t="s">
        <v>285</v>
      </c>
      <c r="H228" s="71" t="s">
        <v>286</v>
      </c>
      <c r="I228" s="38"/>
      <c r="J228" s="38"/>
      <c r="K228" s="46"/>
      <c r="L228" s="47"/>
      <c r="M228" s="46">
        <v>0.0010532407407407407</v>
      </c>
      <c r="N228" s="46">
        <v>0.002777777777777778</v>
      </c>
      <c r="O228" s="60">
        <f t="shared" ref="O228:O234" si="27">N228-M228</f>
        <v>0.001724537037</v>
      </c>
      <c r="P228" s="64">
        <v>43008.0</v>
      </c>
      <c r="Q228" s="61" t="str">
        <f t="shared" si="24"/>
        <v>https://www.youtube.com/embed/G3NpQQMh8jQ?start=91&amp;end=240&amp;autoplay=1</v>
      </c>
      <c r="R228" s="67" t="s">
        <v>61</v>
      </c>
      <c r="S228" s="67" t="s">
        <v>61</v>
      </c>
      <c r="T228" s="67" t="s">
        <v>61</v>
      </c>
      <c r="U228" s="53"/>
      <c r="V228" s="54"/>
      <c r="W228" s="56"/>
      <c r="X228" s="57"/>
      <c r="Y228" s="38"/>
      <c r="Z228" s="38"/>
      <c r="AA228" s="65"/>
      <c r="AB228" s="65"/>
      <c r="AC228" s="65"/>
      <c r="AD228" s="65"/>
      <c r="AE228" s="65"/>
      <c r="AF228" s="65"/>
      <c r="AG228" s="65"/>
      <c r="AH228" s="65"/>
      <c r="AI228" s="65"/>
      <c r="AJ228" s="65"/>
      <c r="AK228" s="65"/>
      <c r="AL228" s="65"/>
      <c r="AM228" s="65"/>
      <c r="AN228" s="65"/>
    </row>
    <row r="229">
      <c r="A229" s="39">
        <v>91.02</v>
      </c>
      <c r="B229" s="39" t="s">
        <v>107</v>
      </c>
      <c r="C229" s="38"/>
      <c r="D229" s="38" t="s">
        <v>55</v>
      </c>
      <c r="E229" s="38"/>
      <c r="F229" s="43"/>
      <c r="G229" s="39" t="s">
        <v>290</v>
      </c>
      <c r="H229" s="71" t="s">
        <v>291</v>
      </c>
      <c r="I229" s="38"/>
      <c r="J229" s="38"/>
      <c r="K229" s="46"/>
      <c r="L229" s="47"/>
      <c r="M229" s="46">
        <v>0.002789351851851852</v>
      </c>
      <c r="N229" s="46">
        <v>0.003969907407407407</v>
      </c>
      <c r="O229" s="60">
        <f t="shared" si="27"/>
        <v>0.001180555556</v>
      </c>
      <c r="P229" s="64">
        <v>43008.0</v>
      </c>
      <c r="Q229" s="61" t="str">
        <f t="shared" si="24"/>
        <v>https://www.youtube.com/embed/G3NpQQMh8jQ?start=241&amp;end=343&amp;autoplay=1</v>
      </c>
      <c r="R229" s="67" t="s">
        <v>61</v>
      </c>
      <c r="S229" s="67" t="s">
        <v>61</v>
      </c>
      <c r="T229" s="67" t="s">
        <v>61</v>
      </c>
      <c r="U229" s="53"/>
      <c r="V229" s="54"/>
      <c r="W229" s="56"/>
      <c r="X229" s="57"/>
      <c r="Y229" s="38"/>
      <c r="Z229" s="38"/>
      <c r="AA229" s="65"/>
      <c r="AB229" s="65"/>
      <c r="AC229" s="65"/>
      <c r="AD229" s="65"/>
      <c r="AE229" s="65"/>
      <c r="AF229" s="65"/>
      <c r="AG229" s="65"/>
      <c r="AH229" s="65"/>
      <c r="AI229" s="65"/>
      <c r="AJ229" s="65"/>
      <c r="AK229" s="65"/>
      <c r="AL229" s="65"/>
      <c r="AM229" s="65"/>
      <c r="AN229" s="65"/>
    </row>
    <row r="230">
      <c r="A230" s="39">
        <v>91.03</v>
      </c>
      <c r="B230" s="39" t="s">
        <v>107</v>
      </c>
      <c r="C230" s="38"/>
      <c r="D230" s="38" t="s">
        <v>55</v>
      </c>
      <c r="E230" s="38"/>
      <c r="F230" s="43"/>
      <c r="G230" s="39" t="s">
        <v>296</v>
      </c>
      <c r="H230" s="71" t="s">
        <v>297</v>
      </c>
      <c r="I230" s="38"/>
      <c r="J230" s="38"/>
      <c r="K230" s="46"/>
      <c r="L230" s="47"/>
      <c r="M230" s="46">
        <v>0.003969907407407407</v>
      </c>
      <c r="N230" s="46">
        <v>0.010451388888888889</v>
      </c>
      <c r="O230" s="60">
        <f t="shared" si="27"/>
        <v>0.006481481481</v>
      </c>
      <c r="P230" s="64">
        <v>43008.0</v>
      </c>
      <c r="Q230" s="61" t="str">
        <f t="shared" si="24"/>
        <v>https://www.youtube.com/embed/G3NpQQMh8jQ?start=343&amp;end=903&amp;autoplay=1</v>
      </c>
      <c r="R230" s="67" t="s">
        <v>61</v>
      </c>
      <c r="S230" s="67" t="s">
        <v>61</v>
      </c>
      <c r="T230" s="67" t="s">
        <v>61</v>
      </c>
      <c r="U230" s="53"/>
      <c r="V230" s="54"/>
      <c r="W230" s="56"/>
      <c r="X230" s="69"/>
      <c r="Y230" s="39"/>
      <c r="Z230" s="39" t="s">
        <v>301</v>
      </c>
      <c r="AA230" s="65"/>
      <c r="AB230" s="65"/>
      <c r="AC230" s="65"/>
      <c r="AD230" s="65"/>
      <c r="AE230" s="65"/>
      <c r="AF230" s="65"/>
      <c r="AG230" s="65"/>
      <c r="AH230" s="65"/>
      <c r="AI230" s="65"/>
      <c r="AJ230" s="65"/>
      <c r="AK230" s="65"/>
      <c r="AL230" s="65"/>
      <c r="AM230" s="65"/>
      <c r="AN230" s="65"/>
    </row>
    <row r="231">
      <c r="A231" s="39">
        <v>91.04</v>
      </c>
      <c r="B231" s="39" t="s">
        <v>107</v>
      </c>
      <c r="C231" s="38"/>
      <c r="D231" s="38" t="s">
        <v>55</v>
      </c>
      <c r="E231" s="38"/>
      <c r="F231" s="43"/>
      <c r="G231" s="39" t="s">
        <v>305</v>
      </c>
      <c r="H231" s="71" t="s">
        <v>306</v>
      </c>
      <c r="I231" s="38"/>
      <c r="J231" s="38"/>
      <c r="K231" s="46"/>
      <c r="L231" s="47"/>
      <c r="M231" s="46">
        <v>0.010451388888888889</v>
      </c>
      <c r="N231" s="46">
        <v>0.013020833333333334</v>
      </c>
      <c r="O231" s="60">
        <f t="shared" si="27"/>
        <v>0.002569444444</v>
      </c>
      <c r="P231" s="64">
        <v>43008.0</v>
      </c>
      <c r="Q231" s="61" t="str">
        <f t="shared" si="24"/>
        <v>https://www.youtube.com/embed/G3NpQQMh8jQ?start=903&amp;end=1125&amp;autoplay=1</v>
      </c>
      <c r="R231" s="67" t="s">
        <v>61</v>
      </c>
      <c r="S231" s="67" t="s">
        <v>61</v>
      </c>
      <c r="T231" s="67" t="s">
        <v>61</v>
      </c>
      <c r="U231" s="53"/>
      <c r="V231" s="54"/>
      <c r="W231" s="56"/>
      <c r="X231" s="57"/>
      <c r="Y231" s="38"/>
      <c r="Z231" s="38"/>
      <c r="AA231" s="65"/>
      <c r="AB231" s="65"/>
      <c r="AC231" s="65"/>
      <c r="AD231" s="65"/>
      <c r="AE231" s="65"/>
      <c r="AF231" s="65"/>
      <c r="AG231" s="65"/>
      <c r="AH231" s="65"/>
      <c r="AI231" s="65"/>
      <c r="AJ231" s="65"/>
      <c r="AK231" s="65"/>
      <c r="AL231" s="65"/>
      <c r="AM231" s="65"/>
      <c r="AN231" s="65"/>
    </row>
    <row r="232">
      <c r="A232" s="39">
        <v>91.05</v>
      </c>
      <c r="B232" s="39" t="s">
        <v>107</v>
      </c>
      <c r="C232" s="38"/>
      <c r="D232" s="38" t="s">
        <v>55</v>
      </c>
      <c r="E232" s="38"/>
      <c r="F232" s="43"/>
      <c r="G232" s="39" t="s">
        <v>307</v>
      </c>
      <c r="H232" s="71" t="s">
        <v>308</v>
      </c>
      <c r="I232" s="38"/>
      <c r="J232" s="38"/>
      <c r="K232" s="46"/>
      <c r="L232" s="47"/>
      <c r="M232" s="46">
        <v>0.01355324074074074</v>
      </c>
      <c r="N232" s="46">
        <v>0.015891203703703703</v>
      </c>
      <c r="O232" s="60">
        <f t="shared" si="27"/>
        <v>0.002337962963</v>
      </c>
      <c r="P232" s="64">
        <v>43008.0</v>
      </c>
      <c r="Q232" s="61" t="str">
        <f t="shared" si="24"/>
        <v>https://www.youtube.com/embed/G3NpQQMh8jQ?start=1171&amp;end=1373&amp;autoplay=1</v>
      </c>
      <c r="R232" s="67" t="s">
        <v>61</v>
      </c>
      <c r="S232" s="67" t="s">
        <v>61</v>
      </c>
      <c r="T232" s="67" t="s">
        <v>61</v>
      </c>
      <c r="U232" s="53"/>
      <c r="V232" s="54"/>
      <c r="W232" s="56"/>
      <c r="X232" s="57"/>
      <c r="Y232" s="38"/>
      <c r="Z232" s="38"/>
      <c r="AA232" s="65"/>
      <c r="AB232" s="65"/>
      <c r="AC232" s="65"/>
      <c r="AD232" s="65"/>
      <c r="AE232" s="65"/>
      <c r="AF232" s="65"/>
      <c r="AG232" s="65"/>
      <c r="AH232" s="65"/>
      <c r="AI232" s="65"/>
      <c r="AJ232" s="65"/>
      <c r="AK232" s="65"/>
      <c r="AL232" s="65"/>
      <c r="AM232" s="65"/>
      <c r="AN232" s="65"/>
    </row>
    <row r="233">
      <c r="A233" s="39">
        <v>91.06</v>
      </c>
      <c r="B233" s="39" t="s">
        <v>107</v>
      </c>
      <c r="C233" s="38"/>
      <c r="D233" s="38" t="s">
        <v>55</v>
      </c>
      <c r="E233" s="38"/>
      <c r="F233" s="43"/>
      <c r="G233" s="39" t="s">
        <v>312</v>
      </c>
      <c r="H233" s="71" t="s">
        <v>313</v>
      </c>
      <c r="I233" s="38"/>
      <c r="J233" s="38"/>
      <c r="K233" s="46"/>
      <c r="L233" s="47"/>
      <c r="M233" s="46">
        <v>0.015891203703703703</v>
      </c>
      <c r="N233" s="46">
        <v>0.016828703703703703</v>
      </c>
      <c r="O233" s="60">
        <f t="shared" si="27"/>
        <v>0.0009375</v>
      </c>
      <c r="P233" s="64">
        <v>43008.0</v>
      </c>
      <c r="Q233" s="61" t="str">
        <f t="shared" si="24"/>
        <v>https://www.youtube.com/embed/G3NpQQMh8jQ?start=1373&amp;end=1454&amp;autoplay=1</v>
      </c>
      <c r="R233" s="67" t="s">
        <v>61</v>
      </c>
      <c r="S233" s="67" t="s">
        <v>61</v>
      </c>
      <c r="T233" s="67" t="s">
        <v>61</v>
      </c>
      <c r="U233" s="53"/>
      <c r="V233" s="54"/>
      <c r="W233" s="56"/>
      <c r="X233" s="57"/>
      <c r="Y233" s="38"/>
      <c r="Z233" s="38"/>
      <c r="AA233" s="65"/>
      <c r="AB233" s="65"/>
      <c r="AC233" s="65"/>
      <c r="AD233" s="65"/>
      <c r="AE233" s="65"/>
      <c r="AF233" s="65"/>
      <c r="AG233" s="65"/>
      <c r="AH233" s="65"/>
      <c r="AI233" s="65"/>
      <c r="AJ233" s="65"/>
      <c r="AK233" s="65"/>
      <c r="AL233" s="65"/>
      <c r="AM233" s="65"/>
      <c r="AN233" s="65"/>
    </row>
    <row r="234">
      <c r="A234" s="39">
        <v>91.07</v>
      </c>
      <c r="B234" s="39" t="s">
        <v>107</v>
      </c>
      <c r="C234" s="38"/>
      <c r="D234" s="38" t="s">
        <v>55</v>
      </c>
      <c r="E234" s="38"/>
      <c r="F234" s="43"/>
      <c r="G234" s="39" t="s">
        <v>316</v>
      </c>
      <c r="H234" s="71" t="s">
        <v>317</v>
      </c>
      <c r="I234" s="38"/>
      <c r="J234" s="38"/>
      <c r="K234" s="46"/>
      <c r="L234" s="47"/>
      <c r="M234" s="46">
        <v>0.016909722222222222</v>
      </c>
      <c r="N234" s="46">
        <v>0.022268518518518517</v>
      </c>
      <c r="O234" s="60">
        <f t="shared" si="27"/>
        <v>0.005358796296</v>
      </c>
      <c r="P234" s="64">
        <v>43008.0</v>
      </c>
      <c r="Q234" s="61" t="str">
        <f t="shared" si="24"/>
        <v>https://www.youtube.com/embed/G3NpQQMh8jQ?start=1461&amp;end=1924&amp;autoplay=1</v>
      </c>
      <c r="R234" s="67" t="s">
        <v>61</v>
      </c>
      <c r="S234" s="67" t="s">
        <v>61</v>
      </c>
      <c r="T234" s="67" t="s">
        <v>61</v>
      </c>
      <c r="U234" s="53"/>
      <c r="V234" s="54"/>
      <c r="W234" s="56"/>
      <c r="X234" s="57"/>
      <c r="Y234" s="38"/>
      <c r="Z234" s="38"/>
      <c r="AA234" s="65"/>
      <c r="AB234" s="65"/>
      <c r="AC234" s="65"/>
      <c r="AD234" s="65"/>
      <c r="AE234" s="65"/>
      <c r="AF234" s="65"/>
      <c r="AG234" s="65"/>
      <c r="AH234" s="65"/>
      <c r="AI234" s="65"/>
      <c r="AJ234" s="65"/>
      <c r="AK234" s="65"/>
      <c r="AL234" s="65"/>
      <c r="AM234" s="65"/>
      <c r="AN234" s="65"/>
    </row>
    <row r="235">
      <c r="A235" s="38">
        <v>92.0</v>
      </c>
      <c r="B235" s="63" t="s">
        <v>107</v>
      </c>
      <c r="C235" s="51"/>
      <c r="D235" s="39" t="s">
        <v>55</v>
      </c>
      <c r="E235" s="38" t="s">
        <v>514</v>
      </c>
      <c r="F235" s="41" t="s">
        <v>515</v>
      </c>
      <c r="G235" s="43"/>
      <c r="H235" s="45"/>
      <c r="I235" s="38"/>
      <c r="J235" s="38">
        <f>6.3*1000</f>
        <v>6300</v>
      </c>
      <c r="K235" s="46">
        <v>0.026006944444444447</v>
      </c>
      <c r="L235" s="47" t="s">
        <v>211</v>
      </c>
      <c r="M235" s="38"/>
      <c r="N235" s="38"/>
      <c r="O235" s="38"/>
      <c r="P235" s="38"/>
      <c r="Q235" s="12" t="str">
        <f t="shared" si="24"/>
        <v/>
      </c>
      <c r="R235" s="42"/>
      <c r="S235" s="42"/>
      <c r="T235" s="42"/>
      <c r="U235" s="51"/>
      <c r="V235" s="52"/>
      <c r="W235" s="55"/>
      <c r="X235" s="57"/>
      <c r="Y235" s="106"/>
      <c r="Z235" s="106"/>
      <c r="AA235" s="106"/>
      <c r="AB235" s="106"/>
      <c r="AH235" s="38"/>
      <c r="AI235" s="38"/>
      <c r="AJ235" s="38"/>
      <c r="AK235" s="38"/>
      <c r="AL235" s="38"/>
      <c r="AM235" s="38"/>
      <c r="AN235" s="38"/>
    </row>
    <row r="236">
      <c r="A236" s="39">
        <v>92.01</v>
      </c>
      <c r="B236" s="39" t="s">
        <v>107</v>
      </c>
      <c r="C236" s="39"/>
      <c r="D236" s="39" t="s">
        <v>55</v>
      </c>
      <c r="E236" s="38"/>
      <c r="F236" s="41"/>
      <c r="G236" s="62" t="s">
        <v>521</v>
      </c>
      <c r="H236" s="58" t="s">
        <v>522</v>
      </c>
      <c r="I236" s="38"/>
      <c r="J236" s="38"/>
      <c r="K236" s="46"/>
      <c r="L236" s="47"/>
      <c r="M236" s="84">
        <v>7.87037037037037E-4</v>
      </c>
      <c r="N236" s="84">
        <v>0.002476851851851852</v>
      </c>
      <c r="O236" s="60">
        <f t="shared" ref="O236:O244" si="28">N236-M236</f>
        <v>0.001689814815</v>
      </c>
      <c r="P236" s="82">
        <v>43019.0</v>
      </c>
      <c r="Q236" s="61" t="str">
        <f t="shared" si="24"/>
        <v>https://www.youtube.com/embed/VP5gPVW3XDM?start=68&amp;end=214&amp;autoplay=1</v>
      </c>
      <c r="R236" s="67" t="s">
        <v>61</v>
      </c>
      <c r="S236" s="67" t="s">
        <v>61</v>
      </c>
      <c r="T236" s="67" t="s">
        <v>61</v>
      </c>
      <c r="U236" s="53"/>
      <c r="V236" s="54"/>
      <c r="W236" s="85" t="s">
        <v>62</v>
      </c>
      <c r="X236" s="57"/>
      <c r="Y236" s="38"/>
      <c r="Z236" s="38"/>
      <c r="AH236" s="38"/>
      <c r="AI236" s="38"/>
      <c r="AJ236" s="38"/>
      <c r="AK236" s="38"/>
      <c r="AL236" s="38"/>
      <c r="AM236" s="38"/>
      <c r="AN236" s="38"/>
    </row>
    <row r="237">
      <c r="A237" s="39">
        <v>92.02</v>
      </c>
      <c r="B237" s="39" t="s">
        <v>107</v>
      </c>
      <c r="C237" s="38"/>
      <c r="D237" s="39" t="s">
        <v>55</v>
      </c>
      <c r="E237" s="38"/>
      <c r="F237" s="41"/>
      <c r="G237" s="62" t="s">
        <v>524</v>
      </c>
      <c r="H237" s="58" t="s">
        <v>526</v>
      </c>
      <c r="I237" s="38"/>
      <c r="J237" s="38"/>
      <c r="K237" s="46"/>
      <c r="L237" s="47"/>
      <c r="M237" s="84">
        <v>0.002476851851851852</v>
      </c>
      <c r="N237" s="84">
        <v>0.0060879629629629626</v>
      </c>
      <c r="O237" s="60">
        <f t="shared" si="28"/>
        <v>0.003611111111</v>
      </c>
      <c r="P237" s="82">
        <v>43019.0</v>
      </c>
      <c r="Q237" s="61" t="str">
        <f t="shared" si="24"/>
        <v>https://www.youtube.com/embed/VP5gPVW3XDM?start=214&amp;end=526&amp;autoplay=1</v>
      </c>
      <c r="R237" s="67" t="s">
        <v>61</v>
      </c>
      <c r="S237" s="67" t="s">
        <v>61</v>
      </c>
      <c r="T237" s="67" t="s">
        <v>61</v>
      </c>
      <c r="U237" s="53"/>
      <c r="V237" s="54"/>
      <c r="W237" s="85" t="s">
        <v>62</v>
      </c>
      <c r="X237" s="57"/>
      <c r="Y237" s="38"/>
      <c r="Z237" s="38"/>
      <c r="AH237" s="38"/>
      <c r="AI237" s="38"/>
      <c r="AJ237" s="38"/>
      <c r="AK237" s="38"/>
      <c r="AL237" s="38"/>
      <c r="AM237" s="38"/>
      <c r="AN237" s="38"/>
    </row>
    <row r="238">
      <c r="A238" s="39">
        <v>92.03</v>
      </c>
      <c r="B238" s="39" t="s">
        <v>107</v>
      </c>
      <c r="C238" s="38"/>
      <c r="D238" s="39" t="s">
        <v>55</v>
      </c>
      <c r="E238" s="38"/>
      <c r="F238" s="41"/>
      <c r="G238" s="62" t="s">
        <v>530</v>
      </c>
      <c r="H238" s="58" t="s">
        <v>531</v>
      </c>
      <c r="I238" s="38"/>
      <c r="J238" s="38"/>
      <c r="K238" s="46"/>
      <c r="L238" s="47"/>
      <c r="M238" s="84">
        <v>0.0061805555555555555</v>
      </c>
      <c r="N238" s="84">
        <v>0.009375</v>
      </c>
      <c r="O238" s="60">
        <f t="shared" si="28"/>
        <v>0.003194444444</v>
      </c>
      <c r="P238" s="82">
        <v>43019.0</v>
      </c>
      <c r="Q238" s="61" t="str">
        <f t="shared" si="24"/>
        <v>https://www.youtube.com/embed/VP5gPVW3XDM?start=534&amp;end=810&amp;autoplay=1</v>
      </c>
      <c r="R238" s="67" t="s">
        <v>61</v>
      </c>
      <c r="S238" s="67" t="s">
        <v>61</v>
      </c>
      <c r="T238" s="67" t="s">
        <v>61</v>
      </c>
      <c r="U238" s="53"/>
      <c r="V238" s="54"/>
      <c r="W238" s="85" t="s">
        <v>62</v>
      </c>
      <c r="X238" s="57"/>
      <c r="Y238" s="38"/>
      <c r="Z238" s="38"/>
      <c r="AH238" s="38"/>
      <c r="AI238" s="38"/>
      <c r="AJ238" s="38"/>
      <c r="AK238" s="38"/>
      <c r="AL238" s="38"/>
      <c r="AM238" s="38"/>
      <c r="AN238" s="38"/>
    </row>
    <row r="239">
      <c r="A239" s="39">
        <v>92.04</v>
      </c>
      <c r="B239" s="39" t="s">
        <v>107</v>
      </c>
      <c r="C239" s="51"/>
      <c r="D239" s="39" t="s">
        <v>55</v>
      </c>
      <c r="E239" s="38"/>
      <c r="F239" s="41"/>
      <c r="G239" s="62" t="s">
        <v>532</v>
      </c>
      <c r="H239" s="58" t="s">
        <v>534</v>
      </c>
      <c r="I239" s="38"/>
      <c r="J239" s="38"/>
      <c r="K239" s="46"/>
      <c r="L239" s="47"/>
      <c r="M239" s="105">
        <v>0.009641203703703704</v>
      </c>
      <c r="N239" s="105">
        <v>0.011574074074074073</v>
      </c>
      <c r="O239" s="60">
        <f t="shared" si="28"/>
        <v>0.00193287037</v>
      </c>
      <c r="P239" s="82">
        <v>43020.0</v>
      </c>
      <c r="Q239" s="61" t="str">
        <f t="shared" si="24"/>
        <v>https://www.youtube.com/embed/VP5gPVW3XDM?start=833&amp;end=1000&amp;autoplay=1</v>
      </c>
      <c r="R239" s="67" t="s">
        <v>61</v>
      </c>
      <c r="S239" s="67" t="s">
        <v>61</v>
      </c>
      <c r="T239" s="67" t="s">
        <v>61</v>
      </c>
      <c r="U239" s="51"/>
      <c r="V239" s="52"/>
      <c r="W239" s="81" t="s">
        <v>62</v>
      </c>
      <c r="X239" s="57"/>
      <c r="Y239" s="106"/>
      <c r="Z239" s="106"/>
      <c r="AA239" s="106"/>
      <c r="AB239" s="106"/>
      <c r="AH239" s="38"/>
      <c r="AI239" s="38"/>
      <c r="AJ239" s="38"/>
      <c r="AK239" s="38"/>
      <c r="AL239" s="38"/>
      <c r="AM239" s="38"/>
      <c r="AN239" s="38"/>
    </row>
    <row r="240">
      <c r="A240" s="39">
        <v>92.05</v>
      </c>
      <c r="B240" s="39" t="s">
        <v>107</v>
      </c>
      <c r="C240" s="51"/>
      <c r="D240" s="39" t="s">
        <v>55</v>
      </c>
      <c r="E240" s="38"/>
      <c r="F240" s="41"/>
      <c r="G240" s="62" t="s">
        <v>537</v>
      </c>
      <c r="H240" s="58" t="s">
        <v>538</v>
      </c>
      <c r="I240" s="38"/>
      <c r="J240" s="38"/>
      <c r="K240" s="46"/>
      <c r="L240" s="47"/>
      <c r="M240" s="105">
        <v>0.011574074074074073</v>
      </c>
      <c r="N240" s="105">
        <v>0.01361111111111111</v>
      </c>
      <c r="O240" s="60">
        <f t="shared" si="28"/>
        <v>0.002037037037</v>
      </c>
      <c r="P240" s="82">
        <v>43020.0</v>
      </c>
      <c r="Q240" s="61" t="str">
        <f t="shared" si="24"/>
        <v>https://www.youtube.com/embed/VP5gPVW3XDM?start=1000&amp;end=1176&amp;autoplay=1</v>
      </c>
      <c r="R240" s="67" t="s">
        <v>61</v>
      </c>
      <c r="S240" s="67" t="s">
        <v>61</v>
      </c>
      <c r="T240" s="67" t="s">
        <v>61</v>
      </c>
      <c r="U240" s="51"/>
      <c r="V240" s="52"/>
      <c r="W240" s="81" t="s">
        <v>62</v>
      </c>
      <c r="X240" s="57"/>
      <c r="Y240" s="106"/>
      <c r="Z240" s="106"/>
      <c r="AA240" s="106"/>
      <c r="AB240" s="106"/>
      <c r="AH240" s="38"/>
      <c r="AI240" s="38"/>
      <c r="AJ240" s="38"/>
      <c r="AK240" s="38"/>
      <c r="AL240" s="38"/>
      <c r="AM240" s="38"/>
      <c r="AN240" s="38"/>
    </row>
    <row r="241">
      <c r="A241" s="39">
        <v>92.06</v>
      </c>
      <c r="B241" s="39" t="s">
        <v>107</v>
      </c>
      <c r="C241" s="51"/>
      <c r="D241" s="39" t="s">
        <v>55</v>
      </c>
      <c r="E241" s="38"/>
      <c r="F241" s="41"/>
      <c r="G241" s="62" t="s">
        <v>540</v>
      </c>
      <c r="H241" s="58" t="s">
        <v>541</v>
      </c>
      <c r="I241" s="38"/>
      <c r="J241" s="38"/>
      <c r="K241" s="46"/>
      <c r="L241" s="47"/>
      <c r="M241" s="105">
        <v>0.015162037037037036</v>
      </c>
      <c r="N241" s="105">
        <v>0.01636574074074074</v>
      </c>
      <c r="O241" s="60">
        <f t="shared" si="28"/>
        <v>0.001203703704</v>
      </c>
      <c r="P241" s="82">
        <v>43020.0</v>
      </c>
      <c r="Q241" s="61" t="str">
        <f t="shared" si="24"/>
        <v>https://www.youtube.com/embed/VP5gPVW3XDM?start=1310&amp;end=1414&amp;autoplay=1</v>
      </c>
      <c r="R241" s="67" t="s">
        <v>61</v>
      </c>
      <c r="S241" s="67" t="s">
        <v>61</v>
      </c>
      <c r="T241" s="67" t="s">
        <v>61</v>
      </c>
      <c r="U241" s="51"/>
      <c r="V241" s="52"/>
      <c r="W241" s="81" t="s">
        <v>62</v>
      </c>
      <c r="X241" s="57"/>
      <c r="Y241" s="106"/>
      <c r="Z241" s="106"/>
      <c r="AA241" s="106"/>
      <c r="AB241" s="106"/>
      <c r="AH241" s="38"/>
      <c r="AI241" s="38"/>
      <c r="AJ241" s="38"/>
      <c r="AK241" s="38"/>
      <c r="AL241" s="38"/>
      <c r="AM241" s="38"/>
      <c r="AN241" s="38"/>
    </row>
    <row r="242">
      <c r="A242" s="39">
        <v>92.07</v>
      </c>
      <c r="B242" s="39" t="s">
        <v>107</v>
      </c>
      <c r="C242" s="51"/>
      <c r="D242" s="39" t="s">
        <v>55</v>
      </c>
      <c r="E242" s="38"/>
      <c r="F242" s="41"/>
      <c r="G242" s="62" t="s">
        <v>544</v>
      </c>
      <c r="H242" s="58" t="s">
        <v>545</v>
      </c>
      <c r="I242" s="38"/>
      <c r="J242" s="38"/>
      <c r="K242" s="46"/>
      <c r="L242" s="47"/>
      <c r="M242" s="105">
        <v>0.016585648148148148</v>
      </c>
      <c r="N242" s="105">
        <v>0.01792824074074074</v>
      </c>
      <c r="O242" s="60">
        <f t="shared" si="28"/>
        <v>0.001342592593</v>
      </c>
      <c r="P242" s="82">
        <v>43020.0</v>
      </c>
      <c r="Q242" s="61" t="str">
        <f t="shared" si="24"/>
        <v>https://www.youtube.com/embed/VP5gPVW3XDM?start=1433&amp;end=1549&amp;autoplay=1</v>
      </c>
      <c r="R242" s="67" t="s">
        <v>61</v>
      </c>
      <c r="S242" s="67" t="s">
        <v>61</v>
      </c>
      <c r="T242" s="67" t="s">
        <v>61</v>
      </c>
      <c r="U242" s="51"/>
      <c r="V242" s="52"/>
      <c r="W242" s="81" t="s">
        <v>62</v>
      </c>
      <c r="X242" s="57"/>
      <c r="Y242" s="106"/>
      <c r="Z242" s="106"/>
      <c r="AA242" s="106"/>
      <c r="AB242" s="106"/>
      <c r="AH242" s="38"/>
      <c r="AI242" s="38"/>
      <c r="AJ242" s="38"/>
      <c r="AK242" s="38"/>
      <c r="AL242" s="38"/>
      <c r="AM242" s="38"/>
      <c r="AN242" s="38"/>
    </row>
    <row r="243">
      <c r="A243" s="39">
        <v>92.08</v>
      </c>
      <c r="B243" s="39" t="s">
        <v>107</v>
      </c>
      <c r="C243" s="51"/>
      <c r="D243" s="39" t="s">
        <v>55</v>
      </c>
      <c r="E243" s="38"/>
      <c r="F243" s="41"/>
      <c r="G243" s="62" t="s">
        <v>548</v>
      </c>
      <c r="H243" s="45"/>
      <c r="I243" s="38"/>
      <c r="J243" s="38"/>
      <c r="K243" s="46"/>
      <c r="L243" s="47"/>
      <c r="M243" s="105">
        <v>0.01792824074074074</v>
      </c>
      <c r="N243" s="105">
        <v>0.02060185185185185</v>
      </c>
      <c r="O243" s="60">
        <f t="shared" si="28"/>
        <v>0.002673611111</v>
      </c>
      <c r="P243" s="82">
        <v>43020.0</v>
      </c>
      <c r="Q243" s="61" t="str">
        <f t="shared" si="24"/>
        <v>https://www.youtube.com/embed/VP5gPVW3XDM?start=1549&amp;end=1780&amp;autoplay=1</v>
      </c>
      <c r="R243" s="67" t="s">
        <v>61</v>
      </c>
      <c r="S243" s="67" t="s">
        <v>61</v>
      </c>
      <c r="T243" s="67" t="s">
        <v>61</v>
      </c>
      <c r="U243" s="51"/>
      <c r="V243" s="52"/>
      <c r="W243" s="81" t="s">
        <v>62</v>
      </c>
      <c r="X243" s="57"/>
      <c r="Y243" s="106"/>
      <c r="Z243" s="106"/>
      <c r="AA243" s="106"/>
      <c r="AB243" s="106"/>
      <c r="AH243" s="38"/>
      <c r="AI243" s="38"/>
      <c r="AJ243" s="38"/>
      <c r="AK243" s="38"/>
      <c r="AL243" s="38"/>
      <c r="AM243" s="38"/>
      <c r="AN243" s="38"/>
    </row>
    <row r="244">
      <c r="A244" s="39">
        <v>92.09</v>
      </c>
      <c r="B244" s="39" t="s">
        <v>107</v>
      </c>
      <c r="C244" s="51"/>
      <c r="D244" s="39" t="s">
        <v>55</v>
      </c>
      <c r="E244" s="38"/>
      <c r="F244" s="41"/>
      <c r="G244" s="62" t="s">
        <v>552</v>
      </c>
      <c r="H244" s="58" t="s">
        <v>553</v>
      </c>
      <c r="I244" s="38"/>
      <c r="J244" s="38"/>
      <c r="K244" s="46"/>
      <c r="L244" s="47"/>
      <c r="M244" s="105">
        <v>0.020752314814814814</v>
      </c>
      <c r="N244" s="105">
        <v>0.025011574074074075</v>
      </c>
      <c r="O244" s="60">
        <f t="shared" si="28"/>
        <v>0.004259259259</v>
      </c>
      <c r="P244" s="82">
        <v>43020.0</v>
      </c>
      <c r="Q244" s="61" t="str">
        <f t="shared" si="24"/>
        <v>https://www.youtube.com/embed/VP5gPVW3XDM?start=1793&amp;end=2161&amp;autoplay=1</v>
      </c>
      <c r="R244" s="67" t="s">
        <v>61</v>
      </c>
      <c r="S244" s="67" t="s">
        <v>61</v>
      </c>
      <c r="T244" s="67" t="s">
        <v>61</v>
      </c>
      <c r="U244" s="51"/>
      <c r="V244" s="52"/>
      <c r="W244" s="81" t="s">
        <v>62</v>
      </c>
      <c r="X244" s="57"/>
      <c r="Y244" s="106"/>
      <c r="Z244" s="106"/>
      <c r="AA244" s="106"/>
      <c r="AB244" s="106"/>
      <c r="AH244" s="38"/>
      <c r="AI244" s="38"/>
      <c r="AJ244" s="38"/>
      <c r="AK244" s="38"/>
      <c r="AL244" s="38"/>
      <c r="AM244" s="38"/>
      <c r="AN244" s="38"/>
    </row>
    <row r="245">
      <c r="A245" s="38">
        <v>93.0</v>
      </c>
      <c r="B245" s="39" t="s">
        <v>107</v>
      </c>
      <c r="C245" s="51"/>
      <c r="D245" s="39" t="s">
        <v>55</v>
      </c>
      <c r="E245" s="38" t="s">
        <v>556</v>
      </c>
      <c r="F245" s="41" t="s">
        <v>557</v>
      </c>
      <c r="G245" s="43"/>
      <c r="H245" s="45"/>
      <c r="I245" s="38"/>
      <c r="J245" s="38">
        <f>986</f>
        <v>986</v>
      </c>
      <c r="K245" s="46">
        <v>0.03568287037037037</v>
      </c>
      <c r="L245" s="47" t="s">
        <v>211</v>
      </c>
      <c r="M245" s="39"/>
      <c r="N245" s="38"/>
      <c r="O245" s="38"/>
      <c r="P245" s="38"/>
      <c r="Q245" s="12" t="str">
        <f t="shared" si="24"/>
        <v/>
      </c>
      <c r="R245" s="42"/>
      <c r="S245" s="42"/>
      <c r="T245" s="42"/>
      <c r="U245" s="51"/>
      <c r="V245" s="52"/>
      <c r="W245" s="55"/>
      <c r="X245" s="57"/>
      <c r="Y245" s="106"/>
      <c r="Z245" s="106"/>
      <c r="AA245" s="106"/>
      <c r="AB245" s="106"/>
      <c r="AH245" s="38"/>
      <c r="AI245" s="38"/>
      <c r="AJ245" s="38"/>
      <c r="AK245" s="38"/>
      <c r="AL245" s="38"/>
      <c r="AM245" s="38"/>
      <c r="AN245" s="38"/>
    </row>
    <row r="246">
      <c r="A246" s="39">
        <v>93.01</v>
      </c>
      <c r="B246" s="39" t="s">
        <v>107</v>
      </c>
      <c r="C246" s="38"/>
      <c r="D246" s="39" t="s">
        <v>55</v>
      </c>
      <c r="E246" s="38"/>
      <c r="F246" s="41"/>
      <c r="G246" s="62" t="s">
        <v>521</v>
      </c>
      <c r="H246" s="58" t="s">
        <v>563</v>
      </c>
      <c r="I246" s="38"/>
      <c r="J246" s="38"/>
      <c r="K246" s="46"/>
      <c r="L246" s="47"/>
      <c r="M246" s="84">
        <v>6.134259259259259E-4</v>
      </c>
      <c r="N246" s="84">
        <v>0.0036689814814814814</v>
      </c>
      <c r="O246" s="60">
        <f t="shared" ref="O246:O250" si="29">N246-M246</f>
        <v>0.003055555556</v>
      </c>
      <c r="P246" s="82">
        <v>43027.0</v>
      </c>
      <c r="Q246" s="61" t="str">
        <f t="shared" si="24"/>
        <v>https://www.youtube.com/embed/0uPW7Jf9y7o?start=53&amp;end=317&amp;autoplay=1</v>
      </c>
      <c r="R246" s="67" t="s">
        <v>61</v>
      </c>
      <c r="S246" s="67" t="s">
        <v>61</v>
      </c>
      <c r="T246" s="67" t="s">
        <v>61</v>
      </c>
      <c r="U246" s="53"/>
      <c r="V246" s="54"/>
      <c r="W246" s="85" t="s">
        <v>62</v>
      </c>
      <c r="X246" s="57"/>
      <c r="Y246" s="38"/>
      <c r="Z246" s="39" t="s">
        <v>565</v>
      </c>
      <c r="AH246" s="38"/>
      <c r="AI246" s="38"/>
      <c r="AJ246" s="38"/>
      <c r="AK246" s="38"/>
      <c r="AL246" s="38"/>
      <c r="AM246" s="38"/>
      <c r="AN246" s="38"/>
    </row>
    <row r="247">
      <c r="A247" s="39">
        <v>93.02</v>
      </c>
      <c r="B247" s="39" t="s">
        <v>107</v>
      </c>
      <c r="C247" s="38"/>
      <c r="D247" s="39" t="s">
        <v>55</v>
      </c>
      <c r="E247" s="38"/>
      <c r="F247" s="41"/>
      <c r="G247" s="62" t="s">
        <v>524</v>
      </c>
      <c r="H247" s="58" t="s">
        <v>567</v>
      </c>
      <c r="I247" s="38"/>
      <c r="J247" s="38"/>
      <c r="K247" s="46"/>
      <c r="L247" s="47"/>
      <c r="M247" s="84">
        <v>0.0036689814814814814</v>
      </c>
      <c r="N247" s="84">
        <v>0.006481481481481481</v>
      </c>
      <c r="O247" s="60">
        <f t="shared" si="29"/>
        <v>0.0028125</v>
      </c>
      <c r="P247" s="82">
        <v>43027.0</v>
      </c>
      <c r="Q247" s="61" t="str">
        <f t="shared" si="24"/>
        <v>https://www.youtube.com/embed/0uPW7Jf9y7o?start=317&amp;end=560&amp;autoplay=1</v>
      </c>
      <c r="R247" s="67" t="s">
        <v>61</v>
      </c>
      <c r="S247" s="67" t="s">
        <v>61</v>
      </c>
      <c r="T247" s="67" t="s">
        <v>61</v>
      </c>
      <c r="U247" s="53"/>
      <c r="V247" s="54"/>
      <c r="W247" s="85" t="s">
        <v>62</v>
      </c>
      <c r="X247" s="57"/>
      <c r="Y247" s="38"/>
      <c r="Z247" s="39" t="s">
        <v>568</v>
      </c>
      <c r="AH247" s="38"/>
      <c r="AI247" s="38"/>
      <c r="AJ247" s="38"/>
      <c r="AK247" s="38"/>
      <c r="AL247" s="38"/>
      <c r="AM247" s="38"/>
      <c r="AN247" s="38"/>
    </row>
    <row r="248">
      <c r="A248" s="39">
        <v>93.03</v>
      </c>
      <c r="B248" s="39" t="s">
        <v>107</v>
      </c>
      <c r="C248" s="38"/>
      <c r="D248" s="39" t="s">
        <v>55</v>
      </c>
      <c r="E248" s="38"/>
      <c r="F248" s="109"/>
      <c r="G248" s="62" t="s">
        <v>569</v>
      </c>
      <c r="H248" s="58" t="s">
        <v>570</v>
      </c>
      <c r="I248" s="38"/>
      <c r="J248" s="38"/>
      <c r="K248" s="46"/>
      <c r="L248" s="47"/>
      <c r="M248" s="84">
        <v>0.006493055555555556</v>
      </c>
      <c r="N248" s="84">
        <v>0.023842592592592592</v>
      </c>
      <c r="O248" s="60">
        <f t="shared" si="29"/>
        <v>0.01734953704</v>
      </c>
      <c r="P248" s="82">
        <v>43027.0</v>
      </c>
      <c r="Q248" s="61" t="str">
        <f t="shared" si="24"/>
        <v>https://www.youtube.com/embed/0uPW7Jf9y7o?start=561&amp;end=2060&amp;autoplay=1</v>
      </c>
      <c r="R248" s="67" t="s">
        <v>61</v>
      </c>
      <c r="S248" s="67" t="s">
        <v>61</v>
      </c>
      <c r="T248" s="67" t="s">
        <v>61</v>
      </c>
      <c r="U248" s="53"/>
      <c r="V248" s="54"/>
      <c r="W248" s="85" t="s">
        <v>62</v>
      </c>
      <c r="X248" s="57"/>
      <c r="Y248" s="38"/>
      <c r="Z248" s="39" t="s">
        <v>571</v>
      </c>
      <c r="AH248" s="38"/>
      <c r="AI248" s="38"/>
      <c r="AJ248" s="38"/>
      <c r="AK248" s="38"/>
      <c r="AL248" s="38"/>
      <c r="AM248" s="38"/>
      <c r="AN248" s="38"/>
    </row>
    <row r="249">
      <c r="A249" s="39">
        <v>93.04</v>
      </c>
      <c r="B249" s="39" t="s">
        <v>107</v>
      </c>
      <c r="C249" s="38"/>
      <c r="D249" s="39" t="s">
        <v>55</v>
      </c>
      <c r="E249" s="38"/>
      <c r="F249" s="109"/>
      <c r="G249" s="62" t="s">
        <v>572</v>
      </c>
      <c r="H249" s="58" t="s">
        <v>573</v>
      </c>
      <c r="I249" s="38"/>
      <c r="J249" s="38"/>
      <c r="K249" s="46"/>
      <c r="L249" s="47"/>
      <c r="M249" s="84">
        <v>0.024189814814814813</v>
      </c>
      <c r="N249" s="84">
        <v>0.029618055555555557</v>
      </c>
      <c r="O249" s="60">
        <f t="shared" si="29"/>
        <v>0.005428240741</v>
      </c>
      <c r="P249" s="82">
        <v>43027.0</v>
      </c>
      <c r="Q249" s="61" t="str">
        <f t="shared" si="24"/>
        <v>https://www.youtube.com/embed/0uPW7Jf9y7o?start=2090&amp;end=2559&amp;autoplay=1</v>
      </c>
      <c r="R249" s="67" t="s">
        <v>61</v>
      </c>
      <c r="S249" s="67" t="s">
        <v>91</v>
      </c>
      <c r="T249" s="67" t="s">
        <v>61</v>
      </c>
      <c r="U249" s="53"/>
      <c r="V249" s="54"/>
      <c r="W249" s="56"/>
      <c r="X249" s="57"/>
      <c r="Y249" s="38"/>
      <c r="Z249" s="38"/>
      <c r="AH249" s="38"/>
      <c r="AI249" s="38"/>
      <c r="AJ249" s="38"/>
      <c r="AK249" s="38"/>
      <c r="AL249" s="38"/>
      <c r="AM249" s="38"/>
      <c r="AN249" s="38"/>
    </row>
    <row r="250">
      <c r="A250" s="39">
        <v>93.05</v>
      </c>
      <c r="B250" s="39" t="s">
        <v>107</v>
      </c>
      <c r="C250" s="38"/>
      <c r="D250" s="39" t="s">
        <v>55</v>
      </c>
      <c r="E250" s="38"/>
      <c r="F250" s="109"/>
      <c r="G250" s="62" t="s">
        <v>576</v>
      </c>
      <c r="H250" s="58" t="s">
        <v>577</v>
      </c>
      <c r="I250" s="38"/>
      <c r="J250" s="38"/>
      <c r="K250" s="46"/>
      <c r="L250" s="47"/>
      <c r="M250" s="84">
        <v>0.029618055555555557</v>
      </c>
      <c r="N250" s="84">
        <v>0.03377314814814815</v>
      </c>
      <c r="O250" s="60">
        <f t="shared" si="29"/>
        <v>0.004155092593</v>
      </c>
      <c r="P250" s="82">
        <v>43027.0</v>
      </c>
      <c r="Q250" s="61" t="str">
        <f t="shared" si="24"/>
        <v>https://www.youtube.com/embed/0uPW7Jf9y7o?start=2559&amp;end=2918&amp;autoplay=1</v>
      </c>
      <c r="R250" s="67" t="s">
        <v>61</v>
      </c>
      <c r="S250" s="67" t="s">
        <v>61</v>
      </c>
      <c r="T250" s="67" t="s">
        <v>61</v>
      </c>
      <c r="U250" s="53"/>
      <c r="V250" s="54"/>
      <c r="W250" s="85" t="s">
        <v>62</v>
      </c>
      <c r="X250" s="57"/>
      <c r="Y250" s="38"/>
      <c r="Z250" s="38"/>
      <c r="AH250" s="38"/>
      <c r="AI250" s="38"/>
      <c r="AJ250" s="38"/>
      <c r="AK250" s="38"/>
      <c r="AL250" s="38"/>
      <c r="AM250" s="38"/>
      <c r="AN250" s="38"/>
    </row>
    <row r="251">
      <c r="A251" s="38">
        <v>94.0</v>
      </c>
      <c r="B251" s="39" t="s">
        <v>49</v>
      </c>
      <c r="C251" s="38"/>
      <c r="D251" s="39" t="s">
        <v>55</v>
      </c>
      <c r="E251" s="38" t="s">
        <v>489</v>
      </c>
      <c r="F251" s="41" t="s">
        <v>490</v>
      </c>
      <c r="G251" s="43"/>
      <c r="H251" s="45"/>
      <c r="I251" s="38"/>
      <c r="J251" s="38">
        <f>2.5*1000</f>
        <v>2500</v>
      </c>
      <c r="K251" s="46">
        <v>0.06649305555555556</v>
      </c>
      <c r="L251" s="47" t="s">
        <v>211</v>
      </c>
      <c r="M251" s="46"/>
      <c r="N251" s="46"/>
      <c r="O251" s="38"/>
      <c r="P251" s="89">
        <v>43010.0</v>
      </c>
      <c r="Q251" s="12" t="str">
        <f t="shared" si="24"/>
        <v/>
      </c>
      <c r="R251" s="50"/>
      <c r="S251" s="50"/>
      <c r="T251" s="50"/>
      <c r="U251" s="53"/>
      <c r="V251" s="54"/>
      <c r="W251" s="56"/>
      <c r="X251" s="119"/>
      <c r="Y251" s="113"/>
      <c r="Z251" s="113"/>
    </row>
    <row r="252">
      <c r="A252" s="120">
        <v>94.01</v>
      </c>
      <c r="B252" s="39" t="s">
        <v>49</v>
      </c>
      <c r="C252" s="38"/>
      <c r="D252" s="39" t="s">
        <v>55</v>
      </c>
      <c r="E252" s="113"/>
      <c r="F252" s="113"/>
      <c r="G252" s="112" t="s">
        <v>495</v>
      </c>
      <c r="H252" s="113"/>
      <c r="I252" s="113"/>
      <c r="J252" s="113"/>
      <c r="K252" s="46"/>
      <c r="L252" s="113"/>
      <c r="M252" s="46">
        <v>0.010462962962962962</v>
      </c>
      <c r="N252" s="46">
        <v>0.01642361111111111</v>
      </c>
      <c r="O252" s="60">
        <f t="shared" ref="O252:O261" si="30">N252-M252</f>
        <v>0.005960648148</v>
      </c>
      <c r="P252" s="114">
        <v>43010.0</v>
      </c>
      <c r="Q252" s="61" t="str">
        <f t="shared" si="24"/>
        <v>https://www.youtube.com/embed/fjD9BVlmPoA?start=904&amp;end=1419&amp;autoplay=1</v>
      </c>
      <c r="R252" s="115"/>
      <c r="S252" s="115"/>
      <c r="T252" s="115"/>
      <c r="U252" s="116"/>
      <c r="V252" s="117"/>
      <c r="W252" s="118"/>
      <c r="X252" s="119"/>
      <c r="Y252" s="113"/>
      <c r="Z252" s="113"/>
    </row>
    <row r="253">
      <c r="A253" s="120">
        <v>94.02</v>
      </c>
      <c r="B253" s="39" t="s">
        <v>49</v>
      </c>
      <c r="C253" s="38"/>
      <c r="D253" s="39" t="s">
        <v>55</v>
      </c>
      <c r="E253" s="113"/>
      <c r="F253" s="113"/>
      <c r="G253" s="112" t="s">
        <v>499</v>
      </c>
      <c r="H253" s="112" t="s">
        <v>500</v>
      </c>
      <c r="I253" s="113"/>
      <c r="J253" s="113"/>
      <c r="K253" s="46"/>
      <c r="L253" s="113"/>
      <c r="M253" s="46">
        <v>0.019780092592592592</v>
      </c>
      <c r="N253" s="46">
        <v>0.02141203703703704</v>
      </c>
      <c r="O253" s="60">
        <f t="shared" si="30"/>
        <v>0.001631944444</v>
      </c>
      <c r="P253" s="114">
        <v>43010.0</v>
      </c>
      <c r="Q253" s="61" t="str">
        <f t="shared" si="24"/>
        <v>https://www.youtube.com/embed/fjD9BVlmPoA?start=1709&amp;end=1850&amp;autoplay=1</v>
      </c>
      <c r="R253" s="115"/>
      <c r="S253" s="115"/>
      <c r="T253" s="115"/>
      <c r="U253" s="116"/>
      <c r="V253" s="117"/>
      <c r="W253" s="118"/>
      <c r="X253" s="119"/>
      <c r="Y253" s="113"/>
      <c r="Z253" s="113"/>
    </row>
    <row r="254">
      <c r="A254" s="120">
        <v>94.03</v>
      </c>
      <c r="B254" s="39" t="s">
        <v>49</v>
      </c>
      <c r="C254" s="38"/>
      <c r="D254" s="39" t="s">
        <v>55</v>
      </c>
      <c r="E254" s="113"/>
      <c r="F254" s="113"/>
      <c r="G254" s="112" t="s">
        <v>503</v>
      </c>
      <c r="H254" s="113"/>
      <c r="I254" s="113"/>
      <c r="J254" s="113"/>
      <c r="K254" s="46"/>
      <c r="L254" s="113"/>
      <c r="M254" s="46">
        <v>0.027141203703703702</v>
      </c>
      <c r="N254" s="46">
        <v>0.02824074074074074</v>
      </c>
      <c r="O254" s="60">
        <f t="shared" si="30"/>
        <v>0.001099537037</v>
      </c>
      <c r="P254" s="114">
        <v>43010.0</v>
      </c>
      <c r="Q254" s="61" t="str">
        <f t="shared" si="24"/>
        <v>https://www.youtube.com/embed/fjD9BVlmPoA?start=2345&amp;end=2440&amp;autoplay=1</v>
      </c>
      <c r="R254" s="115"/>
      <c r="S254" s="115"/>
      <c r="T254" s="115"/>
      <c r="U254" s="116"/>
      <c r="V254" s="117"/>
      <c r="W254" s="118"/>
      <c r="X254" s="119"/>
      <c r="Y254" s="113"/>
      <c r="Z254" s="113"/>
    </row>
    <row r="255">
      <c r="A255" s="120">
        <v>94.04</v>
      </c>
      <c r="B255" s="39" t="s">
        <v>49</v>
      </c>
      <c r="C255" s="38"/>
      <c r="D255" s="39" t="s">
        <v>55</v>
      </c>
      <c r="E255" s="113"/>
      <c r="F255" s="113"/>
      <c r="G255" s="112" t="s">
        <v>509</v>
      </c>
      <c r="H255" s="113"/>
      <c r="I255" s="113"/>
      <c r="J255" s="113"/>
      <c r="K255" s="46"/>
      <c r="L255" s="113"/>
      <c r="M255" s="46">
        <v>0.028356481481481483</v>
      </c>
      <c r="N255" s="46">
        <v>0.03321759259259259</v>
      </c>
      <c r="O255" s="60">
        <f t="shared" si="30"/>
        <v>0.004861111111</v>
      </c>
      <c r="P255" s="114">
        <v>43010.0</v>
      </c>
      <c r="Q255" s="61" t="str">
        <f t="shared" si="24"/>
        <v>https://www.youtube.com/embed/fjD9BVlmPoA?start=2450&amp;end=2870&amp;autoplay=1</v>
      </c>
      <c r="R255" s="115"/>
      <c r="S255" s="115"/>
      <c r="T255" s="115"/>
      <c r="U255" s="116"/>
      <c r="V255" s="117"/>
      <c r="W255" s="118"/>
      <c r="X255" s="119"/>
      <c r="Y255" s="113"/>
      <c r="Z255" s="113"/>
    </row>
    <row r="256">
      <c r="A256" s="120">
        <v>94.05</v>
      </c>
      <c r="B256" s="121" t="s">
        <v>49</v>
      </c>
      <c r="C256" s="38"/>
      <c r="D256" s="121" t="s">
        <v>55</v>
      </c>
      <c r="E256" s="113"/>
      <c r="F256" s="113"/>
      <c r="G256" s="112" t="s">
        <v>513</v>
      </c>
      <c r="H256" s="113"/>
      <c r="I256" s="113"/>
      <c r="J256" s="113"/>
      <c r="K256" s="46"/>
      <c r="L256" s="113"/>
      <c r="M256" s="46">
        <v>0.04090277777777778</v>
      </c>
      <c r="N256" s="46">
        <v>0.04605324074074074</v>
      </c>
      <c r="O256" s="60">
        <f t="shared" si="30"/>
        <v>0.005150462963</v>
      </c>
      <c r="P256" s="114">
        <v>43010.0</v>
      </c>
      <c r="Q256" s="61" t="str">
        <f t="shared" si="24"/>
        <v>https://www.youtube.com/embed/fjD9BVlmPoA?start=3534&amp;end=3979&amp;autoplay=1</v>
      </c>
      <c r="R256" s="115"/>
      <c r="S256" s="115"/>
      <c r="T256" s="115"/>
      <c r="U256" s="116"/>
      <c r="V256" s="117"/>
      <c r="W256" s="118"/>
      <c r="X256" s="119"/>
      <c r="Y256" s="113"/>
      <c r="Z256" s="113"/>
    </row>
    <row r="257">
      <c r="A257" s="120">
        <v>94.06</v>
      </c>
      <c r="B257" s="121" t="s">
        <v>49</v>
      </c>
      <c r="C257" s="38"/>
      <c r="D257" s="121" t="s">
        <v>55</v>
      </c>
      <c r="E257" s="113"/>
      <c r="F257" s="113"/>
      <c r="G257" s="112" t="s">
        <v>517</v>
      </c>
      <c r="H257" s="112" t="s">
        <v>518</v>
      </c>
      <c r="I257" s="113"/>
      <c r="J257" s="113"/>
      <c r="K257" s="46"/>
      <c r="L257" s="113"/>
      <c r="M257" s="46">
        <v>0.04722222222222222</v>
      </c>
      <c r="N257" s="46">
        <v>0.049421296296296297</v>
      </c>
      <c r="O257" s="60">
        <f t="shared" si="30"/>
        <v>0.002199074074</v>
      </c>
      <c r="P257" s="114">
        <v>43010.0</v>
      </c>
      <c r="Q257" s="61" t="str">
        <f t="shared" si="24"/>
        <v>https://www.youtube.com/embed/fjD9BVlmPoA?start=4080&amp;end=4270&amp;autoplay=1</v>
      </c>
      <c r="R257" s="115"/>
      <c r="S257" s="115"/>
      <c r="T257" s="115"/>
      <c r="U257" s="116"/>
      <c r="V257" s="117"/>
      <c r="W257" s="118"/>
      <c r="X257" s="119"/>
      <c r="Y257" s="113"/>
      <c r="Z257" s="113"/>
    </row>
    <row r="258">
      <c r="A258" s="120">
        <v>94.07</v>
      </c>
      <c r="B258" s="121" t="s">
        <v>49</v>
      </c>
      <c r="C258" s="38"/>
      <c r="D258" s="121" t="s">
        <v>55</v>
      </c>
      <c r="E258" s="113"/>
      <c r="F258" s="113"/>
      <c r="G258" s="112" t="s">
        <v>523</v>
      </c>
      <c r="H258" s="113"/>
      <c r="I258" s="113"/>
      <c r="J258" s="113"/>
      <c r="K258" s="46"/>
      <c r="L258" s="113"/>
      <c r="M258" s="46">
        <v>0.05219907407407407</v>
      </c>
      <c r="N258" s="46">
        <v>0.053703703703703705</v>
      </c>
      <c r="O258" s="60">
        <f t="shared" si="30"/>
        <v>0.00150462963</v>
      </c>
      <c r="P258" s="114">
        <v>43010.0</v>
      </c>
      <c r="Q258" s="61" t="str">
        <f t="shared" si="24"/>
        <v>https://www.youtube.com/embed/fjD9BVlmPoA?start=4510&amp;end=4640&amp;autoplay=1</v>
      </c>
      <c r="R258" s="115"/>
      <c r="S258" s="115"/>
      <c r="T258" s="115"/>
      <c r="U258" s="116"/>
      <c r="V258" s="117"/>
      <c r="W258" s="118"/>
      <c r="X258" s="119"/>
      <c r="Y258" s="113"/>
      <c r="Z258" s="113"/>
    </row>
    <row r="259">
      <c r="A259" s="120">
        <v>94.08</v>
      </c>
      <c r="B259" s="121" t="s">
        <v>49</v>
      </c>
      <c r="C259" s="38"/>
      <c r="D259" s="121" t="s">
        <v>55</v>
      </c>
      <c r="E259" s="113"/>
      <c r="F259" s="113"/>
      <c r="G259" s="112" t="s">
        <v>528</v>
      </c>
      <c r="H259" s="112" t="s">
        <v>529</v>
      </c>
      <c r="I259" s="113"/>
      <c r="J259" s="113"/>
      <c r="K259" s="46"/>
      <c r="L259" s="113"/>
      <c r="M259" s="46">
        <v>0.05376157407407407</v>
      </c>
      <c r="N259" s="46">
        <v>0.05649305555555555</v>
      </c>
      <c r="O259" s="60">
        <f t="shared" si="30"/>
        <v>0.002731481481</v>
      </c>
      <c r="P259" s="114">
        <v>43010.0</v>
      </c>
      <c r="Q259" s="61" t="str">
        <f t="shared" si="24"/>
        <v>https://www.youtube.com/embed/fjD9BVlmPoA?start=4645&amp;end=4881&amp;autoplay=1</v>
      </c>
      <c r="R259" s="115"/>
      <c r="S259" s="115"/>
      <c r="T259" s="115"/>
      <c r="U259" s="116"/>
      <c r="V259" s="117"/>
      <c r="W259" s="118"/>
      <c r="X259" s="119"/>
      <c r="Y259" s="113"/>
      <c r="Z259" s="113"/>
    </row>
    <row r="260">
      <c r="A260" s="120">
        <v>94.09</v>
      </c>
      <c r="B260" s="121" t="s">
        <v>49</v>
      </c>
      <c r="C260" s="38"/>
      <c r="D260" s="121" t="s">
        <v>55</v>
      </c>
      <c r="E260" s="113"/>
      <c r="F260" s="113"/>
      <c r="G260" s="112" t="s">
        <v>533</v>
      </c>
      <c r="H260" s="113"/>
      <c r="I260" s="113"/>
      <c r="J260" s="113"/>
      <c r="K260" s="46"/>
      <c r="L260" s="113"/>
      <c r="M260" s="46">
        <v>0.056539351851851855</v>
      </c>
      <c r="N260" s="46">
        <v>0.057060185185185186</v>
      </c>
      <c r="O260" s="60">
        <f t="shared" si="30"/>
        <v>0.0005208333333</v>
      </c>
      <c r="P260" s="114">
        <v>43010.0</v>
      </c>
      <c r="Q260" s="61" t="str">
        <f t="shared" si="24"/>
        <v>https://www.youtube.com/embed/fjD9BVlmPoA?start=4885&amp;end=4930&amp;autoplay=1</v>
      </c>
      <c r="R260" s="115"/>
      <c r="S260" s="115"/>
      <c r="T260" s="115"/>
      <c r="U260" s="116"/>
      <c r="V260" s="117"/>
      <c r="W260" s="118"/>
      <c r="X260" s="119"/>
      <c r="Y260" s="113"/>
      <c r="Z260" s="113"/>
    </row>
    <row r="261">
      <c r="A261" s="120">
        <v>94.1</v>
      </c>
      <c r="B261" s="121" t="s">
        <v>49</v>
      </c>
      <c r="C261" s="38"/>
      <c r="D261" s="121" t="s">
        <v>55</v>
      </c>
      <c r="E261" s="113"/>
      <c r="F261" s="113"/>
      <c r="G261" s="112" t="s">
        <v>539</v>
      </c>
      <c r="H261" s="113"/>
      <c r="I261" s="113"/>
      <c r="J261" s="113"/>
      <c r="K261" s="46"/>
      <c r="L261" s="113"/>
      <c r="M261" s="46">
        <v>0.05717592592592593</v>
      </c>
      <c r="N261" s="46">
        <v>0.06128472222222222</v>
      </c>
      <c r="O261" s="60">
        <f t="shared" si="30"/>
        <v>0.004108796296</v>
      </c>
      <c r="P261" s="114">
        <v>43010.0</v>
      </c>
      <c r="Q261" s="61" t="str">
        <f t="shared" si="24"/>
        <v>https://www.youtube.com/embed/fjD9BVlmPoA?start=4940&amp;end=5295&amp;autoplay=1</v>
      </c>
      <c r="R261" s="115"/>
      <c r="S261" s="115"/>
      <c r="T261" s="115"/>
      <c r="U261" s="116"/>
      <c r="V261" s="117"/>
      <c r="W261" s="118"/>
      <c r="X261" s="119"/>
      <c r="Y261" s="113"/>
      <c r="Z261" s="113"/>
    </row>
    <row r="262">
      <c r="A262" s="38">
        <v>95.0</v>
      </c>
      <c r="B262" s="38"/>
      <c r="C262" s="38"/>
      <c r="D262" s="38"/>
      <c r="E262" s="38" t="s">
        <v>582</v>
      </c>
      <c r="F262" s="41" t="s">
        <v>583</v>
      </c>
      <c r="G262" s="43"/>
      <c r="H262" s="45"/>
      <c r="I262" s="38"/>
      <c r="J262" s="38">
        <f>1.5*1000</f>
        <v>1500</v>
      </c>
      <c r="K262" s="46">
        <v>0.005902777777777778</v>
      </c>
      <c r="L262" s="47" t="s">
        <v>211</v>
      </c>
      <c r="M262" s="46"/>
      <c r="N262" s="46"/>
      <c r="O262" s="38"/>
      <c r="P262" s="38"/>
      <c r="Q262" s="12" t="str">
        <f t="shared" si="24"/>
        <v/>
      </c>
      <c r="R262" s="50"/>
      <c r="S262" s="50"/>
      <c r="T262" s="50"/>
      <c r="U262" s="53"/>
      <c r="V262" s="54"/>
      <c r="W262" s="56"/>
      <c r="X262" s="119"/>
      <c r="Y262" s="113"/>
      <c r="Z262" s="113"/>
    </row>
    <row r="263">
      <c r="A263" s="38">
        <v>96.0</v>
      </c>
      <c r="B263" s="38"/>
      <c r="C263" s="38"/>
      <c r="D263" s="38"/>
      <c r="E263" s="38" t="s">
        <v>589</v>
      </c>
      <c r="F263" s="41" t="s">
        <v>590</v>
      </c>
      <c r="G263" s="43"/>
      <c r="H263" s="45"/>
      <c r="I263" s="38"/>
      <c r="J263" s="38">
        <f>1.2*1000</f>
        <v>1200</v>
      </c>
      <c r="K263" s="46">
        <v>0.011655092592592594</v>
      </c>
      <c r="L263" s="47" t="s">
        <v>211</v>
      </c>
      <c r="M263" s="46"/>
      <c r="N263" s="46"/>
      <c r="O263" s="38"/>
      <c r="P263" s="38"/>
      <c r="Q263" s="12" t="str">
        <f t="shared" si="24"/>
        <v/>
      </c>
      <c r="R263" s="50"/>
      <c r="S263" s="50"/>
      <c r="T263" s="50"/>
      <c r="U263" s="53"/>
      <c r="V263" s="54"/>
      <c r="W263" s="56"/>
      <c r="X263" s="119"/>
      <c r="Y263" s="113"/>
      <c r="Z263" s="113"/>
    </row>
    <row r="264">
      <c r="A264" s="38">
        <v>97.0</v>
      </c>
      <c r="B264" s="38"/>
      <c r="C264" s="38"/>
      <c r="D264" s="38"/>
      <c r="E264" s="38" t="s">
        <v>596</v>
      </c>
      <c r="F264" s="41" t="s">
        <v>597</v>
      </c>
      <c r="G264" s="43"/>
      <c r="H264" s="45"/>
      <c r="I264" s="38"/>
      <c r="J264" s="38">
        <f>1.9*1000</f>
        <v>1900</v>
      </c>
      <c r="K264" s="46">
        <v>0.02108796296296296</v>
      </c>
      <c r="L264" s="47" t="s">
        <v>211</v>
      </c>
      <c r="M264" s="46"/>
      <c r="N264" s="46"/>
      <c r="O264" s="38"/>
      <c r="P264" s="38"/>
      <c r="Q264" s="12" t="str">
        <f t="shared" si="24"/>
        <v/>
      </c>
      <c r="R264" s="50"/>
      <c r="S264" s="50"/>
      <c r="T264" s="50"/>
      <c r="U264" s="53"/>
      <c r="V264" s="54"/>
      <c r="W264" s="56"/>
      <c r="X264" s="119"/>
      <c r="Y264" s="113"/>
      <c r="Z264" s="113"/>
    </row>
    <row r="265">
      <c r="A265" s="38">
        <v>98.0</v>
      </c>
      <c r="B265" s="38"/>
      <c r="C265" s="38"/>
      <c r="D265" s="38"/>
      <c r="E265" s="38" t="s">
        <v>603</v>
      </c>
      <c r="F265" s="41" t="s">
        <v>604</v>
      </c>
      <c r="G265" s="43"/>
      <c r="H265" s="45"/>
      <c r="I265" s="38"/>
      <c r="J265" s="38">
        <f>2.3*1000</f>
        <v>2300</v>
      </c>
      <c r="K265" s="46">
        <v>0.03446759259259259</v>
      </c>
      <c r="L265" s="47" t="s">
        <v>211</v>
      </c>
      <c r="M265" s="46"/>
      <c r="N265" s="46"/>
      <c r="O265" s="38"/>
      <c r="P265" s="38"/>
      <c r="Q265" s="12" t="str">
        <f t="shared" si="24"/>
        <v/>
      </c>
      <c r="R265" s="50"/>
      <c r="S265" s="50"/>
      <c r="T265" s="50"/>
      <c r="U265" s="53"/>
      <c r="V265" s="54"/>
      <c r="W265" s="56"/>
      <c r="X265" s="119"/>
      <c r="Y265" s="113"/>
      <c r="Z265" s="113"/>
    </row>
    <row r="266">
      <c r="A266" s="38">
        <v>99.0</v>
      </c>
      <c r="B266" s="38"/>
      <c r="C266" s="38"/>
      <c r="D266" s="38"/>
      <c r="E266" s="38" t="s">
        <v>607</v>
      </c>
      <c r="F266" s="41" t="s">
        <v>608</v>
      </c>
      <c r="G266" s="43"/>
      <c r="H266" s="45"/>
      <c r="I266" s="38"/>
      <c r="J266" s="38">
        <f>1.4*1000</f>
        <v>1400</v>
      </c>
      <c r="K266" s="46">
        <v>0.028483796296296295</v>
      </c>
      <c r="L266" s="47" t="s">
        <v>211</v>
      </c>
      <c r="M266" s="46"/>
      <c r="N266" s="46"/>
      <c r="O266" s="38"/>
      <c r="P266" s="38"/>
      <c r="Q266" s="12" t="str">
        <f t="shared" si="24"/>
        <v/>
      </c>
      <c r="R266" s="50"/>
      <c r="S266" s="50"/>
      <c r="T266" s="50"/>
      <c r="U266" s="53"/>
      <c r="V266" s="54"/>
      <c r="W266" s="56"/>
      <c r="X266" s="119"/>
      <c r="Y266" s="113"/>
      <c r="Z266" s="113"/>
    </row>
    <row r="267">
      <c r="A267" s="38">
        <v>100.0</v>
      </c>
      <c r="B267" s="38"/>
      <c r="C267" s="38"/>
      <c r="D267" s="38"/>
      <c r="E267" s="38" t="s">
        <v>610</v>
      </c>
      <c r="F267" s="41" t="s">
        <v>611</v>
      </c>
      <c r="G267" s="43"/>
      <c r="H267" s="45"/>
      <c r="I267" s="38"/>
      <c r="J267" s="38">
        <f>3.7*1000</f>
        <v>3700</v>
      </c>
      <c r="K267" s="46">
        <v>0.024837962962962964</v>
      </c>
      <c r="L267" s="47" t="s">
        <v>211</v>
      </c>
      <c r="M267" s="46"/>
      <c r="N267" s="46"/>
      <c r="O267" s="38"/>
      <c r="P267" s="38"/>
      <c r="Q267" s="12" t="str">
        <f t="shared" si="24"/>
        <v/>
      </c>
      <c r="R267" s="50"/>
      <c r="S267" s="50"/>
      <c r="T267" s="50"/>
      <c r="U267" s="53"/>
      <c r="V267" s="54"/>
      <c r="W267" s="56"/>
      <c r="X267" s="119"/>
      <c r="Y267" s="113"/>
      <c r="Z267" s="113"/>
    </row>
    <row r="268">
      <c r="A268" s="38">
        <v>101.0</v>
      </c>
      <c r="B268" s="38"/>
      <c r="C268" s="38"/>
      <c r="D268" s="38"/>
      <c r="E268" s="38" t="s">
        <v>612</v>
      </c>
      <c r="F268" s="41" t="s">
        <v>613</v>
      </c>
      <c r="G268" s="43"/>
      <c r="H268" s="45"/>
      <c r="I268" s="38"/>
      <c r="J268" s="38">
        <f>22*1000</f>
        <v>22000</v>
      </c>
      <c r="K268" s="46">
        <v>0.04587962962962963</v>
      </c>
      <c r="L268" s="47" t="s">
        <v>211</v>
      </c>
      <c r="M268" s="46"/>
      <c r="N268" s="46"/>
      <c r="O268" s="38"/>
      <c r="P268" s="38"/>
      <c r="Q268" s="12" t="str">
        <f t="shared" si="24"/>
        <v/>
      </c>
      <c r="R268" s="50"/>
      <c r="S268" s="50"/>
      <c r="T268" s="50"/>
      <c r="U268" s="53"/>
      <c r="V268" s="54"/>
      <c r="W268" s="56"/>
      <c r="X268" s="119"/>
      <c r="Y268" s="113"/>
      <c r="Z268" s="113"/>
    </row>
    <row r="269" ht="20.25" customHeight="1">
      <c r="A269" s="38">
        <v>102.0</v>
      </c>
      <c r="B269" s="39" t="s">
        <v>49</v>
      </c>
      <c r="C269" s="38"/>
      <c r="D269" s="39" t="s">
        <v>55</v>
      </c>
      <c r="E269" s="38" t="s">
        <v>298</v>
      </c>
      <c r="F269" s="41" t="s">
        <v>300</v>
      </c>
      <c r="G269" s="62" t="s">
        <v>303</v>
      </c>
      <c r="H269" s="58" t="s">
        <v>304</v>
      </c>
      <c r="I269" s="38"/>
      <c r="J269" s="38">
        <f>1.3*1000</f>
        <v>1300</v>
      </c>
      <c r="K269" s="46">
        <v>0.01199074074074074</v>
      </c>
      <c r="L269" s="47" t="s">
        <v>211</v>
      </c>
      <c r="M269" s="46"/>
      <c r="N269" s="46"/>
      <c r="O269" s="38"/>
      <c r="P269" s="114">
        <v>43007.0</v>
      </c>
      <c r="Q269" s="12" t="str">
        <f t="shared" si="24"/>
        <v/>
      </c>
      <c r="R269" s="67" t="s">
        <v>61</v>
      </c>
      <c r="S269" s="67" t="s">
        <v>61</v>
      </c>
      <c r="T269" s="67" t="s">
        <v>61</v>
      </c>
      <c r="U269" s="53"/>
      <c r="V269" s="54"/>
      <c r="W269" s="85" t="s">
        <v>62</v>
      </c>
      <c r="X269" s="122"/>
      <c r="Y269" s="112"/>
      <c r="Z269" s="112" t="s">
        <v>311</v>
      </c>
    </row>
    <row r="270">
      <c r="A270" s="38">
        <v>103.0</v>
      </c>
      <c r="B270" s="39" t="s">
        <v>49</v>
      </c>
      <c r="C270" s="38"/>
      <c r="D270" s="39" t="s">
        <v>55</v>
      </c>
      <c r="E270" s="38" t="s">
        <v>314</v>
      </c>
      <c r="F270" s="41" t="s">
        <v>315</v>
      </c>
      <c r="G270" s="43"/>
      <c r="H270" s="45"/>
      <c r="I270" s="38"/>
      <c r="J270" s="38">
        <f>7.9*1000</f>
        <v>7900</v>
      </c>
      <c r="K270" s="46">
        <v>0.0970023148148148</v>
      </c>
      <c r="L270" s="47" t="s">
        <v>211</v>
      </c>
      <c r="M270" s="46"/>
      <c r="N270" s="46"/>
      <c r="O270" s="38"/>
      <c r="P270" s="114">
        <v>43007.0</v>
      </c>
      <c r="Q270" s="12" t="str">
        <f t="shared" si="24"/>
        <v/>
      </c>
      <c r="R270" s="67" t="s">
        <v>61</v>
      </c>
      <c r="S270" s="67" t="s">
        <v>61</v>
      </c>
      <c r="T270" s="67" t="s">
        <v>61</v>
      </c>
      <c r="U270" s="53"/>
      <c r="V270" s="54"/>
      <c r="W270" s="85" t="s">
        <v>62</v>
      </c>
      <c r="X270" s="119"/>
      <c r="Y270" s="113"/>
      <c r="Z270" s="113"/>
    </row>
    <row r="271">
      <c r="A271" s="39">
        <v>103.01</v>
      </c>
      <c r="B271" s="39" t="s">
        <v>49</v>
      </c>
      <c r="C271" s="38"/>
      <c r="D271" s="39" t="s">
        <v>55</v>
      </c>
      <c r="E271" s="38"/>
      <c r="F271" s="43"/>
      <c r="G271" s="39" t="s">
        <v>320</v>
      </c>
      <c r="H271" s="71" t="s">
        <v>321</v>
      </c>
      <c r="I271" s="38"/>
      <c r="J271" s="38"/>
      <c r="K271" s="46"/>
      <c r="L271" s="47"/>
      <c r="M271" s="46">
        <v>2.8935185185185184E-4</v>
      </c>
      <c r="N271" s="46">
        <v>0.0030787037037037037</v>
      </c>
      <c r="O271" s="60">
        <f t="shared" ref="O271:O289" si="31">N271-M271</f>
        <v>0.002789351852</v>
      </c>
      <c r="P271" s="114">
        <v>43007.0</v>
      </c>
      <c r="Q271" s="61" t="str">
        <f t="shared" si="24"/>
        <v>https://www.youtube.com/embed/8RSu4ymCgp4?start=25&amp;end=266&amp;autoplay=1</v>
      </c>
      <c r="R271" s="67" t="s">
        <v>61</v>
      </c>
      <c r="S271" s="67" t="s">
        <v>61</v>
      </c>
      <c r="T271" s="67" t="s">
        <v>61</v>
      </c>
      <c r="U271" s="116"/>
      <c r="V271" s="117"/>
      <c r="W271" s="118"/>
      <c r="X271" s="119"/>
      <c r="Y271" s="113"/>
      <c r="Z271" s="113"/>
    </row>
    <row r="272">
      <c r="A272" s="39">
        <v>103.02</v>
      </c>
      <c r="B272" s="39" t="s">
        <v>49</v>
      </c>
      <c r="C272" s="38"/>
      <c r="D272" s="39" t="s">
        <v>55</v>
      </c>
      <c r="E272" s="38"/>
      <c r="F272" s="43"/>
      <c r="G272" s="39" t="s">
        <v>330</v>
      </c>
      <c r="H272" s="71" t="s">
        <v>2331</v>
      </c>
      <c r="I272" s="38"/>
      <c r="J272" s="38"/>
      <c r="K272" s="46"/>
      <c r="L272" s="47"/>
      <c r="M272" s="46">
        <v>0.015543981481481482</v>
      </c>
      <c r="N272" s="46">
        <v>0.022395833333333334</v>
      </c>
      <c r="O272" s="60">
        <f t="shared" si="31"/>
        <v>0.006851851852</v>
      </c>
      <c r="P272" s="114">
        <v>43007.0</v>
      </c>
      <c r="Q272" s="61" t="str">
        <f t="shared" si="24"/>
        <v>https://www.youtube.com/embed/8RSu4ymCgp4?start=1343&amp;end=1935&amp;autoplay=1</v>
      </c>
      <c r="R272" s="67" t="s">
        <v>61</v>
      </c>
      <c r="S272" s="67" t="s">
        <v>61</v>
      </c>
      <c r="T272" s="67" t="s">
        <v>61</v>
      </c>
      <c r="U272" s="116"/>
      <c r="V272" s="117"/>
      <c r="W272" s="118"/>
      <c r="X272" s="119"/>
      <c r="Y272" s="113"/>
      <c r="Z272" s="113"/>
    </row>
    <row r="273">
      <c r="A273" s="39">
        <v>103.03</v>
      </c>
      <c r="B273" s="39" t="s">
        <v>49</v>
      </c>
      <c r="C273" s="38"/>
      <c r="D273" s="39" t="s">
        <v>55</v>
      </c>
      <c r="E273" s="38"/>
      <c r="F273" s="43"/>
      <c r="G273" s="39" t="s">
        <v>337</v>
      </c>
      <c r="H273" s="71" t="s">
        <v>2334</v>
      </c>
      <c r="I273" s="38"/>
      <c r="J273" s="38"/>
      <c r="K273" s="46"/>
      <c r="L273" s="47"/>
      <c r="M273" s="46">
        <v>0.022453703703703705</v>
      </c>
      <c r="N273" s="46">
        <v>0.023206018518518518</v>
      </c>
      <c r="O273" s="60">
        <f t="shared" si="31"/>
        <v>0.0007523148148</v>
      </c>
      <c r="P273" s="114">
        <v>43007.0</v>
      </c>
      <c r="Q273" s="61" t="str">
        <f t="shared" si="24"/>
        <v>https://www.youtube.com/embed/8RSu4ymCgp4?start=1940&amp;end=2005&amp;autoplay=1</v>
      </c>
      <c r="R273" s="67" t="s">
        <v>61</v>
      </c>
      <c r="S273" s="67" t="s">
        <v>61</v>
      </c>
      <c r="T273" s="67" t="s">
        <v>61</v>
      </c>
      <c r="U273" s="116"/>
      <c r="V273" s="117"/>
      <c r="W273" s="118"/>
      <c r="X273" s="119"/>
      <c r="Y273" s="113"/>
      <c r="Z273" s="113"/>
    </row>
    <row r="274">
      <c r="A274" s="39">
        <v>103.04</v>
      </c>
      <c r="B274" s="39" t="s">
        <v>49</v>
      </c>
      <c r="C274" s="38"/>
      <c r="D274" s="39" t="s">
        <v>55</v>
      </c>
      <c r="E274" s="38"/>
      <c r="F274" s="43"/>
      <c r="G274" s="39" t="s">
        <v>342</v>
      </c>
      <c r="H274" s="71" t="s">
        <v>2337</v>
      </c>
      <c r="I274" s="38"/>
      <c r="J274" s="38"/>
      <c r="K274" s="46"/>
      <c r="L274" s="47"/>
      <c r="M274" s="46">
        <v>0.02326388888888889</v>
      </c>
      <c r="N274" s="46">
        <v>0.023958333333333335</v>
      </c>
      <c r="O274" s="60">
        <f t="shared" si="31"/>
        <v>0.0006944444444</v>
      </c>
      <c r="P274" s="114">
        <v>43007.0</v>
      </c>
      <c r="Q274" s="61" t="str">
        <f t="shared" si="24"/>
        <v>https://www.youtube.com/embed/8RSu4ymCgp4?start=2010&amp;end=2070&amp;autoplay=1</v>
      </c>
      <c r="R274" s="67" t="s">
        <v>61</v>
      </c>
      <c r="S274" s="67" t="s">
        <v>61</v>
      </c>
      <c r="T274" s="67" t="s">
        <v>61</v>
      </c>
      <c r="U274" s="116"/>
      <c r="V274" s="117"/>
      <c r="W274" s="118"/>
      <c r="X274" s="119"/>
      <c r="Y274" s="113"/>
      <c r="Z274" s="113"/>
    </row>
    <row r="275">
      <c r="A275" s="39">
        <v>103.05</v>
      </c>
      <c r="B275" s="39" t="s">
        <v>49</v>
      </c>
      <c r="C275" s="38"/>
      <c r="D275" s="39" t="s">
        <v>55</v>
      </c>
      <c r="E275" s="38"/>
      <c r="F275" s="43"/>
      <c r="G275" s="39" t="s">
        <v>345</v>
      </c>
      <c r="H275" s="71" t="s">
        <v>2342</v>
      </c>
      <c r="I275" s="38"/>
      <c r="J275" s="38"/>
      <c r="K275" s="46"/>
      <c r="L275" s="47"/>
      <c r="M275" s="46">
        <v>0.02400462962962963</v>
      </c>
      <c r="N275" s="46">
        <v>0.02537037037037037</v>
      </c>
      <c r="O275" s="60">
        <f t="shared" si="31"/>
        <v>0.001365740741</v>
      </c>
      <c r="P275" s="114">
        <v>43007.0</v>
      </c>
      <c r="Q275" s="61" t="str">
        <f t="shared" si="24"/>
        <v>https://www.youtube.com/embed/8RSu4ymCgp4?start=2074&amp;end=2192&amp;autoplay=1</v>
      </c>
      <c r="R275" s="67" t="s">
        <v>61</v>
      </c>
      <c r="S275" s="67" t="s">
        <v>61</v>
      </c>
      <c r="T275" s="67" t="s">
        <v>61</v>
      </c>
      <c r="U275" s="116"/>
      <c r="V275" s="117"/>
      <c r="W275" s="118"/>
      <c r="X275" s="119"/>
      <c r="Y275" s="113"/>
      <c r="Z275" s="113"/>
    </row>
    <row r="276">
      <c r="A276" s="39">
        <v>103.06</v>
      </c>
      <c r="B276" s="39" t="s">
        <v>49</v>
      </c>
      <c r="C276" s="38"/>
      <c r="D276" s="39" t="s">
        <v>55</v>
      </c>
      <c r="E276" s="38"/>
      <c r="F276" s="43"/>
      <c r="G276" s="39" t="s">
        <v>350</v>
      </c>
      <c r="H276" s="71" t="s">
        <v>2345</v>
      </c>
      <c r="I276" s="38"/>
      <c r="J276" s="38"/>
      <c r="K276" s="46"/>
      <c r="L276" s="47"/>
      <c r="M276" s="46">
        <v>0.02550925925925926</v>
      </c>
      <c r="N276" s="46">
        <v>0.02696759259259259</v>
      </c>
      <c r="O276" s="60">
        <f t="shared" si="31"/>
        <v>0.001458333333</v>
      </c>
      <c r="P276" s="114">
        <v>43007.0</v>
      </c>
      <c r="Q276" s="61" t="str">
        <f t="shared" si="24"/>
        <v>https://www.youtube.com/embed/8RSu4ymCgp4?start=2204&amp;end=2330&amp;autoplay=1</v>
      </c>
      <c r="R276" s="67" t="s">
        <v>61</v>
      </c>
      <c r="S276" s="67" t="s">
        <v>61</v>
      </c>
      <c r="T276" s="67" t="s">
        <v>61</v>
      </c>
      <c r="U276" s="116"/>
      <c r="V276" s="117"/>
      <c r="W276" s="118"/>
      <c r="X276" s="119"/>
      <c r="Y276" s="113"/>
      <c r="Z276" s="113"/>
    </row>
    <row r="277">
      <c r="A277" s="39">
        <v>103.07</v>
      </c>
      <c r="B277" s="39" t="s">
        <v>49</v>
      </c>
      <c r="C277" s="38"/>
      <c r="D277" s="39" t="s">
        <v>55</v>
      </c>
      <c r="E277" s="38"/>
      <c r="F277" s="43"/>
      <c r="G277" s="39" t="s">
        <v>355</v>
      </c>
      <c r="H277" s="71" t="s">
        <v>356</v>
      </c>
      <c r="I277" s="38"/>
      <c r="J277" s="38"/>
      <c r="K277" s="46"/>
      <c r="L277" s="47"/>
      <c r="M277" s="46">
        <v>0.027025462962962963</v>
      </c>
      <c r="N277" s="46">
        <v>0.02922453703703704</v>
      </c>
      <c r="O277" s="60">
        <f t="shared" si="31"/>
        <v>0.002199074074</v>
      </c>
      <c r="P277" s="114">
        <v>43007.0</v>
      </c>
      <c r="Q277" s="61" t="str">
        <f t="shared" si="24"/>
        <v>https://www.youtube.com/embed/8RSu4ymCgp4?start=2335&amp;end=2525&amp;autoplay=1</v>
      </c>
      <c r="R277" s="67" t="s">
        <v>61</v>
      </c>
      <c r="S277" s="67" t="s">
        <v>61</v>
      </c>
      <c r="T277" s="67" t="s">
        <v>61</v>
      </c>
      <c r="U277" s="116"/>
      <c r="V277" s="117"/>
      <c r="W277" s="118"/>
      <c r="X277" s="119"/>
      <c r="Y277" s="113"/>
      <c r="Z277" s="113"/>
    </row>
    <row r="278">
      <c r="A278" s="39">
        <v>103.08</v>
      </c>
      <c r="B278" s="39" t="s">
        <v>49</v>
      </c>
      <c r="C278" s="38"/>
      <c r="D278" s="39" t="s">
        <v>55</v>
      </c>
      <c r="E278" s="38"/>
      <c r="F278" s="43"/>
      <c r="G278" s="39" t="s">
        <v>359</v>
      </c>
      <c r="H278" s="71" t="s">
        <v>360</v>
      </c>
      <c r="I278" s="38"/>
      <c r="J278" s="38"/>
      <c r="K278" s="46"/>
      <c r="L278" s="47"/>
      <c r="M278" s="46">
        <v>0.02925925925925926</v>
      </c>
      <c r="N278" s="46">
        <v>0.029965277777777778</v>
      </c>
      <c r="O278" s="60">
        <f t="shared" si="31"/>
        <v>0.0007060185185</v>
      </c>
      <c r="P278" s="114">
        <v>43007.0</v>
      </c>
      <c r="Q278" s="61" t="str">
        <f t="shared" si="24"/>
        <v>https://www.youtube.com/embed/8RSu4ymCgp4?start=2528&amp;end=2589&amp;autoplay=1</v>
      </c>
      <c r="R278" s="67" t="s">
        <v>61</v>
      </c>
      <c r="S278" s="67" t="s">
        <v>61</v>
      </c>
      <c r="T278" s="67" t="s">
        <v>61</v>
      </c>
      <c r="U278" s="116"/>
      <c r="V278" s="117"/>
      <c r="W278" s="118"/>
      <c r="X278" s="119"/>
      <c r="Y278" s="113"/>
      <c r="Z278" s="113"/>
    </row>
    <row r="279">
      <c r="A279" s="39">
        <v>103.09</v>
      </c>
      <c r="B279" s="39" t="s">
        <v>49</v>
      </c>
      <c r="C279" s="38"/>
      <c r="D279" s="39" t="s">
        <v>55</v>
      </c>
      <c r="E279" s="38"/>
      <c r="F279" s="43"/>
      <c r="G279" s="39" t="s">
        <v>363</v>
      </c>
      <c r="H279" s="71" t="s">
        <v>2352</v>
      </c>
      <c r="I279" s="38"/>
      <c r="J279" s="38"/>
      <c r="K279" s="46"/>
      <c r="L279" s="47"/>
      <c r="M279" s="46">
        <v>0.030671296296296297</v>
      </c>
      <c r="N279" s="46">
        <v>0.032060185185185185</v>
      </c>
      <c r="O279" s="60">
        <f t="shared" si="31"/>
        <v>0.001388888889</v>
      </c>
      <c r="P279" s="114">
        <v>43007.0</v>
      </c>
      <c r="Q279" s="61" t="str">
        <f t="shared" si="24"/>
        <v>https://www.youtube.com/embed/8RSu4ymCgp4?start=2650&amp;end=2770&amp;autoplay=1</v>
      </c>
      <c r="R279" s="67" t="s">
        <v>61</v>
      </c>
      <c r="S279" s="67" t="s">
        <v>61</v>
      </c>
      <c r="T279" s="67" t="s">
        <v>61</v>
      </c>
      <c r="U279" s="116"/>
      <c r="V279" s="117"/>
      <c r="W279" s="118"/>
      <c r="X279" s="119"/>
      <c r="Y279" s="113"/>
      <c r="Z279" s="113"/>
    </row>
    <row r="280">
      <c r="A280" s="39">
        <v>103.1</v>
      </c>
      <c r="B280" s="39" t="s">
        <v>49</v>
      </c>
      <c r="C280" s="38"/>
      <c r="D280" s="39" t="s">
        <v>55</v>
      </c>
      <c r="E280" s="38"/>
      <c r="F280" s="43"/>
      <c r="G280" s="39" t="s">
        <v>367</v>
      </c>
      <c r="H280" s="71" t="s">
        <v>2355</v>
      </c>
      <c r="I280" s="38"/>
      <c r="J280" s="38"/>
      <c r="K280" s="46"/>
      <c r="L280" s="47"/>
      <c r="M280" s="46">
        <v>0.03217592592592593</v>
      </c>
      <c r="N280" s="46">
        <v>0.03726851851851852</v>
      </c>
      <c r="O280" s="60">
        <f t="shared" si="31"/>
        <v>0.005092592593</v>
      </c>
      <c r="P280" s="114">
        <v>43007.0</v>
      </c>
      <c r="Q280" s="61" t="str">
        <f t="shared" si="24"/>
        <v>https://www.youtube.com/embed/8RSu4ymCgp4?start=2780&amp;end=3220&amp;autoplay=1</v>
      </c>
      <c r="R280" s="67" t="s">
        <v>61</v>
      </c>
      <c r="S280" s="67" t="s">
        <v>61</v>
      </c>
      <c r="T280" s="67" t="s">
        <v>61</v>
      </c>
      <c r="U280" s="116"/>
      <c r="V280" s="117"/>
      <c r="W280" s="118"/>
      <c r="X280" s="119"/>
      <c r="Y280" s="113"/>
      <c r="Z280" s="113"/>
    </row>
    <row r="281">
      <c r="A281" s="39">
        <v>103.11</v>
      </c>
      <c r="B281" s="39" t="s">
        <v>49</v>
      </c>
      <c r="C281" s="38"/>
      <c r="D281" s="39" t="s">
        <v>55</v>
      </c>
      <c r="E281" s="38"/>
      <c r="F281" s="43"/>
      <c r="G281" s="39" t="s">
        <v>372</v>
      </c>
      <c r="H281" s="12"/>
      <c r="I281" s="38"/>
      <c r="J281" s="38"/>
      <c r="K281" s="46"/>
      <c r="L281" s="47"/>
      <c r="M281" s="46">
        <v>0.037731481481481484</v>
      </c>
      <c r="N281" s="46">
        <v>0.03923611111111111</v>
      </c>
      <c r="O281" s="60">
        <f t="shared" si="31"/>
        <v>0.00150462963</v>
      </c>
      <c r="P281" s="114">
        <v>43007.0</v>
      </c>
      <c r="Q281" s="61" t="str">
        <f t="shared" si="24"/>
        <v>https://www.youtube.com/embed/8RSu4ymCgp4?start=3260&amp;end=3390&amp;autoplay=1</v>
      </c>
      <c r="R281" s="67" t="s">
        <v>61</v>
      </c>
      <c r="S281" s="67" t="s">
        <v>61</v>
      </c>
      <c r="T281" s="67" t="s">
        <v>61</v>
      </c>
      <c r="U281" s="116"/>
      <c r="V281" s="117"/>
      <c r="W281" s="118"/>
      <c r="X281" s="119"/>
      <c r="Y281" s="113"/>
      <c r="Z281" s="113"/>
    </row>
    <row r="282">
      <c r="A282" s="39">
        <v>103.12</v>
      </c>
      <c r="B282" s="39" t="s">
        <v>49</v>
      </c>
      <c r="C282" s="38"/>
      <c r="D282" s="39" t="s">
        <v>55</v>
      </c>
      <c r="E282" s="38"/>
      <c r="F282" s="43"/>
      <c r="G282" s="39" t="s">
        <v>377</v>
      </c>
      <c r="H282" s="12"/>
      <c r="I282" s="38"/>
      <c r="J282" s="38"/>
      <c r="K282" s="46"/>
      <c r="L282" s="47"/>
      <c r="M282" s="46">
        <v>0.03931712962962963</v>
      </c>
      <c r="N282" s="46">
        <v>0.04131944444444444</v>
      </c>
      <c r="O282" s="60">
        <f t="shared" si="31"/>
        <v>0.002002314815</v>
      </c>
      <c r="P282" s="114">
        <v>43007.0</v>
      </c>
      <c r="Q282" s="61" t="str">
        <f t="shared" si="24"/>
        <v>https://www.youtube.com/embed/8RSu4ymCgp4?start=3397&amp;end=3570&amp;autoplay=1</v>
      </c>
      <c r="R282" s="67" t="s">
        <v>61</v>
      </c>
      <c r="S282" s="67" t="s">
        <v>61</v>
      </c>
      <c r="T282" s="67" t="s">
        <v>61</v>
      </c>
      <c r="U282" s="116"/>
      <c r="V282" s="117"/>
      <c r="W282" s="118"/>
      <c r="X282" s="119"/>
      <c r="Y282" s="113"/>
      <c r="Z282" s="113"/>
    </row>
    <row r="283">
      <c r="A283" s="39">
        <v>103.13</v>
      </c>
      <c r="B283" s="39" t="s">
        <v>49</v>
      </c>
      <c r="C283" s="38"/>
      <c r="D283" s="39" t="s">
        <v>55</v>
      </c>
      <c r="E283" s="38"/>
      <c r="F283" s="43"/>
      <c r="G283" s="39" t="s">
        <v>381</v>
      </c>
      <c r="H283" s="12"/>
      <c r="I283" s="38"/>
      <c r="J283" s="38"/>
      <c r="K283" s="46"/>
      <c r="L283" s="47"/>
      <c r="M283" s="46">
        <v>0.04141203703703704</v>
      </c>
      <c r="N283" s="46">
        <v>0.041666666666666664</v>
      </c>
      <c r="O283" s="60">
        <f t="shared" si="31"/>
        <v>0.0002546296296</v>
      </c>
      <c r="P283" s="114">
        <v>43007.0</v>
      </c>
      <c r="Q283" s="61" t="str">
        <f t="shared" si="24"/>
        <v>https://www.youtube.com/embed/8RSu4ymCgp4?start=3578&amp;end=3600&amp;autoplay=1</v>
      </c>
      <c r="R283" s="67" t="s">
        <v>61</v>
      </c>
      <c r="S283" s="67" t="s">
        <v>61</v>
      </c>
      <c r="T283" s="67" t="s">
        <v>61</v>
      </c>
      <c r="U283" s="116"/>
      <c r="V283" s="117"/>
      <c r="W283" s="118"/>
      <c r="X283" s="119"/>
      <c r="Y283" s="113"/>
      <c r="Z283" s="113"/>
    </row>
    <row r="284">
      <c r="A284" s="39">
        <v>103.14</v>
      </c>
      <c r="B284" s="39" t="s">
        <v>49</v>
      </c>
      <c r="C284" s="38"/>
      <c r="D284" s="39" t="s">
        <v>55</v>
      </c>
      <c r="E284" s="38"/>
      <c r="F284" s="43"/>
      <c r="G284" s="39" t="s">
        <v>385</v>
      </c>
      <c r="H284" s="71" t="s">
        <v>387</v>
      </c>
      <c r="I284" s="38"/>
      <c r="J284" s="38"/>
      <c r="K284" s="46"/>
      <c r="L284" s="47"/>
      <c r="M284" s="46">
        <v>0.043402777777777776</v>
      </c>
      <c r="N284" s="46">
        <v>0.05023148148148148</v>
      </c>
      <c r="O284" s="60">
        <f t="shared" si="31"/>
        <v>0.006828703704</v>
      </c>
      <c r="P284" s="114">
        <v>43007.0</v>
      </c>
      <c r="Q284" s="61" t="str">
        <f t="shared" si="24"/>
        <v>https://www.youtube.com/embed/8RSu4ymCgp4?start=3750&amp;end=4340&amp;autoplay=1</v>
      </c>
      <c r="R284" s="67" t="s">
        <v>61</v>
      </c>
      <c r="S284" s="67" t="s">
        <v>61</v>
      </c>
      <c r="T284" s="67" t="s">
        <v>61</v>
      </c>
      <c r="U284" s="116"/>
      <c r="V284" s="117"/>
      <c r="W284" s="118"/>
      <c r="X284" s="119"/>
      <c r="Y284" s="113"/>
      <c r="Z284" s="113"/>
    </row>
    <row r="285">
      <c r="A285" s="39">
        <v>103.15</v>
      </c>
      <c r="B285" s="39" t="s">
        <v>49</v>
      </c>
      <c r="C285" s="38"/>
      <c r="D285" s="39" t="s">
        <v>55</v>
      </c>
      <c r="E285" s="38"/>
      <c r="F285" s="43"/>
      <c r="G285" s="39" t="s">
        <v>391</v>
      </c>
      <c r="H285" s="12"/>
      <c r="I285" s="38"/>
      <c r="J285" s="38"/>
      <c r="K285" s="46"/>
      <c r="L285" s="47"/>
      <c r="M285" s="46">
        <v>0.05298611111111111</v>
      </c>
      <c r="N285" s="46">
        <v>0.054282407407407404</v>
      </c>
      <c r="O285" s="60">
        <f t="shared" si="31"/>
        <v>0.001296296296</v>
      </c>
      <c r="P285" s="114">
        <v>43007.0</v>
      </c>
      <c r="Q285" s="61" t="str">
        <f t="shared" si="24"/>
        <v>https://www.youtube.com/embed/8RSu4ymCgp4?start=4578&amp;end=4690&amp;autoplay=1</v>
      </c>
      <c r="R285" s="67" t="s">
        <v>61</v>
      </c>
      <c r="S285" s="67" t="s">
        <v>61</v>
      </c>
      <c r="T285" s="67" t="s">
        <v>61</v>
      </c>
      <c r="U285" s="116"/>
      <c r="V285" s="117"/>
      <c r="W285" s="118"/>
      <c r="X285" s="119"/>
      <c r="Y285" s="113"/>
      <c r="Z285" s="113"/>
    </row>
    <row r="286">
      <c r="A286" s="39">
        <v>103.16</v>
      </c>
      <c r="B286" s="39" t="s">
        <v>49</v>
      </c>
      <c r="C286" s="38"/>
      <c r="D286" s="39" t="s">
        <v>55</v>
      </c>
      <c r="E286" s="38"/>
      <c r="F286" s="38"/>
      <c r="G286" s="39" t="s">
        <v>393</v>
      </c>
      <c r="H286" s="71" t="s">
        <v>395</v>
      </c>
      <c r="I286" s="38"/>
      <c r="J286" s="38"/>
      <c r="K286" s="46"/>
      <c r="L286" s="47"/>
      <c r="M286" s="46">
        <v>0.05439814814814815</v>
      </c>
      <c r="N286" s="46">
        <v>0.05543981481481482</v>
      </c>
      <c r="O286" s="60">
        <f t="shared" si="31"/>
        <v>0.001041666667</v>
      </c>
      <c r="P286" s="114">
        <v>43007.0</v>
      </c>
      <c r="Q286" s="61" t="str">
        <f t="shared" si="24"/>
        <v>https://www.youtube.com/embed/8RSu4ymCgp4?start=4700&amp;end=4790&amp;autoplay=1</v>
      </c>
      <c r="R286" s="67" t="s">
        <v>61</v>
      </c>
      <c r="S286" s="67" t="s">
        <v>61</v>
      </c>
      <c r="T286" s="67" t="s">
        <v>61</v>
      </c>
      <c r="U286" s="116"/>
      <c r="V286" s="117"/>
      <c r="W286" s="118"/>
      <c r="X286" s="119"/>
      <c r="Y286" s="113"/>
      <c r="Z286" s="113"/>
    </row>
    <row r="287">
      <c r="A287" s="39">
        <v>103.17</v>
      </c>
      <c r="B287" s="39" t="s">
        <v>49</v>
      </c>
      <c r="C287" s="38"/>
      <c r="D287" s="39" t="s">
        <v>55</v>
      </c>
      <c r="E287" s="113"/>
      <c r="F287" s="113"/>
      <c r="G287" s="112" t="s">
        <v>400</v>
      </c>
      <c r="H287" s="113"/>
      <c r="I287" s="113"/>
      <c r="J287" s="113"/>
      <c r="K287" s="46"/>
      <c r="L287" s="113"/>
      <c r="M287" s="46">
        <v>0.059444444444444446</v>
      </c>
      <c r="N287" s="46">
        <v>0.06527777777777778</v>
      </c>
      <c r="O287" s="60">
        <f t="shared" si="31"/>
        <v>0.005833333333</v>
      </c>
      <c r="P287" s="114">
        <v>43007.0</v>
      </c>
      <c r="Q287" s="61" t="str">
        <f t="shared" si="24"/>
        <v>https://www.youtube.com/embed/8RSu4ymCgp4?start=5136&amp;end=5640&amp;autoplay=1</v>
      </c>
      <c r="R287" s="67" t="s">
        <v>61</v>
      </c>
      <c r="S287" s="67" t="s">
        <v>61</v>
      </c>
      <c r="T287" s="67" t="s">
        <v>61</v>
      </c>
      <c r="U287" s="116"/>
      <c r="V287" s="117"/>
      <c r="W287" s="118"/>
      <c r="X287" s="119"/>
      <c r="Y287" s="113"/>
      <c r="Z287" s="113"/>
    </row>
    <row r="288">
      <c r="A288" s="39">
        <v>103.18</v>
      </c>
      <c r="B288" s="39" t="s">
        <v>49</v>
      </c>
      <c r="C288" s="38"/>
      <c r="D288" s="39" t="s">
        <v>55</v>
      </c>
      <c r="E288" s="113"/>
      <c r="F288" s="113"/>
      <c r="G288" s="112" t="s">
        <v>403</v>
      </c>
      <c r="H288" s="113"/>
      <c r="I288" s="113"/>
      <c r="J288" s="113"/>
      <c r="K288" s="46"/>
      <c r="L288" s="113"/>
      <c r="M288" s="46">
        <v>0.07060185185185185</v>
      </c>
      <c r="N288" s="46">
        <v>0.07157407407407407</v>
      </c>
      <c r="O288" s="60">
        <f t="shared" si="31"/>
        <v>0.0009722222222</v>
      </c>
      <c r="P288" s="114">
        <v>43007.0</v>
      </c>
      <c r="Q288" s="61" t="str">
        <f t="shared" si="24"/>
        <v>https://www.youtube.com/embed/8RSu4ymCgp4?start=6100&amp;end=6184&amp;autoplay=1</v>
      </c>
      <c r="R288" s="67" t="s">
        <v>61</v>
      </c>
      <c r="S288" s="67" t="s">
        <v>61</v>
      </c>
      <c r="T288" s="67" t="s">
        <v>61</v>
      </c>
      <c r="U288" s="116"/>
      <c r="V288" s="117"/>
      <c r="W288" s="118"/>
      <c r="X288" s="119"/>
      <c r="Y288" s="113"/>
      <c r="Z288" s="113"/>
    </row>
    <row r="289">
      <c r="A289" s="39">
        <v>103.19</v>
      </c>
      <c r="B289" s="39" t="s">
        <v>49</v>
      </c>
      <c r="C289" s="38"/>
      <c r="D289" s="39" t="s">
        <v>55</v>
      </c>
      <c r="E289" s="113"/>
      <c r="F289" s="113"/>
      <c r="G289" s="112" t="s">
        <v>406</v>
      </c>
      <c r="H289" s="113"/>
      <c r="I289" s="113"/>
      <c r="J289" s="113"/>
      <c r="K289" s="46"/>
      <c r="L289" s="113"/>
      <c r="M289" s="46">
        <v>0.08223379629629629</v>
      </c>
      <c r="N289" s="46">
        <v>0.08685185185185185</v>
      </c>
      <c r="O289" s="60">
        <f t="shared" si="31"/>
        <v>0.004618055556</v>
      </c>
      <c r="P289" s="114">
        <v>43008.0</v>
      </c>
      <c r="Q289" s="61" t="str">
        <f t="shared" si="24"/>
        <v>https://www.youtube.com/embed/8RSu4ymCgp4?start=7105&amp;end=7504&amp;autoplay=1</v>
      </c>
      <c r="R289" s="67" t="s">
        <v>61</v>
      </c>
      <c r="S289" s="67" t="s">
        <v>61</v>
      </c>
      <c r="T289" s="67" t="s">
        <v>61</v>
      </c>
      <c r="U289" s="116"/>
      <c r="V289" s="117"/>
      <c r="W289" s="118"/>
      <c r="X289" s="119"/>
      <c r="Y289" s="113"/>
      <c r="Z289" s="113"/>
    </row>
    <row r="290">
      <c r="A290" s="38">
        <v>104.0</v>
      </c>
      <c r="B290" s="63" t="s">
        <v>107</v>
      </c>
      <c r="C290" s="51"/>
      <c r="D290" s="39" t="s">
        <v>55</v>
      </c>
      <c r="E290" s="38" t="s">
        <v>579</v>
      </c>
      <c r="F290" s="41" t="s">
        <v>580</v>
      </c>
      <c r="G290" s="43"/>
      <c r="H290" s="45"/>
      <c r="I290" s="38"/>
      <c r="J290" s="38">
        <f>4*1000</f>
        <v>4000</v>
      </c>
      <c r="K290" s="46">
        <v>0.023530092592592592</v>
      </c>
      <c r="L290" s="47" t="s">
        <v>211</v>
      </c>
      <c r="M290" s="48"/>
      <c r="N290" s="48"/>
      <c r="O290" s="46"/>
      <c r="P290" s="38"/>
      <c r="Q290" s="12" t="str">
        <f t="shared" si="24"/>
        <v/>
      </c>
      <c r="R290" s="42"/>
      <c r="S290" s="42"/>
      <c r="T290" s="42"/>
      <c r="U290" s="51"/>
      <c r="V290" s="52"/>
      <c r="W290" s="55"/>
      <c r="X290" s="57"/>
      <c r="Y290" s="106"/>
      <c r="Z290" s="106"/>
      <c r="AA290" s="106"/>
      <c r="AB290" s="106"/>
      <c r="AH290" s="38"/>
      <c r="AI290" s="38"/>
      <c r="AJ290" s="38"/>
      <c r="AK290" s="38"/>
      <c r="AL290" s="38"/>
      <c r="AM290" s="38"/>
      <c r="AN290" s="38"/>
    </row>
    <row r="291">
      <c r="A291" s="39">
        <v>104.01</v>
      </c>
      <c r="B291" s="63" t="s">
        <v>107</v>
      </c>
      <c r="C291" s="38"/>
      <c r="D291" s="39" t="s">
        <v>55</v>
      </c>
      <c r="E291" s="38"/>
      <c r="F291" s="109"/>
      <c r="G291" s="62" t="s">
        <v>584</v>
      </c>
      <c r="H291" s="58" t="s">
        <v>585</v>
      </c>
      <c r="I291" s="38"/>
      <c r="J291" s="38"/>
      <c r="K291" s="46"/>
      <c r="L291" s="47"/>
      <c r="M291" s="84">
        <v>0.0012152777777777778</v>
      </c>
      <c r="N291" s="84">
        <v>0.010671296296296297</v>
      </c>
      <c r="O291" s="60">
        <f t="shared" ref="O291:O294" si="32">N291-M291</f>
        <v>0.009456018519</v>
      </c>
      <c r="P291" s="82">
        <v>43028.0</v>
      </c>
      <c r="Q291" s="61" t="str">
        <f t="shared" si="24"/>
        <v>https://www.youtube.com/embed/MOkWSa69NKA?start=105&amp;end=922&amp;autoplay=1</v>
      </c>
      <c r="R291" s="67" t="s">
        <v>61</v>
      </c>
      <c r="S291" s="67" t="s">
        <v>91</v>
      </c>
      <c r="T291" s="67" t="s">
        <v>61</v>
      </c>
      <c r="U291" s="53"/>
      <c r="V291" s="54"/>
      <c r="W291" s="85" t="s">
        <v>62</v>
      </c>
      <c r="X291" s="57"/>
      <c r="Y291" s="38"/>
      <c r="Z291" s="39" t="s">
        <v>587</v>
      </c>
      <c r="AH291" s="38"/>
      <c r="AI291" s="38"/>
      <c r="AJ291" s="38"/>
      <c r="AK291" s="38"/>
      <c r="AL291" s="38"/>
      <c r="AM291" s="38"/>
      <c r="AN291" s="38"/>
    </row>
    <row r="292">
      <c r="A292" s="39">
        <v>104.02</v>
      </c>
      <c r="B292" s="63" t="s">
        <v>107</v>
      </c>
      <c r="C292" s="38"/>
      <c r="D292" s="39" t="s">
        <v>55</v>
      </c>
      <c r="E292" s="38"/>
      <c r="F292" s="109"/>
      <c r="G292" s="62" t="s">
        <v>588</v>
      </c>
      <c r="H292" s="58" t="s">
        <v>591</v>
      </c>
      <c r="I292" s="38"/>
      <c r="J292" s="38"/>
      <c r="K292" s="46"/>
      <c r="L292" s="47"/>
      <c r="M292" s="84">
        <v>0.01068287037037037</v>
      </c>
      <c r="N292" s="84">
        <v>0.011597222222222222</v>
      </c>
      <c r="O292" s="60">
        <f t="shared" si="32"/>
        <v>0.0009143518519</v>
      </c>
      <c r="P292" s="82">
        <v>43028.0</v>
      </c>
      <c r="Q292" s="61" t="str">
        <f t="shared" si="24"/>
        <v>https://www.youtube.com/embed/MOkWSa69NKA?start=923&amp;end=1002&amp;autoplay=1</v>
      </c>
      <c r="R292" s="67" t="s">
        <v>61</v>
      </c>
      <c r="S292" s="67" t="s">
        <v>91</v>
      </c>
      <c r="T292" s="67" t="s">
        <v>61</v>
      </c>
      <c r="U292" s="53"/>
      <c r="V292" s="54"/>
      <c r="W292" s="85" t="s">
        <v>62</v>
      </c>
      <c r="X292" s="57"/>
      <c r="Y292" s="38"/>
      <c r="Z292" s="39" t="s">
        <v>593</v>
      </c>
      <c r="AH292" s="38"/>
      <c r="AI292" s="38"/>
      <c r="AJ292" s="38"/>
      <c r="AK292" s="38"/>
      <c r="AL292" s="38"/>
      <c r="AM292" s="38"/>
      <c r="AN292" s="38"/>
    </row>
    <row r="293">
      <c r="A293" s="39">
        <v>104.03</v>
      </c>
      <c r="B293" s="63" t="s">
        <v>107</v>
      </c>
      <c r="C293" s="38"/>
      <c r="D293" s="39" t="s">
        <v>55</v>
      </c>
      <c r="E293" s="38"/>
      <c r="F293" s="109"/>
      <c r="G293" s="58" t="s">
        <v>594</v>
      </c>
      <c r="H293" s="58" t="s">
        <v>595</v>
      </c>
      <c r="I293" s="38"/>
      <c r="J293" s="38"/>
      <c r="K293" s="46"/>
      <c r="L293" s="47"/>
      <c r="M293" s="84">
        <v>0.011608796296296296</v>
      </c>
      <c r="N293" s="84">
        <v>0.01476851851851852</v>
      </c>
      <c r="O293" s="60">
        <f t="shared" si="32"/>
        <v>0.003159722222</v>
      </c>
      <c r="P293" s="82">
        <v>43028.0</v>
      </c>
      <c r="Q293" s="61" t="str">
        <f t="shared" si="24"/>
        <v>https://www.youtube.com/embed/MOkWSa69NKA?start=1003&amp;end=1276&amp;autoplay=1</v>
      </c>
      <c r="R293" s="67" t="s">
        <v>61</v>
      </c>
      <c r="S293" s="67" t="s">
        <v>91</v>
      </c>
      <c r="T293" s="67" t="s">
        <v>61</v>
      </c>
      <c r="U293" s="53"/>
      <c r="V293" s="54"/>
      <c r="W293" s="85" t="s">
        <v>62</v>
      </c>
      <c r="X293" s="57"/>
      <c r="Y293" s="38"/>
      <c r="Z293" s="39" t="s">
        <v>593</v>
      </c>
      <c r="AH293" s="38"/>
      <c r="AI293" s="38"/>
      <c r="AJ293" s="38"/>
      <c r="AK293" s="38"/>
      <c r="AL293" s="38"/>
      <c r="AM293" s="38"/>
      <c r="AN293" s="38"/>
    </row>
    <row r="294">
      <c r="A294" s="39">
        <v>104.04</v>
      </c>
      <c r="B294" s="63" t="s">
        <v>107</v>
      </c>
      <c r="C294" s="38"/>
      <c r="D294" s="39" t="s">
        <v>55</v>
      </c>
      <c r="E294" s="38"/>
      <c r="F294" s="41"/>
      <c r="G294" s="62" t="s">
        <v>599</v>
      </c>
      <c r="H294" s="58" t="s">
        <v>600</v>
      </c>
      <c r="I294" s="38"/>
      <c r="J294" s="38"/>
      <c r="K294" s="46"/>
      <c r="L294" s="47"/>
      <c r="M294" s="84">
        <v>0.014780092592592593</v>
      </c>
      <c r="N294" s="84">
        <v>0.019710648148148147</v>
      </c>
      <c r="O294" s="60">
        <f t="shared" si="32"/>
        <v>0.004930555556</v>
      </c>
      <c r="P294" s="82">
        <v>43028.0</v>
      </c>
      <c r="Q294" s="61" t="str">
        <f t="shared" si="24"/>
        <v>https://www.youtube.com/embed/MOkWSa69NKA?start=1277&amp;end=1703&amp;autoplay=1</v>
      </c>
      <c r="R294" s="67" t="s">
        <v>61</v>
      </c>
      <c r="S294" s="67" t="s">
        <v>91</v>
      </c>
      <c r="T294" s="67" t="s">
        <v>61</v>
      </c>
      <c r="U294" s="53"/>
      <c r="V294" s="54"/>
      <c r="W294" s="85" t="s">
        <v>62</v>
      </c>
      <c r="X294" s="57"/>
      <c r="Y294" s="38"/>
      <c r="Z294" s="39" t="s">
        <v>601</v>
      </c>
      <c r="AH294" s="38"/>
      <c r="AI294" s="38"/>
      <c r="AJ294" s="38"/>
      <c r="AK294" s="38"/>
      <c r="AL294" s="38"/>
      <c r="AM294" s="38"/>
      <c r="AN294" s="38"/>
    </row>
    <row r="295">
      <c r="A295" s="38">
        <v>105.0</v>
      </c>
      <c r="B295" s="38"/>
      <c r="C295" s="38"/>
      <c r="D295" s="38"/>
      <c r="E295" s="38" t="s">
        <v>605</v>
      </c>
      <c r="F295" s="41" t="s">
        <v>606</v>
      </c>
      <c r="G295" s="43"/>
      <c r="H295" s="45"/>
      <c r="I295" s="38"/>
      <c r="J295" s="38">
        <f>3.6*1000</f>
        <v>3600</v>
      </c>
      <c r="K295" s="46">
        <v>0.08958333333333333</v>
      </c>
      <c r="L295" s="47" t="s">
        <v>211</v>
      </c>
      <c r="M295" s="46"/>
      <c r="N295" s="46"/>
      <c r="O295" s="38"/>
      <c r="P295" s="38"/>
      <c r="Q295" s="12" t="str">
        <f t="shared" si="24"/>
        <v/>
      </c>
      <c r="R295" s="50"/>
      <c r="S295" s="50"/>
      <c r="T295" s="50"/>
      <c r="U295" s="53"/>
      <c r="V295" s="54"/>
      <c r="W295" s="56"/>
      <c r="X295" s="119"/>
      <c r="Y295" s="113"/>
      <c r="Z295" s="113"/>
    </row>
    <row r="296">
      <c r="A296" s="38">
        <v>106.0</v>
      </c>
      <c r="B296" s="63" t="s">
        <v>619</v>
      </c>
      <c r="C296" s="51"/>
      <c r="D296" s="39" t="s">
        <v>55</v>
      </c>
      <c r="E296" s="38" t="s">
        <v>620</v>
      </c>
      <c r="F296" s="41" t="s">
        <v>621</v>
      </c>
      <c r="G296" s="43"/>
      <c r="H296" s="45"/>
      <c r="I296" s="38"/>
      <c r="J296" s="38">
        <f>11*1000</f>
        <v>11000</v>
      </c>
      <c r="K296" s="46">
        <v>0.054884259259259265</v>
      </c>
      <c r="L296" s="47" t="s">
        <v>211</v>
      </c>
      <c r="M296" s="38"/>
      <c r="N296" s="38"/>
      <c r="O296" s="38"/>
      <c r="P296" s="152">
        <v>43025.0</v>
      </c>
      <c r="Q296" s="12" t="str">
        <f t="shared" si="24"/>
        <v/>
      </c>
      <c r="R296" s="42"/>
      <c r="S296" s="42"/>
      <c r="T296" s="42"/>
      <c r="U296" s="51"/>
      <c r="V296" s="52"/>
      <c r="W296" s="55"/>
      <c r="X296" s="57"/>
      <c r="Y296" s="106"/>
      <c r="Z296" s="106"/>
      <c r="AA296" s="106"/>
      <c r="AB296" s="106"/>
    </row>
    <row r="297">
      <c r="A297" s="140">
        <v>106.01</v>
      </c>
      <c r="B297" s="157" t="s">
        <v>619</v>
      </c>
      <c r="C297" s="150"/>
      <c r="D297" s="39" t="s">
        <v>55</v>
      </c>
      <c r="E297" s="141"/>
      <c r="F297" s="141"/>
      <c r="G297" s="140" t="s">
        <v>1191</v>
      </c>
      <c r="H297" s="140" t="s">
        <v>1192</v>
      </c>
      <c r="I297" s="141"/>
      <c r="J297" s="141"/>
      <c r="K297" s="141"/>
      <c r="L297" s="141"/>
      <c r="M297" s="142">
        <v>2.3148148148148147E-5</v>
      </c>
      <c r="N297" s="142">
        <v>0.010023148148148147</v>
      </c>
      <c r="O297" s="141"/>
      <c r="P297" s="153">
        <v>43026.0</v>
      </c>
      <c r="Q297" s="141"/>
      <c r="R297" s="139" t="s">
        <v>61</v>
      </c>
      <c r="S297" s="139" t="s">
        <v>61</v>
      </c>
      <c r="T297" s="139" t="s">
        <v>61</v>
      </c>
      <c r="U297" s="141"/>
      <c r="V297" s="141"/>
      <c r="W297" s="81" t="s">
        <v>62</v>
      </c>
      <c r="X297" s="141"/>
      <c r="Y297" s="141"/>
      <c r="Z297" s="141"/>
      <c r="AA297" s="141"/>
      <c r="AB297" s="141"/>
      <c r="AC297" s="141"/>
      <c r="AD297" s="141"/>
      <c r="AE297" s="141"/>
      <c r="AF297" s="141"/>
      <c r="AG297" s="141"/>
      <c r="AH297" s="141"/>
      <c r="AI297" s="141"/>
      <c r="AJ297" s="141"/>
      <c r="AK297" s="141"/>
    </row>
    <row r="298">
      <c r="A298" s="140">
        <v>106.02</v>
      </c>
      <c r="B298" s="157" t="s">
        <v>619</v>
      </c>
      <c r="C298" s="150"/>
      <c r="D298" s="39" t="s">
        <v>55</v>
      </c>
      <c r="E298" s="141"/>
      <c r="F298" s="141"/>
      <c r="G298" s="140" t="s">
        <v>1195</v>
      </c>
      <c r="H298" s="140" t="s">
        <v>1196</v>
      </c>
      <c r="I298" s="141"/>
      <c r="J298" s="141"/>
      <c r="K298" s="141"/>
      <c r="L298" s="141"/>
      <c r="M298" s="142">
        <v>0.010034722222222223</v>
      </c>
      <c r="N298" s="142">
        <v>0.011979166666666667</v>
      </c>
      <c r="O298" s="141"/>
      <c r="P298" s="153">
        <v>43027.0</v>
      </c>
      <c r="Q298" s="141"/>
      <c r="R298" s="139" t="s">
        <v>61</v>
      </c>
      <c r="S298" s="139" t="s">
        <v>61</v>
      </c>
      <c r="T298" s="139" t="s">
        <v>61</v>
      </c>
      <c r="U298" s="141"/>
      <c r="V298" s="141"/>
      <c r="W298" s="81" t="s">
        <v>62</v>
      </c>
      <c r="X298" s="141"/>
      <c r="Y298" s="141"/>
      <c r="Z298" s="141"/>
      <c r="AA298" s="141"/>
      <c r="AB298" s="141"/>
      <c r="AC298" s="141"/>
      <c r="AD298" s="141"/>
      <c r="AE298" s="141"/>
      <c r="AF298" s="141"/>
      <c r="AG298" s="141"/>
      <c r="AH298" s="141"/>
      <c r="AI298" s="141"/>
      <c r="AJ298" s="141"/>
      <c r="AK298" s="141"/>
    </row>
    <row r="299">
      <c r="A299" s="112">
        <v>106.03</v>
      </c>
      <c r="B299" s="157" t="s">
        <v>619</v>
      </c>
      <c r="C299" s="150"/>
      <c r="D299" s="39" t="s">
        <v>55</v>
      </c>
      <c r="E299" s="113"/>
      <c r="F299" s="113"/>
      <c r="G299" s="158" t="s">
        <v>1197</v>
      </c>
      <c r="H299" s="159" t="s">
        <v>1198</v>
      </c>
      <c r="I299" s="113"/>
      <c r="J299" s="113"/>
      <c r="K299" s="113"/>
      <c r="L299" s="113"/>
      <c r="M299" s="147">
        <v>0.011979166666666667</v>
      </c>
      <c r="N299" s="147">
        <v>0.012592592592592593</v>
      </c>
      <c r="O299" s="113"/>
      <c r="P299" s="152">
        <v>43029.0</v>
      </c>
      <c r="Q299" s="132"/>
      <c r="R299" s="139" t="s">
        <v>61</v>
      </c>
      <c r="S299" s="139" t="s">
        <v>61</v>
      </c>
      <c r="T299" s="139" t="s">
        <v>61</v>
      </c>
      <c r="U299" s="150"/>
      <c r="V299" s="151"/>
      <c r="W299" s="81" t="s">
        <v>62</v>
      </c>
      <c r="X299" s="119"/>
      <c r="Y299" s="113"/>
      <c r="Z299" s="113"/>
      <c r="AA299" s="141"/>
      <c r="AB299" s="141"/>
      <c r="AC299" s="141"/>
      <c r="AD299" s="141"/>
      <c r="AE299" s="141"/>
      <c r="AF299" s="141"/>
      <c r="AG299" s="141"/>
      <c r="AH299" s="141"/>
      <c r="AI299" s="141"/>
      <c r="AJ299" s="141"/>
      <c r="AK299" s="141"/>
    </row>
    <row r="300">
      <c r="A300" s="112">
        <v>106.04</v>
      </c>
      <c r="B300" s="157" t="s">
        <v>619</v>
      </c>
      <c r="C300" s="150"/>
      <c r="D300" s="39" t="s">
        <v>55</v>
      </c>
      <c r="E300" s="113"/>
      <c r="F300" s="113"/>
      <c r="G300" s="160" t="s">
        <v>1201</v>
      </c>
      <c r="H300" s="161" t="s">
        <v>1202</v>
      </c>
      <c r="I300" s="113"/>
      <c r="J300" s="113"/>
      <c r="K300" s="113"/>
      <c r="L300" s="113"/>
      <c r="M300" s="147">
        <v>0.012604166666666666</v>
      </c>
      <c r="N300" s="147">
        <v>0.013287037037037036</v>
      </c>
      <c r="O300" s="113"/>
      <c r="P300" s="152">
        <v>43029.0</v>
      </c>
      <c r="Q300" s="132"/>
      <c r="R300" s="139" t="s">
        <v>61</v>
      </c>
      <c r="S300" s="139" t="s">
        <v>61</v>
      </c>
      <c r="T300" s="139" t="s">
        <v>61</v>
      </c>
      <c r="U300" s="150"/>
      <c r="V300" s="151"/>
      <c r="W300" s="81" t="s">
        <v>62</v>
      </c>
      <c r="X300" s="119"/>
      <c r="Y300" s="113"/>
      <c r="Z300" s="113"/>
      <c r="AA300" s="141"/>
      <c r="AB300" s="141"/>
      <c r="AC300" s="141"/>
      <c r="AD300" s="141"/>
      <c r="AE300" s="141"/>
      <c r="AF300" s="141"/>
      <c r="AG300" s="141"/>
      <c r="AH300" s="141"/>
      <c r="AI300" s="141"/>
      <c r="AJ300" s="141"/>
      <c r="AK300" s="141"/>
    </row>
    <row r="301">
      <c r="A301" s="120">
        <v>106.05</v>
      </c>
      <c r="B301" s="157" t="s">
        <v>619</v>
      </c>
      <c r="C301" s="150"/>
      <c r="D301" s="39" t="s">
        <v>55</v>
      </c>
      <c r="E301" s="113"/>
      <c r="F301" s="113"/>
      <c r="G301" s="160" t="s">
        <v>1205</v>
      </c>
      <c r="H301" s="161" t="s">
        <v>1206</v>
      </c>
      <c r="I301" s="113"/>
      <c r="J301" s="113"/>
      <c r="K301" s="113"/>
      <c r="L301" s="113"/>
      <c r="M301" s="147">
        <v>0.013298611111111112</v>
      </c>
      <c r="N301" s="147">
        <v>0.018518518518518517</v>
      </c>
      <c r="O301" s="113"/>
      <c r="P301" s="152">
        <v>43029.0</v>
      </c>
      <c r="Q301" s="132"/>
      <c r="R301" s="139" t="s">
        <v>61</v>
      </c>
      <c r="S301" s="139" t="s">
        <v>61</v>
      </c>
      <c r="T301" s="139" t="s">
        <v>61</v>
      </c>
      <c r="U301" s="150"/>
      <c r="V301" s="151"/>
      <c r="W301" s="81" t="s">
        <v>62</v>
      </c>
      <c r="X301" s="119"/>
      <c r="Y301" s="113"/>
      <c r="Z301" s="113"/>
      <c r="AA301" s="141"/>
      <c r="AB301" s="141"/>
      <c r="AC301" s="141"/>
      <c r="AD301" s="141"/>
      <c r="AE301" s="141"/>
      <c r="AF301" s="141"/>
      <c r="AG301" s="141"/>
      <c r="AH301" s="141"/>
      <c r="AI301" s="141"/>
      <c r="AJ301" s="141"/>
      <c r="AK301" s="141"/>
    </row>
    <row r="302">
      <c r="A302" s="112">
        <v>106.06</v>
      </c>
      <c r="B302" s="157" t="s">
        <v>619</v>
      </c>
      <c r="C302" s="150"/>
      <c r="D302" s="39" t="s">
        <v>55</v>
      </c>
      <c r="E302" s="113"/>
      <c r="F302" s="113"/>
      <c r="G302" s="160" t="s">
        <v>1207</v>
      </c>
      <c r="H302" s="161" t="s">
        <v>1208</v>
      </c>
      <c r="I302" s="113"/>
      <c r="J302" s="113"/>
      <c r="K302" s="113"/>
      <c r="L302" s="113"/>
      <c r="M302" s="147">
        <v>0.018541666666666668</v>
      </c>
      <c r="N302" s="147">
        <v>0.019560185185185184</v>
      </c>
      <c r="O302" s="113"/>
      <c r="P302" s="152">
        <v>43030.0</v>
      </c>
      <c r="Q302" s="132"/>
      <c r="R302" s="139" t="s">
        <v>61</v>
      </c>
      <c r="S302" s="139" t="s">
        <v>61</v>
      </c>
      <c r="T302" s="139" t="s">
        <v>61</v>
      </c>
      <c r="U302" s="150"/>
      <c r="V302" s="151"/>
      <c r="W302" s="81" t="s">
        <v>62</v>
      </c>
      <c r="X302" s="119"/>
      <c r="Y302" s="113"/>
      <c r="Z302" s="113"/>
      <c r="AA302" s="141"/>
      <c r="AB302" s="141"/>
      <c r="AC302" s="141"/>
      <c r="AD302" s="141"/>
      <c r="AE302" s="141"/>
      <c r="AF302" s="141"/>
      <c r="AG302" s="141"/>
      <c r="AH302" s="141"/>
      <c r="AI302" s="141"/>
      <c r="AJ302" s="141"/>
      <c r="AK302" s="141"/>
    </row>
    <row r="303">
      <c r="A303" s="112">
        <v>106.07</v>
      </c>
      <c r="B303" s="157" t="s">
        <v>619</v>
      </c>
      <c r="C303" s="150"/>
      <c r="D303" s="39" t="s">
        <v>55</v>
      </c>
      <c r="E303" s="113"/>
      <c r="F303" s="162"/>
      <c r="G303" s="163" t="s">
        <v>1211</v>
      </c>
      <c r="H303" s="164" t="s">
        <v>1214</v>
      </c>
      <c r="I303" s="113"/>
      <c r="J303" s="113"/>
      <c r="K303" s="145"/>
      <c r="L303" s="146"/>
      <c r="M303" s="147">
        <v>0.019583333333333335</v>
      </c>
      <c r="N303" s="147">
        <v>0.021238425925925924</v>
      </c>
      <c r="O303" s="113"/>
      <c r="P303" s="152">
        <v>43030.0</v>
      </c>
      <c r="Q303" s="132"/>
      <c r="R303" s="139" t="s">
        <v>61</v>
      </c>
      <c r="S303" s="139" t="s">
        <v>61</v>
      </c>
      <c r="T303" s="139" t="s">
        <v>61</v>
      </c>
      <c r="U303" s="150"/>
      <c r="V303" s="151"/>
      <c r="W303" s="81" t="s">
        <v>62</v>
      </c>
      <c r="X303" s="119"/>
      <c r="Y303" s="113"/>
      <c r="Z303" s="113"/>
      <c r="AA303" s="113"/>
      <c r="AB303" s="113"/>
      <c r="AC303" s="141"/>
      <c r="AD303" s="141"/>
      <c r="AE303" s="141"/>
      <c r="AF303" s="141"/>
      <c r="AG303" s="141"/>
      <c r="AH303" s="141"/>
      <c r="AI303" s="141"/>
      <c r="AJ303" s="141"/>
      <c r="AK303" s="141"/>
    </row>
    <row r="304">
      <c r="A304" s="140">
        <v>106.08</v>
      </c>
      <c r="B304" s="157" t="s">
        <v>619</v>
      </c>
      <c r="C304" s="150"/>
      <c r="D304" s="39" t="s">
        <v>55</v>
      </c>
      <c r="E304" s="141"/>
      <c r="F304" s="141"/>
      <c r="G304" s="163" t="s">
        <v>1215</v>
      </c>
      <c r="H304" s="164" t="s">
        <v>1216</v>
      </c>
      <c r="I304" s="141"/>
      <c r="J304" s="141"/>
      <c r="K304" s="141"/>
      <c r="L304" s="141"/>
      <c r="M304" s="142">
        <v>0.021261574074074075</v>
      </c>
      <c r="N304" s="142">
        <v>0.022754629629629628</v>
      </c>
      <c r="O304" s="141"/>
      <c r="P304" s="152">
        <v>43030.0</v>
      </c>
      <c r="Q304" s="141"/>
      <c r="R304" s="139" t="s">
        <v>61</v>
      </c>
      <c r="S304" s="139" t="s">
        <v>61</v>
      </c>
      <c r="T304" s="139" t="s">
        <v>61</v>
      </c>
      <c r="U304" s="141"/>
      <c r="V304" s="141"/>
      <c r="W304" s="81" t="s">
        <v>62</v>
      </c>
      <c r="X304" s="141"/>
      <c r="Y304" s="141"/>
      <c r="Z304" s="141"/>
      <c r="AA304" s="141"/>
      <c r="AB304" s="141"/>
      <c r="AC304" s="141"/>
      <c r="AD304" s="141"/>
      <c r="AE304" s="141"/>
      <c r="AF304" s="141"/>
      <c r="AG304" s="141"/>
      <c r="AH304" s="141"/>
      <c r="AI304" s="141"/>
      <c r="AJ304" s="141"/>
      <c r="AK304" s="141"/>
    </row>
    <row r="305">
      <c r="A305" s="140">
        <v>106.09</v>
      </c>
      <c r="B305" s="157" t="s">
        <v>619</v>
      </c>
      <c r="C305" s="150"/>
      <c r="D305" s="39" t="s">
        <v>55</v>
      </c>
      <c r="E305" s="141"/>
      <c r="F305" s="141"/>
      <c r="G305" s="163" t="s">
        <v>1217</v>
      </c>
      <c r="H305" s="164" t="s">
        <v>1218</v>
      </c>
      <c r="I305" s="141"/>
      <c r="J305" s="141"/>
      <c r="K305" s="141"/>
      <c r="L305" s="141"/>
      <c r="M305" s="142">
        <v>0.02277777777777778</v>
      </c>
      <c r="N305" s="142">
        <v>0.023229166666666665</v>
      </c>
      <c r="O305" s="141"/>
      <c r="P305" s="152">
        <v>43030.0</v>
      </c>
      <c r="Q305" s="141"/>
      <c r="R305" s="139" t="s">
        <v>61</v>
      </c>
      <c r="S305" s="139" t="s">
        <v>61</v>
      </c>
      <c r="T305" s="139" t="s">
        <v>61</v>
      </c>
      <c r="U305" s="141"/>
      <c r="V305" s="141"/>
      <c r="W305" s="81" t="s">
        <v>62</v>
      </c>
      <c r="X305" s="141"/>
      <c r="Y305" s="141"/>
      <c r="Z305" s="141"/>
      <c r="AA305" s="141"/>
      <c r="AB305" s="141"/>
      <c r="AC305" s="141"/>
      <c r="AD305" s="141"/>
      <c r="AE305" s="141"/>
      <c r="AF305" s="141"/>
      <c r="AG305" s="141"/>
      <c r="AH305" s="141"/>
      <c r="AI305" s="141"/>
      <c r="AJ305" s="141"/>
      <c r="AK305" s="141"/>
    </row>
    <row r="306">
      <c r="A306" s="154">
        <v>106.1</v>
      </c>
      <c r="B306" s="157" t="s">
        <v>619</v>
      </c>
      <c r="C306" s="150"/>
      <c r="D306" s="39" t="s">
        <v>55</v>
      </c>
      <c r="E306" s="141"/>
      <c r="F306" s="141"/>
      <c r="G306" s="163" t="s">
        <v>1221</v>
      </c>
      <c r="H306" s="164" t="s">
        <v>1222</v>
      </c>
      <c r="I306" s="141"/>
      <c r="J306" s="141"/>
      <c r="K306" s="141"/>
      <c r="L306" s="141"/>
      <c r="M306" s="142">
        <v>0.023240740740740742</v>
      </c>
      <c r="N306" s="142">
        <v>0.02771990740740741</v>
      </c>
      <c r="O306" s="141"/>
      <c r="P306" s="152">
        <v>43030.0</v>
      </c>
      <c r="Q306" s="141"/>
      <c r="R306" s="139" t="s">
        <v>61</v>
      </c>
      <c r="S306" s="139" t="s">
        <v>61</v>
      </c>
      <c r="T306" s="139" t="s">
        <v>61</v>
      </c>
      <c r="U306" s="141"/>
      <c r="V306" s="141"/>
      <c r="W306" s="81" t="s">
        <v>62</v>
      </c>
      <c r="X306" s="141"/>
      <c r="Y306" s="141"/>
      <c r="Z306" s="141"/>
      <c r="AA306" s="141"/>
      <c r="AB306" s="141"/>
      <c r="AC306" s="141"/>
      <c r="AD306" s="141"/>
      <c r="AE306" s="141"/>
      <c r="AF306" s="141"/>
      <c r="AG306" s="141"/>
      <c r="AH306" s="141"/>
      <c r="AI306" s="141"/>
      <c r="AJ306" s="141"/>
      <c r="AK306" s="141"/>
    </row>
    <row r="307">
      <c r="A307" s="140">
        <v>106.11</v>
      </c>
      <c r="B307" s="157" t="s">
        <v>619</v>
      </c>
      <c r="C307" s="150"/>
      <c r="D307" s="39" t="s">
        <v>55</v>
      </c>
      <c r="E307" s="141"/>
      <c r="F307" s="141"/>
      <c r="G307" s="163" t="s">
        <v>1223</v>
      </c>
      <c r="H307" s="164" t="s">
        <v>1224</v>
      </c>
      <c r="I307" s="141"/>
      <c r="J307" s="141"/>
      <c r="K307" s="141"/>
      <c r="L307" s="141"/>
      <c r="M307" s="142">
        <v>0.027731481481481482</v>
      </c>
      <c r="N307" s="142">
        <v>0.031099537037037037</v>
      </c>
      <c r="O307" s="141"/>
      <c r="P307" s="152">
        <v>43030.0</v>
      </c>
      <c r="Q307" s="141"/>
      <c r="R307" s="139" t="s">
        <v>61</v>
      </c>
      <c r="S307" s="139" t="s">
        <v>61</v>
      </c>
      <c r="T307" s="139" t="s">
        <v>61</v>
      </c>
      <c r="U307" s="141"/>
      <c r="V307" s="141"/>
      <c r="W307" s="81" t="s">
        <v>62</v>
      </c>
      <c r="X307" s="141"/>
      <c r="Y307" s="141"/>
      <c r="Z307" s="141"/>
      <c r="AA307" s="141"/>
      <c r="AB307" s="141"/>
      <c r="AC307" s="141"/>
      <c r="AD307" s="141"/>
      <c r="AE307" s="141"/>
      <c r="AF307" s="141"/>
      <c r="AG307" s="141"/>
      <c r="AH307" s="141"/>
      <c r="AI307" s="141"/>
      <c r="AJ307" s="141"/>
      <c r="AK307" s="141"/>
    </row>
    <row r="308">
      <c r="A308" s="140">
        <v>106.12</v>
      </c>
      <c r="B308" s="157" t="s">
        <v>619</v>
      </c>
      <c r="C308" s="150"/>
      <c r="D308" s="39" t="s">
        <v>55</v>
      </c>
      <c r="E308" s="141"/>
      <c r="F308" s="141"/>
      <c r="G308" s="163" t="s">
        <v>1225</v>
      </c>
      <c r="H308" s="164" t="s">
        <v>1226</v>
      </c>
      <c r="I308" s="141"/>
      <c r="J308" s="141"/>
      <c r="K308" s="141"/>
      <c r="L308" s="141"/>
      <c r="M308" s="142">
        <v>0.03113425925925926</v>
      </c>
      <c r="N308" s="142">
        <v>0.03228009259259259</v>
      </c>
      <c r="O308" s="141"/>
      <c r="P308" s="152">
        <v>43030.0</v>
      </c>
      <c r="Q308" s="141"/>
      <c r="R308" s="139" t="s">
        <v>61</v>
      </c>
      <c r="S308" s="139" t="s">
        <v>61</v>
      </c>
      <c r="T308" s="139" t="s">
        <v>61</v>
      </c>
      <c r="U308" s="141"/>
      <c r="V308" s="141"/>
      <c r="W308" s="81" t="s">
        <v>62</v>
      </c>
      <c r="X308" s="141"/>
      <c r="Y308" s="141"/>
      <c r="Z308" s="141"/>
      <c r="AA308" s="141"/>
      <c r="AB308" s="141"/>
      <c r="AC308" s="141"/>
      <c r="AD308" s="141"/>
      <c r="AE308" s="141"/>
      <c r="AF308" s="141"/>
      <c r="AG308" s="141"/>
      <c r="AH308" s="141"/>
      <c r="AI308" s="141"/>
      <c r="AJ308" s="141"/>
      <c r="AK308" s="141"/>
    </row>
    <row r="309">
      <c r="A309" s="140">
        <v>106.13</v>
      </c>
      <c r="B309" s="157" t="s">
        <v>619</v>
      </c>
      <c r="C309" s="150"/>
      <c r="D309" s="39" t="s">
        <v>55</v>
      </c>
      <c r="E309" s="141"/>
      <c r="F309" s="141"/>
      <c r="G309" s="163" t="s">
        <v>1229</v>
      </c>
      <c r="H309" s="164" t="s">
        <v>1230</v>
      </c>
      <c r="I309" s="141"/>
      <c r="J309" s="141"/>
      <c r="K309" s="141"/>
      <c r="L309" s="141"/>
      <c r="M309" s="142">
        <v>0.03238425925925926</v>
      </c>
      <c r="N309" s="142">
        <v>0.03320601851851852</v>
      </c>
      <c r="O309" s="141"/>
      <c r="P309" s="152">
        <v>43030.0</v>
      </c>
      <c r="Q309" s="141"/>
      <c r="R309" s="139" t="s">
        <v>61</v>
      </c>
      <c r="S309" s="139" t="s">
        <v>61</v>
      </c>
      <c r="T309" s="139" t="s">
        <v>61</v>
      </c>
      <c r="U309" s="141"/>
      <c r="V309" s="141"/>
      <c r="W309" s="81" t="s">
        <v>62</v>
      </c>
      <c r="X309" s="141"/>
      <c r="Y309" s="141"/>
      <c r="Z309" s="141"/>
      <c r="AA309" s="141"/>
      <c r="AB309" s="141"/>
      <c r="AC309" s="141"/>
      <c r="AD309" s="141"/>
      <c r="AE309" s="141"/>
      <c r="AF309" s="141"/>
      <c r="AG309" s="141"/>
      <c r="AH309" s="141"/>
      <c r="AI309" s="141"/>
      <c r="AJ309" s="141"/>
      <c r="AK309" s="141"/>
    </row>
    <row r="310">
      <c r="A310" s="112">
        <v>106.14</v>
      </c>
      <c r="B310" s="157" t="s">
        <v>619</v>
      </c>
      <c r="C310" s="150"/>
      <c r="D310" s="39" t="s">
        <v>55</v>
      </c>
      <c r="E310" s="113"/>
      <c r="F310" s="113"/>
      <c r="G310" s="163" t="s">
        <v>1231</v>
      </c>
      <c r="H310" s="164" t="s">
        <v>1232</v>
      </c>
      <c r="I310" s="113"/>
      <c r="J310" s="113"/>
      <c r="K310" s="113"/>
      <c r="L310" s="113"/>
      <c r="M310" s="147">
        <v>0.033229166666666664</v>
      </c>
      <c r="N310" s="147">
        <v>0.03709490740740741</v>
      </c>
      <c r="O310" s="113"/>
      <c r="P310" s="152">
        <v>43030.0</v>
      </c>
      <c r="Q310" s="132"/>
      <c r="R310" s="139" t="s">
        <v>61</v>
      </c>
      <c r="S310" s="139" t="s">
        <v>61</v>
      </c>
      <c r="T310" s="139" t="s">
        <v>61</v>
      </c>
      <c r="U310" s="150"/>
      <c r="V310" s="151"/>
      <c r="W310" s="81" t="s">
        <v>62</v>
      </c>
      <c r="X310" s="119"/>
      <c r="Y310" s="113"/>
      <c r="Z310" s="113"/>
      <c r="AA310" s="141"/>
      <c r="AB310" s="141"/>
      <c r="AC310" s="141"/>
      <c r="AD310" s="141"/>
      <c r="AE310" s="141"/>
      <c r="AF310" s="141"/>
      <c r="AG310" s="141"/>
      <c r="AH310" s="141"/>
      <c r="AI310" s="141"/>
      <c r="AJ310" s="141"/>
      <c r="AK310" s="141"/>
    </row>
    <row r="311">
      <c r="A311" s="112">
        <v>106.15</v>
      </c>
      <c r="B311" s="157" t="s">
        <v>619</v>
      </c>
      <c r="C311" s="150"/>
      <c r="D311" s="39" t="s">
        <v>55</v>
      </c>
      <c r="E311" s="113"/>
      <c r="F311" s="113"/>
      <c r="G311" s="163" t="s">
        <v>1233</v>
      </c>
      <c r="H311" s="164" t="s">
        <v>1234</v>
      </c>
      <c r="I311" s="113"/>
      <c r="J311" s="113"/>
      <c r="K311" s="113"/>
      <c r="L311" s="113"/>
      <c r="M311" s="147">
        <v>0.03710648148148148</v>
      </c>
      <c r="N311" s="147">
        <v>0.04037037037037037</v>
      </c>
      <c r="O311" s="113"/>
      <c r="P311" s="152">
        <v>43030.0</v>
      </c>
      <c r="Q311" s="132"/>
      <c r="R311" s="139" t="s">
        <v>61</v>
      </c>
      <c r="S311" s="139" t="s">
        <v>61</v>
      </c>
      <c r="T311" s="139" t="s">
        <v>61</v>
      </c>
      <c r="U311" s="150"/>
      <c r="V311" s="151"/>
      <c r="W311" s="81" t="s">
        <v>62</v>
      </c>
      <c r="X311" s="119"/>
      <c r="Y311" s="113"/>
      <c r="Z311" s="113"/>
      <c r="AA311" s="141"/>
      <c r="AB311" s="141"/>
      <c r="AC311" s="141"/>
      <c r="AD311" s="141"/>
      <c r="AE311" s="141"/>
      <c r="AF311" s="141"/>
      <c r="AG311" s="141"/>
      <c r="AH311" s="141"/>
      <c r="AI311" s="141"/>
      <c r="AJ311" s="141"/>
      <c r="AK311" s="141"/>
    </row>
    <row r="312">
      <c r="A312" s="112">
        <v>106.16</v>
      </c>
      <c r="B312" s="157" t="s">
        <v>619</v>
      </c>
      <c r="C312" s="150"/>
      <c r="D312" s="39" t="s">
        <v>55</v>
      </c>
      <c r="E312" s="113"/>
      <c r="F312" s="113"/>
      <c r="G312" s="163" t="s">
        <v>1236</v>
      </c>
      <c r="H312" s="164" t="s">
        <v>1238</v>
      </c>
      <c r="I312" s="113"/>
      <c r="J312" s="113"/>
      <c r="K312" s="113"/>
      <c r="L312" s="113"/>
      <c r="M312" s="147">
        <v>0.042881944444444445</v>
      </c>
      <c r="N312" s="147">
        <v>0.04488425925925926</v>
      </c>
      <c r="O312" s="113"/>
      <c r="P312" s="152">
        <v>43030.0</v>
      </c>
      <c r="Q312" s="132"/>
      <c r="R312" s="139" t="s">
        <v>61</v>
      </c>
      <c r="S312" s="139" t="s">
        <v>61</v>
      </c>
      <c r="T312" s="139" t="s">
        <v>61</v>
      </c>
      <c r="U312" s="150"/>
      <c r="V312" s="151"/>
      <c r="W312" s="81" t="s">
        <v>62</v>
      </c>
      <c r="X312" s="119"/>
      <c r="Y312" s="113"/>
      <c r="Z312" s="113"/>
      <c r="AA312" s="141"/>
      <c r="AB312" s="141"/>
      <c r="AC312" s="141"/>
      <c r="AD312" s="141"/>
      <c r="AE312" s="141"/>
      <c r="AF312" s="141"/>
      <c r="AG312" s="141"/>
      <c r="AH312" s="141"/>
      <c r="AI312" s="141"/>
      <c r="AJ312" s="141"/>
      <c r="AK312" s="141"/>
    </row>
    <row r="313">
      <c r="A313" s="112">
        <v>106.17</v>
      </c>
      <c r="B313" s="157" t="s">
        <v>619</v>
      </c>
      <c r="C313" s="150"/>
      <c r="D313" s="39" t="s">
        <v>55</v>
      </c>
      <c r="E313" s="113"/>
      <c r="F313" s="113"/>
      <c r="G313" s="163" t="s">
        <v>1239</v>
      </c>
      <c r="H313" s="164" t="s">
        <v>1240</v>
      </c>
      <c r="I313" s="113"/>
      <c r="J313" s="113"/>
      <c r="K313" s="113"/>
      <c r="L313" s="113"/>
      <c r="M313" s="147">
        <v>0.05238425925925926</v>
      </c>
      <c r="N313" s="147">
        <v>0.05440972222222222</v>
      </c>
      <c r="O313" s="113"/>
      <c r="P313" s="152">
        <v>43030.0</v>
      </c>
      <c r="Q313" s="132"/>
      <c r="R313" s="139" t="s">
        <v>61</v>
      </c>
      <c r="S313" s="139" t="s">
        <v>61</v>
      </c>
      <c r="T313" s="139" t="s">
        <v>61</v>
      </c>
      <c r="U313" s="150"/>
      <c r="V313" s="151"/>
      <c r="W313" s="81" t="s">
        <v>62</v>
      </c>
      <c r="X313" s="119"/>
      <c r="Y313" s="113"/>
      <c r="Z313" s="113"/>
      <c r="AA313" s="141"/>
      <c r="AB313" s="141"/>
      <c r="AC313" s="141"/>
      <c r="AD313" s="141"/>
      <c r="AE313" s="141"/>
      <c r="AF313" s="141"/>
      <c r="AG313" s="141"/>
      <c r="AH313" s="141"/>
      <c r="AI313" s="141"/>
      <c r="AJ313" s="141"/>
      <c r="AK313" s="141"/>
    </row>
    <row r="314">
      <c r="A314" s="112">
        <v>106.18</v>
      </c>
      <c r="B314" s="157" t="s">
        <v>619</v>
      </c>
      <c r="C314" s="150"/>
      <c r="D314" s="39" t="s">
        <v>55</v>
      </c>
      <c r="E314" s="113"/>
      <c r="F314" s="113"/>
      <c r="G314" s="113"/>
      <c r="H314" s="113"/>
      <c r="I314" s="113"/>
      <c r="J314" s="113"/>
      <c r="K314" s="113"/>
      <c r="L314" s="113"/>
      <c r="M314" s="113"/>
      <c r="N314" s="113"/>
      <c r="O314" s="113"/>
      <c r="P314" s="152"/>
      <c r="Q314" s="132"/>
      <c r="R314" s="165"/>
      <c r="S314" s="165"/>
      <c r="T314" s="165"/>
      <c r="U314" s="150"/>
      <c r="V314" s="151"/>
      <c r="W314" s="166"/>
      <c r="X314" s="119"/>
      <c r="Y314" s="113"/>
      <c r="Z314" s="113"/>
      <c r="AA314" s="141"/>
      <c r="AB314" s="141"/>
      <c r="AC314" s="141"/>
      <c r="AD314" s="141"/>
      <c r="AE314" s="141"/>
      <c r="AF314" s="141"/>
      <c r="AG314" s="141"/>
      <c r="AH314" s="141"/>
      <c r="AI314" s="141"/>
      <c r="AJ314" s="141"/>
      <c r="AK314" s="141"/>
    </row>
    <row r="315">
      <c r="A315" s="38">
        <v>107.0</v>
      </c>
      <c r="B315" s="39" t="s">
        <v>49</v>
      </c>
      <c r="C315" s="38"/>
      <c r="D315" s="39" t="s">
        <v>55</v>
      </c>
      <c r="E315" s="38" t="s">
        <v>411</v>
      </c>
      <c r="F315" s="41" t="s">
        <v>414</v>
      </c>
      <c r="G315" s="43"/>
      <c r="H315" s="45"/>
      <c r="I315" s="38"/>
      <c r="J315" s="38">
        <f>11*1000</f>
        <v>11000</v>
      </c>
      <c r="K315" s="46">
        <v>0.08446759259259258</v>
      </c>
      <c r="L315" s="47" t="s">
        <v>211</v>
      </c>
      <c r="M315" s="46"/>
      <c r="N315" s="46"/>
      <c r="O315" s="38"/>
      <c r="P315" s="114">
        <v>43008.0</v>
      </c>
      <c r="Q315" s="12" t="str">
        <f t="shared" ref="Q315:Q371" si="33">HYPERLINK(IF(INT(A315)-A315=0,"",REPLACE(INDIRECT("MasterList!e"&amp;INT(A315)+1),25,8,"embed/")&amp;"?start="&amp;HOUR(M315)*3600+MINUTE(M315)*60+SECOND(M315)&amp;"&amp;end="&amp;HOUR(N315)*3600+MINUTE(N315)*60+SECOND(N315)&amp;"&amp;autoplay=1"))</f>
        <v/>
      </c>
      <c r="R315" s="50"/>
      <c r="S315" s="50"/>
      <c r="T315" s="50"/>
      <c r="U315" s="53"/>
      <c r="V315" s="54"/>
      <c r="W315" s="56"/>
      <c r="X315" s="119"/>
      <c r="Y315" s="113"/>
      <c r="Z315" s="113"/>
    </row>
    <row r="316">
      <c r="A316" s="112">
        <v>107.01</v>
      </c>
      <c r="B316" s="39" t="s">
        <v>49</v>
      </c>
      <c r="C316" s="38"/>
      <c r="D316" s="39" t="s">
        <v>55</v>
      </c>
      <c r="E316" s="113"/>
      <c r="F316" s="113"/>
      <c r="G316" s="112" t="s">
        <v>420</v>
      </c>
      <c r="H316" s="113"/>
      <c r="I316" s="113"/>
      <c r="J316" s="113"/>
      <c r="K316" s="46"/>
      <c r="L316" s="113"/>
      <c r="M316" s="46">
        <v>0.02013888888888889</v>
      </c>
      <c r="N316" s="46">
        <v>0.023148148148148147</v>
      </c>
      <c r="O316" s="60">
        <f t="shared" ref="O316:O329" si="34">N316-M316</f>
        <v>0.003009259259</v>
      </c>
      <c r="P316" s="114">
        <v>43008.0</v>
      </c>
      <c r="Q316" s="61" t="str">
        <f t="shared" si="33"/>
        <v>https://www.youtube.com/embed/Vf5BOYF0S3Y?start=1740&amp;end=2000&amp;autoplay=1</v>
      </c>
      <c r="R316" s="115"/>
      <c r="S316" s="115"/>
      <c r="T316" s="115"/>
      <c r="U316" s="116"/>
      <c r="V316" s="117"/>
      <c r="W316" s="118"/>
      <c r="X316" s="119"/>
      <c r="Y316" s="113"/>
      <c r="Z316" s="113"/>
    </row>
    <row r="317">
      <c r="A317" s="112">
        <v>107.02</v>
      </c>
      <c r="B317" s="39" t="s">
        <v>49</v>
      </c>
      <c r="C317" s="38"/>
      <c r="D317" s="39" t="s">
        <v>55</v>
      </c>
      <c r="E317" s="113"/>
      <c r="F317" s="113"/>
      <c r="G317" s="112" t="s">
        <v>425</v>
      </c>
      <c r="H317" s="113"/>
      <c r="I317" s="113"/>
      <c r="J317" s="113"/>
      <c r="K317" s="46"/>
      <c r="L317" s="113"/>
      <c r="M317" s="46">
        <v>0.020833333333333332</v>
      </c>
      <c r="N317" s="46">
        <v>0.02228009259259259</v>
      </c>
      <c r="O317" s="60">
        <f t="shared" si="34"/>
        <v>0.001446759259</v>
      </c>
      <c r="P317" s="114">
        <v>43008.0</v>
      </c>
      <c r="Q317" s="61" t="str">
        <f t="shared" si="33"/>
        <v>https://www.youtube.com/embed/Vf5BOYF0S3Y?start=1800&amp;end=1925&amp;autoplay=1</v>
      </c>
      <c r="R317" s="115"/>
      <c r="S317" s="115"/>
      <c r="T317" s="115"/>
      <c r="U317" s="116"/>
      <c r="V317" s="117"/>
      <c r="W317" s="118"/>
      <c r="X317" s="119"/>
      <c r="Y317" s="113"/>
      <c r="Z317" s="113"/>
    </row>
    <row r="318">
      <c r="A318" s="112">
        <v>107.03</v>
      </c>
      <c r="B318" s="39" t="s">
        <v>49</v>
      </c>
      <c r="C318" s="38"/>
      <c r="D318" s="39" t="s">
        <v>55</v>
      </c>
      <c r="E318" s="113"/>
      <c r="F318" s="113"/>
      <c r="G318" s="112" t="s">
        <v>2415</v>
      </c>
      <c r="H318" s="113"/>
      <c r="I318" s="113"/>
      <c r="J318" s="113"/>
      <c r="K318" s="46"/>
      <c r="L318" s="113"/>
      <c r="M318" s="46">
        <v>0.021469907407407406</v>
      </c>
      <c r="N318" s="46">
        <v>0.02228009259259259</v>
      </c>
      <c r="O318" s="60">
        <f t="shared" si="34"/>
        <v>0.0008101851852</v>
      </c>
      <c r="P318" s="114">
        <v>43008.0</v>
      </c>
      <c r="Q318" s="61" t="str">
        <f t="shared" si="33"/>
        <v>https://www.youtube.com/embed/Vf5BOYF0S3Y?start=1855&amp;end=1925&amp;autoplay=1</v>
      </c>
      <c r="R318" s="115"/>
      <c r="S318" s="115"/>
      <c r="T318" s="115"/>
      <c r="U318" s="116"/>
      <c r="V318" s="117"/>
      <c r="W318" s="118"/>
      <c r="X318" s="119"/>
      <c r="Y318" s="113"/>
      <c r="Z318" s="113"/>
    </row>
    <row r="319">
      <c r="A319" s="112">
        <v>107.04</v>
      </c>
      <c r="B319" s="39" t="s">
        <v>49</v>
      </c>
      <c r="C319" s="38"/>
      <c r="D319" s="39" t="s">
        <v>55</v>
      </c>
      <c r="E319" s="113"/>
      <c r="F319" s="113"/>
      <c r="G319" s="112" t="s">
        <v>433</v>
      </c>
      <c r="H319" s="113"/>
      <c r="I319" s="113"/>
      <c r="J319" s="113"/>
      <c r="K319" s="46"/>
      <c r="L319" s="113"/>
      <c r="M319" s="46">
        <v>0.020949074074074075</v>
      </c>
      <c r="N319" s="46">
        <v>0.028125</v>
      </c>
      <c r="O319" s="60">
        <f t="shared" si="34"/>
        <v>0.007175925926</v>
      </c>
      <c r="P319" s="114">
        <v>43008.0</v>
      </c>
      <c r="Q319" s="61" t="str">
        <f t="shared" si="33"/>
        <v>https://www.youtube.com/embed/Vf5BOYF0S3Y?start=1810&amp;end=2430&amp;autoplay=1</v>
      </c>
      <c r="R319" s="115"/>
      <c r="S319" s="115"/>
      <c r="T319" s="115"/>
      <c r="U319" s="116"/>
      <c r="V319" s="117"/>
      <c r="W319" s="118"/>
      <c r="X319" s="119"/>
      <c r="Y319" s="113"/>
      <c r="Z319" s="113"/>
    </row>
    <row r="320">
      <c r="A320" s="120">
        <v>107.05</v>
      </c>
      <c r="B320" s="39" t="s">
        <v>49</v>
      </c>
      <c r="C320" s="38"/>
      <c r="D320" s="39" t="s">
        <v>55</v>
      </c>
      <c r="E320" s="113"/>
      <c r="F320" s="113"/>
      <c r="G320" s="112" t="s">
        <v>2418</v>
      </c>
      <c r="H320" s="113"/>
      <c r="I320" s="113"/>
      <c r="J320" s="113"/>
      <c r="K320" s="46"/>
      <c r="L320" s="113"/>
      <c r="M320" s="46">
        <v>0.028182870370370372</v>
      </c>
      <c r="N320" s="46">
        <v>0.02922453703703704</v>
      </c>
      <c r="O320" s="60">
        <f t="shared" si="34"/>
        <v>0.001041666667</v>
      </c>
      <c r="P320" s="114">
        <v>43008.0</v>
      </c>
      <c r="Q320" s="61" t="str">
        <f t="shared" si="33"/>
        <v>https://www.youtube.com/embed/Vf5BOYF0S3Y?start=2435&amp;end=2525&amp;autoplay=1</v>
      </c>
      <c r="R320" s="115"/>
      <c r="S320" s="115"/>
      <c r="T320" s="115"/>
      <c r="U320" s="116"/>
      <c r="V320" s="117"/>
      <c r="W320" s="118"/>
      <c r="X320" s="119"/>
      <c r="Y320" s="113"/>
      <c r="Z320" s="113"/>
    </row>
    <row r="321">
      <c r="A321" s="120">
        <v>107.06</v>
      </c>
      <c r="B321" s="39" t="s">
        <v>49</v>
      </c>
      <c r="C321" s="38"/>
      <c r="D321" s="39" t="s">
        <v>55</v>
      </c>
      <c r="E321" s="113"/>
      <c r="F321" s="113"/>
      <c r="G321" s="112" t="s">
        <v>442</v>
      </c>
      <c r="H321" s="113"/>
      <c r="I321" s="113"/>
      <c r="J321" s="113"/>
      <c r="K321" s="46"/>
      <c r="L321" s="113"/>
      <c r="M321" s="46">
        <v>0.029282407407407406</v>
      </c>
      <c r="N321" s="46">
        <v>0.03090277777777778</v>
      </c>
      <c r="O321" s="60">
        <f t="shared" si="34"/>
        <v>0.00162037037</v>
      </c>
      <c r="P321" s="114">
        <v>43008.0</v>
      </c>
      <c r="Q321" s="61" t="str">
        <f t="shared" si="33"/>
        <v>https://www.youtube.com/embed/Vf5BOYF0S3Y?start=2530&amp;end=2670&amp;autoplay=1</v>
      </c>
      <c r="R321" s="115"/>
      <c r="S321" s="115"/>
      <c r="T321" s="115"/>
      <c r="U321" s="116"/>
      <c r="V321" s="117"/>
      <c r="W321" s="118"/>
      <c r="X321" s="119"/>
      <c r="Y321" s="113"/>
      <c r="Z321" s="113"/>
    </row>
    <row r="322">
      <c r="A322" s="120">
        <v>107.07</v>
      </c>
      <c r="B322" s="39" t="s">
        <v>49</v>
      </c>
      <c r="C322" s="38"/>
      <c r="D322" s="39" t="s">
        <v>55</v>
      </c>
      <c r="E322" s="113"/>
      <c r="F322" s="113"/>
      <c r="G322" s="112" t="s">
        <v>445</v>
      </c>
      <c r="H322" s="113"/>
      <c r="I322" s="113"/>
      <c r="J322" s="113"/>
      <c r="K322" s="46"/>
      <c r="L322" s="113"/>
      <c r="M322" s="46">
        <v>0.030960648148148147</v>
      </c>
      <c r="N322" s="46">
        <v>0.03321759259259259</v>
      </c>
      <c r="O322" s="60">
        <f t="shared" si="34"/>
        <v>0.002256944444</v>
      </c>
      <c r="P322" s="114">
        <v>43008.0</v>
      </c>
      <c r="Q322" s="61" t="str">
        <f t="shared" si="33"/>
        <v>https://www.youtube.com/embed/Vf5BOYF0S3Y?start=2675&amp;end=2870&amp;autoplay=1</v>
      </c>
      <c r="R322" s="115"/>
      <c r="S322" s="115"/>
      <c r="T322" s="115"/>
      <c r="U322" s="116"/>
      <c r="V322" s="117"/>
      <c r="W322" s="118"/>
      <c r="X322" s="119"/>
      <c r="Y322" s="113"/>
      <c r="Z322" s="113"/>
    </row>
    <row r="323">
      <c r="A323" s="120">
        <v>107.08</v>
      </c>
      <c r="B323" s="39" t="s">
        <v>49</v>
      </c>
      <c r="C323" s="38"/>
      <c r="D323" s="39" t="s">
        <v>55</v>
      </c>
      <c r="E323" s="113"/>
      <c r="F323" s="113"/>
      <c r="G323" s="112" t="s">
        <v>450</v>
      </c>
      <c r="H323" s="113"/>
      <c r="I323" s="113"/>
      <c r="J323" s="113"/>
      <c r="K323" s="46"/>
      <c r="L323" s="113"/>
      <c r="M323" s="46">
        <v>0.03715277777777778</v>
      </c>
      <c r="N323" s="46">
        <v>0.03993055555555555</v>
      </c>
      <c r="O323" s="60">
        <f t="shared" si="34"/>
        <v>0.002777777778</v>
      </c>
      <c r="P323" s="114">
        <v>43008.0</v>
      </c>
      <c r="Q323" s="61" t="str">
        <f t="shared" si="33"/>
        <v>https://www.youtube.com/embed/Vf5BOYF0S3Y?start=3210&amp;end=3450&amp;autoplay=1</v>
      </c>
      <c r="R323" s="115"/>
      <c r="S323" s="115"/>
      <c r="T323" s="115"/>
      <c r="U323" s="116"/>
      <c r="V323" s="117"/>
      <c r="W323" s="118"/>
      <c r="X323" s="119"/>
      <c r="Y323" s="113"/>
      <c r="Z323" s="113"/>
    </row>
    <row r="324">
      <c r="A324" s="120">
        <v>107.09</v>
      </c>
      <c r="B324" s="39" t="s">
        <v>49</v>
      </c>
      <c r="C324" s="38"/>
      <c r="D324" s="39" t="s">
        <v>55</v>
      </c>
      <c r="E324" s="113"/>
      <c r="F324" s="113"/>
      <c r="G324" s="112" t="s">
        <v>455</v>
      </c>
      <c r="H324" s="113"/>
      <c r="I324" s="113"/>
      <c r="J324" s="113"/>
      <c r="K324" s="46"/>
      <c r="L324" s="113"/>
      <c r="M324" s="46">
        <v>0.041666666666666664</v>
      </c>
      <c r="N324" s="46">
        <v>0.044097222222222225</v>
      </c>
      <c r="O324" s="60">
        <f t="shared" si="34"/>
        <v>0.002430555556</v>
      </c>
      <c r="P324" s="114">
        <v>43008.0</v>
      </c>
      <c r="Q324" s="61" t="str">
        <f t="shared" si="33"/>
        <v>https://www.youtube.com/embed/Vf5BOYF0S3Y?start=3600&amp;end=3810&amp;autoplay=1</v>
      </c>
      <c r="R324" s="115"/>
      <c r="S324" s="115"/>
      <c r="T324" s="115"/>
      <c r="U324" s="116"/>
      <c r="V324" s="117"/>
      <c r="W324" s="118"/>
      <c r="X324" s="119"/>
      <c r="Y324" s="113"/>
      <c r="Z324" s="113"/>
    </row>
    <row r="325">
      <c r="A325" s="120">
        <v>107.1</v>
      </c>
      <c r="B325" s="39" t="s">
        <v>49</v>
      </c>
      <c r="C325" s="38"/>
      <c r="D325" s="39" t="s">
        <v>55</v>
      </c>
      <c r="E325" s="113"/>
      <c r="F325" s="113"/>
      <c r="G325" s="112" t="s">
        <v>461</v>
      </c>
      <c r="H325" s="113"/>
      <c r="I325" s="113"/>
      <c r="J325" s="113"/>
      <c r="K325" s="46"/>
      <c r="L325" s="113"/>
      <c r="M325" s="46">
        <v>0.04549768518518518</v>
      </c>
      <c r="N325" s="46">
        <v>0.04756944444444444</v>
      </c>
      <c r="O325" s="60">
        <f t="shared" si="34"/>
        <v>0.002071759259</v>
      </c>
      <c r="P325" s="114">
        <v>43008.0</v>
      </c>
      <c r="Q325" s="61" t="str">
        <f t="shared" si="33"/>
        <v>https://www.youtube.com/embed/Vf5BOYF0S3Y?start=3931&amp;end=4110&amp;autoplay=1</v>
      </c>
      <c r="R325" s="115"/>
      <c r="S325" s="115"/>
      <c r="T325" s="115"/>
      <c r="U325" s="116"/>
      <c r="V325" s="117"/>
      <c r="W325" s="118"/>
      <c r="X325" s="119"/>
      <c r="Y325" s="113"/>
      <c r="Z325" s="113"/>
    </row>
    <row r="326">
      <c r="A326" s="120">
        <v>107.11</v>
      </c>
      <c r="B326" s="39" t="s">
        <v>49</v>
      </c>
      <c r="C326" s="38"/>
      <c r="D326" s="39" t="s">
        <v>55</v>
      </c>
      <c r="E326" s="113"/>
      <c r="F326" s="113"/>
      <c r="G326" s="112" t="s">
        <v>464</v>
      </c>
      <c r="H326" s="112" t="s">
        <v>465</v>
      </c>
      <c r="I326" s="113"/>
      <c r="J326" s="113"/>
      <c r="K326" s="46"/>
      <c r="L326" s="113"/>
      <c r="M326" s="46">
        <v>0.054247685185185184</v>
      </c>
      <c r="N326" s="46">
        <v>0.055150462962962964</v>
      </c>
      <c r="O326" s="60">
        <f t="shared" si="34"/>
        <v>0.0009027777778</v>
      </c>
      <c r="P326" s="114">
        <v>43009.0</v>
      </c>
      <c r="Q326" s="61" t="str">
        <f t="shared" si="33"/>
        <v>https://www.youtube.com/embed/Vf5BOYF0S3Y?start=4687&amp;end=4765&amp;autoplay=1</v>
      </c>
      <c r="R326" s="115"/>
      <c r="S326" s="115"/>
      <c r="T326" s="115"/>
      <c r="U326" s="116"/>
      <c r="V326" s="117"/>
      <c r="W326" s="118"/>
      <c r="X326" s="119"/>
      <c r="Y326" s="113"/>
      <c r="Z326" s="113"/>
    </row>
    <row r="327">
      <c r="A327" s="120">
        <v>107.12</v>
      </c>
      <c r="B327" s="39" t="s">
        <v>49</v>
      </c>
      <c r="C327" s="38"/>
      <c r="D327" s="39" t="s">
        <v>55</v>
      </c>
      <c r="E327" s="113"/>
      <c r="F327" s="113"/>
      <c r="G327" s="112" t="s">
        <v>468</v>
      </c>
      <c r="H327" s="113"/>
      <c r="I327" s="113"/>
      <c r="J327" s="113"/>
      <c r="K327" s="46"/>
      <c r="L327" s="113"/>
      <c r="M327" s="46">
        <v>0.060381944444444446</v>
      </c>
      <c r="N327" s="46">
        <v>0.061863425925925926</v>
      </c>
      <c r="O327" s="60">
        <f t="shared" si="34"/>
        <v>0.001481481481</v>
      </c>
      <c r="P327" s="114">
        <v>43009.0</v>
      </c>
      <c r="Q327" s="61" t="str">
        <f t="shared" si="33"/>
        <v>https://www.youtube.com/embed/Vf5BOYF0S3Y?start=5217&amp;end=5345&amp;autoplay=1</v>
      </c>
      <c r="R327" s="115"/>
      <c r="S327" s="115"/>
      <c r="T327" s="115"/>
      <c r="U327" s="116"/>
      <c r="V327" s="117"/>
      <c r="W327" s="118"/>
      <c r="X327" s="119"/>
      <c r="Y327" s="113"/>
      <c r="Z327" s="113"/>
    </row>
    <row r="328">
      <c r="A328" s="120">
        <v>107.13</v>
      </c>
      <c r="B328" s="39" t="s">
        <v>49</v>
      </c>
      <c r="C328" s="38"/>
      <c r="D328" s="39" t="s">
        <v>55</v>
      </c>
      <c r="E328" s="113"/>
      <c r="F328" s="113"/>
      <c r="G328" s="112" t="s">
        <v>473</v>
      </c>
      <c r="H328" s="113"/>
      <c r="I328" s="113"/>
      <c r="J328" s="113"/>
      <c r="K328" s="46"/>
      <c r="L328" s="113"/>
      <c r="M328" s="46">
        <v>0.06270833333333334</v>
      </c>
      <c r="N328" s="46">
        <v>0.06481481481481481</v>
      </c>
      <c r="O328" s="60">
        <f t="shared" si="34"/>
        <v>0.002106481481</v>
      </c>
      <c r="P328" s="114">
        <v>43009.0</v>
      </c>
      <c r="Q328" s="61" t="str">
        <f t="shared" si="33"/>
        <v>https://www.youtube.com/embed/Vf5BOYF0S3Y?start=5418&amp;end=5600&amp;autoplay=1</v>
      </c>
      <c r="R328" s="115"/>
      <c r="S328" s="115"/>
      <c r="T328" s="115"/>
      <c r="U328" s="116"/>
      <c r="V328" s="117"/>
      <c r="W328" s="118"/>
      <c r="X328" s="119"/>
      <c r="Y328" s="113"/>
      <c r="Z328" s="113"/>
    </row>
    <row r="329">
      <c r="A329" s="120">
        <v>107.14</v>
      </c>
      <c r="B329" s="39" t="s">
        <v>49</v>
      </c>
      <c r="C329" s="38"/>
      <c r="D329" s="39" t="s">
        <v>55</v>
      </c>
      <c r="E329" s="113"/>
      <c r="F329" s="113"/>
      <c r="G329" s="112" t="s">
        <v>2430</v>
      </c>
      <c r="H329" s="113"/>
      <c r="I329" s="113"/>
      <c r="J329" s="113"/>
      <c r="K329" s="46"/>
      <c r="L329" s="113"/>
      <c r="M329" s="46">
        <v>0.07233796296296297</v>
      </c>
      <c r="N329" s="46">
        <v>0.07385416666666667</v>
      </c>
      <c r="O329" s="60">
        <f t="shared" si="34"/>
        <v>0.001516203704</v>
      </c>
      <c r="P329" s="114">
        <v>43009.0</v>
      </c>
      <c r="Q329" s="61" t="str">
        <f t="shared" si="33"/>
        <v>https://www.youtube.com/embed/Vf5BOYF0S3Y?start=6250&amp;end=6381&amp;autoplay=1</v>
      </c>
      <c r="R329" s="115"/>
      <c r="S329" s="115"/>
      <c r="T329" s="115"/>
      <c r="U329" s="116"/>
      <c r="V329" s="117"/>
      <c r="W329" s="118"/>
      <c r="X329" s="119"/>
      <c r="Y329" s="113"/>
      <c r="Z329" s="113"/>
    </row>
    <row r="330">
      <c r="A330" s="38">
        <v>108.0</v>
      </c>
      <c r="B330" s="38"/>
      <c r="C330" s="38"/>
      <c r="D330" s="38"/>
      <c r="E330" s="38" t="s">
        <v>624</v>
      </c>
      <c r="F330" s="41" t="s">
        <v>625</v>
      </c>
      <c r="G330" s="43"/>
      <c r="H330" s="45"/>
      <c r="I330" s="38"/>
      <c r="J330" s="38">
        <f>2.6*1000</f>
        <v>2600</v>
      </c>
      <c r="K330" s="46">
        <v>0.05289351851851851</v>
      </c>
      <c r="L330" s="47" t="s">
        <v>211</v>
      </c>
      <c r="M330" s="46"/>
      <c r="N330" s="46"/>
      <c r="O330" s="38"/>
      <c r="P330" s="38"/>
      <c r="Q330" s="12" t="str">
        <f t="shared" si="33"/>
        <v/>
      </c>
      <c r="R330" s="50"/>
      <c r="S330" s="50"/>
      <c r="T330" s="50"/>
      <c r="U330" s="53"/>
      <c r="V330" s="54"/>
      <c r="W330" s="56"/>
      <c r="X330" s="119"/>
      <c r="Y330" s="113"/>
      <c r="Z330" s="113"/>
    </row>
    <row r="331">
      <c r="A331" s="38">
        <v>109.0</v>
      </c>
      <c r="B331" s="38"/>
      <c r="C331" s="38"/>
      <c r="D331" s="38"/>
      <c r="E331" s="38" t="s">
        <v>628</v>
      </c>
      <c r="F331" s="41" t="s">
        <v>629</v>
      </c>
      <c r="G331" s="43"/>
      <c r="H331" s="45"/>
      <c r="I331" s="38"/>
      <c r="J331" s="38">
        <f>1.4*1000</f>
        <v>1400</v>
      </c>
      <c r="K331" s="46">
        <v>0.03181712962962963</v>
      </c>
      <c r="L331" s="47" t="s">
        <v>211</v>
      </c>
      <c r="M331" s="46"/>
      <c r="N331" s="46"/>
      <c r="O331" s="38"/>
      <c r="P331" s="38"/>
      <c r="Q331" s="12" t="str">
        <f t="shared" si="33"/>
        <v/>
      </c>
      <c r="R331" s="50"/>
      <c r="S331" s="50"/>
      <c r="T331" s="50"/>
      <c r="U331" s="53"/>
      <c r="V331" s="54"/>
      <c r="W331" s="56"/>
      <c r="X331" s="119"/>
      <c r="Y331" s="113"/>
      <c r="Z331" s="113"/>
    </row>
    <row r="332">
      <c r="A332" s="38">
        <v>110.0</v>
      </c>
      <c r="B332" s="38"/>
      <c r="C332" s="38"/>
      <c r="D332" s="38"/>
      <c r="E332" s="38" t="s">
        <v>631</v>
      </c>
      <c r="F332" s="41" t="s">
        <v>632</v>
      </c>
      <c r="G332" s="43"/>
      <c r="H332" s="45"/>
      <c r="I332" s="38"/>
      <c r="J332" s="38">
        <f>15*1000</f>
        <v>15000</v>
      </c>
      <c r="K332" s="46">
        <v>0.10678240740740741</v>
      </c>
      <c r="L332" s="47" t="s">
        <v>211</v>
      </c>
      <c r="M332" s="46"/>
      <c r="N332" s="46"/>
      <c r="O332" s="38"/>
      <c r="P332" s="38"/>
      <c r="Q332" s="12" t="str">
        <f t="shared" si="33"/>
        <v/>
      </c>
      <c r="R332" s="50"/>
      <c r="S332" s="50"/>
      <c r="T332" s="50"/>
      <c r="U332" s="53"/>
      <c r="V332" s="54"/>
      <c r="W332" s="56"/>
      <c r="X332" s="119"/>
      <c r="Y332" s="113"/>
      <c r="Z332" s="113"/>
    </row>
    <row r="333">
      <c r="A333" s="38">
        <v>111.0</v>
      </c>
      <c r="B333" s="38"/>
      <c r="C333" s="38"/>
      <c r="D333" s="38"/>
      <c r="E333" s="38" t="s">
        <v>634</v>
      </c>
      <c r="F333" s="41" t="s">
        <v>635</v>
      </c>
      <c r="G333" s="43"/>
      <c r="H333" s="45"/>
      <c r="I333" s="38"/>
      <c r="J333" s="38">
        <f>888</f>
        <v>888</v>
      </c>
      <c r="K333" s="46">
        <v>0.0043055555555555555</v>
      </c>
      <c r="L333" s="47" t="s">
        <v>211</v>
      </c>
      <c r="M333" s="46"/>
      <c r="N333" s="46"/>
      <c r="O333" s="38"/>
      <c r="P333" s="38"/>
      <c r="Q333" s="12" t="str">
        <f t="shared" si="33"/>
        <v/>
      </c>
      <c r="R333" s="50"/>
      <c r="S333" s="50"/>
      <c r="T333" s="50"/>
      <c r="U333" s="53"/>
      <c r="V333" s="54"/>
      <c r="W333" s="56"/>
      <c r="X333" s="119"/>
      <c r="Y333" s="113"/>
      <c r="Z333" s="113"/>
    </row>
    <row r="334">
      <c r="A334" s="38">
        <v>112.0</v>
      </c>
      <c r="B334" s="38"/>
      <c r="C334" s="38"/>
      <c r="D334" s="38"/>
      <c r="E334" s="38" t="s">
        <v>636</v>
      </c>
      <c r="F334" s="41" t="s">
        <v>637</v>
      </c>
      <c r="G334" s="43"/>
      <c r="H334" s="45"/>
      <c r="I334" s="38"/>
      <c r="J334" s="38">
        <f>466</f>
        <v>466</v>
      </c>
      <c r="K334" s="46">
        <v>0.026064814814814815</v>
      </c>
      <c r="L334" s="47" t="s">
        <v>211</v>
      </c>
      <c r="M334" s="46"/>
      <c r="N334" s="46"/>
      <c r="O334" s="38"/>
      <c r="P334" s="38"/>
      <c r="Q334" s="12" t="str">
        <f t="shared" si="33"/>
        <v/>
      </c>
      <c r="R334" s="50"/>
      <c r="S334" s="50"/>
      <c r="T334" s="50"/>
      <c r="U334" s="53"/>
      <c r="V334" s="54"/>
      <c r="W334" s="56"/>
      <c r="X334" s="119"/>
      <c r="Y334" s="113"/>
      <c r="Z334" s="113"/>
    </row>
    <row r="335">
      <c r="A335" s="38">
        <v>113.0</v>
      </c>
      <c r="B335" s="38"/>
      <c r="C335" s="38"/>
      <c r="D335" s="38"/>
      <c r="E335" s="38" t="s">
        <v>638</v>
      </c>
      <c r="F335" s="41" t="s">
        <v>639</v>
      </c>
      <c r="G335" s="43"/>
      <c r="H335" s="45"/>
      <c r="I335" s="38"/>
      <c r="J335" s="38">
        <f>1*1000</f>
        <v>1000</v>
      </c>
      <c r="K335" s="46">
        <v>0.023506944444444445</v>
      </c>
      <c r="L335" s="47" t="s">
        <v>211</v>
      </c>
      <c r="M335" s="46"/>
      <c r="N335" s="46"/>
      <c r="O335" s="38"/>
      <c r="P335" s="38"/>
      <c r="Q335" s="12" t="str">
        <f t="shared" si="33"/>
        <v/>
      </c>
      <c r="R335" s="50"/>
      <c r="S335" s="50"/>
      <c r="T335" s="50"/>
      <c r="U335" s="53"/>
      <c r="V335" s="54"/>
      <c r="W335" s="56"/>
      <c r="X335" s="119"/>
      <c r="Y335" s="113"/>
      <c r="Z335" s="113"/>
    </row>
    <row r="336">
      <c r="A336" s="38">
        <v>114.0</v>
      </c>
      <c r="B336" s="38"/>
      <c r="C336" s="38"/>
      <c r="D336" s="38"/>
      <c r="E336" s="38" t="s">
        <v>640</v>
      </c>
      <c r="F336" s="41" t="s">
        <v>641</v>
      </c>
      <c r="G336" s="43"/>
      <c r="H336" s="45"/>
      <c r="I336" s="38"/>
      <c r="J336" s="38">
        <f>1.4*1000</f>
        <v>1400</v>
      </c>
      <c r="K336" s="46">
        <v>0.011608796296296296</v>
      </c>
      <c r="L336" s="47" t="s">
        <v>211</v>
      </c>
      <c r="M336" s="46"/>
      <c r="N336" s="46"/>
      <c r="O336" s="38"/>
      <c r="P336" s="38"/>
      <c r="Q336" s="12" t="str">
        <f t="shared" si="33"/>
        <v/>
      </c>
      <c r="R336" s="50"/>
      <c r="S336" s="50"/>
      <c r="T336" s="50"/>
      <c r="U336" s="53"/>
      <c r="V336" s="54"/>
      <c r="W336" s="56"/>
      <c r="X336" s="119"/>
      <c r="Y336" s="113"/>
      <c r="Z336" s="113"/>
    </row>
    <row r="337">
      <c r="A337" s="38">
        <v>115.0</v>
      </c>
      <c r="B337" s="38"/>
      <c r="C337" s="38"/>
      <c r="D337" s="38"/>
      <c r="E337" s="38" t="s">
        <v>642</v>
      </c>
      <c r="F337" s="41" t="s">
        <v>643</v>
      </c>
      <c r="G337" s="43"/>
      <c r="H337" s="45"/>
      <c r="I337" s="38"/>
      <c r="J337" s="38">
        <f>602</f>
        <v>602</v>
      </c>
      <c r="K337" s="46">
        <v>0.021805555555555554</v>
      </c>
      <c r="L337" s="47" t="s">
        <v>211</v>
      </c>
      <c r="M337" s="46"/>
      <c r="N337" s="46"/>
      <c r="O337" s="38"/>
      <c r="P337" s="38"/>
      <c r="Q337" s="12" t="str">
        <f t="shared" si="33"/>
        <v/>
      </c>
      <c r="R337" s="50"/>
      <c r="S337" s="50"/>
      <c r="T337" s="50"/>
      <c r="U337" s="53"/>
      <c r="V337" s="54"/>
      <c r="W337" s="56"/>
      <c r="X337" s="119"/>
      <c r="Y337" s="113"/>
      <c r="Z337" s="113"/>
    </row>
    <row r="338">
      <c r="A338" s="38">
        <v>116.0</v>
      </c>
      <c r="B338" s="38"/>
      <c r="C338" s="38"/>
      <c r="D338" s="38"/>
      <c r="E338" s="38" t="s">
        <v>644</v>
      </c>
      <c r="F338" s="41" t="s">
        <v>645</v>
      </c>
      <c r="G338" s="43"/>
      <c r="H338" s="45"/>
      <c r="I338" s="38"/>
      <c r="J338" s="38">
        <f>317</f>
        <v>317</v>
      </c>
      <c r="K338" s="46">
        <v>0.029108796296296296</v>
      </c>
      <c r="L338" s="47" t="s">
        <v>211</v>
      </c>
      <c r="M338" s="46"/>
      <c r="N338" s="46"/>
      <c r="O338" s="38"/>
      <c r="P338" s="38"/>
      <c r="Q338" s="12" t="str">
        <f t="shared" si="33"/>
        <v/>
      </c>
      <c r="R338" s="50"/>
      <c r="S338" s="50"/>
      <c r="T338" s="50"/>
      <c r="U338" s="53"/>
      <c r="V338" s="54"/>
      <c r="W338" s="56"/>
      <c r="X338" s="119"/>
      <c r="Y338" s="113"/>
      <c r="Z338" s="113"/>
    </row>
    <row r="339">
      <c r="A339" s="38">
        <v>117.0</v>
      </c>
      <c r="B339" s="38"/>
      <c r="C339" s="38"/>
      <c r="D339" s="38"/>
      <c r="E339" s="38" t="s">
        <v>646</v>
      </c>
      <c r="F339" s="41" t="s">
        <v>647</v>
      </c>
      <c r="G339" s="43"/>
      <c r="H339" s="45"/>
      <c r="I339" s="38"/>
      <c r="J339" s="38">
        <f>756</f>
        <v>756</v>
      </c>
      <c r="K339" s="46">
        <v>0.013333333333333334</v>
      </c>
      <c r="L339" s="47" t="s">
        <v>211</v>
      </c>
      <c r="M339" s="46"/>
      <c r="N339" s="46"/>
      <c r="O339" s="38"/>
      <c r="P339" s="38"/>
      <c r="Q339" s="12" t="str">
        <f t="shared" si="33"/>
        <v/>
      </c>
      <c r="R339" s="50"/>
      <c r="S339" s="50"/>
      <c r="T339" s="50"/>
      <c r="U339" s="53"/>
      <c r="V339" s="54"/>
      <c r="W339" s="56"/>
      <c r="X339" s="119"/>
      <c r="Y339" s="113"/>
      <c r="Z339" s="113"/>
    </row>
    <row r="340">
      <c r="A340" s="38">
        <v>118.0</v>
      </c>
      <c r="B340" s="38"/>
      <c r="C340" s="38"/>
      <c r="D340" s="38"/>
      <c r="E340" s="38" t="s">
        <v>648</v>
      </c>
      <c r="F340" s="41" t="s">
        <v>649</v>
      </c>
      <c r="G340" s="43"/>
      <c r="H340" s="45"/>
      <c r="I340" s="38"/>
      <c r="J340" s="38">
        <f>493</f>
        <v>493</v>
      </c>
      <c r="K340" s="46">
        <v>0.01258101851851852</v>
      </c>
      <c r="L340" s="47" t="s">
        <v>211</v>
      </c>
      <c r="M340" s="46"/>
      <c r="N340" s="46"/>
      <c r="O340" s="38"/>
      <c r="P340" s="38"/>
      <c r="Q340" s="12" t="str">
        <f t="shared" si="33"/>
        <v/>
      </c>
      <c r="R340" s="50"/>
      <c r="S340" s="50"/>
      <c r="T340" s="50"/>
      <c r="U340" s="53"/>
      <c r="V340" s="54"/>
      <c r="W340" s="56"/>
      <c r="X340" s="119"/>
      <c r="Y340" s="113"/>
      <c r="Z340" s="113"/>
    </row>
    <row r="341">
      <c r="A341" s="38">
        <v>119.0</v>
      </c>
      <c r="B341" s="38"/>
      <c r="C341" s="38"/>
      <c r="D341" s="38"/>
      <c r="E341" s="38" t="s">
        <v>650</v>
      </c>
      <c r="F341" s="41" t="s">
        <v>651</v>
      </c>
      <c r="G341" s="43"/>
      <c r="H341" s="45"/>
      <c r="I341" s="38"/>
      <c r="J341" s="38">
        <f>1*1000</f>
        <v>1000</v>
      </c>
      <c r="K341" s="46">
        <v>0.03648148148148148</v>
      </c>
      <c r="L341" s="47" t="s">
        <v>211</v>
      </c>
      <c r="M341" s="46"/>
      <c r="N341" s="46"/>
      <c r="O341" s="38"/>
      <c r="P341" s="38"/>
      <c r="Q341" s="12" t="str">
        <f t="shared" si="33"/>
        <v/>
      </c>
      <c r="R341" s="50"/>
      <c r="S341" s="50"/>
      <c r="T341" s="50"/>
      <c r="U341" s="53"/>
      <c r="V341" s="54"/>
      <c r="W341" s="56"/>
      <c r="X341" s="119"/>
      <c r="Y341" s="113"/>
      <c r="Z341" s="113"/>
    </row>
    <row r="342">
      <c r="A342" s="38">
        <v>120.0</v>
      </c>
      <c r="B342" s="38"/>
      <c r="C342" s="38"/>
      <c r="D342" s="38"/>
      <c r="E342" s="38" t="s">
        <v>652</v>
      </c>
      <c r="F342" s="41" t="s">
        <v>653</v>
      </c>
      <c r="G342" s="43"/>
      <c r="H342" s="45"/>
      <c r="I342" s="38"/>
      <c r="J342" s="38">
        <f>619</f>
        <v>619</v>
      </c>
      <c r="K342" s="46">
        <v>0.03594907407407407</v>
      </c>
      <c r="L342" s="47" t="s">
        <v>211</v>
      </c>
      <c r="M342" s="46"/>
      <c r="N342" s="46"/>
      <c r="O342" s="38"/>
      <c r="P342" s="38"/>
      <c r="Q342" s="12" t="str">
        <f t="shared" si="33"/>
        <v/>
      </c>
      <c r="R342" s="50"/>
      <c r="S342" s="50"/>
      <c r="T342" s="50"/>
      <c r="U342" s="53"/>
      <c r="V342" s="54"/>
      <c r="W342" s="56"/>
      <c r="X342" s="119"/>
      <c r="Y342" s="113"/>
      <c r="Z342" s="113"/>
    </row>
    <row r="343">
      <c r="A343" s="38">
        <v>121.0</v>
      </c>
      <c r="B343" s="38"/>
      <c r="C343" s="38"/>
      <c r="D343" s="38"/>
      <c r="E343" s="38" t="s">
        <v>654</v>
      </c>
      <c r="F343" s="41" t="s">
        <v>655</v>
      </c>
      <c r="G343" s="43"/>
      <c r="H343" s="45"/>
      <c r="I343" s="38"/>
      <c r="J343" s="38">
        <f>658</f>
        <v>658</v>
      </c>
      <c r="K343" s="46">
        <v>0.037592592592592594</v>
      </c>
      <c r="L343" s="47" t="s">
        <v>211</v>
      </c>
      <c r="M343" s="46"/>
      <c r="N343" s="46"/>
      <c r="O343" s="38"/>
      <c r="P343" s="38"/>
      <c r="Q343" s="12" t="str">
        <f t="shared" si="33"/>
        <v/>
      </c>
      <c r="R343" s="50"/>
      <c r="S343" s="50"/>
      <c r="T343" s="50"/>
      <c r="U343" s="53"/>
      <c r="V343" s="54"/>
      <c r="W343" s="56"/>
      <c r="X343" s="119"/>
      <c r="Y343" s="113"/>
      <c r="Z343" s="113"/>
    </row>
    <row r="344">
      <c r="A344" s="38">
        <v>122.0</v>
      </c>
      <c r="B344" s="38"/>
      <c r="C344" s="38"/>
      <c r="D344" s="38"/>
      <c r="E344" s="38" t="s">
        <v>656</v>
      </c>
      <c r="F344" s="41" t="s">
        <v>657</v>
      </c>
      <c r="G344" s="43"/>
      <c r="H344" s="45"/>
      <c r="I344" s="38"/>
      <c r="J344" s="38">
        <f>1.5*1000</f>
        <v>1500</v>
      </c>
      <c r="K344" s="46">
        <v>0.04739583333333333</v>
      </c>
      <c r="L344" s="47" t="s">
        <v>211</v>
      </c>
      <c r="M344" s="46"/>
      <c r="N344" s="46"/>
      <c r="O344" s="38"/>
      <c r="P344" s="38"/>
      <c r="Q344" s="12" t="str">
        <f t="shared" si="33"/>
        <v/>
      </c>
      <c r="R344" s="50"/>
      <c r="S344" s="50"/>
      <c r="T344" s="50"/>
      <c r="U344" s="53"/>
      <c r="V344" s="54"/>
      <c r="W344" s="56"/>
      <c r="X344" s="119"/>
      <c r="Y344" s="113"/>
      <c r="Z344" s="113"/>
    </row>
    <row r="345">
      <c r="A345" s="38">
        <v>123.0</v>
      </c>
      <c r="B345" s="38"/>
      <c r="C345" s="38"/>
      <c r="D345" s="38"/>
      <c r="E345" s="38" t="s">
        <v>658</v>
      </c>
      <c r="F345" s="41" t="s">
        <v>659</v>
      </c>
      <c r="G345" s="43"/>
      <c r="H345" s="45"/>
      <c r="I345" s="38"/>
      <c r="J345" s="38">
        <f>2.1*1000</f>
        <v>2100</v>
      </c>
      <c r="K345" s="46">
        <v>0.047511574074074074</v>
      </c>
      <c r="L345" s="47" t="s">
        <v>211</v>
      </c>
      <c r="M345" s="46"/>
      <c r="N345" s="46"/>
      <c r="O345" s="38"/>
      <c r="P345" s="38"/>
      <c r="Q345" s="12" t="str">
        <f t="shared" si="33"/>
        <v/>
      </c>
      <c r="R345" s="50"/>
      <c r="S345" s="50"/>
      <c r="T345" s="50"/>
      <c r="U345" s="53"/>
      <c r="V345" s="54"/>
      <c r="W345" s="56"/>
      <c r="X345" s="119"/>
      <c r="Y345" s="113"/>
      <c r="Z345" s="113"/>
    </row>
    <row r="346">
      <c r="A346" s="38">
        <v>124.0</v>
      </c>
      <c r="B346" s="38"/>
      <c r="C346" s="38"/>
      <c r="D346" s="38"/>
      <c r="E346" s="38" t="s">
        <v>660</v>
      </c>
      <c r="F346" s="41" t="s">
        <v>661</v>
      </c>
      <c r="G346" s="43"/>
      <c r="H346" s="45"/>
      <c r="I346" s="38"/>
      <c r="J346" s="38">
        <f>1.1*1000</f>
        <v>1100</v>
      </c>
      <c r="K346" s="46">
        <v>0.015659722222222224</v>
      </c>
      <c r="L346" s="47" t="s">
        <v>211</v>
      </c>
      <c r="M346" s="46"/>
      <c r="N346" s="46"/>
      <c r="O346" s="38"/>
      <c r="P346" s="38"/>
      <c r="Q346" s="12" t="str">
        <f t="shared" si="33"/>
        <v/>
      </c>
      <c r="R346" s="50"/>
      <c r="S346" s="50"/>
      <c r="T346" s="50"/>
      <c r="U346" s="53"/>
      <c r="V346" s="54"/>
      <c r="W346" s="56"/>
      <c r="X346" s="119"/>
      <c r="Y346" s="113"/>
      <c r="Z346" s="113"/>
    </row>
    <row r="347">
      <c r="A347" s="38">
        <v>125.0</v>
      </c>
      <c r="B347" s="38"/>
      <c r="C347" s="38"/>
      <c r="D347" s="38"/>
      <c r="E347" s="38" t="s">
        <v>662</v>
      </c>
      <c r="F347" s="41" t="s">
        <v>663</v>
      </c>
      <c r="G347" s="43"/>
      <c r="H347" s="45"/>
      <c r="I347" s="38"/>
      <c r="J347" s="38">
        <f>2.3*1000</f>
        <v>2300</v>
      </c>
      <c r="K347" s="46">
        <v>0.054293981481481485</v>
      </c>
      <c r="L347" s="47" t="s">
        <v>211</v>
      </c>
      <c r="M347" s="46"/>
      <c r="N347" s="46"/>
      <c r="O347" s="38"/>
      <c r="P347" s="38"/>
      <c r="Q347" s="12" t="str">
        <f t="shared" si="33"/>
        <v/>
      </c>
      <c r="R347" s="50"/>
      <c r="S347" s="50"/>
      <c r="T347" s="50"/>
      <c r="U347" s="53"/>
      <c r="V347" s="54"/>
      <c r="W347" s="56"/>
      <c r="X347" s="119"/>
      <c r="Y347" s="113"/>
      <c r="Z347" s="113"/>
    </row>
    <row r="348">
      <c r="A348" s="38">
        <v>126.0</v>
      </c>
      <c r="B348" s="38"/>
      <c r="C348" s="38"/>
      <c r="D348" s="38"/>
      <c r="E348" s="38" t="s">
        <v>664</v>
      </c>
      <c r="F348" s="41" t="s">
        <v>665</v>
      </c>
      <c r="G348" s="43"/>
      <c r="H348" s="45"/>
      <c r="I348" s="38"/>
      <c r="J348" s="38">
        <f>2.1*1000</f>
        <v>2100</v>
      </c>
      <c r="K348" s="46">
        <v>0.02625</v>
      </c>
      <c r="L348" s="47" t="s">
        <v>211</v>
      </c>
      <c r="M348" s="46"/>
      <c r="N348" s="46"/>
      <c r="O348" s="38"/>
      <c r="P348" s="38"/>
      <c r="Q348" s="12" t="str">
        <f t="shared" si="33"/>
        <v/>
      </c>
      <c r="R348" s="50"/>
      <c r="S348" s="50"/>
      <c r="T348" s="50"/>
      <c r="U348" s="53"/>
      <c r="V348" s="54"/>
      <c r="W348" s="56"/>
      <c r="X348" s="119"/>
      <c r="Y348" s="113"/>
      <c r="Z348" s="113"/>
    </row>
    <row r="349">
      <c r="A349" s="38">
        <v>127.0</v>
      </c>
      <c r="B349" s="38"/>
      <c r="C349" s="38"/>
      <c r="D349" s="38"/>
      <c r="E349" s="38" t="s">
        <v>666</v>
      </c>
      <c r="F349" s="41" t="s">
        <v>667</v>
      </c>
      <c r="G349" s="43"/>
      <c r="H349" s="45"/>
      <c r="I349" s="38"/>
      <c r="J349" s="38">
        <f>2.4*1000</f>
        <v>2400</v>
      </c>
      <c r="K349" s="46">
        <v>0.028645833333333332</v>
      </c>
      <c r="L349" s="47" t="s">
        <v>211</v>
      </c>
      <c r="M349" s="46"/>
      <c r="N349" s="46"/>
      <c r="O349" s="38"/>
      <c r="P349" s="38"/>
      <c r="Q349" s="12" t="str">
        <f t="shared" si="33"/>
        <v/>
      </c>
      <c r="R349" s="50"/>
      <c r="S349" s="50"/>
      <c r="T349" s="50"/>
      <c r="U349" s="53"/>
      <c r="V349" s="54"/>
      <c r="W349" s="56"/>
      <c r="X349" s="119"/>
      <c r="Y349" s="113"/>
      <c r="Z349" s="113"/>
    </row>
    <row r="350">
      <c r="A350" s="38">
        <v>128.0</v>
      </c>
      <c r="B350" s="38"/>
      <c r="C350" s="38"/>
      <c r="D350" s="38"/>
      <c r="E350" s="38" t="s">
        <v>668</v>
      </c>
      <c r="F350" s="41" t="s">
        <v>669</v>
      </c>
      <c r="G350" s="43"/>
      <c r="H350" s="45"/>
      <c r="I350" s="38"/>
      <c r="J350" s="38">
        <f>1.4*1000</f>
        <v>1400</v>
      </c>
      <c r="K350" s="46">
        <v>0.03318287037037037</v>
      </c>
      <c r="L350" s="47" t="s">
        <v>211</v>
      </c>
      <c r="M350" s="46"/>
      <c r="N350" s="46"/>
      <c r="O350" s="38"/>
      <c r="P350" s="38"/>
      <c r="Q350" s="12" t="str">
        <f t="shared" si="33"/>
        <v/>
      </c>
      <c r="R350" s="50"/>
      <c r="S350" s="50"/>
      <c r="T350" s="50"/>
      <c r="U350" s="53"/>
      <c r="V350" s="54"/>
      <c r="W350" s="56"/>
      <c r="X350" s="119"/>
      <c r="Y350" s="113"/>
      <c r="Z350" s="113"/>
    </row>
    <row r="351">
      <c r="A351" s="38">
        <v>129.0</v>
      </c>
      <c r="B351" s="38"/>
      <c r="C351" s="38"/>
      <c r="D351" s="38"/>
      <c r="E351" s="38" t="s">
        <v>670</v>
      </c>
      <c r="F351" s="41" t="s">
        <v>671</v>
      </c>
      <c r="G351" s="43"/>
      <c r="H351" s="45"/>
      <c r="I351" s="38"/>
      <c r="J351" s="38">
        <f>19*1000</f>
        <v>19000</v>
      </c>
      <c r="K351" s="46">
        <v>0.011620370370370371</v>
      </c>
      <c r="L351" s="47" t="s">
        <v>211</v>
      </c>
      <c r="M351" s="46"/>
      <c r="N351" s="46"/>
      <c r="O351" s="38"/>
      <c r="P351" s="38"/>
      <c r="Q351" s="12" t="str">
        <f t="shared" si="33"/>
        <v/>
      </c>
      <c r="R351" s="50"/>
      <c r="S351" s="50"/>
      <c r="T351" s="50"/>
      <c r="U351" s="53"/>
      <c r="V351" s="54"/>
      <c r="W351" s="56"/>
      <c r="X351" s="119"/>
      <c r="Y351" s="113"/>
      <c r="Z351" s="113"/>
    </row>
    <row r="352">
      <c r="A352" s="38">
        <v>130.0</v>
      </c>
      <c r="B352" s="38"/>
      <c r="C352" s="38"/>
      <c r="D352" s="38"/>
      <c r="E352" s="38" t="s">
        <v>672</v>
      </c>
      <c r="F352" s="41" t="s">
        <v>673</v>
      </c>
      <c r="G352" s="43"/>
      <c r="H352" s="45"/>
      <c r="I352" s="38"/>
      <c r="J352" s="38">
        <f>651</f>
        <v>651</v>
      </c>
      <c r="K352" s="46">
        <v>0.003981481481481482</v>
      </c>
      <c r="L352" s="47" t="s">
        <v>211</v>
      </c>
      <c r="M352" s="46"/>
      <c r="N352" s="46"/>
      <c r="O352" s="38"/>
      <c r="P352" s="38"/>
      <c r="Q352" s="12" t="str">
        <f t="shared" si="33"/>
        <v/>
      </c>
      <c r="R352" s="50"/>
      <c r="S352" s="50"/>
      <c r="T352" s="50"/>
      <c r="U352" s="53"/>
      <c r="V352" s="54"/>
      <c r="W352" s="56"/>
      <c r="X352" s="119"/>
      <c r="Y352" s="113"/>
      <c r="Z352" s="113"/>
    </row>
    <row r="353">
      <c r="A353" s="38">
        <v>131.0</v>
      </c>
      <c r="B353" s="38"/>
      <c r="C353" s="38"/>
      <c r="D353" s="38"/>
      <c r="E353" s="38" t="s">
        <v>674</v>
      </c>
      <c r="F353" s="41" t="s">
        <v>675</v>
      </c>
      <c r="G353" s="43"/>
      <c r="H353" s="45"/>
      <c r="I353" s="38"/>
      <c r="J353" s="38">
        <f>667</f>
        <v>667</v>
      </c>
      <c r="K353" s="46">
        <v>0.003009259259259259</v>
      </c>
      <c r="L353" s="47" t="s">
        <v>211</v>
      </c>
      <c r="M353" s="46"/>
      <c r="N353" s="46"/>
      <c r="O353" s="38"/>
      <c r="P353" s="38"/>
      <c r="Q353" s="12" t="str">
        <f t="shared" si="33"/>
        <v/>
      </c>
      <c r="R353" s="50"/>
      <c r="S353" s="50"/>
      <c r="T353" s="50"/>
      <c r="U353" s="53"/>
      <c r="V353" s="54"/>
      <c r="W353" s="56"/>
      <c r="X353" s="119"/>
      <c r="Y353" s="113"/>
      <c r="Z353" s="113"/>
    </row>
    <row r="354">
      <c r="A354" s="38">
        <v>132.0</v>
      </c>
      <c r="B354" s="38"/>
      <c r="C354" s="38"/>
      <c r="D354" s="38"/>
      <c r="E354" s="38" t="s">
        <v>676</v>
      </c>
      <c r="F354" s="41" t="s">
        <v>677</v>
      </c>
      <c r="G354" s="43"/>
      <c r="H354" s="45"/>
      <c r="I354" s="38"/>
      <c r="J354" s="38">
        <f>446</f>
        <v>446</v>
      </c>
      <c r="K354" s="46">
        <v>0.0016087962962962963</v>
      </c>
      <c r="L354" s="47" t="s">
        <v>211</v>
      </c>
      <c r="M354" s="46"/>
      <c r="N354" s="46"/>
      <c r="O354" s="38"/>
      <c r="P354" s="38"/>
      <c r="Q354" s="12" t="str">
        <f t="shared" si="33"/>
        <v/>
      </c>
      <c r="R354" s="50"/>
      <c r="S354" s="50"/>
      <c r="T354" s="50"/>
      <c r="U354" s="53"/>
      <c r="V354" s="54"/>
      <c r="W354" s="56"/>
      <c r="X354" s="119"/>
      <c r="Y354" s="113"/>
      <c r="Z354" s="113"/>
    </row>
    <row r="355">
      <c r="A355" s="38">
        <v>133.0</v>
      </c>
      <c r="B355" s="38"/>
      <c r="C355" s="38"/>
      <c r="D355" s="38"/>
      <c r="E355" s="38" t="s">
        <v>678</v>
      </c>
      <c r="F355" s="41" t="s">
        <v>679</v>
      </c>
      <c r="G355" s="43"/>
      <c r="H355" s="45"/>
      <c r="I355" s="38"/>
      <c r="J355" s="38">
        <f>1.5*1000</f>
        <v>1500</v>
      </c>
      <c r="K355" s="46">
        <v>0.020995370370370373</v>
      </c>
      <c r="L355" s="47" t="s">
        <v>211</v>
      </c>
      <c r="M355" s="46"/>
      <c r="N355" s="46"/>
      <c r="O355" s="38"/>
      <c r="P355" s="38"/>
      <c r="Q355" s="12" t="str">
        <f t="shared" si="33"/>
        <v/>
      </c>
      <c r="R355" s="50"/>
      <c r="S355" s="50"/>
      <c r="T355" s="50"/>
      <c r="U355" s="53"/>
      <c r="V355" s="54"/>
      <c r="W355" s="56"/>
      <c r="X355" s="119"/>
      <c r="Y355" s="113"/>
      <c r="Z355" s="113"/>
    </row>
    <row r="356">
      <c r="A356" s="38">
        <v>134.0</v>
      </c>
      <c r="B356" s="38"/>
      <c r="C356" s="38"/>
      <c r="D356" s="38"/>
      <c r="E356" s="38" t="s">
        <v>680</v>
      </c>
      <c r="F356" s="41" t="s">
        <v>681</v>
      </c>
      <c r="G356" s="43"/>
      <c r="H356" s="45"/>
      <c r="I356" s="38"/>
      <c r="J356" s="38">
        <f>919</f>
        <v>919</v>
      </c>
      <c r="K356" s="46">
        <v>0.03947916666666667</v>
      </c>
      <c r="L356" s="47" t="s">
        <v>211</v>
      </c>
      <c r="M356" s="46"/>
      <c r="N356" s="46"/>
      <c r="O356" s="38"/>
      <c r="P356" s="38"/>
      <c r="Q356" s="12" t="str">
        <f t="shared" si="33"/>
        <v/>
      </c>
      <c r="R356" s="50"/>
      <c r="S356" s="50"/>
      <c r="T356" s="50"/>
      <c r="U356" s="53"/>
      <c r="V356" s="54"/>
      <c r="W356" s="56"/>
      <c r="X356" s="119"/>
      <c r="Y356" s="113"/>
      <c r="Z356" s="113"/>
    </row>
    <row r="357">
      <c r="A357" s="38">
        <v>135.0</v>
      </c>
      <c r="B357" s="38"/>
      <c r="C357" s="38"/>
      <c r="D357" s="38"/>
      <c r="E357" s="38" t="s">
        <v>682</v>
      </c>
      <c r="F357" s="41" t="s">
        <v>683</v>
      </c>
      <c r="G357" s="43"/>
      <c r="H357" s="45"/>
      <c r="I357" s="38"/>
      <c r="J357" s="38">
        <f>1*1000</f>
        <v>1000</v>
      </c>
      <c r="K357" s="46">
        <v>0.012499999999999999</v>
      </c>
      <c r="L357" s="47" t="s">
        <v>211</v>
      </c>
      <c r="M357" s="46"/>
      <c r="N357" s="46"/>
      <c r="O357" s="38"/>
      <c r="P357" s="38"/>
      <c r="Q357" s="12" t="str">
        <f t="shared" si="33"/>
        <v/>
      </c>
      <c r="R357" s="50"/>
      <c r="S357" s="50"/>
      <c r="T357" s="50"/>
      <c r="U357" s="53"/>
      <c r="V357" s="54"/>
      <c r="W357" s="56"/>
      <c r="X357" s="119"/>
      <c r="Y357" s="113"/>
      <c r="Z357" s="113"/>
    </row>
    <row r="358">
      <c r="A358" s="38">
        <v>136.0</v>
      </c>
      <c r="B358" s="38"/>
      <c r="C358" s="38"/>
      <c r="D358" s="38"/>
      <c r="E358" s="38" t="s">
        <v>684</v>
      </c>
      <c r="F358" s="41" t="s">
        <v>685</v>
      </c>
      <c r="G358" s="43"/>
      <c r="H358" s="45"/>
      <c r="I358" s="38"/>
      <c r="J358" s="38">
        <f>246</f>
        <v>246</v>
      </c>
      <c r="K358" s="46">
        <v>0.0018055555555555557</v>
      </c>
      <c r="L358" s="47" t="s">
        <v>211</v>
      </c>
      <c r="M358" s="46"/>
      <c r="N358" s="46"/>
      <c r="O358" s="38"/>
      <c r="P358" s="38"/>
      <c r="Q358" s="12" t="str">
        <f t="shared" si="33"/>
        <v/>
      </c>
      <c r="R358" s="50"/>
      <c r="S358" s="50"/>
      <c r="T358" s="50"/>
      <c r="U358" s="53"/>
      <c r="V358" s="54"/>
      <c r="W358" s="56"/>
      <c r="X358" s="119"/>
      <c r="Y358" s="113"/>
      <c r="Z358" s="113"/>
    </row>
    <row r="359">
      <c r="A359" s="38">
        <v>137.0</v>
      </c>
      <c r="B359" s="38"/>
      <c r="C359" s="38"/>
      <c r="D359" s="38"/>
      <c r="E359" s="38" t="s">
        <v>686</v>
      </c>
      <c r="F359" s="41" t="s">
        <v>687</v>
      </c>
      <c r="G359" s="43"/>
      <c r="H359" s="45"/>
      <c r="I359" s="38"/>
      <c r="J359" s="38">
        <f>10*1000</f>
        <v>10000</v>
      </c>
      <c r="K359" s="46">
        <v>0.03175925925925926</v>
      </c>
      <c r="L359" s="47" t="s">
        <v>211</v>
      </c>
      <c r="M359" s="46"/>
      <c r="N359" s="46"/>
      <c r="O359" s="38"/>
      <c r="P359" s="38"/>
      <c r="Q359" s="12" t="str">
        <f t="shared" si="33"/>
        <v/>
      </c>
      <c r="R359" s="50"/>
      <c r="S359" s="50"/>
      <c r="T359" s="50"/>
      <c r="U359" s="53"/>
      <c r="V359" s="54"/>
      <c r="W359" s="56"/>
      <c r="X359" s="119"/>
      <c r="Y359" s="113"/>
      <c r="Z359" s="113"/>
    </row>
    <row r="360">
      <c r="A360" s="38">
        <v>138.0</v>
      </c>
      <c r="B360" s="38"/>
      <c r="C360" s="38"/>
      <c r="D360" s="38"/>
      <c r="E360" s="38" t="s">
        <v>690</v>
      </c>
      <c r="F360" s="41" t="s">
        <v>691</v>
      </c>
      <c r="G360" s="43"/>
      <c r="H360" s="45"/>
      <c r="I360" s="38"/>
      <c r="J360" s="38">
        <f>955</f>
        <v>955</v>
      </c>
      <c r="K360" s="46">
        <v>0.005520833333333333</v>
      </c>
      <c r="L360" s="47" t="s">
        <v>211</v>
      </c>
      <c r="M360" s="46"/>
      <c r="N360" s="46"/>
      <c r="O360" s="38"/>
      <c r="P360" s="38"/>
      <c r="Q360" s="12" t="str">
        <f t="shared" si="33"/>
        <v/>
      </c>
      <c r="R360" s="50"/>
      <c r="S360" s="50"/>
      <c r="T360" s="50"/>
      <c r="U360" s="53"/>
      <c r="V360" s="54"/>
      <c r="W360" s="56"/>
      <c r="X360" s="119"/>
      <c r="Y360" s="113"/>
      <c r="Z360" s="113"/>
    </row>
    <row r="361">
      <c r="A361" s="38">
        <v>139.0</v>
      </c>
      <c r="B361" s="38"/>
      <c r="C361" s="38"/>
      <c r="D361" s="38"/>
      <c r="E361" s="38" t="s">
        <v>696</v>
      </c>
      <c r="F361" s="41" t="s">
        <v>697</v>
      </c>
      <c r="G361" s="43"/>
      <c r="H361" s="45"/>
      <c r="I361" s="38"/>
      <c r="J361" s="38">
        <f>5.6*1000</f>
        <v>5600</v>
      </c>
      <c r="K361" s="46">
        <v>0.037083333333333336</v>
      </c>
      <c r="L361" s="47" t="s">
        <v>211</v>
      </c>
      <c r="M361" s="46"/>
      <c r="N361" s="46"/>
      <c r="O361" s="38"/>
      <c r="P361" s="38"/>
      <c r="Q361" s="12" t="str">
        <f t="shared" si="33"/>
        <v/>
      </c>
      <c r="R361" s="50"/>
      <c r="S361" s="50"/>
      <c r="T361" s="50"/>
      <c r="U361" s="53"/>
      <c r="V361" s="54"/>
      <c r="W361" s="56"/>
      <c r="X361" s="119"/>
      <c r="Y361" s="113"/>
      <c r="Z361" s="113"/>
    </row>
    <row r="362">
      <c r="A362" s="38">
        <v>140.0</v>
      </c>
      <c r="B362" s="38"/>
      <c r="C362" s="38"/>
      <c r="D362" s="38"/>
      <c r="E362" s="38" t="s">
        <v>700</v>
      </c>
      <c r="F362" s="41" t="s">
        <v>701</v>
      </c>
      <c r="G362" s="43"/>
      <c r="H362" s="45"/>
      <c r="I362" s="38"/>
      <c r="J362" s="38">
        <f>1*1000</f>
        <v>1000</v>
      </c>
      <c r="K362" s="46">
        <v>0.03362268518518518</v>
      </c>
      <c r="L362" s="47" t="s">
        <v>211</v>
      </c>
      <c r="M362" s="46"/>
      <c r="N362" s="46"/>
      <c r="O362" s="38"/>
      <c r="P362" s="38"/>
      <c r="Q362" s="12" t="str">
        <f t="shared" si="33"/>
        <v/>
      </c>
      <c r="R362" s="50"/>
      <c r="S362" s="50"/>
      <c r="T362" s="50"/>
      <c r="U362" s="53"/>
      <c r="V362" s="54"/>
      <c r="W362" s="56"/>
      <c r="X362" s="119"/>
      <c r="Y362" s="113"/>
      <c r="Z362" s="113"/>
    </row>
    <row r="363">
      <c r="A363" s="38">
        <v>141.0</v>
      </c>
      <c r="B363" s="38"/>
      <c r="C363" s="38"/>
      <c r="D363" s="38"/>
      <c r="E363" s="38" t="s">
        <v>708</v>
      </c>
      <c r="F363" s="41" t="s">
        <v>709</v>
      </c>
      <c r="G363" s="43"/>
      <c r="H363" s="45"/>
      <c r="I363" s="38"/>
      <c r="J363" s="38">
        <f>758</f>
        <v>758</v>
      </c>
      <c r="K363" s="46">
        <v>0.029050925925925928</v>
      </c>
      <c r="L363" s="47" t="s">
        <v>211</v>
      </c>
      <c r="M363" s="46"/>
      <c r="N363" s="46"/>
      <c r="O363" s="38"/>
      <c r="P363" s="38"/>
      <c r="Q363" s="12" t="str">
        <f t="shared" si="33"/>
        <v/>
      </c>
      <c r="R363" s="50"/>
      <c r="S363" s="50"/>
      <c r="T363" s="50"/>
      <c r="U363" s="53"/>
      <c r="V363" s="54"/>
      <c r="W363" s="56"/>
      <c r="X363" s="119"/>
      <c r="Y363" s="113"/>
      <c r="Z363" s="113"/>
    </row>
    <row r="364">
      <c r="A364" s="38">
        <v>142.0</v>
      </c>
      <c r="B364" s="38"/>
      <c r="C364" s="38"/>
      <c r="D364" s="38"/>
      <c r="E364" s="38" t="s">
        <v>715</v>
      </c>
      <c r="F364" s="41" t="s">
        <v>717</v>
      </c>
      <c r="G364" s="43"/>
      <c r="H364" s="45"/>
      <c r="I364" s="38"/>
      <c r="J364" s="38">
        <f>483</f>
        <v>483</v>
      </c>
      <c r="K364" s="46">
        <v>0.021400462962962965</v>
      </c>
      <c r="L364" s="47" t="s">
        <v>211</v>
      </c>
      <c r="M364" s="46"/>
      <c r="N364" s="46"/>
      <c r="O364" s="38"/>
      <c r="P364" s="38"/>
      <c r="Q364" s="12" t="str">
        <f t="shared" si="33"/>
        <v/>
      </c>
      <c r="R364" s="50"/>
      <c r="S364" s="50"/>
      <c r="T364" s="50"/>
      <c r="U364" s="53"/>
      <c r="V364" s="54"/>
      <c r="W364" s="56"/>
      <c r="X364" s="119"/>
      <c r="Y364" s="113"/>
      <c r="Z364" s="113"/>
    </row>
    <row r="365">
      <c r="A365" s="38">
        <v>143.0</v>
      </c>
      <c r="B365" s="38"/>
      <c r="C365" s="38"/>
      <c r="D365" s="38"/>
      <c r="E365" s="38" t="s">
        <v>722</v>
      </c>
      <c r="F365" s="41" t="s">
        <v>723</v>
      </c>
      <c r="G365" s="43"/>
      <c r="H365" s="45"/>
      <c r="I365" s="38"/>
      <c r="J365" s="38">
        <f>435</f>
        <v>435</v>
      </c>
      <c r="K365" s="46">
        <v>0.014490740740740742</v>
      </c>
      <c r="L365" s="47" t="s">
        <v>211</v>
      </c>
      <c r="M365" s="46"/>
      <c r="N365" s="46"/>
      <c r="O365" s="38"/>
      <c r="P365" s="38"/>
      <c r="Q365" s="12" t="str">
        <f t="shared" si="33"/>
        <v/>
      </c>
      <c r="R365" s="50"/>
      <c r="S365" s="50"/>
      <c r="T365" s="50"/>
      <c r="U365" s="53"/>
      <c r="V365" s="54"/>
      <c r="W365" s="56"/>
      <c r="X365" s="119"/>
      <c r="Y365" s="113"/>
      <c r="Z365" s="113"/>
    </row>
    <row r="366">
      <c r="A366" s="38">
        <v>144.0</v>
      </c>
      <c r="B366" s="38"/>
      <c r="C366" s="38"/>
      <c r="D366" s="38"/>
      <c r="E366" s="38" t="s">
        <v>727</v>
      </c>
      <c r="F366" s="41" t="s">
        <v>728</v>
      </c>
      <c r="G366" s="43"/>
      <c r="H366" s="45"/>
      <c r="I366" s="38"/>
      <c r="J366" s="38">
        <f>409</f>
        <v>409</v>
      </c>
      <c r="K366" s="46">
        <v>0.01105324074074074</v>
      </c>
      <c r="L366" s="47" t="s">
        <v>211</v>
      </c>
      <c r="M366" s="46"/>
      <c r="N366" s="46"/>
      <c r="O366" s="38"/>
      <c r="P366" s="38"/>
      <c r="Q366" s="12" t="str">
        <f t="shared" si="33"/>
        <v/>
      </c>
      <c r="R366" s="50"/>
      <c r="S366" s="50"/>
      <c r="T366" s="50"/>
      <c r="U366" s="53"/>
      <c r="V366" s="54"/>
      <c r="W366" s="56"/>
      <c r="X366" s="119"/>
      <c r="Y366" s="113"/>
      <c r="Z366" s="113"/>
    </row>
    <row r="367">
      <c r="A367" s="38">
        <v>145.0</v>
      </c>
      <c r="B367" s="38"/>
      <c r="C367" s="38"/>
      <c r="D367" s="38"/>
      <c r="E367" s="38" t="s">
        <v>732</v>
      </c>
      <c r="F367" s="41" t="s">
        <v>733</v>
      </c>
      <c r="G367" s="43"/>
      <c r="H367" s="45"/>
      <c r="I367" s="38"/>
      <c r="J367" s="38">
        <f>925</f>
        <v>925</v>
      </c>
      <c r="K367" s="46">
        <v>0.02017361111111111</v>
      </c>
      <c r="L367" s="47" t="s">
        <v>211</v>
      </c>
      <c r="M367" s="46"/>
      <c r="N367" s="46"/>
      <c r="O367" s="38"/>
      <c r="P367" s="38"/>
      <c r="Q367" s="12" t="str">
        <f t="shared" si="33"/>
        <v/>
      </c>
      <c r="R367" s="50"/>
      <c r="S367" s="50"/>
      <c r="T367" s="50"/>
      <c r="U367" s="53"/>
      <c r="V367" s="54"/>
      <c r="W367" s="56"/>
      <c r="X367" s="119"/>
      <c r="Y367" s="113"/>
      <c r="Z367" s="113"/>
    </row>
    <row r="368">
      <c r="A368" s="38">
        <v>146.0</v>
      </c>
      <c r="B368" s="38"/>
      <c r="C368" s="38"/>
      <c r="D368" s="38"/>
      <c r="E368" s="38" t="s">
        <v>736</v>
      </c>
      <c r="F368" s="41" t="s">
        <v>737</v>
      </c>
      <c r="G368" s="43"/>
      <c r="H368" s="45"/>
      <c r="I368" s="38"/>
      <c r="J368" s="38">
        <f>427</f>
        <v>427</v>
      </c>
      <c r="K368" s="46">
        <v>0.0031249999999999997</v>
      </c>
      <c r="L368" s="47" t="s">
        <v>211</v>
      </c>
      <c r="M368" s="46"/>
      <c r="N368" s="46"/>
      <c r="O368" s="38"/>
      <c r="P368" s="38"/>
      <c r="Q368" s="12" t="str">
        <f t="shared" si="33"/>
        <v/>
      </c>
      <c r="R368" s="50"/>
      <c r="S368" s="50"/>
      <c r="T368" s="50"/>
      <c r="U368" s="53"/>
      <c r="V368" s="54"/>
      <c r="W368" s="56"/>
      <c r="X368" s="119"/>
      <c r="Y368" s="113"/>
      <c r="Z368" s="113"/>
    </row>
    <row r="369">
      <c r="A369" s="38">
        <v>147.0</v>
      </c>
      <c r="B369" s="38"/>
      <c r="C369" s="38"/>
      <c r="D369" s="38"/>
      <c r="E369" s="38" t="s">
        <v>738</v>
      </c>
      <c r="F369" s="41" t="s">
        <v>739</v>
      </c>
      <c r="G369" s="43"/>
      <c r="H369" s="45"/>
      <c r="I369" s="38"/>
      <c r="J369" s="38">
        <f>3.5*1000</f>
        <v>3500</v>
      </c>
      <c r="K369" s="46">
        <v>0.025208333333333333</v>
      </c>
      <c r="L369" s="47" t="s">
        <v>211</v>
      </c>
      <c r="M369" s="46"/>
      <c r="N369" s="46"/>
      <c r="O369" s="38"/>
      <c r="P369" s="38"/>
      <c r="Q369" s="12" t="str">
        <f t="shared" si="33"/>
        <v/>
      </c>
      <c r="R369" s="50"/>
      <c r="S369" s="50"/>
      <c r="T369" s="50"/>
      <c r="U369" s="53"/>
      <c r="V369" s="54"/>
      <c r="W369" s="56"/>
      <c r="X369" s="119"/>
      <c r="Y369" s="113"/>
      <c r="Z369" s="113"/>
    </row>
    <row r="370">
      <c r="A370" s="38">
        <v>148.0</v>
      </c>
      <c r="B370" s="38"/>
      <c r="C370" s="38"/>
      <c r="D370" s="38"/>
      <c r="E370" s="38" t="s">
        <v>742</v>
      </c>
      <c r="F370" s="41" t="s">
        <v>743</v>
      </c>
      <c r="G370" s="43"/>
      <c r="H370" s="45"/>
      <c r="I370" s="38"/>
      <c r="J370" s="38">
        <f>1.1*1000</f>
        <v>1100</v>
      </c>
      <c r="K370" s="46">
        <v>0.036597222222222225</v>
      </c>
      <c r="L370" s="47" t="s">
        <v>211</v>
      </c>
      <c r="M370" s="46"/>
      <c r="N370" s="46"/>
      <c r="O370" s="38"/>
      <c r="P370" s="38"/>
      <c r="Q370" s="12" t="str">
        <f t="shared" si="33"/>
        <v/>
      </c>
      <c r="R370" s="50"/>
      <c r="S370" s="50"/>
      <c r="T370" s="50"/>
      <c r="U370" s="53"/>
      <c r="V370" s="54"/>
      <c r="W370" s="56"/>
      <c r="X370" s="119"/>
      <c r="Y370" s="113"/>
      <c r="Z370" s="113"/>
    </row>
    <row r="371">
      <c r="A371" s="38">
        <v>149.0</v>
      </c>
      <c r="B371" s="63" t="s">
        <v>274</v>
      </c>
      <c r="C371" s="51"/>
      <c r="D371" s="39" t="s">
        <v>55</v>
      </c>
      <c r="E371" s="38" t="s">
        <v>747</v>
      </c>
      <c r="F371" s="41" t="s">
        <v>748</v>
      </c>
      <c r="G371" s="43"/>
      <c r="H371" s="45"/>
      <c r="I371" s="38"/>
      <c r="J371" s="38">
        <f>1.2*1000</f>
        <v>1200</v>
      </c>
      <c r="K371" s="46">
        <v>0.04230324074074074</v>
      </c>
      <c r="L371" s="47" t="s">
        <v>211</v>
      </c>
      <c r="M371" s="48"/>
      <c r="N371" s="48"/>
      <c r="O371" s="38"/>
      <c r="P371" s="89">
        <v>43025.0</v>
      </c>
      <c r="Q371" s="12" t="str">
        <f t="shared" si="33"/>
        <v/>
      </c>
      <c r="R371" s="42"/>
      <c r="S371" s="42"/>
      <c r="T371" s="42"/>
      <c r="U371" s="51"/>
      <c r="V371" s="52"/>
      <c r="W371" s="55"/>
      <c r="X371" s="57"/>
      <c r="Y371" s="106"/>
      <c r="Z371" s="106"/>
      <c r="AA371" s="106"/>
      <c r="AB371" s="106"/>
      <c r="AC371" s="65"/>
      <c r="AD371" s="65"/>
      <c r="AE371" s="65"/>
      <c r="AF371" s="65"/>
      <c r="AG371" s="65"/>
      <c r="AH371" s="38"/>
      <c r="AI371" s="38"/>
    </row>
    <row r="372">
      <c r="A372" s="39">
        <v>149.01</v>
      </c>
      <c r="B372" s="63" t="s">
        <v>274</v>
      </c>
      <c r="C372" s="51"/>
      <c r="D372" s="39" t="s">
        <v>55</v>
      </c>
      <c r="E372" s="38"/>
      <c r="F372" s="41"/>
      <c r="G372" s="62" t="s">
        <v>855</v>
      </c>
      <c r="H372" s="58"/>
      <c r="I372" s="38"/>
      <c r="J372" s="38"/>
      <c r="K372" s="46"/>
      <c r="L372" s="47"/>
      <c r="M372" s="84">
        <v>1.1574074074074073E-5</v>
      </c>
      <c r="N372" s="84">
        <v>0.0042824074074074075</v>
      </c>
      <c r="O372" s="46">
        <f t="shared" ref="O372:O381" si="35">N372-M372</f>
        <v>0.004270833333</v>
      </c>
      <c r="P372" s="89">
        <v>43025.0</v>
      </c>
      <c r="Q372" s="12"/>
      <c r="R372" s="67" t="s">
        <v>61</v>
      </c>
      <c r="S372" s="67" t="s">
        <v>61</v>
      </c>
      <c r="T372" s="67" t="s">
        <v>61</v>
      </c>
      <c r="U372" s="53"/>
      <c r="V372" s="54"/>
      <c r="W372" s="85" t="s">
        <v>62</v>
      </c>
      <c r="X372" s="70"/>
      <c r="Y372" s="59"/>
      <c r="Z372" s="59"/>
      <c r="AA372" s="65"/>
      <c r="AB372" s="65"/>
      <c r="AC372" s="65"/>
      <c r="AD372" s="65"/>
      <c r="AE372" s="65"/>
      <c r="AF372" s="65"/>
      <c r="AG372" s="65"/>
      <c r="AH372" s="38"/>
      <c r="AI372" s="38"/>
    </row>
    <row r="373">
      <c r="A373" s="39">
        <v>149.02</v>
      </c>
      <c r="B373" s="63" t="s">
        <v>274</v>
      </c>
      <c r="C373" s="51"/>
      <c r="D373" s="39" t="s">
        <v>55</v>
      </c>
      <c r="E373" s="38"/>
      <c r="F373" s="41"/>
      <c r="G373" s="62" t="s">
        <v>858</v>
      </c>
      <c r="H373" s="58"/>
      <c r="I373" s="38"/>
      <c r="J373" s="38"/>
      <c r="K373" s="46"/>
      <c r="L373" s="47"/>
      <c r="M373" s="84">
        <v>0.004293981481481481</v>
      </c>
      <c r="N373" s="84">
        <v>0.010104166666666666</v>
      </c>
      <c r="O373" s="46">
        <f t="shared" si="35"/>
        <v>0.005810185185</v>
      </c>
      <c r="P373" s="89">
        <v>43025.0</v>
      </c>
      <c r="Q373" s="12"/>
      <c r="R373" s="67" t="s">
        <v>61</v>
      </c>
      <c r="S373" s="67" t="s">
        <v>61</v>
      </c>
      <c r="T373" s="67" t="s">
        <v>61</v>
      </c>
      <c r="U373" s="53"/>
      <c r="V373" s="54"/>
      <c r="W373" s="85" t="s">
        <v>62</v>
      </c>
      <c r="X373" s="70"/>
      <c r="Y373" s="59"/>
      <c r="Z373" s="59"/>
      <c r="AA373" s="65"/>
      <c r="AB373" s="65"/>
      <c r="AC373" s="65"/>
      <c r="AD373" s="65"/>
      <c r="AE373" s="65"/>
      <c r="AF373" s="65"/>
      <c r="AG373" s="65"/>
      <c r="AH373" s="38"/>
      <c r="AI373" s="38"/>
    </row>
    <row r="374">
      <c r="A374" s="39">
        <v>149.03</v>
      </c>
      <c r="B374" s="63" t="s">
        <v>274</v>
      </c>
      <c r="C374" s="51"/>
      <c r="D374" s="39" t="s">
        <v>55</v>
      </c>
      <c r="E374" s="38"/>
      <c r="F374" s="41"/>
      <c r="G374" s="62" t="s">
        <v>861</v>
      </c>
      <c r="H374" s="45"/>
      <c r="I374" s="38"/>
      <c r="J374" s="38"/>
      <c r="K374" s="46"/>
      <c r="L374" s="47"/>
      <c r="M374" s="84">
        <v>0.010405092592592593</v>
      </c>
      <c r="N374" s="84">
        <v>0.013171296296296296</v>
      </c>
      <c r="O374" s="46">
        <f t="shared" si="35"/>
        <v>0.002766203704</v>
      </c>
      <c r="P374" s="89">
        <v>43025.0</v>
      </c>
      <c r="Q374" s="12"/>
      <c r="R374" s="67" t="s">
        <v>61</v>
      </c>
      <c r="S374" s="67" t="s">
        <v>61</v>
      </c>
      <c r="T374" s="67" t="s">
        <v>61</v>
      </c>
      <c r="U374" s="53"/>
      <c r="V374" s="54"/>
      <c r="W374" s="85" t="s">
        <v>62</v>
      </c>
      <c r="X374" s="70"/>
      <c r="Y374" s="59"/>
      <c r="Z374" s="59"/>
      <c r="AA374" s="65"/>
      <c r="AB374" s="65"/>
      <c r="AC374" s="65"/>
      <c r="AD374" s="65"/>
      <c r="AE374" s="65"/>
      <c r="AF374" s="65"/>
      <c r="AG374" s="65"/>
      <c r="AH374" s="38"/>
      <c r="AI374" s="38"/>
    </row>
    <row r="375">
      <c r="A375" s="39">
        <v>149.04</v>
      </c>
      <c r="B375" s="63" t="s">
        <v>274</v>
      </c>
      <c r="C375" s="51"/>
      <c r="D375" s="39" t="s">
        <v>55</v>
      </c>
      <c r="E375" s="38"/>
      <c r="F375" s="41"/>
      <c r="G375" s="62" t="s">
        <v>862</v>
      </c>
      <c r="H375" s="45"/>
      <c r="I375" s="38"/>
      <c r="J375" s="38"/>
      <c r="K375" s="46"/>
      <c r="L375" s="47"/>
      <c r="M375" s="84">
        <v>0.013344907407407408</v>
      </c>
      <c r="N375" s="84">
        <v>0.016435185185185185</v>
      </c>
      <c r="O375" s="46">
        <f t="shared" si="35"/>
        <v>0.003090277778</v>
      </c>
      <c r="P375" s="89">
        <v>43025.0</v>
      </c>
      <c r="Q375" s="12"/>
      <c r="R375" s="67" t="s">
        <v>61</v>
      </c>
      <c r="S375" s="67" t="s">
        <v>61</v>
      </c>
      <c r="T375" s="67" t="s">
        <v>61</v>
      </c>
      <c r="U375" s="53"/>
      <c r="V375" s="54"/>
      <c r="W375" s="85" t="s">
        <v>62</v>
      </c>
      <c r="X375" s="57"/>
      <c r="Y375" s="38"/>
      <c r="Z375" s="38"/>
      <c r="AA375" s="65"/>
      <c r="AB375" s="65"/>
      <c r="AC375" s="65"/>
      <c r="AD375" s="65"/>
      <c r="AE375" s="65"/>
      <c r="AF375" s="65"/>
      <c r="AG375" s="65"/>
      <c r="AH375" s="38"/>
      <c r="AI375" s="38"/>
    </row>
    <row r="376">
      <c r="A376" s="39">
        <v>149.05</v>
      </c>
      <c r="B376" s="63" t="s">
        <v>274</v>
      </c>
      <c r="C376" s="51"/>
      <c r="D376" s="39" t="s">
        <v>55</v>
      </c>
      <c r="E376" s="38"/>
      <c r="F376" s="41"/>
      <c r="G376" s="62" t="s">
        <v>865</v>
      </c>
      <c r="H376" s="58"/>
      <c r="I376" s="38"/>
      <c r="J376" s="38"/>
      <c r="K376" s="46"/>
      <c r="L376" s="47"/>
      <c r="M376" s="84">
        <v>0.016493055555555556</v>
      </c>
      <c r="N376" s="84">
        <v>0.01954861111111111</v>
      </c>
      <c r="O376" s="46">
        <f t="shared" si="35"/>
        <v>0.003055555556</v>
      </c>
      <c r="P376" s="89">
        <v>43025.0</v>
      </c>
      <c r="Q376" s="12"/>
      <c r="R376" s="67" t="s">
        <v>61</v>
      </c>
      <c r="S376" s="67" t="s">
        <v>61</v>
      </c>
      <c r="T376" s="67" t="s">
        <v>61</v>
      </c>
      <c r="U376" s="53"/>
      <c r="V376" s="54"/>
      <c r="W376" s="85" t="s">
        <v>62</v>
      </c>
      <c r="X376" s="70"/>
      <c r="Y376" s="59"/>
      <c r="Z376" s="59"/>
      <c r="AA376" s="65"/>
      <c r="AB376" s="65"/>
      <c r="AC376" s="65"/>
      <c r="AD376" s="65"/>
      <c r="AE376" s="65"/>
      <c r="AF376" s="65"/>
      <c r="AG376" s="65"/>
      <c r="AH376" s="38"/>
      <c r="AI376" s="38"/>
    </row>
    <row r="377">
      <c r="A377" s="39">
        <v>149.06</v>
      </c>
      <c r="B377" s="63" t="s">
        <v>274</v>
      </c>
      <c r="C377" s="51"/>
      <c r="D377" s="39" t="s">
        <v>55</v>
      </c>
      <c r="E377" s="38"/>
      <c r="F377" s="41"/>
      <c r="G377" s="62" t="s">
        <v>868</v>
      </c>
      <c r="H377" s="58"/>
      <c r="I377" s="38"/>
      <c r="J377" s="38"/>
      <c r="K377" s="46"/>
      <c r="L377" s="47"/>
      <c r="M377" s="84">
        <v>0.019699074074074074</v>
      </c>
      <c r="N377" s="84">
        <v>0.021643518518518517</v>
      </c>
      <c r="O377" s="46">
        <f t="shared" si="35"/>
        <v>0.001944444444</v>
      </c>
      <c r="P377" s="89">
        <v>43025.0</v>
      </c>
      <c r="Q377" s="12"/>
      <c r="R377" s="67" t="s">
        <v>61</v>
      </c>
      <c r="S377" s="67" t="s">
        <v>61</v>
      </c>
      <c r="T377" s="67" t="s">
        <v>61</v>
      </c>
      <c r="U377" s="53"/>
      <c r="V377" s="54"/>
      <c r="W377" s="85" t="s">
        <v>62</v>
      </c>
      <c r="X377" s="70"/>
      <c r="Y377" s="59"/>
      <c r="Z377" s="59"/>
      <c r="AA377" s="65"/>
      <c r="AB377" s="65"/>
      <c r="AC377" s="65"/>
      <c r="AD377" s="65"/>
      <c r="AE377" s="65"/>
      <c r="AF377" s="65"/>
      <c r="AG377" s="65"/>
      <c r="AH377" s="38"/>
      <c r="AI377" s="38"/>
    </row>
    <row r="378">
      <c r="A378" s="39">
        <v>149.07</v>
      </c>
      <c r="B378" s="63" t="s">
        <v>274</v>
      </c>
      <c r="C378" s="51"/>
      <c r="D378" s="39" t="s">
        <v>55</v>
      </c>
      <c r="E378" s="38"/>
      <c r="F378" s="41"/>
      <c r="G378" s="62" t="s">
        <v>869</v>
      </c>
      <c r="H378" s="58"/>
      <c r="I378" s="38"/>
      <c r="J378" s="38"/>
      <c r="K378" s="46"/>
      <c r="L378" s="47"/>
      <c r="M378" s="84">
        <v>0.021666666666666667</v>
      </c>
      <c r="N378" s="84">
        <v>0.023935185185185184</v>
      </c>
      <c r="O378" s="46">
        <f t="shared" si="35"/>
        <v>0.002268518519</v>
      </c>
      <c r="P378" s="89">
        <v>43025.0</v>
      </c>
      <c r="Q378" s="12"/>
      <c r="R378" s="67" t="s">
        <v>61</v>
      </c>
      <c r="S378" s="67" t="s">
        <v>61</v>
      </c>
      <c r="T378" s="67" t="s">
        <v>61</v>
      </c>
      <c r="U378" s="53"/>
      <c r="V378" s="54"/>
      <c r="W378" s="85" t="s">
        <v>62</v>
      </c>
      <c r="X378" s="70"/>
      <c r="Y378" s="59"/>
      <c r="Z378" s="59"/>
      <c r="AA378" s="65"/>
      <c r="AB378" s="65"/>
      <c r="AC378" s="65"/>
      <c r="AD378" s="65"/>
      <c r="AE378" s="65"/>
      <c r="AF378" s="65"/>
      <c r="AG378" s="65"/>
      <c r="AH378" s="38"/>
      <c r="AI378" s="38"/>
    </row>
    <row r="379">
      <c r="A379" s="39">
        <v>149.08</v>
      </c>
      <c r="B379" s="63" t="s">
        <v>274</v>
      </c>
      <c r="C379" s="51"/>
      <c r="D379" s="39" t="s">
        <v>55</v>
      </c>
      <c r="E379" s="38"/>
      <c r="F379" s="41"/>
      <c r="G379" s="62" t="s">
        <v>872</v>
      </c>
      <c r="H379" s="58"/>
      <c r="I379" s="38"/>
      <c r="J379" s="38"/>
      <c r="K379" s="46"/>
      <c r="L379" s="47"/>
      <c r="M379" s="84">
        <v>0.023958333333333335</v>
      </c>
      <c r="N379" s="84">
        <v>0.024652777777777777</v>
      </c>
      <c r="O379" s="46">
        <f t="shared" si="35"/>
        <v>0.0006944444444</v>
      </c>
      <c r="P379" s="89">
        <v>43025.0</v>
      </c>
      <c r="Q379" s="12"/>
      <c r="R379" s="67" t="s">
        <v>61</v>
      </c>
      <c r="S379" s="67" t="s">
        <v>61</v>
      </c>
      <c r="T379" s="67" t="s">
        <v>61</v>
      </c>
      <c r="U379" s="53"/>
      <c r="V379" s="54"/>
      <c r="W379" s="85" t="s">
        <v>62</v>
      </c>
      <c r="X379" s="70"/>
      <c r="Y379" s="59"/>
      <c r="Z379" s="59"/>
      <c r="AA379" s="65"/>
      <c r="AB379" s="65"/>
      <c r="AC379" s="65"/>
      <c r="AD379" s="65"/>
      <c r="AE379" s="65"/>
      <c r="AF379" s="65"/>
      <c r="AG379" s="65"/>
      <c r="AH379" s="38"/>
      <c r="AI379" s="38"/>
    </row>
    <row r="380">
      <c r="A380" s="39">
        <v>149.09</v>
      </c>
      <c r="B380" s="63" t="s">
        <v>274</v>
      </c>
      <c r="C380" s="51"/>
      <c r="D380" s="39" t="s">
        <v>55</v>
      </c>
      <c r="E380" s="38"/>
      <c r="F380" s="41"/>
      <c r="G380" s="62" t="s">
        <v>873</v>
      </c>
      <c r="H380" s="45"/>
      <c r="I380" s="38"/>
      <c r="J380" s="38"/>
      <c r="K380" s="46"/>
      <c r="L380" s="47"/>
      <c r="M380" s="84">
        <v>0.024675925925925928</v>
      </c>
      <c r="N380" s="84">
        <v>0.027662037037037037</v>
      </c>
      <c r="O380" s="46">
        <f t="shared" si="35"/>
        <v>0.002986111111</v>
      </c>
      <c r="P380" s="89">
        <v>43025.0</v>
      </c>
      <c r="Q380" s="12"/>
      <c r="R380" s="67" t="s">
        <v>61</v>
      </c>
      <c r="S380" s="67" t="s">
        <v>61</v>
      </c>
      <c r="T380" s="67" t="s">
        <v>61</v>
      </c>
      <c r="U380" s="53"/>
      <c r="V380" s="54"/>
      <c r="W380" s="85" t="s">
        <v>62</v>
      </c>
      <c r="X380" s="57"/>
      <c r="Y380" s="38"/>
      <c r="Z380" s="38"/>
      <c r="AA380" s="65"/>
      <c r="AB380" s="65"/>
      <c r="AC380" s="65"/>
      <c r="AD380" s="65"/>
      <c r="AE380" s="65"/>
      <c r="AF380" s="65"/>
      <c r="AG380" s="65"/>
      <c r="AH380" s="38"/>
      <c r="AI380" s="38"/>
    </row>
    <row r="381">
      <c r="A381" s="107">
        <v>149.1</v>
      </c>
      <c r="B381" s="63" t="s">
        <v>274</v>
      </c>
      <c r="C381" s="51"/>
      <c r="D381" s="39" t="s">
        <v>55</v>
      </c>
      <c r="E381" s="38"/>
      <c r="F381" s="41"/>
      <c r="G381" s="62" t="s">
        <v>876</v>
      </c>
      <c r="H381" s="58"/>
      <c r="I381" s="38"/>
      <c r="J381" s="38"/>
      <c r="K381" s="46"/>
      <c r="L381" s="47"/>
      <c r="M381" s="84">
        <v>0.03136574074074074</v>
      </c>
      <c r="N381" s="84">
        <v>0.03530092592592592</v>
      </c>
      <c r="O381" s="46">
        <f t="shared" si="35"/>
        <v>0.003935185185</v>
      </c>
      <c r="P381" s="89">
        <v>43025.0</v>
      </c>
      <c r="Q381" s="12"/>
      <c r="R381" s="67" t="s">
        <v>61</v>
      </c>
      <c r="S381" s="67" t="s">
        <v>61</v>
      </c>
      <c r="T381" s="67" t="s">
        <v>61</v>
      </c>
      <c r="U381" s="53"/>
      <c r="V381" s="54"/>
      <c r="W381" s="85" t="s">
        <v>62</v>
      </c>
      <c r="X381" s="57"/>
      <c r="Y381" s="38"/>
      <c r="Z381" s="38"/>
      <c r="AA381" s="65"/>
      <c r="AB381" s="65"/>
      <c r="AC381" s="65"/>
      <c r="AD381" s="65"/>
      <c r="AE381" s="65"/>
      <c r="AF381" s="65"/>
      <c r="AG381" s="65"/>
      <c r="AH381" s="38"/>
      <c r="AI381" s="38"/>
    </row>
    <row r="382">
      <c r="A382" s="38">
        <v>150.0</v>
      </c>
      <c r="B382" s="38"/>
      <c r="C382" s="38"/>
      <c r="D382" s="38"/>
      <c r="E382" s="38" t="s">
        <v>751</v>
      </c>
      <c r="F382" s="41" t="s">
        <v>752</v>
      </c>
      <c r="G382" s="43"/>
      <c r="H382" s="45"/>
      <c r="I382" s="38"/>
      <c r="J382" s="38">
        <f>1.3*1000</f>
        <v>1300</v>
      </c>
      <c r="K382" s="46">
        <v>0.04212962962962963</v>
      </c>
      <c r="L382" s="47" t="s">
        <v>211</v>
      </c>
      <c r="M382" s="46"/>
      <c r="N382" s="46"/>
      <c r="O382" s="38"/>
      <c r="P382" s="38"/>
      <c r="Q382" s="12" t="str">
        <f t="shared" ref="Q382:Q387" si="36">HYPERLINK(IF(INT(A382)-A382=0,"",REPLACE(INDIRECT("MasterList!e"&amp;INT(A382)+1),25,8,"embed/")&amp;"?start="&amp;HOUR(M382)*3600+MINUTE(M382)*60+SECOND(M382)&amp;"&amp;end="&amp;HOUR(N382)*3600+MINUTE(N382)*60+SECOND(N382)&amp;"&amp;autoplay=1"))</f>
        <v/>
      </c>
      <c r="R382" s="50"/>
      <c r="S382" s="50"/>
      <c r="T382" s="50"/>
      <c r="U382" s="53"/>
      <c r="V382" s="54"/>
      <c r="W382" s="56"/>
      <c r="X382" s="119"/>
      <c r="Y382" s="113"/>
      <c r="Z382" s="113"/>
    </row>
    <row r="383">
      <c r="A383" s="38">
        <v>151.0</v>
      </c>
      <c r="B383" s="38"/>
      <c r="C383" s="38"/>
      <c r="D383" s="38"/>
      <c r="E383" s="38" t="s">
        <v>754</v>
      </c>
      <c r="F383" s="41" t="s">
        <v>755</v>
      </c>
      <c r="G383" s="43"/>
      <c r="H383" s="45"/>
      <c r="I383" s="38"/>
      <c r="J383" s="38">
        <f>1*1000</f>
        <v>1000</v>
      </c>
      <c r="K383" s="46">
        <v>0.03302083333333333</v>
      </c>
      <c r="L383" s="47" t="s">
        <v>211</v>
      </c>
      <c r="M383" s="46"/>
      <c r="N383" s="46"/>
      <c r="O383" s="38"/>
      <c r="P383" s="38"/>
      <c r="Q383" s="12" t="str">
        <f t="shared" si="36"/>
        <v/>
      </c>
      <c r="R383" s="50"/>
      <c r="S383" s="50"/>
      <c r="T383" s="50"/>
      <c r="U383" s="53"/>
      <c r="V383" s="54"/>
      <c r="W383" s="56"/>
      <c r="X383" s="119"/>
      <c r="Y383" s="113"/>
      <c r="Z383" s="113"/>
    </row>
    <row r="384">
      <c r="A384" s="38">
        <v>152.0</v>
      </c>
      <c r="B384" s="38"/>
      <c r="C384" s="38"/>
      <c r="D384" s="38"/>
      <c r="E384" s="38" t="s">
        <v>758</v>
      </c>
      <c r="F384" s="41" t="s">
        <v>759</v>
      </c>
      <c r="G384" s="43"/>
      <c r="H384" s="45"/>
      <c r="I384" s="38"/>
      <c r="J384" s="38">
        <f>503</f>
        <v>503</v>
      </c>
      <c r="K384" s="46">
        <v>0.07828703703703704</v>
      </c>
      <c r="L384" s="47" t="s">
        <v>211</v>
      </c>
      <c r="M384" s="46"/>
      <c r="N384" s="46"/>
      <c r="O384" s="38"/>
      <c r="P384" s="38"/>
      <c r="Q384" s="12" t="str">
        <f t="shared" si="36"/>
        <v/>
      </c>
      <c r="R384" s="50"/>
      <c r="S384" s="50"/>
      <c r="T384" s="50"/>
      <c r="U384" s="53"/>
      <c r="V384" s="54"/>
      <c r="W384" s="56"/>
      <c r="X384" s="119"/>
      <c r="Y384" s="113"/>
      <c r="Z384" s="113"/>
    </row>
    <row r="385">
      <c r="A385" s="38">
        <v>153.0</v>
      </c>
      <c r="B385" s="38"/>
      <c r="C385" s="38"/>
      <c r="D385" s="38"/>
      <c r="E385" s="38" t="s">
        <v>762</v>
      </c>
      <c r="F385" s="41" t="s">
        <v>763</v>
      </c>
      <c r="G385" s="43"/>
      <c r="H385" s="45"/>
      <c r="I385" s="38"/>
      <c r="J385" s="38">
        <f>545</f>
        <v>545</v>
      </c>
      <c r="K385" s="46">
        <v>0.022743055555555555</v>
      </c>
      <c r="L385" s="47" t="s">
        <v>211</v>
      </c>
      <c r="M385" s="46"/>
      <c r="N385" s="46"/>
      <c r="O385" s="38"/>
      <c r="P385" s="38"/>
      <c r="Q385" s="12" t="str">
        <f t="shared" si="36"/>
        <v/>
      </c>
      <c r="R385" s="50"/>
      <c r="S385" s="50"/>
      <c r="T385" s="50"/>
      <c r="U385" s="53"/>
      <c r="V385" s="54"/>
      <c r="W385" s="56"/>
      <c r="X385" s="119"/>
      <c r="Y385" s="113"/>
      <c r="Z385" s="113"/>
    </row>
    <row r="386">
      <c r="A386" s="38">
        <v>154.0</v>
      </c>
      <c r="B386" s="38"/>
      <c r="C386" s="38"/>
      <c r="D386" s="38"/>
      <c r="E386" s="38" t="s">
        <v>769</v>
      </c>
      <c r="F386" s="41" t="s">
        <v>770</v>
      </c>
      <c r="G386" s="43"/>
      <c r="H386" s="45"/>
      <c r="I386" s="38"/>
      <c r="J386" s="38">
        <f>1*1000</f>
        <v>1000</v>
      </c>
      <c r="K386" s="46">
        <v>0.04626157407407407</v>
      </c>
      <c r="L386" s="47" t="s">
        <v>211</v>
      </c>
      <c r="M386" s="46"/>
      <c r="N386" s="46"/>
      <c r="O386" s="38"/>
      <c r="P386" s="38"/>
      <c r="Q386" s="12" t="str">
        <f t="shared" si="36"/>
        <v/>
      </c>
      <c r="R386" s="50"/>
      <c r="S386" s="50"/>
      <c r="T386" s="50"/>
      <c r="U386" s="53"/>
      <c r="V386" s="54"/>
      <c r="W386" s="56"/>
      <c r="X386" s="119"/>
      <c r="Y386" s="113"/>
      <c r="Z386" s="113"/>
    </row>
    <row r="387">
      <c r="A387" s="38">
        <v>155.0</v>
      </c>
      <c r="B387" s="63" t="s">
        <v>274</v>
      </c>
      <c r="C387" s="51"/>
      <c r="D387" s="39" t="s">
        <v>55</v>
      </c>
      <c r="E387" s="38" t="s">
        <v>771</v>
      </c>
      <c r="F387" s="41" t="s">
        <v>772</v>
      </c>
      <c r="G387" s="43"/>
      <c r="H387" s="45"/>
      <c r="I387" s="38"/>
      <c r="J387" s="38">
        <f>453</f>
        <v>453</v>
      </c>
      <c r="K387" s="46">
        <v>0.004918981481481482</v>
      </c>
      <c r="L387" s="47" t="s">
        <v>211</v>
      </c>
      <c r="M387" s="48"/>
      <c r="N387" s="48"/>
      <c r="O387" s="48">
        <f t="shared" ref="O387:O391" si="37">N387-M387</f>
        <v>0</v>
      </c>
      <c r="P387" s="38"/>
      <c r="Q387" s="12" t="str">
        <f t="shared" si="36"/>
        <v/>
      </c>
      <c r="R387" s="42"/>
      <c r="S387" s="42"/>
      <c r="T387" s="42"/>
      <c r="U387" s="51"/>
      <c r="V387" s="52"/>
      <c r="W387" s="55"/>
      <c r="X387" s="57"/>
      <c r="Y387" s="106"/>
      <c r="Z387" s="106"/>
      <c r="AA387" s="106"/>
      <c r="AB387" s="106"/>
      <c r="AC387" s="65"/>
      <c r="AD387" s="65"/>
      <c r="AE387" s="65"/>
      <c r="AF387" s="65"/>
      <c r="AG387" s="65"/>
      <c r="AH387" s="38"/>
      <c r="AI387" s="38"/>
    </row>
    <row r="388">
      <c r="A388" s="39">
        <v>155.01</v>
      </c>
      <c r="B388" s="63" t="s">
        <v>274</v>
      </c>
      <c r="C388" s="51"/>
      <c r="D388" s="39" t="s">
        <v>55</v>
      </c>
      <c r="E388" s="38"/>
      <c r="F388" s="41"/>
      <c r="G388" s="62" t="s">
        <v>881</v>
      </c>
      <c r="H388" s="45"/>
      <c r="I388" s="38"/>
      <c r="J388" s="38"/>
      <c r="K388" s="46"/>
      <c r="L388" s="47"/>
      <c r="M388" s="125">
        <v>0.0</v>
      </c>
      <c r="N388" s="125">
        <v>0.004907407407407407</v>
      </c>
      <c r="O388" s="48">
        <f t="shared" si="37"/>
        <v>0.004907407407</v>
      </c>
      <c r="P388" s="89">
        <v>43030.0</v>
      </c>
      <c r="Q388" s="12"/>
      <c r="R388" s="63" t="s">
        <v>61</v>
      </c>
      <c r="S388" s="63" t="s">
        <v>61</v>
      </c>
      <c r="T388" s="63" t="s">
        <v>61</v>
      </c>
      <c r="U388" s="51"/>
      <c r="V388" s="52"/>
      <c r="W388" s="81" t="s">
        <v>62</v>
      </c>
      <c r="X388" s="57"/>
      <c r="Y388" s="106"/>
      <c r="Z388" s="106"/>
      <c r="AA388" s="106"/>
      <c r="AB388" s="106"/>
      <c r="AC388" s="65"/>
      <c r="AD388" s="65"/>
      <c r="AE388" s="65"/>
      <c r="AF388" s="65"/>
      <c r="AG388" s="65"/>
      <c r="AH388" s="38"/>
      <c r="AI388" s="38"/>
    </row>
    <row r="389">
      <c r="A389" s="38">
        <v>156.0</v>
      </c>
      <c r="B389" s="63" t="s">
        <v>274</v>
      </c>
      <c r="C389" s="51"/>
      <c r="D389" s="39" t="s">
        <v>55</v>
      </c>
      <c r="E389" s="38" t="s">
        <v>773</v>
      </c>
      <c r="F389" s="41" t="s">
        <v>774</v>
      </c>
      <c r="G389" s="43"/>
      <c r="H389" s="45"/>
      <c r="I389" s="38"/>
      <c r="J389" s="38">
        <f>446</f>
        <v>446</v>
      </c>
      <c r="K389" s="46">
        <v>0.0022916666666666667</v>
      </c>
      <c r="L389" s="47" t="s">
        <v>211</v>
      </c>
      <c r="M389" s="48"/>
      <c r="N389" s="48"/>
      <c r="O389" s="48">
        <f t="shared" si="37"/>
        <v>0</v>
      </c>
      <c r="P389" s="89">
        <v>43030.0</v>
      </c>
      <c r="Q389" s="12" t="str">
        <f>HYPERLINK(IF(INT(A389)-A389=0,"",REPLACE(INDIRECT("MasterList!e"&amp;INT(A389)+1),25,8,"embed/")&amp;"?start="&amp;HOUR(M389)*3600+MINUTE(M389)*60+SECOND(M389)&amp;"&amp;end="&amp;HOUR(N389)*3600+MINUTE(N389)*60+SECOND(N389)&amp;"&amp;autoplay=1"))</f>
        <v/>
      </c>
      <c r="R389" s="42"/>
      <c r="S389" s="42"/>
      <c r="T389" s="42"/>
      <c r="U389" s="51"/>
      <c r="V389" s="52"/>
      <c r="W389" s="55"/>
      <c r="X389" s="57"/>
      <c r="Y389" s="106"/>
      <c r="Z389" s="106"/>
      <c r="AA389" s="106"/>
      <c r="AB389" s="106"/>
      <c r="AC389" s="65"/>
      <c r="AD389" s="65"/>
      <c r="AE389" s="65"/>
      <c r="AF389" s="65"/>
      <c r="AG389" s="65"/>
      <c r="AH389" s="38"/>
      <c r="AI389" s="38"/>
    </row>
    <row r="390">
      <c r="A390" s="39">
        <v>156.01</v>
      </c>
      <c r="B390" s="63" t="s">
        <v>274</v>
      </c>
      <c r="C390" s="51"/>
      <c r="D390" s="39" t="s">
        <v>55</v>
      </c>
      <c r="E390" s="38"/>
      <c r="F390" s="41"/>
      <c r="G390" s="62" t="s">
        <v>888</v>
      </c>
      <c r="H390" s="45"/>
      <c r="I390" s="38"/>
      <c r="J390" s="38"/>
      <c r="K390" s="46"/>
      <c r="L390" s="47"/>
      <c r="M390" s="125">
        <v>0.0</v>
      </c>
      <c r="N390" s="46">
        <v>0.0022916666666666667</v>
      </c>
      <c r="O390" s="46">
        <f t="shared" si="37"/>
        <v>0.002291666667</v>
      </c>
      <c r="P390" s="89">
        <v>43030.0</v>
      </c>
      <c r="Q390" s="12"/>
      <c r="R390" s="63" t="s">
        <v>61</v>
      </c>
      <c r="S390" s="63" t="s">
        <v>61</v>
      </c>
      <c r="T390" s="63" t="s">
        <v>61</v>
      </c>
      <c r="U390" s="51"/>
      <c r="V390" s="52"/>
      <c r="W390" s="81" t="s">
        <v>62</v>
      </c>
      <c r="X390" s="57"/>
      <c r="Y390" s="106"/>
      <c r="Z390" s="106"/>
      <c r="AA390" s="106"/>
      <c r="AB390" s="106"/>
      <c r="AC390" s="65"/>
      <c r="AD390" s="65"/>
      <c r="AE390" s="65"/>
      <c r="AF390" s="65"/>
      <c r="AG390" s="65"/>
      <c r="AH390" s="38"/>
      <c r="AI390" s="38"/>
    </row>
    <row r="391">
      <c r="A391" s="38">
        <v>157.0</v>
      </c>
      <c r="B391" s="63" t="s">
        <v>274</v>
      </c>
      <c r="C391" s="51"/>
      <c r="D391" s="39" t="s">
        <v>55</v>
      </c>
      <c r="E391" s="38" t="s">
        <v>777</v>
      </c>
      <c r="F391" s="41" t="s">
        <v>779</v>
      </c>
      <c r="G391" s="43"/>
      <c r="H391" s="45"/>
      <c r="I391" s="38"/>
      <c r="J391" s="38">
        <f>576</f>
        <v>576</v>
      </c>
      <c r="K391" s="46">
        <v>0.001736111111111111</v>
      </c>
      <c r="L391" s="47" t="s">
        <v>211</v>
      </c>
      <c r="M391" s="48"/>
      <c r="N391" s="48"/>
      <c r="O391" s="48">
        <f t="shared" si="37"/>
        <v>0</v>
      </c>
      <c r="P391" s="38"/>
      <c r="Q391" s="12" t="str">
        <f>HYPERLINK(IF(INT(A391)-A391=0,"",REPLACE(INDIRECT("MasterList!e"&amp;INT(A391)+1),25,8,"embed/")&amp;"?start="&amp;HOUR(M391)*3600+MINUTE(M391)*60+SECOND(M391)&amp;"&amp;end="&amp;HOUR(N391)*3600+MINUTE(N391)*60+SECOND(N391)&amp;"&amp;autoplay=1"))</f>
        <v/>
      </c>
      <c r="R391" s="42"/>
      <c r="S391" s="42"/>
      <c r="T391" s="42"/>
      <c r="U391" s="51"/>
      <c r="V391" s="52"/>
      <c r="W391" s="55"/>
      <c r="X391" s="57"/>
      <c r="Y391" s="106"/>
      <c r="Z391" s="106"/>
      <c r="AA391" s="106"/>
      <c r="AB391" s="106"/>
      <c r="AC391" s="65"/>
      <c r="AD391" s="65"/>
      <c r="AE391" s="65"/>
      <c r="AF391" s="65"/>
      <c r="AG391" s="65"/>
      <c r="AH391" s="38"/>
      <c r="AI391" s="38"/>
    </row>
    <row r="392">
      <c r="A392" s="39">
        <v>157.01</v>
      </c>
      <c r="B392" s="63" t="s">
        <v>274</v>
      </c>
      <c r="C392" s="51"/>
      <c r="D392" s="39" t="s">
        <v>55</v>
      </c>
      <c r="E392" s="38"/>
      <c r="F392" s="41"/>
      <c r="G392" s="62" t="s">
        <v>893</v>
      </c>
      <c r="H392" s="45"/>
      <c r="I392" s="38"/>
      <c r="J392" s="38"/>
      <c r="K392" s="46"/>
      <c r="L392" s="47"/>
      <c r="M392" s="126">
        <v>0.0</v>
      </c>
      <c r="N392" s="46">
        <v>0.001736111111111111</v>
      </c>
      <c r="O392" s="127">
        <v>0.0022916666666666667</v>
      </c>
      <c r="P392" s="89">
        <v>43030.0</v>
      </c>
      <c r="Q392" s="12"/>
      <c r="R392" s="63" t="s">
        <v>61</v>
      </c>
      <c r="S392" s="63" t="s">
        <v>61</v>
      </c>
      <c r="T392" s="63" t="s">
        <v>61</v>
      </c>
      <c r="U392" s="51"/>
      <c r="V392" s="52"/>
      <c r="W392" s="81" t="s">
        <v>62</v>
      </c>
      <c r="X392" s="57"/>
      <c r="Y392" s="106"/>
      <c r="Z392" s="106"/>
      <c r="AA392" s="106"/>
      <c r="AB392" s="106"/>
      <c r="AC392" s="65"/>
      <c r="AD392" s="65"/>
      <c r="AE392" s="65"/>
      <c r="AF392" s="65"/>
      <c r="AG392" s="65"/>
      <c r="AH392" s="38"/>
      <c r="AI392" s="38"/>
    </row>
    <row r="393">
      <c r="A393" s="38">
        <v>158.0</v>
      </c>
      <c r="B393" s="38"/>
      <c r="C393" s="38"/>
      <c r="D393" s="38"/>
      <c r="E393" s="38" t="s">
        <v>780</v>
      </c>
      <c r="F393" s="41" t="s">
        <v>781</v>
      </c>
      <c r="G393" s="43"/>
      <c r="H393" s="45"/>
      <c r="I393" s="38"/>
      <c r="J393" s="38">
        <f>435</f>
        <v>435</v>
      </c>
      <c r="K393" s="46">
        <v>0.002384259259259259</v>
      </c>
      <c r="L393" s="47" t="s">
        <v>211</v>
      </c>
      <c r="M393" s="46"/>
      <c r="N393" s="46"/>
      <c r="O393" s="38"/>
      <c r="P393" s="38"/>
      <c r="Q393" s="12" t="str">
        <f t="shared" ref="Q393:Q960" si="38">HYPERLINK(IF(INT(A393)-A393=0,"",REPLACE(INDIRECT("MasterList!e"&amp;INT(A393)+1),25,8,"embed/")&amp;"?start="&amp;HOUR(M393)*3600+MINUTE(M393)*60+SECOND(M393)&amp;"&amp;end="&amp;HOUR(N393)*3600+MINUTE(N393)*60+SECOND(N393)&amp;"&amp;autoplay=1"))</f>
        <v/>
      </c>
      <c r="R393" s="50"/>
      <c r="S393" s="50"/>
      <c r="T393" s="50"/>
      <c r="U393" s="53"/>
      <c r="V393" s="54"/>
      <c r="W393" s="56"/>
      <c r="X393" s="119"/>
      <c r="Y393" s="113"/>
      <c r="Z393" s="113"/>
    </row>
    <row r="394">
      <c r="A394" s="38">
        <v>159.0</v>
      </c>
      <c r="B394" s="38"/>
      <c r="C394" s="38"/>
      <c r="D394" s="38"/>
      <c r="E394" s="38" t="s">
        <v>784</v>
      </c>
      <c r="F394" s="41" t="s">
        <v>785</v>
      </c>
      <c r="G394" s="43"/>
      <c r="H394" s="45"/>
      <c r="I394" s="38"/>
      <c r="J394" s="38">
        <f>1.1*1000</f>
        <v>1100</v>
      </c>
      <c r="K394" s="46">
        <v>0.0011689814814814816</v>
      </c>
      <c r="L394" s="47" t="s">
        <v>211</v>
      </c>
      <c r="M394" s="46"/>
      <c r="N394" s="46"/>
      <c r="O394" s="38"/>
      <c r="P394" s="38"/>
      <c r="Q394" s="12" t="str">
        <f t="shared" si="38"/>
        <v/>
      </c>
      <c r="R394" s="50"/>
      <c r="S394" s="50"/>
      <c r="T394" s="50"/>
      <c r="U394" s="53"/>
      <c r="V394" s="54"/>
      <c r="W394" s="56"/>
      <c r="X394" s="119"/>
      <c r="Y394" s="113"/>
      <c r="Z394" s="113"/>
    </row>
    <row r="395">
      <c r="A395" s="38">
        <v>160.0</v>
      </c>
      <c r="B395" s="38"/>
      <c r="C395" s="38"/>
      <c r="D395" s="38"/>
      <c r="E395" s="38" t="s">
        <v>786</v>
      </c>
      <c r="F395" s="41" t="s">
        <v>787</v>
      </c>
      <c r="G395" s="43"/>
      <c r="H395" s="45"/>
      <c r="I395" s="38"/>
      <c r="J395" s="38">
        <f>202</f>
        <v>202</v>
      </c>
      <c r="K395" s="46">
        <v>0.0021180555555555553</v>
      </c>
      <c r="L395" s="47" t="s">
        <v>211</v>
      </c>
      <c r="M395" s="46"/>
      <c r="N395" s="46"/>
      <c r="O395" s="38"/>
      <c r="P395" s="38"/>
      <c r="Q395" s="12" t="str">
        <f t="shared" si="38"/>
        <v/>
      </c>
      <c r="R395" s="50"/>
      <c r="S395" s="50"/>
      <c r="T395" s="50"/>
      <c r="U395" s="53"/>
      <c r="V395" s="54"/>
      <c r="W395" s="56"/>
      <c r="X395" s="119"/>
      <c r="Y395" s="113"/>
      <c r="Z395" s="113"/>
    </row>
    <row r="396">
      <c r="A396" s="38">
        <v>161.0</v>
      </c>
      <c r="B396" s="38"/>
      <c r="C396" s="38"/>
      <c r="D396" s="38"/>
      <c r="E396" s="38" t="s">
        <v>790</v>
      </c>
      <c r="F396" s="41" t="s">
        <v>791</v>
      </c>
      <c r="G396" s="43"/>
      <c r="H396" s="45"/>
      <c r="I396" s="38"/>
      <c r="J396" s="38">
        <f>234</f>
        <v>234</v>
      </c>
      <c r="K396" s="46">
        <v>0.0014583333333333334</v>
      </c>
      <c r="L396" s="47" t="s">
        <v>211</v>
      </c>
      <c r="M396" s="46"/>
      <c r="N396" s="46"/>
      <c r="O396" s="38"/>
      <c r="P396" s="38"/>
      <c r="Q396" s="12" t="str">
        <f t="shared" si="38"/>
        <v/>
      </c>
      <c r="R396" s="50"/>
      <c r="S396" s="50"/>
      <c r="T396" s="50"/>
      <c r="U396" s="53"/>
      <c r="V396" s="54"/>
      <c r="W396" s="56"/>
      <c r="X396" s="119"/>
      <c r="Y396" s="113"/>
      <c r="Z396" s="113"/>
    </row>
    <row r="397">
      <c r="A397" s="38">
        <v>162.0</v>
      </c>
      <c r="B397" s="38"/>
      <c r="C397" s="38"/>
      <c r="D397" s="38"/>
      <c r="E397" s="38" t="s">
        <v>792</v>
      </c>
      <c r="F397" s="41" t="s">
        <v>795</v>
      </c>
      <c r="G397" s="43"/>
      <c r="H397" s="45"/>
      <c r="I397" s="38"/>
      <c r="J397" s="38">
        <f>497</f>
        <v>497</v>
      </c>
      <c r="K397" s="46">
        <v>0.0014699074074074074</v>
      </c>
      <c r="L397" s="47" t="s">
        <v>211</v>
      </c>
      <c r="M397" s="46"/>
      <c r="N397" s="46"/>
      <c r="O397" s="38"/>
      <c r="P397" s="38"/>
      <c r="Q397" s="12" t="str">
        <f t="shared" si="38"/>
        <v/>
      </c>
      <c r="R397" s="50"/>
      <c r="S397" s="50"/>
      <c r="T397" s="50"/>
      <c r="U397" s="53"/>
      <c r="V397" s="54"/>
      <c r="W397" s="56"/>
      <c r="X397" s="119"/>
      <c r="Y397" s="113"/>
      <c r="Z397" s="113"/>
    </row>
    <row r="398">
      <c r="A398" s="38">
        <v>163.0</v>
      </c>
      <c r="B398" s="38"/>
      <c r="C398" s="38"/>
      <c r="D398" s="38"/>
      <c r="E398" s="38" t="s">
        <v>797</v>
      </c>
      <c r="F398" s="41" t="s">
        <v>798</v>
      </c>
      <c r="G398" s="43"/>
      <c r="H398" s="45"/>
      <c r="I398" s="38"/>
      <c r="J398" s="38">
        <f>315</f>
        <v>315</v>
      </c>
      <c r="K398" s="46">
        <v>0.005694444444444444</v>
      </c>
      <c r="L398" s="47" t="s">
        <v>211</v>
      </c>
      <c r="M398" s="46"/>
      <c r="N398" s="46"/>
      <c r="O398" s="38"/>
      <c r="P398" s="38"/>
      <c r="Q398" s="12" t="str">
        <f t="shared" si="38"/>
        <v/>
      </c>
      <c r="R398" s="50"/>
      <c r="S398" s="50"/>
      <c r="T398" s="50"/>
      <c r="U398" s="53"/>
      <c r="V398" s="54"/>
      <c r="W398" s="56"/>
      <c r="X398" s="119"/>
      <c r="Y398" s="113"/>
      <c r="Z398" s="113"/>
    </row>
    <row r="399">
      <c r="A399" s="38">
        <v>164.0</v>
      </c>
      <c r="B399" s="38"/>
      <c r="C399" s="38"/>
      <c r="D399" s="38"/>
      <c r="E399" s="38" t="s">
        <v>800</v>
      </c>
      <c r="F399" s="41" t="s">
        <v>802</v>
      </c>
      <c r="G399" s="43"/>
      <c r="H399" s="45"/>
      <c r="I399" s="38"/>
      <c r="J399" s="38">
        <f>535</f>
        <v>535</v>
      </c>
      <c r="K399" s="46">
        <v>0.0021527777777777778</v>
      </c>
      <c r="L399" s="47" t="s">
        <v>211</v>
      </c>
      <c r="M399" s="46"/>
      <c r="N399" s="46"/>
      <c r="O399" s="38"/>
      <c r="P399" s="38"/>
      <c r="Q399" s="12" t="str">
        <f t="shared" si="38"/>
        <v/>
      </c>
      <c r="R399" s="50"/>
      <c r="S399" s="50"/>
      <c r="T399" s="50"/>
      <c r="U399" s="53"/>
      <c r="V399" s="54"/>
      <c r="W399" s="56"/>
      <c r="X399" s="119"/>
      <c r="Y399" s="113"/>
      <c r="Z399" s="113"/>
    </row>
    <row r="400">
      <c r="A400" s="38">
        <v>165.0</v>
      </c>
      <c r="B400" s="38"/>
      <c r="C400" s="38"/>
      <c r="D400" s="38"/>
      <c r="E400" s="38" t="s">
        <v>804</v>
      </c>
      <c r="F400" s="41" t="s">
        <v>805</v>
      </c>
      <c r="G400" s="43"/>
      <c r="H400" s="45"/>
      <c r="I400" s="38"/>
      <c r="J400" s="38">
        <f>2.7*1000</f>
        <v>2700</v>
      </c>
      <c r="K400" s="46">
        <v>0.010115740740740741</v>
      </c>
      <c r="L400" s="47" t="s">
        <v>211</v>
      </c>
      <c r="M400" s="46"/>
      <c r="N400" s="46"/>
      <c r="O400" s="38"/>
      <c r="P400" s="38"/>
      <c r="Q400" s="12" t="str">
        <f t="shared" si="38"/>
        <v/>
      </c>
      <c r="R400" s="50"/>
      <c r="S400" s="50"/>
      <c r="T400" s="50"/>
      <c r="U400" s="53"/>
      <c r="V400" s="54"/>
      <c r="W400" s="56"/>
      <c r="X400" s="119"/>
      <c r="Y400" s="113"/>
      <c r="Z400" s="113"/>
    </row>
    <row r="401">
      <c r="A401" s="38">
        <v>166.0</v>
      </c>
      <c r="B401" s="38"/>
      <c r="C401" s="38"/>
      <c r="D401" s="38"/>
      <c r="E401" s="38" t="s">
        <v>808</v>
      </c>
      <c r="F401" s="41" t="s">
        <v>809</v>
      </c>
      <c r="G401" s="43"/>
      <c r="H401" s="45"/>
      <c r="I401" s="38"/>
      <c r="J401" s="38">
        <f>4.7*1000</f>
        <v>4700</v>
      </c>
      <c r="K401" s="46">
        <v>0.07560185185185185</v>
      </c>
      <c r="L401" s="47" t="s">
        <v>211</v>
      </c>
      <c r="M401" s="46"/>
      <c r="N401" s="46"/>
      <c r="O401" s="38"/>
      <c r="P401" s="38"/>
      <c r="Q401" s="12" t="str">
        <f t="shared" si="38"/>
        <v/>
      </c>
      <c r="R401" s="50"/>
      <c r="S401" s="50"/>
      <c r="T401" s="50"/>
      <c r="U401" s="53"/>
      <c r="V401" s="54"/>
      <c r="W401" s="56"/>
      <c r="X401" s="119"/>
      <c r="Y401" s="113"/>
      <c r="Z401" s="113"/>
    </row>
    <row r="402">
      <c r="A402" s="38">
        <v>167.0</v>
      </c>
      <c r="B402" s="38"/>
      <c r="C402" s="38"/>
      <c r="D402" s="38"/>
      <c r="E402" s="38" t="s">
        <v>811</v>
      </c>
      <c r="F402" s="41" t="s">
        <v>812</v>
      </c>
      <c r="G402" s="43"/>
      <c r="H402" s="45"/>
      <c r="I402" s="38"/>
      <c r="J402" s="38">
        <f>7.5*1000</f>
        <v>7500</v>
      </c>
      <c r="K402" s="46">
        <v>0.09336805555555555</v>
      </c>
      <c r="L402" s="47" t="s">
        <v>211</v>
      </c>
      <c r="M402" s="46"/>
      <c r="N402" s="46"/>
      <c r="O402" s="38"/>
      <c r="P402" s="38"/>
      <c r="Q402" s="12" t="str">
        <f t="shared" si="38"/>
        <v/>
      </c>
      <c r="R402" s="50"/>
      <c r="S402" s="50"/>
      <c r="T402" s="50"/>
      <c r="U402" s="53"/>
      <c r="V402" s="54"/>
      <c r="W402" s="56"/>
      <c r="X402" s="119"/>
      <c r="Y402" s="113"/>
      <c r="Z402" s="113"/>
    </row>
    <row r="403">
      <c r="A403" s="38">
        <v>168.0</v>
      </c>
      <c r="B403" s="38"/>
      <c r="C403" s="38"/>
      <c r="D403" s="38"/>
      <c r="E403" s="38" t="s">
        <v>815</v>
      </c>
      <c r="F403" s="41" t="s">
        <v>816</v>
      </c>
      <c r="G403" s="43"/>
      <c r="H403" s="45"/>
      <c r="I403" s="38"/>
      <c r="J403" s="38">
        <f>1.8*1000</f>
        <v>1800</v>
      </c>
      <c r="K403" s="46">
        <v>0.05296296296296296</v>
      </c>
      <c r="L403" s="47" t="s">
        <v>211</v>
      </c>
      <c r="M403" s="46"/>
      <c r="N403" s="46"/>
      <c r="O403" s="38"/>
      <c r="P403" s="38"/>
      <c r="Q403" s="12" t="str">
        <f t="shared" si="38"/>
        <v/>
      </c>
      <c r="R403" s="50"/>
      <c r="S403" s="50"/>
      <c r="T403" s="50"/>
      <c r="U403" s="53"/>
      <c r="V403" s="54"/>
      <c r="W403" s="56"/>
      <c r="X403" s="119"/>
      <c r="Y403" s="113"/>
      <c r="Z403" s="113"/>
    </row>
    <row r="404">
      <c r="A404" s="38">
        <v>169.0</v>
      </c>
      <c r="B404" s="38"/>
      <c r="C404" s="38"/>
      <c r="D404" s="38"/>
      <c r="E404" s="38" t="s">
        <v>817</v>
      </c>
      <c r="F404" s="41" t="s">
        <v>818</v>
      </c>
      <c r="G404" s="43"/>
      <c r="H404" s="45"/>
      <c r="I404" s="38"/>
      <c r="J404" s="38">
        <f>343</f>
        <v>343</v>
      </c>
      <c r="K404" s="46">
        <v>0.002824074074074074</v>
      </c>
      <c r="L404" s="47" t="s">
        <v>211</v>
      </c>
      <c r="M404" s="46"/>
      <c r="N404" s="46"/>
      <c r="O404" s="38"/>
      <c r="P404" s="38"/>
      <c r="Q404" s="12" t="str">
        <f t="shared" si="38"/>
        <v/>
      </c>
      <c r="R404" s="50"/>
      <c r="S404" s="50"/>
      <c r="T404" s="50"/>
      <c r="U404" s="53"/>
      <c r="V404" s="54"/>
      <c r="W404" s="56"/>
      <c r="X404" s="119"/>
      <c r="Y404" s="113"/>
      <c r="Z404" s="113"/>
    </row>
    <row r="405">
      <c r="A405" s="38">
        <v>170.0</v>
      </c>
      <c r="B405" s="38"/>
      <c r="C405" s="38"/>
      <c r="D405" s="38"/>
      <c r="E405" s="38" t="s">
        <v>821</v>
      </c>
      <c r="F405" s="41" t="s">
        <v>822</v>
      </c>
      <c r="G405" s="43"/>
      <c r="H405" s="45"/>
      <c r="I405" s="38"/>
      <c r="J405" s="38">
        <f>1.5*1000</f>
        <v>1500</v>
      </c>
      <c r="K405" s="46">
        <v>0.05959490740740741</v>
      </c>
      <c r="L405" s="47" t="s">
        <v>211</v>
      </c>
      <c r="M405" s="46"/>
      <c r="N405" s="46"/>
      <c r="O405" s="38"/>
      <c r="P405" s="38"/>
      <c r="Q405" s="12" t="str">
        <f t="shared" si="38"/>
        <v/>
      </c>
      <c r="R405" s="50"/>
      <c r="S405" s="50"/>
      <c r="T405" s="50"/>
      <c r="U405" s="53"/>
      <c r="V405" s="54"/>
      <c r="W405" s="56"/>
      <c r="X405" s="119"/>
      <c r="Y405" s="113"/>
      <c r="Z405" s="113"/>
    </row>
    <row r="406">
      <c r="A406" s="38">
        <v>171.0</v>
      </c>
      <c r="B406" s="38"/>
      <c r="C406" s="38"/>
      <c r="D406" s="38"/>
      <c r="E406" s="38" t="s">
        <v>825</v>
      </c>
      <c r="F406" s="41" t="s">
        <v>826</v>
      </c>
      <c r="G406" s="43"/>
      <c r="H406" s="45"/>
      <c r="I406" s="38"/>
      <c r="J406" s="38">
        <f>463</f>
        <v>463</v>
      </c>
      <c r="K406" s="46">
        <v>0.02496527777777778</v>
      </c>
      <c r="L406" s="47" t="s">
        <v>211</v>
      </c>
      <c r="M406" s="46"/>
      <c r="N406" s="46"/>
      <c r="O406" s="38"/>
      <c r="P406" s="38"/>
      <c r="Q406" s="12" t="str">
        <f t="shared" si="38"/>
        <v/>
      </c>
      <c r="R406" s="50"/>
      <c r="S406" s="50"/>
      <c r="T406" s="50"/>
      <c r="U406" s="53"/>
      <c r="V406" s="54"/>
      <c r="W406" s="56"/>
      <c r="X406" s="119"/>
      <c r="Y406" s="113"/>
      <c r="Z406" s="113"/>
    </row>
    <row r="407">
      <c r="A407" s="38">
        <v>172.0</v>
      </c>
      <c r="B407" s="38"/>
      <c r="C407" s="38"/>
      <c r="D407" s="38"/>
      <c r="E407" s="38" t="s">
        <v>829</v>
      </c>
      <c r="F407" s="41" t="s">
        <v>830</v>
      </c>
      <c r="G407" s="43"/>
      <c r="H407" s="45"/>
      <c r="I407" s="38"/>
      <c r="J407" s="38">
        <f>5.2*1000</f>
        <v>5200</v>
      </c>
      <c r="K407" s="46">
        <v>0.055775462962962964</v>
      </c>
      <c r="L407" s="47" t="s">
        <v>211</v>
      </c>
      <c r="M407" s="46"/>
      <c r="N407" s="46"/>
      <c r="O407" s="38"/>
      <c r="P407" s="38"/>
      <c r="Q407" s="12" t="str">
        <f t="shared" si="38"/>
        <v/>
      </c>
      <c r="R407" s="50"/>
      <c r="S407" s="50"/>
      <c r="T407" s="50"/>
      <c r="U407" s="53"/>
      <c r="V407" s="54"/>
      <c r="W407" s="56"/>
      <c r="X407" s="119"/>
      <c r="Y407" s="113"/>
      <c r="Z407" s="113"/>
    </row>
    <row r="408">
      <c r="A408" s="38">
        <v>173.0</v>
      </c>
      <c r="B408" s="38"/>
      <c r="C408" s="38"/>
      <c r="D408" s="38"/>
      <c r="E408" s="38" t="s">
        <v>832</v>
      </c>
      <c r="F408" s="41" t="s">
        <v>833</v>
      </c>
      <c r="G408" s="43"/>
      <c r="H408" s="45"/>
      <c r="I408" s="38"/>
      <c r="J408" s="38">
        <f>624</f>
        <v>624</v>
      </c>
      <c r="K408" s="46">
        <v>0.025868055555555557</v>
      </c>
      <c r="L408" s="47" t="s">
        <v>211</v>
      </c>
      <c r="M408" s="46"/>
      <c r="N408" s="46"/>
      <c r="O408" s="38"/>
      <c r="P408" s="38"/>
      <c r="Q408" s="12" t="str">
        <f t="shared" si="38"/>
        <v/>
      </c>
      <c r="R408" s="50"/>
      <c r="S408" s="50"/>
      <c r="T408" s="50"/>
      <c r="U408" s="53"/>
      <c r="V408" s="54"/>
      <c r="W408" s="56"/>
      <c r="X408" s="119"/>
      <c r="Y408" s="113"/>
      <c r="Z408" s="113"/>
    </row>
    <row r="409">
      <c r="A409" s="38">
        <v>174.0</v>
      </c>
      <c r="B409" s="38"/>
      <c r="C409" s="38"/>
      <c r="D409" s="38"/>
      <c r="E409" s="38" t="s">
        <v>836</v>
      </c>
      <c r="F409" s="41" t="s">
        <v>837</v>
      </c>
      <c r="G409" s="43"/>
      <c r="H409" s="45"/>
      <c r="I409" s="38"/>
      <c r="J409" s="38">
        <f>1.4*1000</f>
        <v>1400</v>
      </c>
      <c r="K409" s="46">
        <v>0.01775462962962963</v>
      </c>
      <c r="L409" s="47" t="s">
        <v>211</v>
      </c>
      <c r="M409" s="46"/>
      <c r="N409" s="46"/>
      <c r="O409" s="38"/>
      <c r="P409" s="38"/>
      <c r="Q409" s="12" t="str">
        <f t="shared" si="38"/>
        <v/>
      </c>
      <c r="R409" s="50"/>
      <c r="S409" s="50"/>
      <c r="T409" s="50"/>
      <c r="U409" s="53"/>
      <c r="V409" s="54"/>
      <c r="W409" s="56"/>
      <c r="X409" s="119"/>
      <c r="Y409" s="113"/>
      <c r="Z409" s="113"/>
    </row>
    <row r="410">
      <c r="A410" s="38">
        <v>175.0</v>
      </c>
      <c r="B410" s="38"/>
      <c r="C410" s="38"/>
      <c r="D410" s="38"/>
      <c r="E410" s="38" t="s">
        <v>840</v>
      </c>
      <c r="F410" s="41" t="s">
        <v>842</v>
      </c>
      <c r="G410" s="43"/>
      <c r="H410" s="45"/>
      <c r="I410" s="38"/>
      <c r="J410" s="38">
        <f>3.1*1000</f>
        <v>3100</v>
      </c>
      <c r="K410" s="46">
        <v>0.08347222222222223</v>
      </c>
      <c r="L410" s="47" t="s">
        <v>211</v>
      </c>
      <c r="M410" s="46"/>
      <c r="N410" s="46"/>
      <c r="O410" s="38"/>
      <c r="P410" s="38"/>
      <c r="Q410" s="12" t="str">
        <f t="shared" si="38"/>
        <v/>
      </c>
      <c r="R410" s="50"/>
      <c r="S410" s="50"/>
      <c r="T410" s="50"/>
      <c r="U410" s="53"/>
      <c r="V410" s="54"/>
      <c r="W410" s="56"/>
      <c r="X410" s="119"/>
      <c r="Y410" s="113"/>
      <c r="Z410" s="113"/>
    </row>
    <row r="411">
      <c r="A411" s="38">
        <v>176.0</v>
      </c>
      <c r="B411" s="38"/>
      <c r="C411" s="38"/>
      <c r="D411" s="38"/>
      <c r="E411" s="38" t="s">
        <v>845</v>
      </c>
      <c r="F411" s="41" t="s">
        <v>846</v>
      </c>
      <c r="G411" s="43"/>
      <c r="H411" s="45"/>
      <c r="I411" s="38"/>
      <c r="J411" s="38">
        <f>2*1000</f>
        <v>2000</v>
      </c>
      <c r="K411" s="46">
        <v>0.06116898148148148</v>
      </c>
      <c r="L411" s="47" t="s">
        <v>211</v>
      </c>
      <c r="M411" s="46"/>
      <c r="N411" s="46"/>
      <c r="O411" s="38"/>
      <c r="P411" s="38"/>
      <c r="Q411" s="12" t="str">
        <f t="shared" si="38"/>
        <v/>
      </c>
      <c r="R411" s="50"/>
      <c r="S411" s="50"/>
      <c r="T411" s="50"/>
      <c r="U411" s="53"/>
      <c r="V411" s="54"/>
      <c r="W411" s="56"/>
      <c r="X411" s="119"/>
      <c r="Y411" s="113"/>
      <c r="Z411" s="113"/>
    </row>
    <row r="412">
      <c r="A412" s="38">
        <v>177.0</v>
      </c>
      <c r="B412" s="38"/>
      <c r="C412" s="38"/>
      <c r="D412" s="38"/>
      <c r="E412" s="38" t="s">
        <v>848</v>
      </c>
      <c r="F412" s="41" t="s">
        <v>850</v>
      </c>
      <c r="G412" s="43"/>
      <c r="H412" s="45"/>
      <c r="I412" s="38"/>
      <c r="J412" s="38">
        <f>7.3*1000</f>
        <v>7300</v>
      </c>
      <c r="K412" s="46">
        <v>0.031041666666666665</v>
      </c>
      <c r="L412" s="47" t="s">
        <v>551</v>
      </c>
      <c r="M412" s="46"/>
      <c r="N412" s="46"/>
      <c r="O412" s="38"/>
      <c r="P412" s="38"/>
      <c r="Q412" s="12" t="str">
        <f t="shared" si="38"/>
        <v/>
      </c>
      <c r="R412" s="50"/>
      <c r="S412" s="50"/>
      <c r="T412" s="50"/>
      <c r="U412" s="53"/>
      <c r="V412" s="54"/>
      <c r="W412" s="56"/>
      <c r="X412" s="119"/>
      <c r="Y412" s="113"/>
      <c r="Z412" s="113"/>
    </row>
    <row r="413">
      <c r="A413" s="38">
        <v>179.0</v>
      </c>
      <c r="B413" s="38"/>
      <c r="C413" s="38"/>
      <c r="D413" s="38"/>
      <c r="E413" s="38" t="s">
        <v>853</v>
      </c>
      <c r="F413" s="41" t="s">
        <v>854</v>
      </c>
      <c r="G413" s="43"/>
      <c r="H413" s="45"/>
      <c r="I413" s="38"/>
      <c r="J413" s="38">
        <f>1.2*1000</f>
        <v>1200</v>
      </c>
      <c r="K413" s="46">
        <v>0.01638888888888889</v>
      </c>
      <c r="L413" s="47" t="s">
        <v>551</v>
      </c>
      <c r="M413" s="46"/>
      <c r="N413" s="46"/>
      <c r="O413" s="38"/>
      <c r="P413" s="38"/>
      <c r="Q413" s="12" t="str">
        <f t="shared" si="38"/>
        <v/>
      </c>
      <c r="R413" s="50"/>
      <c r="S413" s="50"/>
      <c r="T413" s="50"/>
      <c r="U413" s="53"/>
      <c r="V413" s="54"/>
      <c r="W413" s="56"/>
      <c r="X413" s="119"/>
      <c r="Y413" s="113"/>
      <c r="Z413" s="113"/>
    </row>
    <row r="414">
      <c r="A414" s="38">
        <v>178.0</v>
      </c>
      <c r="B414" s="63" t="s">
        <v>49</v>
      </c>
      <c r="C414" s="51"/>
      <c r="D414" s="39" t="s">
        <v>55</v>
      </c>
      <c r="E414" s="38" t="s">
        <v>546</v>
      </c>
      <c r="F414" s="41" t="s">
        <v>547</v>
      </c>
      <c r="G414" s="43"/>
      <c r="H414" s="45"/>
      <c r="I414" s="38"/>
      <c r="J414" s="38">
        <f>2.5*1000</f>
        <v>2500</v>
      </c>
      <c r="K414" s="46">
        <v>0.04719907407407407</v>
      </c>
      <c r="L414" s="47" t="s">
        <v>551</v>
      </c>
      <c r="M414" s="46"/>
      <c r="N414" s="46"/>
      <c r="O414" s="38"/>
      <c r="P414" s="89">
        <v>43017.0</v>
      </c>
      <c r="Q414" s="12" t="str">
        <f t="shared" si="38"/>
        <v/>
      </c>
      <c r="R414" s="50"/>
      <c r="S414" s="50"/>
      <c r="T414" s="50"/>
      <c r="U414" s="53"/>
      <c r="V414" s="54"/>
      <c r="W414" s="56"/>
      <c r="X414" s="119"/>
      <c r="Y414" s="113"/>
      <c r="Z414" s="113"/>
    </row>
    <row r="415">
      <c r="A415" s="107">
        <v>178.01</v>
      </c>
      <c r="B415" s="63" t="s">
        <v>49</v>
      </c>
      <c r="C415" s="51"/>
      <c r="D415" s="39" t="s">
        <v>55</v>
      </c>
      <c r="E415" s="38"/>
      <c r="F415" s="41"/>
      <c r="G415" s="108" t="s">
        <v>558</v>
      </c>
      <c r="H415" s="58"/>
      <c r="I415" s="38"/>
      <c r="J415" s="38"/>
      <c r="K415" s="46"/>
      <c r="L415" s="47"/>
      <c r="M415" s="84"/>
      <c r="N415" s="84"/>
      <c r="O415" s="38"/>
      <c r="P415" s="89">
        <v>43017.0</v>
      </c>
      <c r="Q415" s="61" t="str">
        <f t="shared" si="38"/>
        <v>https://www.youtube.com/embed/cpZPvFvzNlc?start=0&amp;end=0&amp;autoplay=1</v>
      </c>
      <c r="R415" s="63"/>
      <c r="S415" s="63"/>
      <c r="T415" s="63"/>
      <c r="U415" s="51"/>
      <c r="V415" s="52"/>
      <c r="W415" s="85"/>
      <c r="X415" s="57"/>
      <c r="Y415" s="39" t="s">
        <v>2431</v>
      </c>
      <c r="Z415" s="39" t="s">
        <v>562</v>
      </c>
    </row>
    <row r="416">
      <c r="A416" s="39">
        <v>178.02</v>
      </c>
      <c r="B416" s="63" t="s">
        <v>49</v>
      </c>
      <c r="C416" s="51"/>
      <c r="D416" s="39" t="s">
        <v>55</v>
      </c>
      <c r="E416" s="38"/>
      <c r="F416" s="41"/>
      <c r="G416" s="62" t="s">
        <v>564</v>
      </c>
      <c r="H416" s="58" t="s">
        <v>566</v>
      </c>
      <c r="I416" s="38"/>
      <c r="J416" s="38"/>
      <c r="K416" s="46"/>
      <c r="L416" s="47"/>
      <c r="M416" s="84">
        <v>0.007152777777777778</v>
      </c>
      <c r="N416" s="84">
        <v>0.011956018518518519</v>
      </c>
      <c r="O416" s="38"/>
      <c r="P416" s="89">
        <v>43017.0</v>
      </c>
      <c r="Q416" s="61" t="str">
        <f t="shared" si="38"/>
        <v>https://www.youtube.com/embed/cpZPvFvzNlc?start=618&amp;end=1033&amp;autoplay=1</v>
      </c>
      <c r="R416" s="67" t="s">
        <v>61</v>
      </c>
      <c r="S416" s="67" t="s">
        <v>61</v>
      </c>
      <c r="T416" s="67" t="s">
        <v>61</v>
      </c>
      <c r="U416" s="53"/>
      <c r="V416" s="54"/>
      <c r="W416" s="85" t="s">
        <v>62</v>
      </c>
      <c r="X416" s="57"/>
      <c r="Y416" s="38"/>
      <c r="Z416" s="38"/>
    </row>
    <row r="417">
      <c r="A417" s="107">
        <v>178.03</v>
      </c>
      <c r="B417" s="63" t="s">
        <v>49</v>
      </c>
      <c r="C417" s="51"/>
      <c r="D417" s="39" t="s">
        <v>55</v>
      </c>
      <c r="E417" s="38"/>
      <c r="F417" s="41"/>
      <c r="G417" s="62" t="s">
        <v>574</v>
      </c>
      <c r="H417" s="58" t="s">
        <v>575</v>
      </c>
      <c r="I417" s="38"/>
      <c r="J417" s="38"/>
      <c r="K417" s="46"/>
      <c r="L417" s="47"/>
      <c r="M417" s="84">
        <v>0.012060185185185186</v>
      </c>
      <c r="N417" s="84">
        <v>0.012615740740740742</v>
      </c>
      <c r="O417" s="38"/>
      <c r="P417" s="89">
        <v>43017.0</v>
      </c>
      <c r="Q417" s="61" t="str">
        <f t="shared" si="38"/>
        <v>https://www.youtube.com/embed/cpZPvFvzNlc?start=1042&amp;end=1090&amp;autoplay=1</v>
      </c>
      <c r="R417" s="67" t="s">
        <v>61</v>
      </c>
      <c r="S417" s="67" t="s">
        <v>61</v>
      </c>
      <c r="T417" s="67" t="s">
        <v>61</v>
      </c>
      <c r="U417" s="53"/>
      <c r="V417" s="54"/>
      <c r="W417" s="85" t="s">
        <v>62</v>
      </c>
      <c r="X417" s="57"/>
      <c r="Y417" s="38"/>
      <c r="Z417" s="38"/>
    </row>
    <row r="418">
      <c r="A418" s="39">
        <v>178.04</v>
      </c>
      <c r="B418" s="63" t="s">
        <v>49</v>
      </c>
      <c r="C418" s="51"/>
      <c r="D418" s="39" t="s">
        <v>55</v>
      </c>
      <c r="E418" s="38"/>
      <c r="F418" s="41"/>
      <c r="G418" s="62" t="s">
        <v>578</v>
      </c>
      <c r="H418" s="58"/>
      <c r="I418" s="38"/>
      <c r="J418" s="38"/>
      <c r="K418" s="46"/>
      <c r="L418" s="47"/>
      <c r="M418" s="84">
        <v>0.016805555555555556</v>
      </c>
      <c r="N418" s="84">
        <v>0.017893518518518517</v>
      </c>
      <c r="O418" s="60"/>
      <c r="P418" s="89">
        <v>43017.0</v>
      </c>
      <c r="Q418" s="61" t="str">
        <f t="shared" si="38"/>
        <v>https://www.youtube.com/embed/cpZPvFvzNlc?start=1452&amp;end=1546&amp;autoplay=1</v>
      </c>
      <c r="R418" s="67" t="s">
        <v>61</v>
      </c>
      <c r="S418" s="67" t="s">
        <v>61</v>
      </c>
      <c r="T418" s="67" t="s">
        <v>61</v>
      </c>
      <c r="U418" s="53"/>
      <c r="V418" s="54"/>
      <c r="W418" s="85" t="s">
        <v>62</v>
      </c>
      <c r="X418" s="57"/>
      <c r="Y418" s="38"/>
      <c r="Z418" s="38"/>
    </row>
    <row r="419">
      <c r="A419" s="107">
        <v>178.05</v>
      </c>
      <c r="B419" s="63" t="s">
        <v>49</v>
      </c>
      <c r="C419" s="51"/>
      <c r="D419" s="39" t="s">
        <v>55</v>
      </c>
      <c r="E419" s="38"/>
      <c r="F419" s="41"/>
      <c r="G419" s="62" t="s">
        <v>581</v>
      </c>
      <c r="H419" s="45"/>
      <c r="I419" s="38"/>
      <c r="J419" s="38"/>
      <c r="K419" s="46"/>
      <c r="L419" s="47"/>
      <c r="M419" s="84">
        <v>0.019247685185185184</v>
      </c>
      <c r="N419" s="84">
        <v>0.02263888888888889</v>
      </c>
      <c r="O419" s="60"/>
      <c r="P419" s="89">
        <v>43017.0</v>
      </c>
      <c r="Q419" s="61" t="str">
        <f t="shared" si="38"/>
        <v>https://www.youtube.com/embed/cpZPvFvzNlc?start=1663&amp;end=1956&amp;autoplay=1</v>
      </c>
      <c r="R419" s="67" t="s">
        <v>61</v>
      </c>
      <c r="S419" s="67" t="s">
        <v>61</v>
      </c>
      <c r="T419" s="67" t="s">
        <v>61</v>
      </c>
      <c r="U419" s="53"/>
      <c r="V419" s="54"/>
      <c r="W419" s="85" t="s">
        <v>62</v>
      </c>
      <c r="X419" s="57"/>
      <c r="Y419" s="38"/>
      <c r="Z419" s="38"/>
    </row>
    <row r="420">
      <c r="A420" s="39">
        <v>178.06</v>
      </c>
      <c r="B420" s="63" t="s">
        <v>49</v>
      </c>
      <c r="C420" s="51"/>
      <c r="D420" s="39" t="s">
        <v>55</v>
      </c>
      <c r="E420" s="38"/>
      <c r="F420" s="41"/>
      <c r="G420" s="62" t="s">
        <v>586</v>
      </c>
      <c r="H420" s="45"/>
      <c r="I420" s="38"/>
      <c r="J420" s="38"/>
      <c r="K420" s="46"/>
      <c r="L420" s="47"/>
      <c r="M420" s="84">
        <v>0.02287037037037037</v>
      </c>
      <c r="N420" s="84">
        <v>0.023854166666666666</v>
      </c>
      <c r="O420" s="60"/>
      <c r="P420" s="89">
        <v>43017.0</v>
      </c>
      <c r="Q420" s="61" t="str">
        <f t="shared" si="38"/>
        <v>https://www.youtube.com/embed/cpZPvFvzNlc?start=1976&amp;end=2061&amp;autoplay=1</v>
      </c>
      <c r="R420" s="67" t="s">
        <v>61</v>
      </c>
      <c r="S420" s="67" t="s">
        <v>61</v>
      </c>
      <c r="T420" s="67" t="s">
        <v>61</v>
      </c>
      <c r="U420" s="53"/>
      <c r="V420" s="54"/>
      <c r="W420" s="85" t="s">
        <v>62</v>
      </c>
      <c r="X420" s="57"/>
      <c r="Y420" s="38"/>
      <c r="Z420" s="38"/>
    </row>
    <row r="421">
      <c r="A421" s="107">
        <v>178.07</v>
      </c>
      <c r="B421" s="63" t="s">
        <v>49</v>
      </c>
      <c r="C421" s="51"/>
      <c r="D421" s="39" t="s">
        <v>55</v>
      </c>
      <c r="E421" s="38"/>
      <c r="F421" s="41"/>
      <c r="G421" s="62" t="s">
        <v>592</v>
      </c>
      <c r="H421" s="45"/>
      <c r="I421" s="38"/>
      <c r="J421" s="38"/>
      <c r="K421" s="46"/>
      <c r="L421" s="47"/>
      <c r="M421" s="84">
        <v>0.024074074074074074</v>
      </c>
      <c r="N421" s="84">
        <v>0.025717592592592594</v>
      </c>
      <c r="O421" s="60"/>
      <c r="P421" s="89">
        <v>43017.0</v>
      </c>
      <c r="Q421" s="61" t="str">
        <f t="shared" si="38"/>
        <v>https://www.youtube.com/embed/cpZPvFvzNlc?start=2080&amp;end=2222&amp;autoplay=1</v>
      </c>
      <c r="R421" s="67" t="s">
        <v>61</v>
      </c>
      <c r="S421" s="67" t="s">
        <v>61</v>
      </c>
      <c r="T421" s="67" t="s">
        <v>61</v>
      </c>
      <c r="U421" s="53"/>
      <c r="V421" s="54"/>
      <c r="W421" s="85" t="s">
        <v>62</v>
      </c>
      <c r="X421" s="57"/>
      <c r="Y421" s="38"/>
      <c r="Z421" s="38"/>
    </row>
    <row r="422">
      <c r="A422" s="39">
        <v>178.08</v>
      </c>
      <c r="B422" s="63" t="s">
        <v>49</v>
      </c>
      <c r="C422" s="51"/>
      <c r="D422" s="39" t="s">
        <v>55</v>
      </c>
      <c r="E422" s="38"/>
      <c r="F422" s="38"/>
      <c r="G422" s="39" t="s">
        <v>598</v>
      </c>
      <c r="H422" s="45"/>
      <c r="I422" s="38"/>
      <c r="J422" s="38"/>
      <c r="K422" s="46"/>
      <c r="L422" s="47"/>
      <c r="M422" s="84">
        <v>0.04168981481481481</v>
      </c>
      <c r="N422" s="84">
        <v>0.04282407407407408</v>
      </c>
      <c r="O422" s="60"/>
      <c r="P422" s="89">
        <v>43017.0</v>
      </c>
      <c r="Q422" s="61" t="str">
        <f t="shared" si="38"/>
        <v>https://www.youtube.com/embed/cpZPvFvzNlc?start=3602&amp;end=3700&amp;autoplay=1</v>
      </c>
      <c r="R422" s="67" t="s">
        <v>61</v>
      </c>
      <c r="S422" s="67" t="s">
        <v>61</v>
      </c>
      <c r="T422" s="67" t="s">
        <v>61</v>
      </c>
      <c r="U422" s="53"/>
      <c r="V422" s="54"/>
      <c r="W422" s="85" t="s">
        <v>62</v>
      </c>
      <c r="X422" s="57"/>
      <c r="Y422" s="38"/>
      <c r="Z422" s="38"/>
    </row>
    <row r="423">
      <c r="A423" s="107">
        <v>178.09</v>
      </c>
      <c r="B423" s="63" t="s">
        <v>49</v>
      </c>
      <c r="C423" s="51"/>
      <c r="D423" s="39" t="s">
        <v>55</v>
      </c>
      <c r="E423" s="38"/>
      <c r="F423" s="41"/>
      <c r="G423" s="62" t="s">
        <v>602</v>
      </c>
      <c r="H423" s="45"/>
      <c r="I423" s="38"/>
      <c r="J423" s="38"/>
      <c r="K423" s="46"/>
      <c r="L423" s="47"/>
      <c r="M423" s="84">
        <v>0.042847222222222224</v>
      </c>
      <c r="N423" s="84">
        <v>0.04486111111111111</v>
      </c>
      <c r="O423" s="38"/>
      <c r="P423" s="89">
        <v>43017.0</v>
      </c>
      <c r="Q423" s="61" t="str">
        <f t="shared" si="38"/>
        <v>https://www.youtube.com/embed/cpZPvFvzNlc?start=3702&amp;end=3876&amp;autoplay=1</v>
      </c>
      <c r="R423" s="67" t="s">
        <v>61</v>
      </c>
      <c r="S423" s="67" t="s">
        <v>61</v>
      </c>
      <c r="T423" s="67" t="s">
        <v>61</v>
      </c>
      <c r="U423" s="53"/>
      <c r="V423" s="54"/>
      <c r="W423" s="85" t="s">
        <v>62</v>
      </c>
      <c r="X423" s="57"/>
      <c r="Y423" s="38"/>
      <c r="Z423" s="38"/>
    </row>
    <row r="424">
      <c r="A424" s="38">
        <v>180.0</v>
      </c>
      <c r="B424" s="38"/>
      <c r="C424" s="38"/>
      <c r="D424" s="38"/>
      <c r="E424" s="38" t="s">
        <v>856</v>
      </c>
      <c r="F424" s="41" t="s">
        <v>857</v>
      </c>
      <c r="G424" s="43"/>
      <c r="H424" s="45"/>
      <c r="I424" s="38"/>
      <c r="J424" s="38">
        <f>8.4*1000</f>
        <v>8400</v>
      </c>
      <c r="K424" s="46">
        <v>0.0032407407407407406</v>
      </c>
      <c r="L424" s="47" t="s">
        <v>551</v>
      </c>
      <c r="M424" s="46"/>
      <c r="N424" s="46"/>
      <c r="O424" s="38"/>
      <c r="P424" s="38"/>
      <c r="Q424" s="12" t="str">
        <f t="shared" si="38"/>
        <v/>
      </c>
      <c r="R424" s="50"/>
      <c r="S424" s="50"/>
      <c r="T424" s="50"/>
      <c r="U424" s="53"/>
      <c r="V424" s="54"/>
      <c r="W424" s="56"/>
      <c r="X424" s="119"/>
      <c r="Y424" s="113"/>
      <c r="Z424" s="113"/>
    </row>
    <row r="425">
      <c r="A425" s="38">
        <v>181.0</v>
      </c>
      <c r="B425" s="38"/>
      <c r="C425" s="38"/>
      <c r="D425" s="38"/>
      <c r="E425" s="38" t="s">
        <v>859</v>
      </c>
      <c r="F425" s="41" t="s">
        <v>860</v>
      </c>
      <c r="G425" s="43"/>
      <c r="H425" s="45"/>
      <c r="I425" s="38"/>
      <c r="J425" s="38">
        <f>12*1000</f>
        <v>12000</v>
      </c>
      <c r="K425" s="46">
        <v>0.04083333333333333</v>
      </c>
      <c r="L425" s="47" t="s">
        <v>551</v>
      </c>
      <c r="M425" s="46"/>
      <c r="N425" s="46"/>
      <c r="O425" s="38"/>
      <c r="P425" s="38"/>
      <c r="Q425" s="12" t="str">
        <f t="shared" si="38"/>
        <v/>
      </c>
      <c r="R425" s="50"/>
      <c r="S425" s="50"/>
      <c r="T425" s="50"/>
      <c r="U425" s="53"/>
      <c r="V425" s="54"/>
      <c r="W425" s="56"/>
      <c r="X425" s="119"/>
      <c r="Y425" s="113"/>
      <c r="Z425" s="113"/>
    </row>
    <row r="426">
      <c r="A426" s="38">
        <v>182.0</v>
      </c>
      <c r="B426" s="38"/>
      <c r="C426" s="38"/>
      <c r="D426" s="38"/>
      <c r="E426" s="38" t="s">
        <v>863</v>
      </c>
      <c r="F426" s="41" t="s">
        <v>864</v>
      </c>
      <c r="G426" s="43"/>
      <c r="H426" s="45"/>
      <c r="I426" s="38"/>
      <c r="J426" s="38">
        <f>7.6*1000</f>
        <v>7600</v>
      </c>
      <c r="K426" s="46">
        <v>0.006643518518518518</v>
      </c>
      <c r="L426" s="47" t="s">
        <v>551</v>
      </c>
      <c r="M426" s="46"/>
      <c r="N426" s="46"/>
      <c r="O426" s="38"/>
      <c r="P426" s="38"/>
      <c r="Q426" s="12" t="str">
        <f t="shared" si="38"/>
        <v/>
      </c>
      <c r="R426" s="50"/>
      <c r="S426" s="50"/>
      <c r="T426" s="50"/>
      <c r="U426" s="53"/>
      <c r="V426" s="54"/>
      <c r="W426" s="56"/>
      <c r="X426" s="119"/>
      <c r="Y426" s="113"/>
      <c r="Z426" s="113"/>
    </row>
    <row r="427">
      <c r="A427" s="38">
        <v>183.0</v>
      </c>
      <c r="B427" s="38"/>
      <c r="C427" s="38"/>
      <c r="D427" s="38"/>
      <c r="E427" s="38" t="s">
        <v>866</v>
      </c>
      <c r="F427" s="41" t="s">
        <v>867</v>
      </c>
      <c r="G427" s="43"/>
      <c r="H427" s="45"/>
      <c r="I427" s="38"/>
      <c r="J427" s="38">
        <f>55*1000</f>
        <v>55000</v>
      </c>
      <c r="K427" s="46">
        <v>0.015949074074074074</v>
      </c>
      <c r="L427" s="47" t="s">
        <v>551</v>
      </c>
      <c r="M427" s="46"/>
      <c r="N427" s="46"/>
      <c r="O427" s="38"/>
      <c r="P427" s="38"/>
      <c r="Q427" s="12" t="str">
        <f t="shared" si="38"/>
        <v/>
      </c>
      <c r="R427" s="50"/>
      <c r="S427" s="50"/>
      <c r="T427" s="50"/>
      <c r="U427" s="53"/>
      <c r="V427" s="54"/>
      <c r="W427" s="56"/>
      <c r="X427" s="119"/>
      <c r="Y427" s="113"/>
      <c r="Z427" s="113"/>
    </row>
    <row r="428">
      <c r="A428" s="38">
        <v>184.0</v>
      </c>
      <c r="B428" s="38"/>
      <c r="C428" s="38"/>
      <c r="D428" s="38"/>
      <c r="E428" s="38" t="s">
        <v>870</v>
      </c>
      <c r="F428" s="41" t="s">
        <v>871</v>
      </c>
      <c r="G428" s="43"/>
      <c r="H428" s="45"/>
      <c r="I428" s="38"/>
      <c r="J428" s="38">
        <f>6.8*1000</f>
        <v>6800</v>
      </c>
      <c r="K428" s="46">
        <v>0.012118055555555556</v>
      </c>
      <c r="L428" s="47" t="s">
        <v>551</v>
      </c>
      <c r="M428" s="46"/>
      <c r="N428" s="46"/>
      <c r="O428" s="38"/>
      <c r="P428" s="38"/>
      <c r="Q428" s="12" t="str">
        <f t="shared" si="38"/>
        <v/>
      </c>
      <c r="R428" s="50"/>
      <c r="S428" s="50"/>
      <c r="T428" s="50"/>
      <c r="U428" s="53"/>
      <c r="V428" s="54"/>
      <c r="W428" s="56"/>
      <c r="X428" s="119"/>
      <c r="Y428" s="113"/>
      <c r="Z428" s="113"/>
    </row>
    <row r="429">
      <c r="A429" s="38">
        <v>185.0</v>
      </c>
      <c r="B429" s="38"/>
      <c r="C429" s="38"/>
      <c r="D429" s="38"/>
      <c r="E429" s="38" t="s">
        <v>874</v>
      </c>
      <c r="F429" s="41" t="s">
        <v>875</v>
      </c>
      <c r="G429" s="43"/>
      <c r="H429" s="45"/>
      <c r="I429" s="38"/>
      <c r="J429" s="38">
        <f>4*1000</f>
        <v>4000</v>
      </c>
      <c r="K429" s="46">
        <v>0.008402777777777778</v>
      </c>
      <c r="L429" s="47" t="s">
        <v>551</v>
      </c>
      <c r="M429" s="46"/>
      <c r="N429" s="46"/>
      <c r="O429" s="38"/>
      <c r="P429" s="38"/>
      <c r="Q429" s="12" t="str">
        <f t="shared" si="38"/>
        <v/>
      </c>
      <c r="R429" s="50"/>
      <c r="S429" s="50"/>
      <c r="T429" s="50"/>
      <c r="U429" s="53"/>
      <c r="V429" s="54"/>
      <c r="W429" s="56"/>
      <c r="X429" s="119"/>
      <c r="Y429" s="113"/>
      <c r="Z429" s="113"/>
    </row>
    <row r="430">
      <c r="A430" s="38">
        <v>186.0</v>
      </c>
      <c r="B430" s="38"/>
      <c r="C430" s="38"/>
      <c r="D430" s="38"/>
      <c r="E430" s="38" t="s">
        <v>877</v>
      </c>
      <c r="F430" s="41" t="s">
        <v>878</v>
      </c>
      <c r="G430" s="43"/>
      <c r="H430" s="45"/>
      <c r="I430" s="38"/>
      <c r="J430" s="38">
        <f>3.9*1000</f>
        <v>3900</v>
      </c>
      <c r="K430" s="46">
        <v>0.0051736111111111115</v>
      </c>
      <c r="L430" s="47" t="s">
        <v>551</v>
      </c>
      <c r="M430" s="46"/>
      <c r="N430" s="46"/>
      <c r="O430" s="38"/>
      <c r="P430" s="38"/>
      <c r="Q430" s="12" t="str">
        <f t="shared" si="38"/>
        <v/>
      </c>
      <c r="R430" s="50"/>
      <c r="S430" s="50"/>
      <c r="T430" s="50"/>
      <c r="U430" s="53"/>
      <c r="V430" s="54"/>
      <c r="W430" s="56"/>
      <c r="X430" s="119"/>
      <c r="Y430" s="113"/>
      <c r="Z430" s="113"/>
    </row>
    <row r="431">
      <c r="A431" s="38">
        <v>187.0</v>
      </c>
      <c r="B431" s="38"/>
      <c r="C431" s="38"/>
      <c r="D431" s="38"/>
      <c r="E431" s="38" t="s">
        <v>879</v>
      </c>
      <c r="F431" s="41" t="s">
        <v>880</v>
      </c>
      <c r="G431" s="43"/>
      <c r="H431" s="45"/>
      <c r="I431" s="38"/>
      <c r="J431" s="38">
        <f>3.8*1000</f>
        <v>3800</v>
      </c>
      <c r="K431" s="46">
        <v>0.005752314814814814</v>
      </c>
      <c r="L431" s="47" t="s">
        <v>551</v>
      </c>
      <c r="M431" s="46"/>
      <c r="N431" s="46"/>
      <c r="O431" s="38"/>
      <c r="P431" s="38"/>
      <c r="Q431" s="12" t="str">
        <f t="shared" si="38"/>
        <v/>
      </c>
      <c r="R431" s="50"/>
      <c r="S431" s="50"/>
      <c r="T431" s="50"/>
      <c r="U431" s="53"/>
      <c r="V431" s="54"/>
      <c r="W431" s="56"/>
      <c r="X431" s="119"/>
      <c r="Y431" s="113"/>
      <c r="Z431" s="113"/>
    </row>
    <row r="432">
      <c r="A432" s="38">
        <v>188.0</v>
      </c>
      <c r="B432" s="38"/>
      <c r="C432" s="38"/>
      <c r="D432" s="38"/>
      <c r="E432" s="38" t="s">
        <v>882</v>
      </c>
      <c r="F432" s="41" t="s">
        <v>883</v>
      </c>
      <c r="G432" s="43"/>
      <c r="H432" s="45"/>
      <c r="I432" s="38"/>
      <c r="J432" s="38">
        <f>3.2*1000</f>
        <v>3200</v>
      </c>
      <c r="K432" s="46">
        <v>0.0015277777777777779</v>
      </c>
      <c r="L432" s="47" t="s">
        <v>551</v>
      </c>
      <c r="M432" s="46"/>
      <c r="N432" s="46"/>
      <c r="O432" s="38"/>
      <c r="P432" s="38"/>
      <c r="Q432" s="12" t="str">
        <f t="shared" si="38"/>
        <v/>
      </c>
      <c r="R432" s="50"/>
      <c r="S432" s="50"/>
      <c r="T432" s="50"/>
      <c r="U432" s="53"/>
      <c r="V432" s="54"/>
      <c r="W432" s="56"/>
      <c r="X432" s="119"/>
      <c r="Y432" s="113"/>
      <c r="Z432" s="113"/>
    </row>
    <row r="433">
      <c r="A433" s="38">
        <v>189.0</v>
      </c>
      <c r="B433" s="38"/>
      <c r="C433" s="38"/>
      <c r="D433" s="38"/>
      <c r="E433" s="38" t="s">
        <v>884</v>
      </c>
      <c r="F433" s="41" t="s">
        <v>885</v>
      </c>
      <c r="G433" s="43"/>
      <c r="H433" s="45"/>
      <c r="I433" s="38"/>
      <c r="J433" s="38">
        <f>4.6*1000</f>
        <v>4600</v>
      </c>
      <c r="K433" s="46">
        <v>0.015011574074074075</v>
      </c>
      <c r="L433" s="47" t="s">
        <v>551</v>
      </c>
      <c r="M433" s="46"/>
      <c r="N433" s="46"/>
      <c r="O433" s="38"/>
      <c r="P433" s="38"/>
      <c r="Q433" s="12" t="str">
        <f t="shared" si="38"/>
        <v/>
      </c>
      <c r="R433" s="50"/>
      <c r="S433" s="50"/>
      <c r="T433" s="50"/>
      <c r="U433" s="53"/>
      <c r="V433" s="54"/>
      <c r="W433" s="56"/>
      <c r="X433" s="119"/>
      <c r="Y433" s="113"/>
      <c r="Z433" s="113"/>
    </row>
    <row r="434">
      <c r="A434" s="38">
        <v>190.0</v>
      </c>
      <c r="B434" s="38"/>
      <c r="C434" s="38"/>
      <c r="D434" s="38"/>
      <c r="E434" s="38" t="s">
        <v>886</v>
      </c>
      <c r="F434" s="41" t="s">
        <v>887</v>
      </c>
      <c r="G434" s="43"/>
      <c r="H434" s="45"/>
      <c r="I434" s="38"/>
      <c r="J434" s="38">
        <f>3.7*1000</f>
        <v>3700</v>
      </c>
      <c r="K434" s="46">
        <v>0.03163194444444444</v>
      </c>
      <c r="L434" s="47" t="s">
        <v>551</v>
      </c>
      <c r="M434" s="46"/>
      <c r="N434" s="46"/>
      <c r="O434" s="38"/>
      <c r="P434" s="38"/>
      <c r="Q434" s="12" t="str">
        <f t="shared" si="38"/>
        <v/>
      </c>
      <c r="R434" s="50"/>
      <c r="S434" s="50"/>
      <c r="T434" s="50"/>
      <c r="U434" s="53"/>
      <c r="V434" s="54"/>
      <c r="W434" s="56"/>
      <c r="X434" s="119"/>
      <c r="Y434" s="113"/>
      <c r="Z434" s="113"/>
    </row>
    <row r="435">
      <c r="A435" s="38">
        <v>191.0</v>
      </c>
      <c r="B435" s="38"/>
      <c r="C435" s="38"/>
      <c r="D435" s="38"/>
      <c r="E435" s="38" t="s">
        <v>889</v>
      </c>
      <c r="F435" s="41" t="s">
        <v>890</v>
      </c>
      <c r="G435" s="43"/>
      <c r="H435" s="45"/>
      <c r="I435" s="38"/>
      <c r="J435" s="38">
        <f>9.4*1000</f>
        <v>9400</v>
      </c>
      <c r="K435" s="46">
        <v>0.040844907407407406</v>
      </c>
      <c r="L435" s="47" t="s">
        <v>551</v>
      </c>
      <c r="M435" s="46"/>
      <c r="N435" s="46"/>
      <c r="O435" s="38"/>
      <c r="P435" s="38"/>
      <c r="Q435" s="12" t="str">
        <f t="shared" si="38"/>
        <v/>
      </c>
      <c r="R435" s="50"/>
      <c r="S435" s="50"/>
      <c r="T435" s="50"/>
      <c r="U435" s="53"/>
      <c r="V435" s="54"/>
      <c r="W435" s="56"/>
      <c r="X435" s="119"/>
      <c r="Y435" s="113"/>
      <c r="Z435" s="113"/>
    </row>
    <row r="436">
      <c r="A436" s="38">
        <v>192.0</v>
      </c>
      <c r="B436" s="38"/>
      <c r="C436" s="38"/>
      <c r="D436" s="38"/>
      <c r="E436" s="38" t="s">
        <v>891</v>
      </c>
      <c r="F436" s="41" t="s">
        <v>892</v>
      </c>
      <c r="G436" s="43"/>
      <c r="H436" s="45"/>
      <c r="I436" s="38"/>
      <c r="J436" s="38">
        <f>938</f>
        <v>938</v>
      </c>
      <c r="K436" s="46">
        <v>0.0013541666666666667</v>
      </c>
      <c r="L436" s="47" t="s">
        <v>551</v>
      </c>
      <c r="M436" s="46"/>
      <c r="N436" s="46"/>
      <c r="O436" s="38"/>
      <c r="P436" s="38"/>
      <c r="Q436" s="12" t="str">
        <f t="shared" si="38"/>
        <v/>
      </c>
      <c r="R436" s="50"/>
      <c r="S436" s="50"/>
      <c r="T436" s="50"/>
      <c r="U436" s="53"/>
      <c r="V436" s="54"/>
      <c r="W436" s="56"/>
      <c r="X436" s="119"/>
      <c r="Y436" s="113"/>
      <c r="Z436" s="113"/>
    </row>
    <row r="437">
      <c r="A437" s="38">
        <v>193.0</v>
      </c>
      <c r="B437" s="38"/>
      <c r="C437" s="38"/>
      <c r="D437" s="38"/>
      <c r="E437" s="38" t="s">
        <v>894</v>
      </c>
      <c r="F437" s="41" t="s">
        <v>895</v>
      </c>
      <c r="G437" s="43"/>
      <c r="H437" s="45"/>
      <c r="I437" s="38"/>
      <c r="J437" s="38">
        <f>1.8*1000</f>
        <v>1800</v>
      </c>
      <c r="K437" s="46">
        <v>0.009918981481481482</v>
      </c>
      <c r="L437" s="47" t="s">
        <v>551</v>
      </c>
      <c r="M437" s="46"/>
      <c r="N437" s="46"/>
      <c r="O437" s="38"/>
      <c r="P437" s="38"/>
      <c r="Q437" s="12" t="str">
        <f t="shared" si="38"/>
        <v/>
      </c>
      <c r="R437" s="50"/>
      <c r="S437" s="50"/>
      <c r="T437" s="50"/>
      <c r="U437" s="53"/>
      <c r="V437" s="54"/>
      <c r="W437" s="56"/>
      <c r="X437" s="119"/>
      <c r="Y437" s="113"/>
      <c r="Z437" s="113"/>
    </row>
    <row r="438">
      <c r="A438" s="38">
        <v>194.0</v>
      </c>
      <c r="B438" s="38"/>
      <c r="C438" s="38"/>
      <c r="D438" s="38"/>
      <c r="E438" s="38" t="s">
        <v>896</v>
      </c>
      <c r="F438" s="41" t="s">
        <v>897</v>
      </c>
      <c r="G438" s="43"/>
      <c r="H438" s="45"/>
      <c r="I438" s="38"/>
      <c r="J438" s="38">
        <f>4.4*1000</f>
        <v>4400</v>
      </c>
      <c r="K438" s="46">
        <v>0.025416666666666667</v>
      </c>
      <c r="L438" s="47" t="s">
        <v>551</v>
      </c>
      <c r="M438" s="46"/>
      <c r="N438" s="46"/>
      <c r="O438" s="38"/>
      <c r="P438" s="38"/>
      <c r="Q438" s="12" t="str">
        <f t="shared" si="38"/>
        <v/>
      </c>
      <c r="R438" s="50"/>
      <c r="S438" s="50"/>
      <c r="T438" s="50"/>
      <c r="U438" s="53"/>
      <c r="V438" s="54"/>
      <c r="W438" s="56"/>
      <c r="X438" s="119"/>
      <c r="Y438" s="113"/>
      <c r="Z438" s="113"/>
    </row>
    <row r="439">
      <c r="A439" s="38">
        <v>195.0</v>
      </c>
      <c r="B439" s="38"/>
      <c r="C439" s="38"/>
      <c r="D439" s="38"/>
      <c r="E439" s="38" t="s">
        <v>898</v>
      </c>
      <c r="F439" s="41" t="s">
        <v>899</v>
      </c>
      <c r="G439" s="43"/>
      <c r="H439" s="45"/>
      <c r="I439" s="38"/>
      <c r="J439" s="38">
        <f t="shared" ref="J439:J440" si="39">1*1000</f>
        <v>1000</v>
      </c>
      <c r="K439" s="46">
        <v>0.00474537037037037</v>
      </c>
      <c r="L439" s="47" t="s">
        <v>551</v>
      </c>
      <c r="M439" s="46"/>
      <c r="N439" s="46"/>
      <c r="O439" s="38"/>
      <c r="P439" s="38"/>
      <c r="Q439" s="12" t="str">
        <f t="shared" si="38"/>
        <v/>
      </c>
      <c r="R439" s="50"/>
      <c r="S439" s="50"/>
      <c r="T439" s="50"/>
      <c r="U439" s="53"/>
      <c r="V439" s="54"/>
      <c r="W439" s="56"/>
      <c r="X439" s="119"/>
      <c r="Y439" s="113"/>
      <c r="Z439" s="113"/>
    </row>
    <row r="440">
      <c r="A440" s="38">
        <v>196.0</v>
      </c>
      <c r="B440" s="38"/>
      <c r="C440" s="38"/>
      <c r="D440" s="38"/>
      <c r="E440" s="38" t="s">
        <v>900</v>
      </c>
      <c r="F440" s="41" t="s">
        <v>901</v>
      </c>
      <c r="G440" s="43"/>
      <c r="H440" s="45"/>
      <c r="I440" s="38"/>
      <c r="J440" s="38">
        <f t="shared" si="39"/>
        <v>1000</v>
      </c>
      <c r="K440" s="46">
        <v>0.0030671296296296297</v>
      </c>
      <c r="L440" s="47" t="s">
        <v>551</v>
      </c>
      <c r="M440" s="46"/>
      <c r="N440" s="46"/>
      <c r="O440" s="38"/>
      <c r="P440" s="38"/>
      <c r="Q440" s="12" t="str">
        <f t="shared" si="38"/>
        <v/>
      </c>
      <c r="R440" s="50"/>
      <c r="S440" s="50"/>
      <c r="T440" s="50"/>
      <c r="U440" s="53"/>
      <c r="V440" s="54"/>
      <c r="W440" s="56"/>
      <c r="X440" s="119"/>
      <c r="Y440" s="113"/>
      <c r="Z440" s="113"/>
    </row>
    <row r="441">
      <c r="A441" s="38">
        <v>197.0</v>
      </c>
      <c r="B441" s="38"/>
      <c r="C441" s="38"/>
      <c r="D441" s="38"/>
      <c r="E441" s="38" t="s">
        <v>902</v>
      </c>
      <c r="F441" s="41" t="s">
        <v>903</v>
      </c>
      <c r="G441" s="43"/>
      <c r="H441" s="45"/>
      <c r="I441" s="38"/>
      <c r="J441" s="38">
        <f>1.8*1000</f>
        <v>1800</v>
      </c>
      <c r="K441" s="46">
        <v>0.0018750000000000001</v>
      </c>
      <c r="L441" s="47" t="s">
        <v>551</v>
      </c>
      <c r="M441" s="46"/>
      <c r="N441" s="46"/>
      <c r="O441" s="38"/>
      <c r="P441" s="38"/>
      <c r="Q441" s="12" t="str">
        <f t="shared" si="38"/>
        <v/>
      </c>
      <c r="R441" s="50"/>
      <c r="S441" s="50"/>
      <c r="T441" s="50"/>
      <c r="U441" s="53"/>
      <c r="V441" s="54"/>
      <c r="W441" s="56"/>
      <c r="X441" s="119"/>
      <c r="Y441" s="113"/>
      <c r="Z441" s="113"/>
    </row>
    <row r="442">
      <c r="A442" s="38">
        <v>198.0</v>
      </c>
      <c r="B442" s="38"/>
      <c r="C442" s="38"/>
      <c r="D442" s="38"/>
      <c r="E442" s="38" t="s">
        <v>904</v>
      </c>
      <c r="F442" s="41" t="s">
        <v>905</v>
      </c>
      <c r="G442" s="43"/>
      <c r="H442" s="45"/>
      <c r="I442" s="38"/>
      <c r="J442" s="38">
        <f>2*1000</f>
        <v>2000</v>
      </c>
      <c r="K442" s="46">
        <v>0.008819444444444444</v>
      </c>
      <c r="L442" s="47" t="s">
        <v>551</v>
      </c>
      <c r="M442" s="46"/>
      <c r="N442" s="46"/>
      <c r="O442" s="38"/>
      <c r="P442" s="38"/>
      <c r="Q442" s="12" t="str">
        <f t="shared" si="38"/>
        <v/>
      </c>
      <c r="R442" s="50"/>
      <c r="S442" s="50"/>
      <c r="T442" s="50"/>
      <c r="U442" s="53"/>
      <c r="V442" s="54"/>
      <c r="W442" s="56"/>
      <c r="X442" s="119"/>
      <c r="Y442" s="113"/>
      <c r="Z442" s="113"/>
    </row>
    <row r="443">
      <c r="A443" s="38">
        <v>199.0</v>
      </c>
      <c r="B443" s="38"/>
      <c r="C443" s="38"/>
      <c r="D443" s="38"/>
      <c r="E443" s="38" t="s">
        <v>906</v>
      </c>
      <c r="F443" s="41" t="s">
        <v>907</v>
      </c>
      <c r="G443" s="43"/>
      <c r="H443" s="45"/>
      <c r="I443" s="38"/>
      <c r="J443" s="38">
        <f>3.1*1000</f>
        <v>3100</v>
      </c>
      <c r="K443" s="46">
        <v>0.008993055555555554</v>
      </c>
      <c r="L443" s="47" t="s">
        <v>551</v>
      </c>
      <c r="M443" s="46"/>
      <c r="N443" s="46"/>
      <c r="O443" s="38"/>
      <c r="P443" s="38"/>
      <c r="Q443" s="12" t="str">
        <f t="shared" si="38"/>
        <v/>
      </c>
      <c r="R443" s="50"/>
      <c r="S443" s="50"/>
      <c r="T443" s="50"/>
      <c r="U443" s="53"/>
      <c r="V443" s="54"/>
      <c r="W443" s="56"/>
      <c r="X443" s="119"/>
      <c r="Y443" s="113"/>
      <c r="Z443" s="113"/>
    </row>
    <row r="444">
      <c r="A444" s="38">
        <v>200.0</v>
      </c>
      <c r="B444" s="38"/>
      <c r="C444" s="38"/>
      <c r="D444" s="38"/>
      <c r="E444" s="38" t="s">
        <v>908</v>
      </c>
      <c r="F444" s="41" t="s">
        <v>909</v>
      </c>
      <c r="G444" s="43"/>
      <c r="H444" s="45"/>
      <c r="I444" s="38"/>
      <c r="J444" s="38">
        <f>2.4*1000</f>
        <v>2400</v>
      </c>
      <c r="K444" s="46">
        <v>0.00925925925925926</v>
      </c>
      <c r="L444" s="47" t="s">
        <v>551</v>
      </c>
      <c r="M444" s="46"/>
      <c r="N444" s="46"/>
      <c r="O444" s="38"/>
      <c r="P444" s="38"/>
      <c r="Q444" s="12" t="str">
        <f t="shared" si="38"/>
        <v/>
      </c>
      <c r="R444" s="50"/>
      <c r="S444" s="50"/>
      <c r="T444" s="50"/>
      <c r="U444" s="53"/>
      <c r="V444" s="54"/>
      <c r="W444" s="56"/>
      <c r="X444" s="119"/>
      <c r="Y444" s="113"/>
      <c r="Z444" s="113"/>
    </row>
    <row r="445">
      <c r="A445" s="38">
        <v>201.0</v>
      </c>
      <c r="B445" s="38"/>
      <c r="C445" s="38"/>
      <c r="D445" s="38"/>
      <c r="E445" s="38" t="s">
        <v>910</v>
      </c>
      <c r="F445" s="41" t="s">
        <v>911</v>
      </c>
      <c r="G445" s="43"/>
      <c r="H445" s="45"/>
      <c r="I445" s="38"/>
      <c r="J445" s="38">
        <f>8.1*1000</f>
        <v>8100</v>
      </c>
      <c r="K445" s="46">
        <v>0.0026388888888888885</v>
      </c>
      <c r="L445" s="47" t="s">
        <v>912</v>
      </c>
      <c r="M445" s="46"/>
      <c r="N445" s="46"/>
      <c r="O445" s="38"/>
      <c r="P445" s="38"/>
      <c r="Q445" s="12" t="str">
        <f t="shared" si="38"/>
        <v/>
      </c>
      <c r="R445" s="50"/>
      <c r="S445" s="50"/>
      <c r="T445" s="50"/>
      <c r="U445" s="53"/>
      <c r="V445" s="54"/>
      <c r="W445" s="56"/>
      <c r="X445" s="119"/>
      <c r="Y445" s="113"/>
      <c r="Z445" s="113"/>
    </row>
    <row r="446">
      <c r="A446" s="38">
        <v>202.0</v>
      </c>
      <c r="B446" s="38"/>
      <c r="C446" s="38"/>
      <c r="D446" s="38"/>
      <c r="E446" s="38" t="s">
        <v>913</v>
      </c>
      <c r="F446" s="41" t="s">
        <v>914</v>
      </c>
      <c r="G446" s="43"/>
      <c r="H446" s="45"/>
      <c r="I446" s="38"/>
      <c r="J446" s="38">
        <f>2.7*1000</f>
        <v>2700</v>
      </c>
      <c r="K446" s="46">
        <v>0.0027199074074074074</v>
      </c>
      <c r="L446" s="47" t="s">
        <v>912</v>
      </c>
      <c r="M446" s="46"/>
      <c r="N446" s="46"/>
      <c r="O446" s="38"/>
      <c r="P446" s="38"/>
      <c r="Q446" s="12" t="str">
        <f t="shared" si="38"/>
        <v/>
      </c>
      <c r="R446" s="50"/>
      <c r="S446" s="50"/>
      <c r="T446" s="50"/>
      <c r="U446" s="53"/>
      <c r="V446" s="54"/>
      <c r="W446" s="56"/>
      <c r="X446" s="119"/>
      <c r="Y446" s="113"/>
      <c r="Z446" s="113"/>
    </row>
    <row r="447">
      <c r="A447" s="38">
        <v>203.0</v>
      </c>
      <c r="B447" s="38"/>
      <c r="C447" s="38"/>
      <c r="D447" s="38"/>
      <c r="E447" s="38" t="s">
        <v>915</v>
      </c>
      <c r="F447" s="41" t="s">
        <v>916</v>
      </c>
      <c r="G447" s="43"/>
      <c r="H447" s="45"/>
      <c r="I447" s="38"/>
      <c r="J447" s="38">
        <f>2.9*1000</f>
        <v>2900</v>
      </c>
      <c r="K447" s="46">
        <v>0.0022800925925925927</v>
      </c>
      <c r="L447" s="47" t="s">
        <v>912</v>
      </c>
      <c r="M447" s="46"/>
      <c r="N447" s="46"/>
      <c r="O447" s="38"/>
      <c r="P447" s="38"/>
      <c r="Q447" s="12" t="str">
        <f t="shared" si="38"/>
        <v/>
      </c>
      <c r="R447" s="50"/>
      <c r="S447" s="50"/>
      <c r="T447" s="50"/>
      <c r="U447" s="53"/>
      <c r="V447" s="54"/>
      <c r="W447" s="56"/>
      <c r="X447" s="119"/>
      <c r="Y447" s="113"/>
      <c r="Z447" s="113"/>
    </row>
    <row r="448">
      <c r="A448" s="38">
        <v>204.0</v>
      </c>
      <c r="B448" s="38"/>
      <c r="C448" s="38"/>
      <c r="D448" s="38"/>
      <c r="E448" s="38" t="s">
        <v>917</v>
      </c>
      <c r="F448" s="41" t="s">
        <v>918</v>
      </c>
      <c r="G448" s="43"/>
      <c r="H448" s="45"/>
      <c r="I448" s="38"/>
      <c r="J448" s="38">
        <f t="shared" ref="J448:J449" si="40">3.9*1000</f>
        <v>3900</v>
      </c>
      <c r="K448" s="46">
        <v>0.0043518518518518515</v>
      </c>
      <c r="L448" s="47" t="s">
        <v>912</v>
      </c>
      <c r="M448" s="46"/>
      <c r="N448" s="46"/>
      <c r="O448" s="38"/>
      <c r="P448" s="38"/>
      <c r="Q448" s="12" t="str">
        <f t="shared" si="38"/>
        <v/>
      </c>
      <c r="R448" s="50"/>
      <c r="S448" s="50"/>
      <c r="T448" s="50"/>
      <c r="U448" s="53"/>
      <c r="V448" s="54"/>
      <c r="W448" s="56"/>
      <c r="X448" s="119"/>
      <c r="Y448" s="113"/>
      <c r="Z448" s="113"/>
    </row>
    <row r="449">
      <c r="A449" s="38">
        <v>205.0</v>
      </c>
      <c r="B449" s="38"/>
      <c r="C449" s="38"/>
      <c r="D449" s="38"/>
      <c r="E449" s="38" t="s">
        <v>919</v>
      </c>
      <c r="F449" s="41" t="s">
        <v>920</v>
      </c>
      <c r="G449" s="43"/>
      <c r="H449" s="45"/>
      <c r="I449" s="38"/>
      <c r="J449" s="38">
        <f t="shared" si="40"/>
        <v>3900</v>
      </c>
      <c r="K449" s="46">
        <v>0.006493055555555555</v>
      </c>
      <c r="L449" s="47" t="s">
        <v>912</v>
      </c>
      <c r="M449" s="46"/>
      <c r="N449" s="46"/>
      <c r="O449" s="38"/>
      <c r="P449" s="38"/>
      <c r="Q449" s="12" t="str">
        <f t="shared" si="38"/>
        <v/>
      </c>
      <c r="R449" s="50"/>
      <c r="S449" s="50"/>
      <c r="T449" s="50"/>
      <c r="U449" s="53"/>
      <c r="V449" s="54"/>
      <c r="W449" s="56"/>
      <c r="X449" s="119"/>
      <c r="Y449" s="113"/>
      <c r="Z449" s="113"/>
    </row>
    <row r="450">
      <c r="A450" s="38">
        <v>206.0</v>
      </c>
      <c r="B450" s="38"/>
      <c r="C450" s="38"/>
      <c r="D450" s="38"/>
      <c r="E450" s="38" t="s">
        <v>921</v>
      </c>
      <c r="F450" s="41" t="s">
        <v>922</v>
      </c>
      <c r="G450" s="43"/>
      <c r="H450" s="45"/>
      <c r="I450" s="38"/>
      <c r="J450" s="38">
        <f>4.4*1000</f>
        <v>4400</v>
      </c>
      <c r="K450" s="46">
        <v>0.009212962962962963</v>
      </c>
      <c r="L450" s="47" t="s">
        <v>912</v>
      </c>
      <c r="M450" s="46"/>
      <c r="N450" s="46"/>
      <c r="O450" s="38"/>
      <c r="P450" s="38"/>
      <c r="Q450" s="12" t="str">
        <f t="shared" si="38"/>
        <v/>
      </c>
      <c r="R450" s="50"/>
      <c r="S450" s="50"/>
      <c r="T450" s="50"/>
      <c r="U450" s="53"/>
      <c r="V450" s="54"/>
      <c r="W450" s="56"/>
      <c r="X450" s="119"/>
      <c r="Y450" s="113"/>
      <c r="Z450" s="113"/>
    </row>
    <row r="451">
      <c r="A451" s="38">
        <v>207.0</v>
      </c>
      <c r="B451" s="38"/>
      <c r="C451" s="38"/>
      <c r="D451" s="38"/>
      <c r="E451" s="38" t="s">
        <v>923</v>
      </c>
      <c r="F451" s="41" t="s">
        <v>924</v>
      </c>
      <c r="G451" s="43"/>
      <c r="H451" s="45"/>
      <c r="I451" s="38"/>
      <c r="J451" s="38">
        <f>4.2*1000</f>
        <v>4200</v>
      </c>
      <c r="K451" s="46">
        <v>0.007233796296296296</v>
      </c>
      <c r="L451" s="47" t="s">
        <v>912</v>
      </c>
      <c r="M451" s="46"/>
      <c r="N451" s="46"/>
      <c r="O451" s="38"/>
      <c r="P451" s="38"/>
      <c r="Q451" s="12" t="str">
        <f t="shared" si="38"/>
        <v/>
      </c>
      <c r="R451" s="50"/>
      <c r="S451" s="50"/>
      <c r="T451" s="50"/>
      <c r="U451" s="53"/>
      <c r="V451" s="54"/>
      <c r="W451" s="56"/>
      <c r="X451" s="119"/>
      <c r="Y451" s="113"/>
      <c r="Z451" s="113"/>
    </row>
    <row r="452">
      <c r="A452" s="38">
        <v>208.0</v>
      </c>
      <c r="B452" s="38"/>
      <c r="C452" s="38"/>
      <c r="D452" s="38"/>
      <c r="E452" s="38" t="s">
        <v>925</v>
      </c>
      <c r="F452" s="41" t="s">
        <v>926</v>
      </c>
      <c r="G452" s="43"/>
      <c r="H452" s="45"/>
      <c r="I452" s="38"/>
      <c r="J452" s="38">
        <f>1.9*1000</f>
        <v>1900</v>
      </c>
      <c r="K452" s="46">
        <v>0.004398148148148148</v>
      </c>
      <c r="L452" s="47" t="s">
        <v>912</v>
      </c>
      <c r="M452" s="46"/>
      <c r="N452" s="46"/>
      <c r="O452" s="38"/>
      <c r="P452" s="38"/>
      <c r="Q452" s="12" t="str">
        <f t="shared" si="38"/>
        <v/>
      </c>
      <c r="R452" s="50"/>
      <c r="S452" s="50"/>
      <c r="T452" s="50"/>
      <c r="U452" s="53"/>
      <c r="V452" s="54"/>
      <c r="W452" s="56"/>
      <c r="X452" s="119"/>
      <c r="Y452" s="113"/>
      <c r="Z452" s="113"/>
    </row>
    <row r="453">
      <c r="A453" s="38">
        <v>209.0</v>
      </c>
      <c r="B453" s="38"/>
      <c r="C453" s="38"/>
      <c r="D453" s="38"/>
      <c r="E453" s="38" t="s">
        <v>927</v>
      </c>
      <c r="F453" s="41" t="s">
        <v>928</v>
      </c>
      <c r="G453" s="43"/>
      <c r="H453" s="45"/>
      <c r="I453" s="38"/>
      <c r="J453" s="38">
        <f>2.8*1000</f>
        <v>2800</v>
      </c>
      <c r="K453" s="46">
        <v>0.006539351851851852</v>
      </c>
      <c r="L453" s="47" t="s">
        <v>912</v>
      </c>
      <c r="M453" s="46"/>
      <c r="N453" s="46"/>
      <c r="O453" s="38"/>
      <c r="P453" s="38"/>
      <c r="Q453" s="12" t="str">
        <f t="shared" si="38"/>
        <v/>
      </c>
      <c r="R453" s="50"/>
      <c r="S453" s="50"/>
      <c r="T453" s="50"/>
      <c r="U453" s="53"/>
      <c r="V453" s="54"/>
      <c r="W453" s="56"/>
      <c r="X453" s="119"/>
      <c r="Y453" s="113"/>
      <c r="Z453" s="113"/>
    </row>
    <row r="454">
      <c r="A454" s="38">
        <v>210.0</v>
      </c>
      <c r="B454" s="38"/>
      <c r="C454" s="38"/>
      <c r="D454" s="38"/>
      <c r="E454" s="38" t="s">
        <v>929</v>
      </c>
      <c r="F454" s="41" t="s">
        <v>930</v>
      </c>
      <c r="G454" s="43"/>
      <c r="H454" s="45"/>
      <c r="I454" s="38"/>
      <c r="J454" s="38">
        <f>1.3*1000</f>
        <v>1300</v>
      </c>
      <c r="K454" s="46">
        <v>0.0032175925925925926</v>
      </c>
      <c r="L454" s="47" t="s">
        <v>912</v>
      </c>
      <c r="M454" s="46"/>
      <c r="N454" s="46"/>
      <c r="O454" s="38"/>
      <c r="P454" s="38"/>
      <c r="Q454" s="12" t="str">
        <f t="shared" si="38"/>
        <v/>
      </c>
      <c r="R454" s="50"/>
      <c r="S454" s="50"/>
      <c r="T454" s="50"/>
      <c r="U454" s="53"/>
      <c r="V454" s="54"/>
      <c r="W454" s="56"/>
      <c r="X454" s="119"/>
      <c r="Y454" s="113"/>
      <c r="Z454" s="113"/>
    </row>
    <row r="455">
      <c r="A455" s="38">
        <v>211.0</v>
      </c>
      <c r="B455" s="38"/>
      <c r="C455" s="38"/>
      <c r="D455" s="38"/>
      <c r="E455" s="38" t="s">
        <v>931</v>
      </c>
      <c r="F455" s="41" t="s">
        <v>932</v>
      </c>
      <c r="G455" s="43"/>
      <c r="H455" s="45"/>
      <c r="I455" s="38"/>
      <c r="J455" s="38">
        <f>8.7*1000</f>
        <v>8700</v>
      </c>
      <c r="K455" s="46">
        <v>0.013078703703703703</v>
      </c>
      <c r="L455" s="47" t="s">
        <v>912</v>
      </c>
      <c r="M455" s="46"/>
      <c r="N455" s="46"/>
      <c r="O455" s="38"/>
      <c r="P455" s="38"/>
      <c r="Q455" s="12" t="str">
        <f t="shared" si="38"/>
        <v/>
      </c>
      <c r="R455" s="50"/>
      <c r="S455" s="50"/>
      <c r="T455" s="50"/>
      <c r="U455" s="53"/>
      <c r="V455" s="54"/>
      <c r="W455" s="56"/>
      <c r="X455" s="119"/>
      <c r="Y455" s="113"/>
      <c r="Z455" s="113"/>
    </row>
    <row r="456">
      <c r="A456" s="38">
        <v>212.0</v>
      </c>
      <c r="B456" s="38"/>
      <c r="C456" s="38"/>
      <c r="D456" s="38"/>
      <c r="E456" s="38" t="s">
        <v>933</v>
      </c>
      <c r="F456" s="41" t="s">
        <v>934</v>
      </c>
      <c r="G456" s="43"/>
      <c r="H456" s="45"/>
      <c r="I456" s="38"/>
      <c r="J456" s="38">
        <f>2.4*1000</f>
        <v>2400</v>
      </c>
      <c r="K456" s="46">
        <v>0.00800925925925926</v>
      </c>
      <c r="L456" s="47" t="s">
        <v>912</v>
      </c>
      <c r="M456" s="46"/>
      <c r="N456" s="46"/>
      <c r="O456" s="38"/>
      <c r="P456" s="38"/>
      <c r="Q456" s="12" t="str">
        <f t="shared" si="38"/>
        <v/>
      </c>
      <c r="R456" s="50"/>
      <c r="S456" s="50"/>
      <c r="T456" s="50"/>
      <c r="U456" s="53"/>
      <c r="V456" s="54"/>
      <c r="W456" s="56"/>
      <c r="X456" s="119"/>
      <c r="Y456" s="113"/>
      <c r="Z456" s="113"/>
    </row>
    <row r="457">
      <c r="A457" s="38">
        <v>213.0</v>
      </c>
      <c r="B457" s="38"/>
      <c r="C457" s="38"/>
      <c r="D457" s="38"/>
      <c r="E457" s="38" t="s">
        <v>935</v>
      </c>
      <c r="F457" s="41" t="s">
        <v>936</v>
      </c>
      <c r="G457" s="43"/>
      <c r="H457" s="45"/>
      <c r="I457" s="38"/>
      <c r="J457" s="38">
        <f>2.8*1000</f>
        <v>2800</v>
      </c>
      <c r="K457" s="46">
        <v>0.002546296296296296</v>
      </c>
      <c r="L457" s="47" t="s">
        <v>912</v>
      </c>
      <c r="M457" s="46"/>
      <c r="N457" s="46"/>
      <c r="O457" s="38"/>
      <c r="P457" s="38"/>
      <c r="Q457" s="12" t="str">
        <f t="shared" si="38"/>
        <v/>
      </c>
      <c r="R457" s="50"/>
      <c r="S457" s="50"/>
      <c r="T457" s="50"/>
      <c r="U457" s="53"/>
      <c r="V457" s="54"/>
      <c r="W457" s="56"/>
      <c r="X457" s="119"/>
      <c r="Y457" s="113"/>
      <c r="Z457" s="113"/>
    </row>
    <row r="458">
      <c r="A458" s="38">
        <v>214.0</v>
      </c>
      <c r="B458" s="38"/>
      <c r="C458" s="38"/>
      <c r="D458" s="38"/>
      <c r="E458" s="38" t="s">
        <v>937</v>
      </c>
      <c r="F458" s="41" t="s">
        <v>938</v>
      </c>
      <c r="G458" s="43"/>
      <c r="H458" s="45"/>
      <c r="I458" s="38"/>
      <c r="J458" s="38">
        <f>8.1*1000</f>
        <v>8100</v>
      </c>
      <c r="K458" s="46">
        <v>0.02981481481481481</v>
      </c>
      <c r="L458" s="47" t="s">
        <v>912</v>
      </c>
      <c r="M458" s="46"/>
      <c r="N458" s="46"/>
      <c r="O458" s="38"/>
      <c r="P458" s="38"/>
      <c r="Q458" s="12" t="str">
        <f t="shared" si="38"/>
        <v/>
      </c>
      <c r="R458" s="50"/>
      <c r="S458" s="50"/>
      <c r="T458" s="50"/>
      <c r="U458" s="53"/>
      <c r="V458" s="54"/>
      <c r="W458" s="56"/>
      <c r="X458" s="119"/>
      <c r="Y458" s="113"/>
      <c r="Z458" s="113"/>
    </row>
    <row r="459">
      <c r="A459" s="38">
        <v>215.0</v>
      </c>
      <c r="B459" s="38"/>
      <c r="C459" s="38"/>
      <c r="D459" s="38"/>
      <c r="E459" s="38" t="s">
        <v>939</v>
      </c>
      <c r="F459" s="41" t="s">
        <v>940</v>
      </c>
      <c r="G459" s="43"/>
      <c r="H459" s="45"/>
      <c r="I459" s="38"/>
      <c r="J459" s="38">
        <f>1.7*1000</f>
        <v>1700</v>
      </c>
      <c r="K459" s="46">
        <v>0.006793981481481482</v>
      </c>
      <c r="L459" s="47" t="s">
        <v>912</v>
      </c>
      <c r="M459" s="46"/>
      <c r="N459" s="46"/>
      <c r="O459" s="38"/>
      <c r="P459" s="38"/>
      <c r="Q459" s="12" t="str">
        <f t="shared" si="38"/>
        <v/>
      </c>
      <c r="R459" s="50"/>
      <c r="S459" s="50"/>
      <c r="T459" s="50"/>
      <c r="U459" s="53"/>
      <c r="V459" s="54"/>
      <c r="W459" s="56"/>
      <c r="X459" s="119"/>
      <c r="Y459" s="113"/>
      <c r="Z459" s="113"/>
    </row>
    <row r="460">
      <c r="A460" s="38">
        <v>216.0</v>
      </c>
      <c r="B460" s="38"/>
      <c r="C460" s="38"/>
      <c r="D460" s="38"/>
      <c r="E460" s="38" t="s">
        <v>941</v>
      </c>
      <c r="F460" s="41" t="s">
        <v>942</v>
      </c>
      <c r="G460" s="43"/>
      <c r="H460" s="45"/>
      <c r="I460" s="38"/>
      <c r="J460" s="38">
        <f>3.9*1000</f>
        <v>3900</v>
      </c>
      <c r="K460" s="46">
        <v>0.003090277777777778</v>
      </c>
      <c r="L460" s="47" t="s">
        <v>912</v>
      </c>
      <c r="M460" s="46"/>
      <c r="N460" s="46"/>
      <c r="O460" s="38"/>
      <c r="P460" s="38"/>
      <c r="Q460" s="12" t="str">
        <f t="shared" si="38"/>
        <v/>
      </c>
      <c r="R460" s="50"/>
      <c r="S460" s="50"/>
      <c r="T460" s="50"/>
      <c r="U460" s="53"/>
      <c r="V460" s="54"/>
      <c r="W460" s="56"/>
      <c r="X460" s="119"/>
      <c r="Y460" s="113"/>
      <c r="Z460" s="113"/>
    </row>
    <row r="461">
      <c r="A461" s="38">
        <v>217.0</v>
      </c>
      <c r="B461" s="38"/>
      <c r="C461" s="38"/>
      <c r="D461" s="38"/>
      <c r="E461" s="38" t="s">
        <v>943</v>
      </c>
      <c r="F461" s="41" t="s">
        <v>944</v>
      </c>
      <c r="G461" s="43"/>
      <c r="H461" s="45"/>
      <c r="I461" s="38"/>
      <c r="J461" s="38">
        <f>254</f>
        <v>254</v>
      </c>
      <c r="K461" s="46">
        <v>0.002731481481481482</v>
      </c>
      <c r="L461" s="47" t="s">
        <v>912</v>
      </c>
      <c r="M461" s="46"/>
      <c r="N461" s="46"/>
      <c r="O461" s="38"/>
      <c r="P461" s="38"/>
      <c r="Q461" s="12" t="str">
        <f t="shared" si="38"/>
        <v/>
      </c>
      <c r="R461" s="50"/>
      <c r="S461" s="50"/>
      <c r="T461" s="50"/>
      <c r="U461" s="53"/>
      <c r="V461" s="54"/>
      <c r="W461" s="56"/>
      <c r="X461" s="119"/>
      <c r="Y461" s="113"/>
      <c r="Z461" s="113"/>
    </row>
    <row r="462">
      <c r="A462" s="38">
        <v>218.0</v>
      </c>
      <c r="B462" s="38"/>
      <c r="C462" s="38"/>
      <c r="D462" s="38"/>
      <c r="E462" s="38" t="s">
        <v>945</v>
      </c>
      <c r="F462" s="41" t="s">
        <v>946</v>
      </c>
      <c r="G462" s="43"/>
      <c r="H462" s="45"/>
      <c r="I462" s="38"/>
      <c r="J462" s="38">
        <f>10*1000</f>
        <v>10000</v>
      </c>
      <c r="K462" s="46">
        <v>0.018865740740740742</v>
      </c>
      <c r="L462" s="47" t="s">
        <v>912</v>
      </c>
      <c r="M462" s="46"/>
      <c r="N462" s="46"/>
      <c r="O462" s="38"/>
      <c r="P462" s="38"/>
      <c r="Q462" s="12" t="str">
        <f t="shared" si="38"/>
        <v/>
      </c>
      <c r="R462" s="50"/>
      <c r="S462" s="50"/>
      <c r="T462" s="50"/>
      <c r="U462" s="53"/>
      <c r="V462" s="54"/>
      <c r="W462" s="56"/>
      <c r="X462" s="119"/>
      <c r="Y462" s="113"/>
      <c r="Z462" s="113"/>
    </row>
    <row r="463">
      <c r="A463" s="38">
        <v>219.0</v>
      </c>
      <c r="B463" s="38"/>
      <c r="C463" s="38"/>
      <c r="D463" s="38"/>
      <c r="E463" s="38" t="s">
        <v>947</v>
      </c>
      <c r="F463" s="41" t="s">
        <v>948</v>
      </c>
      <c r="G463" s="43"/>
      <c r="H463" s="45"/>
      <c r="I463" s="38"/>
      <c r="J463" s="38">
        <f>7.8*1000</f>
        <v>7800</v>
      </c>
      <c r="K463" s="46">
        <v>0.025567129629629634</v>
      </c>
      <c r="L463" s="47" t="s">
        <v>912</v>
      </c>
      <c r="M463" s="46"/>
      <c r="N463" s="46"/>
      <c r="O463" s="38"/>
      <c r="P463" s="38"/>
      <c r="Q463" s="12" t="str">
        <f t="shared" si="38"/>
        <v/>
      </c>
      <c r="R463" s="50"/>
      <c r="S463" s="50"/>
      <c r="T463" s="50"/>
      <c r="U463" s="53"/>
      <c r="V463" s="54"/>
      <c r="W463" s="56"/>
      <c r="X463" s="119"/>
      <c r="Y463" s="113"/>
      <c r="Z463" s="113"/>
    </row>
    <row r="464">
      <c r="A464" s="38">
        <v>220.0</v>
      </c>
      <c r="B464" s="38"/>
      <c r="C464" s="38"/>
      <c r="D464" s="38"/>
      <c r="E464" s="38" t="s">
        <v>949</v>
      </c>
      <c r="F464" s="41" t="s">
        <v>950</v>
      </c>
      <c r="G464" s="43"/>
      <c r="H464" s="45"/>
      <c r="I464" s="38"/>
      <c r="J464" s="38">
        <f>499</f>
        <v>499</v>
      </c>
      <c r="K464" s="46">
        <v>0.012291666666666666</v>
      </c>
      <c r="L464" s="47" t="s">
        <v>912</v>
      </c>
      <c r="M464" s="46"/>
      <c r="N464" s="46"/>
      <c r="O464" s="38"/>
      <c r="P464" s="38"/>
      <c r="Q464" s="12" t="str">
        <f t="shared" si="38"/>
        <v/>
      </c>
      <c r="R464" s="50"/>
      <c r="S464" s="50"/>
      <c r="T464" s="50"/>
      <c r="U464" s="53"/>
      <c r="V464" s="54"/>
      <c r="W464" s="56"/>
      <c r="X464" s="119"/>
      <c r="Y464" s="113"/>
      <c r="Z464" s="113"/>
    </row>
    <row r="465">
      <c r="A465" s="38">
        <v>221.0</v>
      </c>
      <c r="B465" s="38"/>
      <c r="C465" s="38"/>
      <c r="D465" s="38"/>
      <c r="E465" s="38" t="s">
        <v>951</v>
      </c>
      <c r="F465" s="41" t="s">
        <v>952</v>
      </c>
      <c r="G465" s="43"/>
      <c r="H465" s="45"/>
      <c r="I465" s="38"/>
      <c r="J465" s="38">
        <f>2.6*1000</f>
        <v>2600</v>
      </c>
      <c r="K465" s="46">
        <v>0.0022916666666666667</v>
      </c>
      <c r="L465" s="47" t="s">
        <v>912</v>
      </c>
      <c r="M465" s="46"/>
      <c r="N465" s="46"/>
      <c r="O465" s="38"/>
      <c r="P465" s="38"/>
      <c r="Q465" s="12" t="str">
        <f t="shared" si="38"/>
        <v/>
      </c>
      <c r="R465" s="50"/>
      <c r="S465" s="50"/>
      <c r="T465" s="50"/>
      <c r="U465" s="53"/>
      <c r="V465" s="54"/>
      <c r="W465" s="56"/>
      <c r="X465" s="119"/>
      <c r="Y465" s="113"/>
      <c r="Z465" s="113"/>
    </row>
    <row r="466">
      <c r="A466" s="38">
        <v>222.0</v>
      </c>
      <c r="B466" s="38"/>
      <c r="C466" s="38"/>
      <c r="D466" s="38"/>
      <c r="E466" s="38" t="s">
        <v>953</v>
      </c>
      <c r="F466" s="41" t="s">
        <v>954</v>
      </c>
      <c r="G466" s="43"/>
      <c r="H466" s="45"/>
      <c r="I466" s="38"/>
      <c r="J466" s="38">
        <f>1.1*1000</f>
        <v>1100</v>
      </c>
      <c r="K466" s="46">
        <v>0.004155092592592593</v>
      </c>
      <c r="L466" s="47" t="s">
        <v>912</v>
      </c>
      <c r="M466" s="46"/>
      <c r="N466" s="46"/>
      <c r="O466" s="38"/>
      <c r="P466" s="38"/>
      <c r="Q466" s="12" t="str">
        <f t="shared" si="38"/>
        <v/>
      </c>
      <c r="R466" s="50"/>
      <c r="S466" s="50"/>
      <c r="T466" s="50"/>
      <c r="U466" s="53"/>
      <c r="V466" s="54"/>
      <c r="W466" s="56"/>
      <c r="X466" s="119"/>
      <c r="Y466" s="113"/>
      <c r="Z466" s="113"/>
    </row>
    <row r="467">
      <c r="A467" s="38">
        <v>223.0</v>
      </c>
      <c r="B467" s="38"/>
      <c r="C467" s="38"/>
      <c r="D467" s="38"/>
      <c r="E467" s="38" t="s">
        <v>955</v>
      </c>
      <c r="F467" s="41" t="s">
        <v>956</v>
      </c>
      <c r="G467" s="43"/>
      <c r="H467" s="45"/>
      <c r="I467" s="38"/>
      <c r="J467" s="38">
        <f t="shared" ref="J467:J468" si="41">1.4*1000</f>
        <v>1400</v>
      </c>
      <c r="K467" s="46">
        <v>0.0014814814814814814</v>
      </c>
      <c r="L467" s="47" t="s">
        <v>912</v>
      </c>
      <c r="M467" s="46"/>
      <c r="N467" s="46"/>
      <c r="O467" s="38"/>
      <c r="P467" s="38"/>
      <c r="Q467" s="12" t="str">
        <f t="shared" si="38"/>
        <v/>
      </c>
      <c r="R467" s="50"/>
      <c r="S467" s="50"/>
      <c r="T467" s="50"/>
      <c r="U467" s="53"/>
      <c r="V467" s="54"/>
      <c r="W467" s="56"/>
      <c r="X467" s="119"/>
      <c r="Y467" s="113"/>
      <c r="Z467" s="113"/>
    </row>
    <row r="468">
      <c r="A468" s="38">
        <v>224.0</v>
      </c>
      <c r="B468" s="38"/>
      <c r="C468" s="38"/>
      <c r="D468" s="38"/>
      <c r="E468" s="38" t="s">
        <v>957</v>
      </c>
      <c r="F468" s="41" t="s">
        <v>958</v>
      </c>
      <c r="G468" s="43"/>
      <c r="H468" s="45"/>
      <c r="I468" s="38"/>
      <c r="J468" s="38">
        <f t="shared" si="41"/>
        <v>1400</v>
      </c>
      <c r="K468" s="46">
        <v>0.001574074074074074</v>
      </c>
      <c r="L468" s="47" t="s">
        <v>912</v>
      </c>
      <c r="M468" s="46"/>
      <c r="N468" s="46"/>
      <c r="O468" s="38"/>
      <c r="P468" s="38"/>
      <c r="Q468" s="12" t="str">
        <f t="shared" si="38"/>
        <v/>
      </c>
      <c r="R468" s="50"/>
      <c r="S468" s="50"/>
      <c r="T468" s="50"/>
      <c r="U468" s="53"/>
      <c r="V468" s="54"/>
      <c r="W468" s="56"/>
      <c r="X468" s="119"/>
      <c r="Y468" s="113"/>
      <c r="Z468" s="113"/>
    </row>
    <row r="469">
      <c r="A469" s="38">
        <v>225.0</v>
      </c>
      <c r="B469" s="38"/>
      <c r="C469" s="38"/>
      <c r="D469" s="38"/>
      <c r="E469" s="38" t="s">
        <v>959</v>
      </c>
      <c r="F469" s="41" t="s">
        <v>960</v>
      </c>
      <c r="G469" s="43"/>
      <c r="H469" s="45"/>
      <c r="I469" s="38"/>
      <c r="J469" s="38">
        <f>3.6*1000</f>
        <v>3600</v>
      </c>
      <c r="K469" s="46">
        <v>0.007349537037037037</v>
      </c>
      <c r="L469" s="47" t="s">
        <v>912</v>
      </c>
      <c r="M469" s="46"/>
      <c r="N469" s="46"/>
      <c r="O469" s="38"/>
      <c r="P469" s="38"/>
      <c r="Q469" s="12" t="str">
        <f t="shared" si="38"/>
        <v/>
      </c>
      <c r="R469" s="50"/>
      <c r="S469" s="50"/>
      <c r="T469" s="50"/>
      <c r="U469" s="53"/>
      <c r="V469" s="54"/>
      <c r="W469" s="56"/>
      <c r="X469" s="119"/>
      <c r="Y469" s="113"/>
      <c r="Z469" s="113"/>
    </row>
    <row r="470">
      <c r="A470" s="38">
        <v>226.0</v>
      </c>
      <c r="B470" s="38"/>
      <c r="C470" s="38"/>
      <c r="D470" s="38"/>
      <c r="E470" s="38" t="s">
        <v>961</v>
      </c>
      <c r="F470" s="41" t="s">
        <v>962</v>
      </c>
      <c r="G470" s="43"/>
      <c r="H470" s="45"/>
      <c r="I470" s="38"/>
      <c r="J470" s="38">
        <f>7.8*1000</f>
        <v>7800</v>
      </c>
      <c r="K470" s="46">
        <v>0.0025925925925925925</v>
      </c>
      <c r="L470" s="47" t="s">
        <v>912</v>
      </c>
      <c r="M470" s="46"/>
      <c r="N470" s="46"/>
      <c r="O470" s="38"/>
      <c r="P470" s="38"/>
      <c r="Q470" s="12" t="str">
        <f t="shared" si="38"/>
        <v/>
      </c>
      <c r="R470" s="50"/>
      <c r="S470" s="50"/>
      <c r="T470" s="50"/>
      <c r="U470" s="53"/>
      <c r="V470" s="54"/>
      <c r="W470" s="56"/>
      <c r="X470" s="119"/>
      <c r="Y470" s="113"/>
      <c r="Z470" s="113"/>
    </row>
    <row r="471">
      <c r="A471" s="38">
        <v>227.0</v>
      </c>
      <c r="B471" s="38"/>
      <c r="C471" s="38"/>
      <c r="D471" s="38"/>
      <c r="E471" s="38" t="s">
        <v>963</v>
      </c>
      <c r="F471" s="41" t="s">
        <v>964</v>
      </c>
      <c r="G471" s="43"/>
      <c r="H471" s="45"/>
      <c r="I471" s="38"/>
      <c r="J471" s="38">
        <f>489</f>
        <v>489</v>
      </c>
      <c r="K471" s="46">
        <v>0.004432870370370371</v>
      </c>
      <c r="L471" s="47" t="s">
        <v>912</v>
      </c>
      <c r="M471" s="46"/>
      <c r="N471" s="46"/>
      <c r="O471" s="38"/>
      <c r="P471" s="38"/>
      <c r="Q471" s="12" t="str">
        <f t="shared" si="38"/>
        <v/>
      </c>
      <c r="R471" s="50"/>
      <c r="S471" s="50"/>
      <c r="T471" s="50"/>
      <c r="U471" s="53"/>
      <c r="V471" s="54"/>
      <c r="W471" s="56"/>
      <c r="X471" s="119"/>
      <c r="Y471" s="113"/>
      <c r="Z471" s="113"/>
    </row>
    <row r="472">
      <c r="A472" s="38">
        <v>228.0</v>
      </c>
      <c r="B472" s="38"/>
      <c r="C472" s="38"/>
      <c r="D472" s="38"/>
      <c r="E472" s="38" t="s">
        <v>965</v>
      </c>
      <c r="F472" s="41" t="s">
        <v>966</v>
      </c>
      <c r="G472" s="43"/>
      <c r="H472" s="45"/>
      <c r="I472" s="38"/>
      <c r="J472" s="38">
        <f>413</f>
        <v>413</v>
      </c>
      <c r="K472" s="46">
        <v>0.0026388888888888885</v>
      </c>
      <c r="L472" s="47" t="s">
        <v>912</v>
      </c>
      <c r="M472" s="46"/>
      <c r="N472" s="46"/>
      <c r="O472" s="38"/>
      <c r="P472" s="38"/>
      <c r="Q472" s="12" t="str">
        <f t="shared" si="38"/>
        <v/>
      </c>
      <c r="R472" s="50"/>
      <c r="S472" s="50"/>
      <c r="T472" s="50"/>
      <c r="U472" s="53"/>
      <c r="V472" s="54"/>
      <c r="W472" s="56"/>
      <c r="X472" s="119"/>
      <c r="Y472" s="113"/>
      <c r="Z472" s="113"/>
    </row>
    <row r="473">
      <c r="A473" s="38">
        <v>229.0</v>
      </c>
      <c r="B473" s="38"/>
      <c r="C473" s="38"/>
      <c r="D473" s="38"/>
      <c r="E473" s="38" t="s">
        <v>967</v>
      </c>
      <c r="F473" s="41" t="s">
        <v>968</v>
      </c>
      <c r="G473" s="43"/>
      <c r="H473" s="45"/>
      <c r="I473" s="38"/>
      <c r="J473" s="38">
        <f>11*1000</f>
        <v>11000</v>
      </c>
      <c r="K473" s="46">
        <v>0.034409722222222223</v>
      </c>
      <c r="L473" s="47" t="s">
        <v>912</v>
      </c>
      <c r="M473" s="46"/>
      <c r="N473" s="46"/>
      <c r="O473" s="38"/>
      <c r="P473" s="38"/>
      <c r="Q473" s="12" t="str">
        <f t="shared" si="38"/>
        <v/>
      </c>
      <c r="R473" s="50"/>
      <c r="S473" s="50"/>
      <c r="T473" s="50"/>
      <c r="U473" s="53"/>
      <c r="V473" s="54"/>
      <c r="W473" s="56"/>
      <c r="X473" s="119"/>
      <c r="Y473" s="113"/>
      <c r="Z473" s="113"/>
    </row>
    <row r="474">
      <c r="A474" s="38">
        <v>230.0</v>
      </c>
      <c r="B474" s="38"/>
      <c r="C474" s="38"/>
      <c r="D474" s="38"/>
      <c r="E474" s="38" t="s">
        <v>969</v>
      </c>
      <c r="F474" s="41" t="s">
        <v>970</v>
      </c>
      <c r="G474" s="43"/>
      <c r="H474" s="45"/>
      <c r="I474" s="38"/>
      <c r="J474" s="38">
        <f>3.9*1000</f>
        <v>3900</v>
      </c>
      <c r="K474" s="46">
        <v>0.010289351851851852</v>
      </c>
      <c r="L474" s="47" t="s">
        <v>912</v>
      </c>
      <c r="M474" s="46"/>
      <c r="N474" s="46"/>
      <c r="O474" s="38"/>
      <c r="P474" s="38"/>
      <c r="Q474" s="12" t="str">
        <f t="shared" si="38"/>
        <v/>
      </c>
      <c r="R474" s="50"/>
      <c r="S474" s="50"/>
      <c r="T474" s="50"/>
      <c r="U474" s="53"/>
      <c r="V474" s="54"/>
      <c r="W474" s="56"/>
      <c r="X474" s="119"/>
      <c r="Y474" s="113"/>
      <c r="Z474" s="113"/>
    </row>
    <row r="475">
      <c r="A475" s="38">
        <v>231.0</v>
      </c>
      <c r="B475" s="38"/>
      <c r="C475" s="38"/>
      <c r="D475" s="38"/>
      <c r="E475" s="38" t="s">
        <v>971</v>
      </c>
      <c r="F475" s="41" t="s">
        <v>972</v>
      </c>
      <c r="G475" s="43"/>
      <c r="H475" s="45"/>
      <c r="I475" s="38"/>
      <c r="J475" s="38">
        <f>2*1000</f>
        <v>2000</v>
      </c>
      <c r="K475" s="46">
        <v>0.01136574074074074</v>
      </c>
      <c r="L475" s="47" t="s">
        <v>912</v>
      </c>
      <c r="M475" s="46"/>
      <c r="N475" s="46"/>
      <c r="O475" s="38"/>
      <c r="P475" s="38"/>
      <c r="Q475" s="12" t="str">
        <f t="shared" si="38"/>
        <v/>
      </c>
      <c r="R475" s="50"/>
      <c r="S475" s="50"/>
      <c r="T475" s="50"/>
      <c r="U475" s="53"/>
      <c r="V475" s="54"/>
      <c r="W475" s="56"/>
      <c r="X475" s="119"/>
      <c r="Y475" s="113"/>
      <c r="Z475" s="113"/>
    </row>
    <row r="476">
      <c r="A476" s="38">
        <v>232.0</v>
      </c>
      <c r="B476" s="38"/>
      <c r="C476" s="38"/>
      <c r="D476" s="38"/>
      <c r="E476" s="38" t="s">
        <v>973</v>
      </c>
      <c r="F476" s="41" t="s">
        <v>974</v>
      </c>
      <c r="G476" s="43"/>
      <c r="H476" s="45"/>
      <c r="I476" s="38"/>
      <c r="J476" s="38">
        <f>769</f>
        <v>769</v>
      </c>
      <c r="K476" s="46">
        <v>0.008391203703703705</v>
      </c>
      <c r="L476" s="47" t="s">
        <v>912</v>
      </c>
      <c r="M476" s="46"/>
      <c r="N476" s="46"/>
      <c r="O476" s="38"/>
      <c r="P476" s="38"/>
      <c r="Q476" s="12" t="str">
        <f t="shared" si="38"/>
        <v/>
      </c>
      <c r="R476" s="50"/>
      <c r="S476" s="50"/>
      <c r="T476" s="50"/>
      <c r="U476" s="53"/>
      <c r="V476" s="54"/>
      <c r="W476" s="56"/>
      <c r="X476" s="119"/>
      <c r="Y476" s="113"/>
      <c r="Z476" s="113"/>
    </row>
    <row r="477">
      <c r="A477" s="38">
        <v>233.0</v>
      </c>
      <c r="B477" s="38"/>
      <c r="C477" s="38"/>
      <c r="D477" s="38"/>
      <c r="E477" s="38" t="s">
        <v>975</v>
      </c>
      <c r="F477" s="41" t="s">
        <v>976</v>
      </c>
      <c r="G477" s="43"/>
      <c r="H477" s="45"/>
      <c r="I477" s="38"/>
      <c r="J477" s="38">
        <f>651</f>
        <v>651</v>
      </c>
      <c r="K477" s="46">
        <v>0.004236111111111111</v>
      </c>
      <c r="L477" s="47" t="s">
        <v>912</v>
      </c>
      <c r="M477" s="46"/>
      <c r="N477" s="46"/>
      <c r="O477" s="38"/>
      <c r="P477" s="38"/>
      <c r="Q477" s="12" t="str">
        <f t="shared" si="38"/>
        <v/>
      </c>
      <c r="R477" s="50"/>
      <c r="S477" s="50"/>
      <c r="T477" s="50"/>
      <c r="U477" s="53"/>
      <c r="V477" s="54"/>
      <c r="W477" s="56"/>
      <c r="X477" s="119"/>
      <c r="Y477" s="113"/>
      <c r="Z477" s="113"/>
    </row>
    <row r="478">
      <c r="A478" s="38">
        <v>234.0</v>
      </c>
      <c r="B478" s="38"/>
      <c r="C478" s="38"/>
      <c r="D478" s="38"/>
      <c r="E478" s="38" t="s">
        <v>977</v>
      </c>
      <c r="F478" s="41" t="s">
        <v>978</v>
      </c>
      <c r="G478" s="43"/>
      <c r="H478" s="45"/>
      <c r="I478" s="38"/>
      <c r="J478" s="38">
        <f>957</f>
        <v>957</v>
      </c>
      <c r="K478" s="46">
        <v>0.0026504629629629625</v>
      </c>
      <c r="L478" s="47" t="s">
        <v>912</v>
      </c>
      <c r="M478" s="46"/>
      <c r="N478" s="46"/>
      <c r="O478" s="38"/>
      <c r="P478" s="38"/>
      <c r="Q478" s="12" t="str">
        <f t="shared" si="38"/>
        <v/>
      </c>
      <c r="R478" s="50"/>
      <c r="S478" s="50"/>
      <c r="T478" s="50"/>
      <c r="U478" s="53"/>
      <c r="V478" s="54"/>
      <c r="W478" s="56"/>
      <c r="X478" s="119"/>
      <c r="Y478" s="113"/>
      <c r="Z478" s="113"/>
    </row>
    <row r="479">
      <c r="A479" s="38">
        <v>235.0</v>
      </c>
      <c r="B479" s="38"/>
      <c r="C479" s="38"/>
      <c r="D479" s="38"/>
      <c r="E479" s="38" t="s">
        <v>979</v>
      </c>
      <c r="F479" s="41" t="s">
        <v>980</v>
      </c>
      <c r="G479" s="43"/>
      <c r="H479" s="45"/>
      <c r="I479" s="38"/>
      <c r="J479" s="38">
        <f>1.2*1000</f>
        <v>1200</v>
      </c>
      <c r="K479" s="46">
        <v>0.0022685185185185182</v>
      </c>
      <c r="L479" s="47" t="s">
        <v>912</v>
      </c>
      <c r="M479" s="46"/>
      <c r="N479" s="46"/>
      <c r="O479" s="38"/>
      <c r="P479" s="38"/>
      <c r="Q479" s="12" t="str">
        <f t="shared" si="38"/>
        <v/>
      </c>
      <c r="R479" s="50"/>
      <c r="S479" s="50"/>
      <c r="T479" s="50"/>
      <c r="U479" s="53"/>
      <c r="V479" s="54"/>
      <c r="W479" s="56"/>
      <c r="X479" s="119"/>
      <c r="Y479" s="113"/>
      <c r="Z479" s="113"/>
    </row>
    <row r="480">
      <c r="A480" s="38">
        <v>236.0</v>
      </c>
      <c r="B480" s="38"/>
      <c r="C480" s="38"/>
      <c r="D480" s="38"/>
      <c r="E480" s="38" t="s">
        <v>981</v>
      </c>
      <c r="F480" s="41" t="s">
        <v>982</v>
      </c>
      <c r="G480" s="43"/>
      <c r="H480" s="45"/>
      <c r="I480" s="38"/>
      <c r="J480" s="38">
        <f>895</f>
        <v>895</v>
      </c>
      <c r="K480" s="46">
        <v>0.0035532407407407405</v>
      </c>
      <c r="L480" s="47" t="s">
        <v>912</v>
      </c>
      <c r="M480" s="46"/>
      <c r="N480" s="46"/>
      <c r="O480" s="38"/>
      <c r="P480" s="38"/>
      <c r="Q480" s="12" t="str">
        <f t="shared" si="38"/>
        <v/>
      </c>
      <c r="R480" s="50"/>
      <c r="S480" s="50"/>
      <c r="T480" s="50"/>
      <c r="U480" s="53"/>
      <c r="V480" s="54"/>
      <c r="W480" s="56"/>
      <c r="X480" s="119"/>
      <c r="Y480" s="113"/>
      <c r="Z480" s="113"/>
    </row>
    <row r="481">
      <c r="A481" s="38">
        <v>237.0</v>
      </c>
      <c r="B481" s="38"/>
      <c r="C481" s="38"/>
      <c r="D481" s="38"/>
      <c r="E481" s="38" t="s">
        <v>983</v>
      </c>
      <c r="F481" s="41" t="s">
        <v>984</v>
      </c>
      <c r="G481" s="43"/>
      <c r="H481" s="45"/>
      <c r="I481" s="38"/>
      <c r="J481" s="38">
        <f>4.5*1000</f>
        <v>4500</v>
      </c>
      <c r="K481" s="46">
        <v>0.03193287037037037</v>
      </c>
      <c r="L481" s="47" t="s">
        <v>912</v>
      </c>
      <c r="M481" s="46"/>
      <c r="N481" s="46"/>
      <c r="O481" s="38"/>
      <c r="P481" s="38"/>
      <c r="Q481" s="12" t="str">
        <f t="shared" si="38"/>
        <v/>
      </c>
      <c r="R481" s="50"/>
      <c r="S481" s="50"/>
      <c r="T481" s="50"/>
      <c r="U481" s="53"/>
      <c r="V481" s="54"/>
      <c r="W481" s="56"/>
      <c r="X481" s="119"/>
      <c r="Y481" s="113"/>
      <c r="Z481" s="113"/>
    </row>
    <row r="482">
      <c r="A482" s="38">
        <v>238.0</v>
      </c>
      <c r="B482" s="38"/>
      <c r="C482" s="38"/>
      <c r="D482" s="38"/>
      <c r="E482" s="38" t="s">
        <v>985</v>
      </c>
      <c r="F482" s="41" t="s">
        <v>986</v>
      </c>
      <c r="G482" s="43"/>
      <c r="H482" s="45"/>
      <c r="I482" s="38"/>
      <c r="J482" s="38">
        <f>1.6*1000</f>
        <v>1600</v>
      </c>
      <c r="K482" s="46">
        <v>0.002627314814814815</v>
      </c>
      <c r="L482" s="47" t="s">
        <v>912</v>
      </c>
      <c r="M482" s="46"/>
      <c r="N482" s="46"/>
      <c r="O482" s="38"/>
      <c r="P482" s="38"/>
      <c r="Q482" s="12" t="str">
        <f t="shared" si="38"/>
        <v/>
      </c>
      <c r="R482" s="50"/>
      <c r="S482" s="50"/>
      <c r="T482" s="50"/>
      <c r="U482" s="53"/>
      <c r="V482" s="54"/>
      <c r="W482" s="56"/>
      <c r="X482" s="119"/>
      <c r="Y482" s="113"/>
      <c r="Z482" s="113"/>
    </row>
    <row r="483">
      <c r="A483" s="38">
        <v>239.0</v>
      </c>
      <c r="B483" s="38"/>
      <c r="C483" s="38"/>
      <c r="D483" s="38"/>
      <c r="E483" s="38" t="s">
        <v>987</v>
      </c>
      <c r="F483" s="41" t="s">
        <v>988</v>
      </c>
      <c r="G483" s="43"/>
      <c r="H483" s="45"/>
      <c r="I483" s="38"/>
      <c r="J483" s="38">
        <f>825</f>
        <v>825</v>
      </c>
      <c r="K483" s="46">
        <v>0.0022222222222222222</v>
      </c>
      <c r="L483" s="47" t="s">
        <v>912</v>
      </c>
      <c r="M483" s="46"/>
      <c r="N483" s="46"/>
      <c r="O483" s="38"/>
      <c r="P483" s="38"/>
      <c r="Q483" s="12" t="str">
        <f t="shared" si="38"/>
        <v/>
      </c>
      <c r="R483" s="50"/>
      <c r="S483" s="50"/>
      <c r="T483" s="50"/>
      <c r="U483" s="53"/>
      <c r="V483" s="54"/>
      <c r="W483" s="56"/>
      <c r="X483" s="119"/>
      <c r="Y483" s="113"/>
      <c r="Z483" s="113"/>
    </row>
    <row r="484">
      <c r="A484" s="38">
        <v>240.0</v>
      </c>
      <c r="B484" s="38"/>
      <c r="C484" s="38"/>
      <c r="D484" s="38"/>
      <c r="E484" s="38" t="s">
        <v>989</v>
      </c>
      <c r="F484" s="41" t="s">
        <v>990</v>
      </c>
      <c r="G484" s="43"/>
      <c r="H484" s="45"/>
      <c r="I484" s="38"/>
      <c r="J484" s="38">
        <f>9.9*1000</f>
        <v>9900</v>
      </c>
      <c r="K484" s="46">
        <v>0.021689814814814815</v>
      </c>
      <c r="L484" s="47" t="s">
        <v>912</v>
      </c>
      <c r="M484" s="46"/>
      <c r="N484" s="46"/>
      <c r="O484" s="38"/>
      <c r="P484" s="38"/>
      <c r="Q484" s="12" t="str">
        <f t="shared" si="38"/>
        <v/>
      </c>
      <c r="R484" s="50"/>
      <c r="S484" s="50"/>
      <c r="T484" s="50"/>
      <c r="U484" s="53"/>
      <c r="V484" s="54"/>
      <c r="W484" s="56"/>
      <c r="X484" s="119"/>
      <c r="Y484" s="113"/>
      <c r="Z484" s="113"/>
    </row>
    <row r="485">
      <c r="A485" s="38">
        <v>241.0</v>
      </c>
      <c r="B485" s="38"/>
      <c r="C485" s="38"/>
      <c r="D485" s="38"/>
      <c r="E485" s="38" t="s">
        <v>991</v>
      </c>
      <c r="F485" s="41" t="s">
        <v>992</v>
      </c>
      <c r="G485" s="43"/>
      <c r="H485" s="45"/>
      <c r="I485" s="38"/>
      <c r="J485" s="38">
        <f>906</f>
        <v>906</v>
      </c>
      <c r="K485" s="46">
        <v>0.0013310185185185185</v>
      </c>
      <c r="L485" s="47" t="s">
        <v>912</v>
      </c>
      <c r="M485" s="46"/>
      <c r="N485" s="46"/>
      <c r="O485" s="38"/>
      <c r="P485" s="38"/>
      <c r="Q485" s="12" t="str">
        <f t="shared" si="38"/>
        <v/>
      </c>
      <c r="R485" s="50"/>
      <c r="S485" s="50"/>
      <c r="T485" s="50"/>
      <c r="U485" s="53"/>
      <c r="V485" s="54"/>
      <c r="W485" s="56"/>
      <c r="X485" s="119"/>
      <c r="Y485" s="113"/>
      <c r="Z485" s="113"/>
    </row>
    <row r="486">
      <c r="A486" s="38">
        <v>242.0</v>
      </c>
      <c r="B486" s="38"/>
      <c r="C486" s="38"/>
      <c r="D486" s="38"/>
      <c r="E486" s="38" t="s">
        <v>993</v>
      </c>
      <c r="F486" s="41" t="s">
        <v>994</v>
      </c>
      <c r="G486" s="43"/>
      <c r="H486" s="45"/>
      <c r="I486" s="38"/>
      <c r="J486" s="38">
        <f>861</f>
        <v>861</v>
      </c>
      <c r="K486" s="46">
        <v>0.0014699074074074074</v>
      </c>
      <c r="L486" s="47" t="s">
        <v>912</v>
      </c>
      <c r="M486" s="46"/>
      <c r="N486" s="46"/>
      <c r="O486" s="38"/>
      <c r="P486" s="38"/>
      <c r="Q486" s="12" t="str">
        <f t="shared" si="38"/>
        <v/>
      </c>
      <c r="R486" s="50"/>
      <c r="S486" s="50"/>
      <c r="T486" s="50"/>
      <c r="U486" s="53"/>
      <c r="V486" s="54"/>
      <c r="W486" s="56"/>
      <c r="X486" s="119"/>
      <c r="Y486" s="113"/>
      <c r="Z486" s="113"/>
    </row>
    <row r="487">
      <c r="A487" s="38">
        <v>243.0</v>
      </c>
      <c r="B487" s="38"/>
      <c r="C487" s="38"/>
      <c r="D487" s="38"/>
      <c r="E487" s="38" t="s">
        <v>995</v>
      </c>
      <c r="F487" s="41" t="s">
        <v>996</v>
      </c>
      <c r="G487" s="43"/>
      <c r="H487" s="45"/>
      <c r="I487" s="38"/>
      <c r="J487" s="38">
        <f>1.2*1000</f>
        <v>1200</v>
      </c>
      <c r="K487" s="46">
        <v>0.002800925925925926</v>
      </c>
      <c r="L487" s="47" t="s">
        <v>912</v>
      </c>
      <c r="M487" s="46"/>
      <c r="N487" s="46"/>
      <c r="O487" s="38"/>
      <c r="P487" s="38"/>
      <c r="Q487" s="12" t="str">
        <f t="shared" si="38"/>
        <v/>
      </c>
      <c r="R487" s="50"/>
      <c r="S487" s="50"/>
      <c r="T487" s="50"/>
      <c r="U487" s="53"/>
      <c r="V487" s="54"/>
      <c r="W487" s="56"/>
      <c r="X487" s="119"/>
      <c r="Y487" s="113"/>
      <c r="Z487" s="113"/>
    </row>
    <row r="488">
      <c r="A488" s="38">
        <v>244.0</v>
      </c>
      <c r="B488" s="38"/>
      <c r="C488" s="38"/>
      <c r="D488" s="38"/>
      <c r="E488" s="38" t="s">
        <v>997</v>
      </c>
      <c r="F488" s="41" t="s">
        <v>998</v>
      </c>
      <c r="G488" s="43"/>
      <c r="H488" s="45"/>
      <c r="I488" s="38"/>
      <c r="J488" s="38">
        <f>4*1000</f>
        <v>4000</v>
      </c>
      <c r="K488" s="46">
        <v>0.0071874999999999994</v>
      </c>
      <c r="L488" s="47" t="s">
        <v>912</v>
      </c>
      <c r="M488" s="46"/>
      <c r="N488" s="46"/>
      <c r="O488" s="38"/>
      <c r="P488" s="38"/>
      <c r="Q488" s="12" t="str">
        <f t="shared" si="38"/>
        <v/>
      </c>
      <c r="R488" s="50"/>
      <c r="S488" s="50"/>
      <c r="T488" s="50"/>
      <c r="U488" s="53"/>
      <c r="V488" s="54"/>
      <c r="W488" s="56"/>
      <c r="X488" s="119"/>
      <c r="Y488" s="113"/>
      <c r="Z488" s="113"/>
    </row>
    <row r="489">
      <c r="A489" s="38">
        <v>245.0</v>
      </c>
      <c r="B489" s="38"/>
      <c r="C489" s="38"/>
      <c r="D489" s="38"/>
      <c r="E489" s="38" t="s">
        <v>999</v>
      </c>
      <c r="F489" s="41" t="s">
        <v>1000</v>
      </c>
      <c r="G489" s="43"/>
      <c r="H489" s="45"/>
      <c r="I489" s="38"/>
      <c r="J489" s="38">
        <f>11*1000</f>
        <v>11000</v>
      </c>
      <c r="K489" s="46">
        <v>0.03332175925925926</v>
      </c>
      <c r="L489" s="47" t="s">
        <v>912</v>
      </c>
      <c r="M489" s="46"/>
      <c r="N489" s="46"/>
      <c r="O489" s="38"/>
      <c r="P489" s="38"/>
      <c r="Q489" s="12" t="str">
        <f t="shared" si="38"/>
        <v/>
      </c>
      <c r="R489" s="50"/>
      <c r="S489" s="50"/>
      <c r="T489" s="50"/>
      <c r="U489" s="53"/>
      <c r="V489" s="54"/>
      <c r="W489" s="56"/>
      <c r="X489" s="119"/>
      <c r="Y489" s="113"/>
      <c r="Z489" s="113"/>
    </row>
    <row r="490">
      <c r="A490" s="38">
        <v>246.0</v>
      </c>
      <c r="B490" s="38"/>
      <c r="C490" s="38"/>
      <c r="D490" s="38"/>
      <c r="E490" s="38" t="s">
        <v>1001</v>
      </c>
      <c r="F490" s="41" t="s">
        <v>1002</v>
      </c>
      <c r="G490" s="43"/>
      <c r="H490" s="45"/>
      <c r="I490" s="38"/>
      <c r="J490" s="38">
        <f>2.4*1000</f>
        <v>2400</v>
      </c>
      <c r="K490" s="46">
        <v>0.0036226851851851854</v>
      </c>
      <c r="L490" s="47" t="s">
        <v>912</v>
      </c>
      <c r="M490" s="46"/>
      <c r="N490" s="46"/>
      <c r="O490" s="38"/>
      <c r="P490" s="38"/>
      <c r="Q490" s="12" t="str">
        <f t="shared" si="38"/>
        <v/>
      </c>
      <c r="R490" s="50"/>
      <c r="S490" s="50"/>
      <c r="T490" s="50"/>
      <c r="U490" s="53"/>
      <c r="V490" s="54"/>
      <c r="W490" s="56"/>
      <c r="X490" s="119"/>
      <c r="Y490" s="113"/>
      <c r="Z490" s="113"/>
    </row>
    <row r="491">
      <c r="A491" s="38">
        <v>247.0</v>
      </c>
      <c r="B491" s="38"/>
      <c r="C491" s="38"/>
      <c r="D491" s="38"/>
      <c r="E491" s="38" t="s">
        <v>1003</v>
      </c>
      <c r="F491" s="41" t="s">
        <v>1004</v>
      </c>
      <c r="G491" s="43"/>
      <c r="H491" s="45"/>
      <c r="I491" s="38"/>
      <c r="J491" s="38">
        <f>329</f>
        <v>329</v>
      </c>
      <c r="K491" s="46">
        <v>0.0017592592592592592</v>
      </c>
      <c r="L491" s="47" t="s">
        <v>912</v>
      </c>
      <c r="M491" s="46"/>
      <c r="N491" s="46"/>
      <c r="O491" s="38"/>
      <c r="P491" s="38"/>
      <c r="Q491" s="12" t="str">
        <f t="shared" si="38"/>
        <v/>
      </c>
      <c r="R491" s="50"/>
      <c r="S491" s="50"/>
      <c r="T491" s="50"/>
      <c r="U491" s="53"/>
      <c r="V491" s="54"/>
      <c r="W491" s="56"/>
      <c r="X491" s="119"/>
      <c r="Y491" s="113"/>
      <c r="Z491" s="113"/>
    </row>
    <row r="492">
      <c r="A492" s="38">
        <v>248.0</v>
      </c>
      <c r="B492" s="38"/>
      <c r="C492" s="38"/>
      <c r="D492" s="38"/>
      <c r="E492" s="38" t="s">
        <v>1005</v>
      </c>
      <c r="F492" s="41" t="s">
        <v>1006</v>
      </c>
      <c r="G492" s="43"/>
      <c r="H492" s="45"/>
      <c r="I492" s="38"/>
      <c r="J492" s="38">
        <f>6.2*1000</f>
        <v>6200</v>
      </c>
      <c r="K492" s="46">
        <v>0.024016203703703706</v>
      </c>
      <c r="L492" s="47" t="s">
        <v>912</v>
      </c>
      <c r="M492" s="46"/>
      <c r="N492" s="46"/>
      <c r="O492" s="38"/>
      <c r="P492" s="38"/>
      <c r="Q492" s="12" t="str">
        <f t="shared" si="38"/>
        <v/>
      </c>
      <c r="R492" s="50"/>
      <c r="S492" s="50"/>
      <c r="T492" s="50"/>
      <c r="U492" s="53"/>
      <c r="V492" s="54"/>
      <c r="W492" s="56"/>
      <c r="X492" s="119"/>
      <c r="Y492" s="113"/>
      <c r="Z492" s="113"/>
    </row>
    <row r="493">
      <c r="A493" s="38">
        <v>249.0</v>
      </c>
      <c r="B493" s="38"/>
      <c r="C493" s="38"/>
      <c r="D493" s="38"/>
      <c r="E493" s="38" t="s">
        <v>1007</v>
      </c>
      <c r="F493" s="41" t="s">
        <v>1008</v>
      </c>
      <c r="G493" s="43"/>
      <c r="H493" s="45"/>
      <c r="I493" s="38"/>
      <c r="J493" s="38">
        <f>8.7*1000</f>
        <v>8700</v>
      </c>
      <c r="K493" s="46">
        <v>0.023807870370370368</v>
      </c>
      <c r="L493" s="47" t="s">
        <v>912</v>
      </c>
      <c r="M493" s="46"/>
      <c r="N493" s="46"/>
      <c r="O493" s="38"/>
      <c r="P493" s="38"/>
      <c r="Q493" s="12" t="str">
        <f t="shared" si="38"/>
        <v/>
      </c>
      <c r="R493" s="50"/>
      <c r="S493" s="50"/>
      <c r="T493" s="50"/>
      <c r="U493" s="53"/>
      <c r="V493" s="54"/>
      <c r="W493" s="56"/>
      <c r="X493" s="119"/>
      <c r="Y493" s="113"/>
      <c r="Z493" s="113"/>
    </row>
    <row r="494">
      <c r="A494" s="38">
        <v>250.0</v>
      </c>
      <c r="B494" s="38"/>
      <c r="C494" s="38"/>
      <c r="D494" s="38"/>
      <c r="E494" s="38" t="s">
        <v>1009</v>
      </c>
      <c r="F494" s="41" t="s">
        <v>1010</v>
      </c>
      <c r="G494" s="43"/>
      <c r="H494" s="45"/>
      <c r="I494" s="38"/>
      <c r="J494" s="38">
        <f>31*1000</f>
        <v>31000</v>
      </c>
      <c r="K494" s="46">
        <v>0.03975694444444445</v>
      </c>
      <c r="L494" s="47" t="s">
        <v>1011</v>
      </c>
      <c r="M494" s="46"/>
      <c r="N494" s="46"/>
      <c r="O494" s="38"/>
      <c r="P494" s="38"/>
      <c r="Q494" s="12" t="str">
        <f t="shared" si="38"/>
        <v/>
      </c>
      <c r="R494" s="50"/>
      <c r="S494" s="50"/>
      <c r="T494" s="50"/>
      <c r="U494" s="53"/>
      <c r="V494" s="54"/>
      <c r="W494" s="56"/>
      <c r="X494" s="119"/>
      <c r="Y494" s="113"/>
      <c r="Z494" s="113"/>
    </row>
    <row r="495">
      <c r="A495" s="38">
        <v>251.0</v>
      </c>
      <c r="B495" s="38"/>
      <c r="C495" s="38"/>
      <c r="D495" s="38"/>
      <c r="E495" s="38" t="s">
        <v>1012</v>
      </c>
      <c r="F495" s="41" t="s">
        <v>1013</v>
      </c>
      <c r="G495" s="43"/>
      <c r="H495" s="45"/>
      <c r="I495" s="38"/>
      <c r="J495" s="38">
        <f>20*1000</f>
        <v>20000</v>
      </c>
      <c r="K495" s="46">
        <v>0.07325231481481481</v>
      </c>
      <c r="L495" s="47" t="s">
        <v>1011</v>
      </c>
      <c r="M495" s="46"/>
      <c r="N495" s="46"/>
      <c r="O495" s="38"/>
      <c r="P495" s="38"/>
      <c r="Q495" s="12" t="str">
        <f t="shared" si="38"/>
        <v/>
      </c>
      <c r="R495" s="50"/>
      <c r="S495" s="50"/>
      <c r="T495" s="50"/>
      <c r="U495" s="53"/>
      <c r="V495" s="54"/>
      <c r="W495" s="56"/>
      <c r="X495" s="119"/>
      <c r="Y495" s="113"/>
      <c r="Z495" s="113"/>
    </row>
    <row r="496">
      <c r="A496" s="38">
        <v>252.0</v>
      </c>
      <c r="B496" s="38"/>
      <c r="C496" s="38"/>
      <c r="D496" s="38"/>
      <c r="E496" s="38" t="s">
        <v>1014</v>
      </c>
      <c r="F496" s="41" t="s">
        <v>1015</v>
      </c>
      <c r="G496" s="43"/>
      <c r="H496" s="45"/>
      <c r="I496" s="38"/>
      <c r="J496" s="38">
        <f>7.9*1000</f>
        <v>7900</v>
      </c>
      <c r="K496" s="46">
        <v>0.022789351851851852</v>
      </c>
      <c r="L496" s="47" t="s">
        <v>1011</v>
      </c>
      <c r="M496" s="46"/>
      <c r="N496" s="46"/>
      <c r="O496" s="38"/>
      <c r="P496" s="38"/>
      <c r="Q496" s="12" t="str">
        <f t="shared" si="38"/>
        <v/>
      </c>
      <c r="R496" s="50"/>
      <c r="S496" s="50"/>
      <c r="T496" s="50"/>
      <c r="U496" s="53"/>
      <c r="V496" s="54"/>
      <c r="W496" s="56"/>
      <c r="X496" s="119"/>
      <c r="Y496" s="113"/>
      <c r="Z496" s="113"/>
    </row>
    <row r="497">
      <c r="A497" s="38">
        <v>253.0</v>
      </c>
      <c r="B497" s="38"/>
      <c r="C497" s="38"/>
      <c r="D497" s="38"/>
      <c r="E497" s="38" t="s">
        <v>1016</v>
      </c>
      <c r="F497" s="41" t="s">
        <v>1017</v>
      </c>
      <c r="G497" s="43"/>
      <c r="H497" s="45"/>
      <c r="I497" s="38"/>
      <c r="J497" s="38">
        <f>2*1000</f>
        <v>2000</v>
      </c>
      <c r="K497" s="46">
        <v>0.007071759259259259</v>
      </c>
      <c r="L497" s="47" t="s">
        <v>1011</v>
      </c>
      <c r="M497" s="46"/>
      <c r="N497" s="46"/>
      <c r="O497" s="38"/>
      <c r="P497" s="38"/>
      <c r="Q497" s="12" t="str">
        <f t="shared" si="38"/>
        <v/>
      </c>
      <c r="R497" s="50"/>
      <c r="S497" s="50"/>
      <c r="T497" s="50"/>
      <c r="U497" s="53"/>
      <c r="V497" s="54"/>
      <c r="W497" s="56"/>
      <c r="X497" s="119"/>
      <c r="Y497" s="113"/>
      <c r="Z497" s="113"/>
    </row>
    <row r="498">
      <c r="A498" s="38">
        <v>254.0</v>
      </c>
      <c r="B498" s="38"/>
      <c r="C498" s="38"/>
      <c r="D498" s="38"/>
      <c r="E498" s="38" t="s">
        <v>1018</v>
      </c>
      <c r="F498" s="41" t="s">
        <v>1019</v>
      </c>
      <c r="G498" s="43"/>
      <c r="H498" s="45"/>
      <c r="I498" s="38"/>
      <c r="J498" s="38">
        <f>1.5*1000</f>
        <v>1500</v>
      </c>
      <c r="K498" s="46">
        <v>0.0050578703703703706</v>
      </c>
      <c r="L498" s="47" t="s">
        <v>1011</v>
      </c>
      <c r="M498" s="46"/>
      <c r="N498" s="46"/>
      <c r="O498" s="38"/>
      <c r="P498" s="38"/>
      <c r="Q498" s="12" t="str">
        <f t="shared" si="38"/>
        <v/>
      </c>
      <c r="R498" s="50"/>
      <c r="S498" s="50"/>
      <c r="T498" s="50"/>
      <c r="U498" s="53"/>
      <c r="V498" s="54"/>
      <c r="W498" s="56"/>
      <c r="X498" s="119"/>
      <c r="Y498" s="113"/>
      <c r="Z498" s="113"/>
    </row>
    <row r="499">
      <c r="A499" s="38">
        <v>255.0</v>
      </c>
      <c r="B499" s="38"/>
      <c r="C499" s="38"/>
      <c r="D499" s="38"/>
      <c r="E499" s="38" t="s">
        <v>1020</v>
      </c>
      <c r="F499" s="41" t="s">
        <v>1021</v>
      </c>
      <c r="G499" s="43"/>
      <c r="H499" s="45"/>
      <c r="I499" s="38"/>
      <c r="J499" s="38">
        <f>2.3*1000</f>
        <v>2300</v>
      </c>
      <c r="K499" s="46">
        <v>0.02</v>
      </c>
      <c r="L499" s="47" t="s">
        <v>1011</v>
      </c>
      <c r="M499" s="46"/>
      <c r="N499" s="46"/>
      <c r="O499" s="38"/>
      <c r="P499" s="38"/>
      <c r="Q499" s="12" t="str">
        <f t="shared" si="38"/>
        <v/>
      </c>
      <c r="R499" s="50"/>
      <c r="S499" s="50"/>
      <c r="T499" s="50"/>
      <c r="U499" s="53"/>
      <c r="V499" s="54"/>
      <c r="W499" s="56"/>
      <c r="X499" s="119"/>
      <c r="Y499" s="113"/>
      <c r="Z499" s="113"/>
    </row>
    <row r="500">
      <c r="A500" s="38">
        <v>256.0</v>
      </c>
      <c r="B500" s="38"/>
      <c r="C500" s="38"/>
      <c r="D500" s="38"/>
      <c r="E500" s="38" t="s">
        <v>1022</v>
      </c>
      <c r="F500" s="41" t="s">
        <v>1023</v>
      </c>
      <c r="G500" s="43"/>
      <c r="H500" s="45"/>
      <c r="I500" s="38"/>
      <c r="J500" s="38">
        <f>3.8*1000</f>
        <v>3800</v>
      </c>
      <c r="K500" s="46">
        <v>0.0022337962962962967</v>
      </c>
      <c r="L500" s="47" t="s">
        <v>1011</v>
      </c>
      <c r="M500" s="46"/>
      <c r="N500" s="46"/>
      <c r="O500" s="38"/>
      <c r="P500" s="38"/>
      <c r="Q500" s="12" t="str">
        <f t="shared" si="38"/>
        <v/>
      </c>
      <c r="R500" s="50"/>
      <c r="S500" s="50"/>
      <c r="T500" s="50"/>
      <c r="U500" s="53"/>
      <c r="V500" s="54"/>
      <c r="W500" s="56"/>
      <c r="X500" s="119"/>
      <c r="Y500" s="113"/>
      <c r="Z500" s="113"/>
    </row>
    <row r="501">
      <c r="A501" s="38">
        <v>257.0</v>
      </c>
      <c r="B501" s="38"/>
      <c r="C501" s="38"/>
      <c r="D501" s="38"/>
      <c r="E501" s="38" t="s">
        <v>1024</v>
      </c>
      <c r="F501" s="41" t="s">
        <v>1025</v>
      </c>
      <c r="G501" s="43"/>
      <c r="H501" s="45"/>
      <c r="I501" s="38"/>
      <c r="J501" s="38">
        <f>1.4*1000</f>
        <v>1400</v>
      </c>
      <c r="K501" s="46">
        <v>0.01945601851851852</v>
      </c>
      <c r="L501" s="47" t="s">
        <v>1011</v>
      </c>
      <c r="M501" s="46"/>
      <c r="N501" s="46"/>
      <c r="O501" s="38"/>
      <c r="P501" s="38"/>
      <c r="Q501" s="12" t="str">
        <f t="shared" si="38"/>
        <v/>
      </c>
      <c r="R501" s="50"/>
      <c r="S501" s="50"/>
      <c r="T501" s="50"/>
      <c r="U501" s="53"/>
      <c r="V501" s="54"/>
      <c r="W501" s="56"/>
      <c r="X501" s="119"/>
      <c r="Y501" s="113"/>
      <c r="Z501" s="113"/>
    </row>
    <row r="502">
      <c r="A502" s="38">
        <v>258.0</v>
      </c>
      <c r="B502" s="38"/>
      <c r="C502" s="38"/>
      <c r="D502" s="38"/>
      <c r="E502" s="38" t="s">
        <v>1026</v>
      </c>
      <c r="F502" s="41" t="s">
        <v>1027</v>
      </c>
      <c r="G502" s="43"/>
      <c r="H502" s="45"/>
      <c r="I502" s="38"/>
      <c r="J502" s="38">
        <f>6.9*1000</f>
        <v>6900</v>
      </c>
      <c r="K502" s="46">
        <v>0.00925925925925926</v>
      </c>
      <c r="L502" s="47" t="s">
        <v>1011</v>
      </c>
      <c r="M502" s="46"/>
      <c r="N502" s="46"/>
      <c r="O502" s="38"/>
      <c r="P502" s="38"/>
      <c r="Q502" s="12" t="str">
        <f t="shared" si="38"/>
        <v/>
      </c>
      <c r="R502" s="50"/>
      <c r="S502" s="50"/>
      <c r="T502" s="50"/>
      <c r="U502" s="53"/>
      <c r="V502" s="54"/>
      <c r="W502" s="56"/>
      <c r="X502" s="119"/>
      <c r="Y502" s="113"/>
      <c r="Z502" s="113"/>
    </row>
    <row r="503">
      <c r="A503" s="38">
        <v>259.0</v>
      </c>
      <c r="B503" s="38"/>
      <c r="C503" s="38"/>
      <c r="D503" s="38"/>
      <c r="E503" s="38" t="s">
        <v>1028</v>
      </c>
      <c r="F503" s="41" t="s">
        <v>1029</v>
      </c>
      <c r="G503" s="43"/>
      <c r="H503" s="45"/>
      <c r="I503" s="38"/>
      <c r="J503" s="38">
        <f>29*1000</f>
        <v>29000</v>
      </c>
      <c r="K503" s="46">
        <v>0.008854166666666666</v>
      </c>
      <c r="L503" s="47" t="s">
        <v>1011</v>
      </c>
      <c r="M503" s="46"/>
      <c r="N503" s="46"/>
      <c r="O503" s="38"/>
      <c r="P503" s="38"/>
      <c r="Q503" s="12" t="str">
        <f t="shared" si="38"/>
        <v/>
      </c>
      <c r="R503" s="50"/>
      <c r="S503" s="50"/>
      <c r="T503" s="50"/>
      <c r="U503" s="53"/>
      <c r="V503" s="54"/>
      <c r="W503" s="56"/>
      <c r="X503" s="119"/>
      <c r="Y503" s="113"/>
      <c r="Z503" s="113"/>
    </row>
    <row r="504">
      <c r="A504" s="38">
        <v>260.0</v>
      </c>
      <c r="B504" s="38"/>
      <c r="C504" s="38"/>
      <c r="D504" s="38"/>
      <c r="E504" s="38" t="s">
        <v>1030</v>
      </c>
      <c r="F504" s="41" t="s">
        <v>1031</v>
      </c>
      <c r="G504" s="43"/>
      <c r="H504" s="45"/>
      <c r="I504" s="38"/>
      <c r="J504" s="38">
        <f>2.6*1000</f>
        <v>2600</v>
      </c>
      <c r="K504" s="46">
        <v>0.003923611111111111</v>
      </c>
      <c r="L504" s="47" t="s">
        <v>1011</v>
      </c>
      <c r="M504" s="46"/>
      <c r="N504" s="46"/>
      <c r="O504" s="38"/>
      <c r="P504" s="38"/>
      <c r="Q504" s="12" t="str">
        <f t="shared" si="38"/>
        <v/>
      </c>
      <c r="R504" s="50"/>
      <c r="S504" s="50"/>
      <c r="T504" s="50"/>
      <c r="U504" s="53"/>
      <c r="V504" s="54"/>
      <c r="W504" s="56"/>
      <c r="X504" s="119"/>
      <c r="Y504" s="113"/>
      <c r="Z504" s="113"/>
    </row>
    <row r="505">
      <c r="A505" s="38">
        <v>261.0</v>
      </c>
      <c r="B505" s="38"/>
      <c r="C505" s="38"/>
      <c r="D505" s="38"/>
      <c r="E505" s="38" t="s">
        <v>1032</v>
      </c>
      <c r="F505" s="41" t="s">
        <v>1033</v>
      </c>
      <c r="G505" s="43"/>
      <c r="H505" s="45"/>
      <c r="I505" s="38"/>
      <c r="J505" s="38">
        <f>1*1000</f>
        <v>1000</v>
      </c>
      <c r="K505" s="46">
        <v>0.0031249999999999997</v>
      </c>
      <c r="L505" s="47" t="s">
        <v>1011</v>
      </c>
      <c r="M505" s="46"/>
      <c r="N505" s="46"/>
      <c r="O505" s="38"/>
      <c r="P505" s="38"/>
      <c r="Q505" s="12" t="str">
        <f t="shared" si="38"/>
        <v/>
      </c>
      <c r="R505" s="50"/>
      <c r="S505" s="50"/>
      <c r="T505" s="50"/>
      <c r="U505" s="53"/>
      <c r="V505" s="54"/>
      <c r="W505" s="56"/>
      <c r="X505" s="119"/>
      <c r="Y505" s="113"/>
      <c r="Z505" s="113"/>
    </row>
    <row r="506">
      <c r="A506" s="38">
        <v>262.0</v>
      </c>
      <c r="B506" s="38"/>
      <c r="C506" s="38"/>
      <c r="D506" s="38"/>
      <c r="E506" s="38" t="s">
        <v>1034</v>
      </c>
      <c r="F506" s="41" t="s">
        <v>1035</v>
      </c>
      <c r="G506" s="43"/>
      <c r="H506" s="45"/>
      <c r="I506" s="38"/>
      <c r="J506" s="38">
        <f>5*1000</f>
        <v>5000</v>
      </c>
      <c r="K506" s="46">
        <v>0.01747685185185185</v>
      </c>
      <c r="L506" s="47" t="s">
        <v>1011</v>
      </c>
      <c r="M506" s="46"/>
      <c r="N506" s="46"/>
      <c r="O506" s="38"/>
      <c r="P506" s="38"/>
      <c r="Q506" s="12" t="str">
        <f t="shared" si="38"/>
        <v/>
      </c>
      <c r="R506" s="50"/>
      <c r="S506" s="50"/>
      <c r="T506" s="50"/>
      <c r="U506" s="53"/>
      <c r="V506" s="54"/>
      <c r="W506" s="56"/>
      <c r="X506" s="119"/>
      <c r="Y506" s="113"/>
      <c r="Z506" s="113"/>
    </row>
    <row r="507">
      <c r="A507" s="38">
        <v>263.0</v>
      </c>
      <c r="B507" s="38"/>
      <c r="C507" s="38"/>
      <c r="D507" s="38"/>
      <c r="E507" s="38" t="s">
        <v>1036</v>
      </c>
      <c r="F507" s="41" t="s">
        <v>1037</v>
      </c>
      <c r="G507" s="43"/>
      <c r="H507" s="45"/>
      <c r="I507" s="38"/>
      <c r="J507" s="38">
        <f>4.5*1000</f>
        <v>4500</v>
      </c>
      <c r="K507" s="46">
        <v>0.0019560185185185184</v>
      </c>
      <c r="L507" s="47" t="s">
        <v>1011</v>
      </c>
      <c r="M507" s="46"/>
      <c r="N507" s="46"/>
      <c r="O507" s="38"/>
      <c r="P507" s="38"/>
      <c r="Q507" s="12" t="str">
        <f t="shared" si="38"/>
        <v/>
      </c>
      <c r="R507" s="50"/>
      <c r="S507" s="50"/>
      <c r="T507" s="50"/>
      <c r="U507" s="53"/>
      <c r="V507" s="54"/>
      <c r="W507" s="56"/>
      <c r="X507" s="119"/>
      <c r="Y507" s="113"/>
      <c r="Z507" s="113"/>
    </row>
    <row r="508">
      <c r="A508" s="38">
        <v>264.0</v>
      </c>
      <c r="B508" s="38"/>
      <c r="C508" s="38"/>
      <c r="D508" s="38"/>
      <c r="E508" s="38" t="s">
        <v>1038</v>
      </c>
      <c r="F508" s="41" t="s">
        <v>1039</v>
      </c>
      <c r="G508" s="43"/>
      <c r="H508" s="45"/>
      <c r="I508" s="38"/>
      <c r="J508" s="38">
        <f>1.4*1000</f>
        <v>1400</v>
      </c>
      <c r="K508" s="46">
        <v>0.004131944444444444</v>
      </c>
      <c r="L508" s="47" t="s">
        <v>1011</v>
      </c>
      <c r="M508" s="46"/>
      <c r="N508" s="46"/>
      <c r="O508" s="38"/>
      <c r="P508" s="38"/>
      <c r="Q508" s="12" t="str">
        <f t="shared" si="38"/>
        <v/>
      </c>
      <c r="R508" s="50"/>
      <c r="S508" s="50"/>
      <c r="T508" s="50"/>
      <c r="U508" s="53"/>
      <c r="V508" s="54"/>
      <c r="W508" s="56"/>
      <c r="X508" s="119"/>
      <c r="Y508" s="113"/>
      <c r="Z508" s="113"/>
    </row>
    <row r="509">
      <c r="A509" s="38">
        <v>265.0</v>
      </c>
      <c r="B509" s="38"/>
      <c r="C509" s="38"/>
      <c r="D509" s="38"/>
      <c r="E509" s="38" t="s">
        <v>1040</v>
      </c>
      <c r="F509" s="41" t="s">
        <v>1041</v>
      </c>
      <c r="G509" s="43"/>
      <c r="H509" s="45"/>
      <c r="I509" s="38"/>
      <c r="J509" s="38">
        <f>6.8*1000</f>
        <v>6800</v>
      </c>
      <c r="K509" s="46">
        <v>0.03612268518518518</v>
      </c>
      <c r="L509" s="47" t="s">
        <v>1011</v>
      </c>
      <c r="M509" s="46"/>
      <c r="N509" s="46"/>
      <c r="O509" s="38"/>
      <c r="P509" s="38"/>
      <c r="Q509" s="12" t="str">
        <f t="shared" si="38"/>
        <v/>
      </c>
      <c r="R509" s="50"/>
      <c r="S509" s="50"/>
      <c r="T509" s="50"/>
      <c r="U509" s="53"/>
      <c r="V509" s="54"/>
      <c r="W509" s="56"/>
      <c r="X509" s="119"/>
      <c r="Y509" s="113"/>
      <c r="Z509" s="113"/>
    </row>
    <row r="510">
      <c r="A510" s="38">
        <v>266.0</v>
      </c>
      <c r="B510" s="38"/>
      <c r="C510" s="38"/>
      <c r="D510" s="38"/>
      <c r="E510" s="38" t="s">
        <v>1042</v>
      </c>
      <c r="F510" s="41" t="s">
        <v>1043</v>
      </c>
      <c r="G510" s="43"/>
      <c r="H510" s="45"/>
      <c r="I510" s="38"/>
      <c r="J510" s="38">
        <f>3.2*1000</f>
        <v>3200</v>
      </c>
      <c r="K510" s="46">
        <v>0.028125</v>
      </c>
      <c r="L510" s="47" t="s">
        <v>1011</v>
      </c>
      <c r="M510" s="46"/>
      <c r="N510" s="46"/>
      <c r="O510" s="38"/>
      <c r="P510" s="38"/>
      <c r="Q510" s="12" t="str">
        <f t="shared" si="38"/>
        <v/>
      </c>
      <c r="R510" s="50"/>
      <c r="S510" s="50"/>
      <c r="T510" s="50"/>
      <c r="U510" s="53"/>
      <c r="V510" s="54"/>
      <c r="W510" s="56"/>
      <c r="X510" s="119"/>
      <c r="Y510" s="113"/>
      <c r="Z510" s="113"/>
    </row>
    <row r="511">
      <c r="A511" s="38">
        <v>267.0</v>
      </c>
      <c r="B511" s="38"/>
      <c r="C511" s="38"/>
      <c r="D511" s="38"/>
      <c r="E511" s="38" t="s">
        <v>1044</v>
      </c>
      <c r="F511" s="41" t="s">
        <v>1045</v>
      </c>
      <c r="G511" s="43"/>
      <c r="H511" s="45"/>
      <c r="I511" s="38"/>
      <c r="J511" s="38">
        <f>4.4*1000</f>
        <v>4400</v>
      </c>
      <c r="K511" s="46">
        <v>0.03310185185185185</v>
      </c>
      <c r="L511" s="47" t="s">
        <v>1011</v>
      </c>
      <c r="M511" s="46"/>
      <c r="N511" s="46"/>
      <c r="O511" s="38"/>
      <c r="P511" s="38"/>
      <c r="Q511" s="12" t="str">
        <f t="shared" si="38"/>
        <v/>
      </c>
      <c r="R511" s="50"/>
      <c r="S511" s="50"/>
      <c r="T511" s="50"/>
      <c r="U511" s="53"/>
      <c r="V511" s="54"/>
      <c r="W511" s="56"/>
      <c r="X511" s="119"/>
      <c r="Y511" s="113"/>
      <c r="Z511" s="113"/>
    </row>
    <row r="512">
      <c r="A512" s="38">
        <v>268.0</v>
      </c>
      <c r="B512" s="38"/>
      <c r="C512" s="38"/>
      <c r="D512" s="38"/>
      <c r="E512" s="38" t="s">
        <v>1049</v>
      </c>
      <c r="F512" s="41" t="s">
        <v>1050</v>
      </c>
      <c r="G512" s="43"/>
      <c r="H512" s="45"/>
      <c r="I512" s="38"/>
      <c r="J512" s="38">
        <f>64*1000</f>
        <v>64000</v>
      </c>
      <c r="K512" s="46">
        <v>0.059305555555555556</v>
      </c>
      <c r="L512" s="47" t="s">
        <v>1011</v>
      </c>
      <c r="M512" s="46"/>
      <c r="N512" s="46"/>
      <c r="O512" s="38"/>
      <c r="P512" s="38"/>
      <c r="Q512" s="12" t="str">
        <f t="shared" si="38"/>
        <v/>
      </c>
      <c r="R512" s="50"/>
      <c r="S512" s="50"/>
      <c r="T512" s="50"/>
      <c r="U512" s="53"/>
      <c r="V512" s="54"/>
      <c r="W512" s="56"/>
      <c r="X512" s="119"/>
      <c r="Y512" s="113"/>
      <c r="Z512" s="113"/>
    </row>
    <row r="513">
      <c r="A513" s="38">
        <v>269.0</v>
      </c>
      <c r="B513" s="38"/>
      <c r="C513" s="38"/>
      <c r="D513" s="38"/>
      <c r="E513" s="38" t="s">
        <v>1051</v>
      </c>
      <c r="F513" s="41" t="s">
        <v>1052</v>
      </c>
      <c r="G513" s="43"/>
      <c r="H513" s="45"/>
      <c r="I513" s="38"/>
      <c r="J513" s="38">
        <f>6*1000</f>
        <v>6000</v>
      </c>
      <c r="K513" s="46">
        <v>0.06149305555555556</v>
      </c>
      <c r="L513" s="47" t="s">
        <v>1011</v>
      </c>
      <c r="M513" s="46"/>
      <c r="N513" s="46"/>
      <c r="O513" s="38"/>
      <c r="P513" s="38"/>
      <c r="Q513" s="12" t="str">
        <f t="shared" si="38"/>
        <v/>
      </c>
      <c r="R513" s="50"/>
      <c r="S513" s="50"/>
      <c r="T513" s="50"/>
      <c r="U513" s="53"/>
      <c r="V513" s="54"/>
      <c r="W513" s="56"/>
      <c r="X513" s="119"/>
      <c r="Y513" s="113"/>
      <c r="Z513" s="113"/>
    </row>
    <row r="514">
      <c r="A514" s="38">
        <v>270.0</v>
      </c>
      <c r="B514" s="38"/>
      <c r="C514" s="38"/>
      <c r="D514" s="38"/>
      <c r="E514" s="38" t="s">
        <v>1055</v>
      </c>
      <c r="F514" s="41" t="s">
        <v>1056</v>
      </c>
      <c r="G514" s="43"/>
      <c r="H514" s="45"/>
      <c r="I514" s="38"/>
      <c r="J514" s="38">
        <f>8.8*1000</f>
        <v>8800</v>
      </c>
      <c r="K514" s="46">
        <v>0.01888888888888889</v>
      </c>
      <c r="L514" s="47" t="s">
        <v>1011</v>
      </c>
      <c r="M514" s="46"/>
      <c r="N514" s="46"/>
      <c r="O514" s="38"/>
      <c r="P514" s="38"/>
      <c r="Q514" s="12" t="str">
        <f t="shared" si="38"/>
        <v/>
      </c>
      <c r="R514" s="50"/>
      <c r="S514" s="50"/>
      <c r="T514" s="50"/>
      <c r="U514" s="53"/>
      <c r="V514" s="54"/>
      <c r="W514" s="56"/>
      <c r="X514" s="119"/>
      <c r="Y514" s="113"/>
      <c r="Z514" s="113"/>
    </row>
    <row r="515">
      <c r="A515" s="38">
        <v>271.0</v>
      </c>
      <c r="B515" s="63" t="s">
        <v>142</v>
      </c>
      <c r="C515" s="51"/>
      <c r="D515" s="39" t="s">
        <v>55</v>
      </c>
      <c r="E515" s="38" t="s">
        <v>1061</v>
      </c>
      <c r="F515" s="41" t="s">
        <v>1062</v>
      </c>
      <c r="G515" s="43"/>
      <c r="H515" s="45"/>
      <c r="I515" s="38"/>
      <c r="J515" s="38">
        <f>46*1000</f>
        <v>46000</v>
      </c>
      <c r="K515" s="46">
        <v>0.03361111111111111</v>
      </c>
      <c r="L515" s="47" t="s">
        <v>1011</v>
      </c>
      <c r="M515" s="38"/>
      <c r="N515" s="38"/>
      <c r="O515" s="38"/>
      <c r="P515" s="89">
        <v>43019.0</v>
      </c>
      <c r="Q515" s="12" t="str">
        <f t="shared" si="38"/>
        <v/>
      </c>
      <c r="R515" s="63" t="s">
        <v>61</v>
      </c>
      <c r="S515" s="63" t="s">
        <v>1314</v>
      </c>
      <c r="T515" s="63" t="s">
        <v>61</v>
      </c>
      <c r="U515" s="51"/>
      <c r="V515" s="52"/>
      <c r="W515" s="55"/>
      <c r="X515" s="57"/>
      <c r="Y515" s="106"/>
      <c r="Z515" s="106"/>
      <c r="AA515" s="106"/>
      <c r="AB515" s="106"/>
    </row>
    <row r="516">
      <c r="A516" s="39">
        <v>271.01</v>
      </c>
      <c r="B516" s="63" t="s">
        <v>142</v>
      </c>
      <c r="C516" s="51"/>
      <c r="D516" s="39" t="s">
        <v>55</v>
      </c>
      <c r="E516" s="38"/>
      <c r="F516" s="41"/>
      <c r="G516" s="62" t="s">
        <v>1316</v>
      </c>
      <c r="H516" s="58" t="s">
        <v>1317</v>
      </c>
      <c r="I516" s="38"/>
      <c r="J516" s="38"/>
      <c r="K516" s="46"/>
      <c r="L516" s="47"/>
      <c r="M516" s="105">
        <v>8.101851851851852E-5</v>
      </c>
      <c r="N516" s="105">
        <v>0.0019560185185185184</v>
      </c>
      <c r="O516" s="105">
        <v>0.001875</v>
      </c>
      <c r="P516" s="89">
        <v>43019.0</v>
      </c>
      <c r="Q516" s="61" t="str">
        <f t="shared" si="38"/>
        <v>https://www.youtube.com/embed/_OWY_haNDNI?start=7&amp;end=169&amp;autoplay=1</v>
      </c>
      <c r="R516" s="63" t="s">
        <v>61</v>
      </c>
      <c r="S516" s="63" t="s">
        <v>1314</v>
      </c>
      <c r="T516" s="63" t="s">
        <v>61</v>
      </c>
      <c r="U516" s="51"/>
      <c r="V516" s="52"/>
      <c r="W516" s="81" t="s">
        <v>62</v>
      </c>
      <c r="X516" s="57"/>
      <c r="Y516" s="106"/>
      <c r="Z516" s="106"/>
      <c r="AA516" s="106"/>
      <c r="AB516" s="106"/>
    </row>
    <row r="517">
      <c r="A517" s="39">
        <v>271.02</v>
      </c>
      <c r="B517" s="63" t="s">
        <v>142</v>
      </c>
      <c r="C517" s="51"/>
      <c r="D517" s="39" t="s">
        <v>55</v>
      </c>
      <c r="E517" s="38"/>
      <c r="F517" s="41"/>
      <c r="G517" s="62" t="s">
        <v>1320</v>
      </c>
      <c r="H517" s="58" t="s">
        <v>1321</v>
      </c>
      <c r="I517" s="38"/>
      <c r="J517" s="38"/>
      <c r="K517" s="46"/>
      <c r="L517" s="47"/>
      <c r="M517" s="105">
        <v>0.002025462962962963</v>
      </c>
      <c r="N517" s="105">
        <v>0.004849537037037037</v>
      </c>
      <c r="O517" s="105">
        <v>0.002824074074074074</v>
      </c>
      <c r="P517" s="89">
        <v>43020.0</v>
      </c>
      <c r="Q517" s="61" t="str">
        <f t="shared" si="38"/>
        <v>https://www.youtube.com/embed/_OWY_haNDNI?start=175&amp;end=419&amp;autoplay=1</v>
      </c>
      <c r="R517" s="63" t="s">
        <v>61</v>
      </c>
      <c r="S517" s="63" t="s">
        <v>1314</v>
      </c>
      <c r="T517" s="63" t="s">
        <v>61</v>
      </c>
      <c r="U517" s="51"/>
      <c r="V517" s="52"/>
      <c r="W517" s="81" t="s">
        <v>62</v>
      </c>
      <c r="X517" s="57"/>
      <c r="Y517" s="106"/>
      <c r="Z517" s="106"/>
      <c r="AA517" s="106"/>
      <c r="AB517" s="106"/>
    </row>
    <row r="518">
      <c r="A518" s="39">
        <v>271.03</v>
      </c>
      <c r="B518" s="63" t="s">
        <v>142</v>
      </c>
      <c r="C518" s="51"/>
      <c r="D518" s="39" t="s">
        <v>55</v>
      </c>
      <c r="E518" s="38"/>
      <c r="F518" s="41"/>
      <c r="G518" s="62" t="s">
        <v>1324</v>
      </c>
      <c r="H518" s="58" t="s">
        <v>1325</v>
      </c>
      <c r="I518" s="38"/>
      <c r="J518" s="38"/>
      <c r="K518" s="46"/>
      <c r="L518" s="47"/>
      <c r="M518" s="105">
        <v>0.004965277777777778</v>
      </c>
      <c r="N518" s="105">
        <v>0.0061574074074074074</v>
      </c>
      <c r="O518" s="105">
        <v>0.0011921296296296296</v>
      </c>
      <c r="P518" s="89">
        <v>43020.0</v>
      </c>
      <c r="Q518" s="61" t="str">
        <f t="shared" si="38"/>
        <v>https://www.youtube.com/embed/_OWY_haNDNI?start=429&amp;end=532&amp;autoplay=1</v>
      </c>
      <c r="R518" s="63" t="s">
        <v>61</v>
      </c>
      <c r="S518" s="63" t="s">
        <v>1314</v>
      </c>
      <c r="T518" s="63" t="s">
        <v>61</v>
      </c>
      <c r="U518" s="51"/>
      <c r="V518" s="52"/>
      <c r="W518" s="81" t="s">
        <v>62</v>
      </c>
      <c r="X518" s="57"/>
      <c r="Y518" s="106"/>
      <c r="Z518" s="106"/>
      <c r="AA518" s="106"/>
      <c r="AB518" s="106"/>
    </row>
    <row r="519">
      <c r="A519" s="39">
        <v>271.04</v>
      </c>
      <c r="B519" s="63" t="s">
        <v>142</v>
      </c>
      <c r="C519" s="51"/>
      <c r="D519" s="39" t="s">
        <v>55</v>
      </c>
      <c r="E519" s="38"/>
      <c r="F519" s="41"/>
      <c r="G519" s="62" t="s">
        <v>1328</v>
      </c>
      <c r="H519" s="58" t="s">
        <v>1329</v>
      </c>
      <c r="I519" s="38"/>
      <c r="J519" s="38"/>
      <c r="K519" s="46"/>
      <c r="L519" s="47"/>
      <c r="M519" s="105">
        <v>0.006168981481481482</v>
      </c>
      <c r="N519" s="105">
        <v>0.007523148148148148</v>
      </c>
      <c r="O519" s="105">
        <v>0.0013541666666666667</v>
      </c>
      <c r="P519" s="89">
        <v>43021.0</v>
      </c>
      <c r="Q519" s="61" t="str">
        <f t="shared" si="38"/>
        <v>https://www.youtube.com/embed/_OWY_haNDNI?start=533&amp;end=650&amp;autoplay=1</v>
      </c>
      <c r="R519" s="63" t="s">
        <v>61</v>
      </c>
      <c r="S519" s="63" t="s">
        <v>1314</v>
      </c>
      <c r="T519" s="63" t="s">
        <v>61</v>
      </c>
      <c r="U519" s="51"/>
      <c r="V519" s="52"/>
      <c r="W519" s="81" t="s">
        <v>62</v>
      </c>
      <c r="X519" s="57"/>
      <c r="Y519" s="106"/>
      <c r="Z519" s="106"/>
      <c r="AA519" s="106"/>
      <c r="AB519" s="106"/>
    </row>
    <row r="520">
      <c r="A520" s="39">
        <v>271.05</v>
      </c>
      <c r="B520" s="63" t="s">
        <v>142</v>
      </c>
      <c r="C520" s="51"/>
      <c r="D520" s="39" t="s">
        <v>55</v>
      </c>
      <c r="E520" s="38"/>
      <c r="F520" s="41"/>
      <c r="G520" s="62" t="s">
        <v>1333</v>
      </c>
      <c r="H520" s="58" t="s">
        <v>1335</v>
      </c>
      <c r="I520" s="38"/>
      <c r="J520" s="38"/>
      <c r="K520" s="46"/>
      <c r="L520" s="47"/>
      <c r="M520" s="105">
        <v>0.007523148148148148</v>
      </c>
      <c r="N520" s="105">
        <v>0.009675925925925926</v>
      </c>
      <c r="O520" s="105">
        <v>0.0021527777777777778</v>
      </c>
      <c r="P520" s="89">
        <v>43021.0</v>
      </c>
      <c r="Q520" s="61" t="str">
        <f t="shared" si="38"/>
        <v>https://www.youtube.com/embed/_OWY_haNDNI?start=650&amp;end=836&amp;autoplay=1</v>
      </c>
      <c r="R520" s="63" t="s">
        <v>61</v>
      </c>
      <c r="S520" s="63" t="s">
        <v>1314</v>
      </c>
      <c r="T520" s="63" t="s">
        <v>61</v>
      </c>
      <c r="U520" s="51"/>
      <c r="V520" s="52"/>
      <c r="W520" s="81" t="s">
        <v>62</v>
      </c>
      <c r="X520" s="57"/>
      <c r="Y520" s="106"/>
      <c r="Z520" s="106"/>
      <c r="AA520" s="106"/>
      <c r="AB520" s="106"/>
    </row>
    <row r="521">
      <c r="A521" s="39">
        <v>271.06</v>
      </c>
      <c r="B521" s="63" t="s">
        <v>142</v>
      </c>
      <c r="C521" s="51"/>
      <c r="D521" s="39" t="s">
        <v>55</v>
      </c>
      <c r="E521" s="38"/>
      <c r="F521" s="41"/>
      <c r="G521" s="62" t="s">
        <v>1337</v>
      </c>
      <c r="H521" s="58" t="s">
        <v>1339</v>
      </c>
      <c r="I521" s="38"/>
      <c r="J521" s="38"/>
      <c r="K521" s="46"/>
      <c r="L521" s="47"/>
      <c r="M521" s="105">
        <v>0.0096875</v>
      </c>
      <c r="N521" s="105">
        <v>0.012418981481481482</v>
      </c>
      <c r="O521" s="105">
        <v>0.0027314814814814814</v>
      </c>
      <c r="P521" s="89">
        <v>43025.0</v>
      </c>
      <c r="Q521" s="61" t="str">
        <f t="shared" si="38"/>
        <v>https://www.youtube.com/embed/_OWY_haNDNI?start=837&amp;end=1073&amp;autoplay=1</v>
      </c>
      <c r="R521" s="63" t="s">
        <v>61</v>
      </c>
      <c r="S521" s="63" t="s">
        <v>1314</v>
      </c>
      <c r="T521" s="63" t="s">
        <v>61</v>
      </c>
      <c r="U521" s="51"/>
      <c r="V521" s="52"/>
      <c r="W521" s="81" t="s">
        <v>62</v>
      </c>
      <c r="X521" s="57"/>
      <c r="Y521" s="106"/>
      <c r="Z521" s="106"/>
      <c r="AA521" s="106"/>
      <c r="AB521" s="106"/>
    </row>
    <row r="522">
      <c r="A522" s="39">
        <v>271.07</v>
      </c>
      <c r="B522" s="63" t="s">
        <v>142</v>
      </c>
      <c r="C522" s="51"/>
      <c r="D522" s="39" t="s">
        <v>55</v>
      </c>
      <c r="E522" s="38"/>
      <c r="F522" s="41"/>
      <c r="G522" s="62" t="s">
        <v>1342</v>
      </c>
      <c r="H522" s="58" t="s">
        <v>1343</v>
      </c>
      <c r="I522" s="38"/>
      <c r="J522" s="38"/>
      <c r="K522" s="46"/>
      <c r="L522" s="47"/>
      <c r="M522" s="105">
        <v>0.012430555555555556</v>
      </c>
      <c r="N522" s="105">
        <v>0.013472222222222222</v>
      </c>
      <c r="O522" s="105">
        <v>0.0010416666666666667</v>
      </c>
      <c r="P522" s="89">
        <v>43025.0</v>
      </c>
      <c r="Q522" s="61" t="str">
        <f t="shared" si="38"/>
        <v>https://www.youtube.com/embed/_OWY_haNDNI?start=1074&amp;end=1164&amp;autoplay=1</v>
      </c>
      <c r="R522" s="63" t="s">
        <v>61</v>
      </c>
      <c r="S522" s="63" t="s">
        <v>1314</v>
      </c>
      <c r="T522" s="63" t="s">
        <v>61</v>
      </c>
      <c r="U522" s="51"/>
      <c r="V522" s="52"/>
      <c r="W522" s="81" t="s">
        <v>62</v>
      </c>
      <c r="X522" s="57"/>
      <c r="Y522" s="106"/>
      <c r="Z522" s="106"/>
      <c r="AA522" s="106"/>
      <c r="AB522" s="106"/>
    </row>
    <row r="523">
      <c r="A523" s="39">
        <v>271.08</v>
      </c>
      <c r="B523" s="63" t="s">
        <v>142</v>
      </c>
      <c r="C523" s="51"/>
      <c r="D523" s="39" t="s">
        <v>55</v>
      </c>
      <c r="E523" s="38"/>
      <c r="F523" s="41"/>
      <c r="G523" s="62" t="s">
        <v>1345</v>
      </c>
      <c r="H523" s="58" t="s">
        <v>1347</v>
      </c>
      <c r="I523" s="38"/>
      <c r="J523" s="38"/>
      <c r="K523" s="46"/>
      <c r="L523" s="47"/>
      <c r="M523" s="105">
        <v>0.013472222222222222</v>
      </c>
      <c r="N523" s="105">
        <v>0.014918981481481481</v>
      </c>
      <c r="O523" s="105">
        <v>0.0014467592592592592</v>
      </c>
      <c r="P523" s="89">
        <v>43025.0</v>
      </c>
      <c r="Q523" s="61" t="str">
        <f t="shared" si="38"/>
        <v>https://www.youtube.com/embed/_OWY_haNDNI?start=1164&amp;end=1289&amp;autoplay=1</v>
      </c>
      <c r="R523" s="63" t="s">
        <v>61</v>
      </c>
      <c r="S523" s="63" t="s">
        <v>1314</v>
      </c>
      <c r="T523" s="63" t="s">
        <v>61</v>
      </c>
      <c r="U523" s="51"/>
      <c r="V523" s="52"/>
      <c r="W523" s="81" t="s">
        <v>62</v>
      </c>
      <c r="X523" s="57"/>
      <c r="Y523" s="106"/>
      <c r="Z523" s="106"/>
      <c r="AA523" s="106"/>
      <c r="AB523" s="106"/>
    </row>
    <row r="524">
      <c r="A524" s="39">
        <v>271.09</v>
      </c>
      <c r="B524" s="63" t="s">
        <v>142</v>
      </c>
      <c r="C524" s="51"/>
      <c r="D524" s="39" t="s">
        <v>55</v>
      </c>
      <c r="E524" s="38"/>
      <c r="F524" s="41"/>
      <c r="G524" s="62" t="s">
        <v>1350</v>
      </c>
      <c r="H524" s="58" t="s">
        <v>1351</v>
      </c>
      <c r="I524" s="38"/>
      <c r="J524" s="38"/>
      <c r="K524" s="46"/>
      <c r="L524" s="47"/>
      <c r="M524" s="105">
        <v>0.014918981481481481</v>
      </c>
      <c r="N524" s="105">
        <v>0.015868055555555555</v>
      </c>
      <c r="O524" s="105">
        <v>9.490740740740741E-4</v>
      </c>
      <c r="P524" s="89">
        <v>43025.0</v>
      </c>
      <c r="Q524" s="61" t="str">
        <f t="shared" si="38"/>
        <v>https://www.youtube.com/embed/_OWY_haNDNI?start=1289&amp;end=1371&amp;autoplay=1</v>
      </c>
      <c r="R524" s="63" t="s">
        <v>61</v>
      </c>
      <c r="S524" s="63" t="s">
        <v>1314</v>
      </c>
      <c r="T524" s="63" t="s">
        <v>61</v>
      </c>
      <c r="U524" s="51"/>
      <c r="V524" s="52"/>
      <c r="W524" s="81" t="s">
        <v>62</v>
      </c>
      <c r="X524" s="57"/>
      <c r="Y524" s="106"/>
      <c r="Z524" s="106"/>
      <c r="AA524" s="106"/>
      <c r="AB524" s="106"/>
    </row>
    <row r="525">
      <c r="A525" s="107">
        <v>271.1</v>
      </c>
      <c r="B525" s="63" t="s">
        <v>142</v>
      </c>
      <c r="C525" s="51"/>
      <c r="D525" s="39" t="s">
        <v>55</v>
      </c>
      <c r="E525" s="38"/>
      <c r="F525" s="41"/>
      <c r="G525" s="62" t="s">
        <v>1354</v>
      </c>
      <c r="H525" s="58" t="s">
        <v>1355</v>
      </c>
      <c r="I525" s="38"/>
      <c r="J525" s="38"/>
      <c r="K525" s="46"/>
      <c r="L525" s="47"/>
      <c r="M525" s="105">
        <v>0.01587962962962963</v>
      </c>
      <c r="N525" s="105">
        <v>0.01738425925925926</v>
      </c>
      <c r="O525" s="105">
        <v>0.0015046296296296296</v>
      </c>
      <c r="P525" s="89">
        <v>43025.0</v>
      </c>
      <c r="Q525" s="61" t="str">
        <f t="shared" si="38"/>
        <v>https://www.youtube.com/embed/_OWY_haNDNI?start=1372&amp;end=1502&amp;autoplay=1</v>
      </c>
      <c r="R525" s="63" t="s">
        <v>61</v>
      </c>
      <c r="S525" s="63" t="s">
        <v>1314</v>
      </c>
      <c r="T525" s="63" t="s">
        <v>61</v>
      </c>
      <c r="U525" s="51"/>
      <c r="V525" s="52"/>
      <c r="W525" s="81" t="s">
        <v>62</v>
      </c>
      <c r="X525" s="57"/>
      <c r="Y525" s="106"/>
      <c r="Z525" s="106"/>
      <c r="AA525" s="106"/>
      <c r="AB525" s="106"/>
    </row>
    <row r="526">
      <c r="A526" s="39">
        <v>271.11</v>
      </c>
      <c r="B526" s="63" t="s">
        <v>142</v>
      </c>
      <c r="C526" s="51"/>
      <c r="D526" s="39" t="s">
        <v>55</v>
      </c>
      <c r="E526" s="38"/>
      <c r="F526" s="41"/>
      <c r="G526" s="62" t="s">
        <v>1358</v>
      </c>
      <c r="H526" s="58" t="s">
        <v>1359</v>
      </c>
      <c r="I526" s="38"/>
      <c r="J526" s="38"/>
      <c r="K526" s="46"/>
      <c r="L526" s="47"/>
      <c r="M526" s="105">
        <v>0.01738425925925926</v>
      </c>
      <c r="N526" s="105">
        <v>0.018993055555555555</v>
      </c>
      <c r="O526" s="105">
        <v>0.0016087962962962963</v>
      </c>
      <c r="P526" s="89">
        <v>43025.0</v>
      </c>
      <c r="Q526" s="61" t="str">
        <f t="shared" si="38"/>
        <v>https://www.youtube.com/embed/_OWY_haNDNI?start=1502&amp;end=1641&amp;autoplay=1</v>
      </c>
      <c r="R526" s="63" t="s">
        <v>61</v>
      </c>
      <c r="S526" s="63" t="s">
        <v>1314</v>
      </c>
      <c r="T526" s="63" t="s">
        <v>61</v>
      </c>
      <c r="U526" s="51"/>
      <c r="V526" s="52"/>
      <c r="W526" s="81" t="s">
        <v>62</v>
      </c>
      <c r="X526" s="57"/>
      <c r="Y526" s="106"/>
      <c r="Z526" s="106"/>
      <c r="AA526" s="106"/>
      <c r="AB526" s="106"/>
    </row>
    <row r="527">
      <c r="A527" s="39">
        <v>271.12</v>
      </c>
      <c r="B527" s="63" t="s">
        <v>142</v>
      </c>
      <c r="C527" s="51"/>
      <c r="D527" s="39" t="s">
        <v>55</v>
      </c>
      <c r="E527" s="38"/>
      <c r="F527" s="41"/>
      <c r="G527" s="62" t="s">
        <v>1362</v>
      </c>
      <c r="H527" s="58" t="s">
        <v>1363</v>
      </c>
      <c r="I527" s="38"/>
      <c r="J527" s="38"/>
      <c r="K527" s="46"/>
      <c r="L527" s="47"/>
      <c r="M527" s="105">
        <v>0.019097222222222224</v>
      </c>
      <c r="N527" s="105">
        <v>0.02020833333333333</v>
      </c>
      <c r="O527" s="105">
        <v>0.0011111111111111111</v>
      </c>
      <c r="P527" s="89">
        <v>43025.0</v>
      </c>
      <c r="Q527" s="61" t="str">
        <f t="shared" si="38"/>
        <v>https://www.youtube.com/embed/_OWY_haNDNI?start=1650&amp;end=1746&amp;autoplay=1</v>
      </c>
      <c r="R527" s="63" t="s">
        <v>61</v>
      </c>
      <c r="S527" s="63" t="s">
        <v>1314</v>
      </c>
      <c r="T527" s="63" t="s">
        <v>61</v>
      </c>
      <c r="U527" s="51"/>
      <c r="V527" s="52"/>
      <c r="W527" s="81" t="s">
        <v>62</v>
      </c>
      <c r="X527" s="57"/>
      <c r="Y527" s="106"/>
      <c r="Z527" s="106"/>
      <c r="AA527" s="106"/>
      <c r="AB527" s="106"/>
    </row>
    <row r="528">
      <c r="A528" s="39">
        <v>271.13</v>
      </c>
      <c r="B528" s="63" t="s">
        <v>142</v>
      </c>
      <c r="C528" s="51"/>
      <c r="D528" s="39" t="s">
        <v>55</v>
      </c>
      <c r="E528" s="38"/>
      <c r="F528" s="41"/>
      <c r="G528" s="62" t="s">
        <v>1366</v>
      </c>
      <c r="H528" s="58" t="s">
        <v>1367</v>
      </c>
      <c r="I528" s="38"/>
      <c r="J528" s="38"/>
      <c r="K528" s="46"/>
      <c r="L528" s="47"/>
      <c r="M528" s="105">
        <v>0.020324074074074074</v>
      </c>
      <c r="N528" s="105">
        <v>0.024016203703703703</v>
      </c>
      <c r="O528" s="105">
        <v>0.00369212962962963</v>
      </c>
      <c r="P528" s="89">
        <v>43025.0</v>
      </c>
      <c r="Q528" s="61" t="str">
        <f t="shared" si="38"/>
        <v>https://www.youtube.com/embed/_OWY_haNDNI?start=1756&amp;end=2075&amp;autoplay=1</v>
      </c>
      <c r="R528" s="63" t="s">
        <v>61</v>
      </c>
      <c r="S528" s="63" t="s">
        <v>1314</v>
      </c>
      <c r="T528" s="63" t="s">
        <v>61</v>
      </c>
      <c r="U528" s="51"/>
      <c r="V528" s="52"/>
      <c r="W528" s="81" t="s">
        <v>62</v>
      </c>
      <c r="X528" s="57"/>
      <c r="Y528" s="106"/>
      <c r="Z528" s="106"/>
      <c r="AA528" s="106"/>
      <c r="AB528" s="106"/>
    </row>
    <row r="529">
      <c r="A529" s="39">
        <v>271.14</v>
      </c>
      <c r="B529" s="63" t="s">
        <v>142</v>
      </c>
      <c r="C529" s="51"/>
      <c r="D529" s="39" t="s">
        <v>55</v>
      </c>
      <c r="E529" s="38"/>
      <c r="F529" s="41"/>
      <c r="G529" s="62" t="s">
        <v>1370</v>
      </c>
      <c r="H529" s="58" t="s">
        <v>1371</v>
      </c>
      <c r="I529" s="38"/>
      <c r="J529" s="38"/>
      <c r="K529" s="46"/>
      <c r="L529" s="47"/>
      <c r="M529" s="105">
        <v>0.02409722222222222</v>
      </c>
      <c r="N529" s="105">
        <v>0.024872685185185185</v>
      </c>
      <c r="O529" s="105">
        <v>7.754629629629629E-4</v>
      </c>
      <c r="P529" s="89">
        <v>43025.0</v>
      </c>
      <c r="Q529" s="61" t="str">
        <f t="shared" si="38"/>
        <v>https://www.youtube.com/embed/_OWY_haNDNI?start=2082&amp;end=2149&amp;autoplay=1</v>
      </c>
      <c r="R529" s="63" t="s">
        <v>61</v>
      </c>
      <c r="S529" s="63" t="s">
        <v>1314</v>
      </c>
      <c r="T529" s="63" t="s">
        <v>61</v>
      </c>
      <c r="U529" s="51"/>
      <c r="V529" s="52"/>
      <c r="W529" s="81" t="s">
        <v>62</v>
      </c>
      <c r="X529" s="57"/>
      <c r="Y529" s="106"/>
      <c r="Z529" s="106"/>
      <c r="AA529" s="106"/>
      <c r="AB529" s="106"/>
    </row>
    <row r="530">
      <c r="A530" s="39">
        <v>271.15</v>
      </c>
      <c r="B530" s="63" t="s">
        <v>142</v>
      </c>
      <c r="C530" s="51"/>
      <c r="D530" s="39" t="s">
        <v>55</v>
      </c>
      <c r="E530" s="38"/>
      <c r="F530" s="41"/>
      <c r="G530" s="62" t="s">
        <v>1374</v>
      </c>
      <c r="H530" s="58" t="s">
        <v>1375</v>
      </c>
      <c r="I530" s="38"/>
      <c r="J530" s="38"/>
      <c r="K530" s="46"/>
      <c r="L530" s="47"/>
      <c r="M530" s="105">
        <v>0.02666666666666667</v>
      </c>
      <c r="N530" s="105">
        <v>0.02875</v>
      </c>
      <c r="O530" s="105">
        <v>0.0020833333333333333</v>
      </c>
      <c r="P530" s="89">
        <v>43025.0</v>
      </c>
      <c r="Q530" s="61" t="str">
        <f t="shared" si="38"/>
        <v>https://www.youtube.com/embed/_OWY_haNDNI?start=2304&amp;end=2484&amp;autoplay=1</v>
      </c>
      <c r="R530" s="63" t="s">
        <v>61</v>
      </c>
      <c r="S530" s="63" t="s">
        <v>1314</v>
      </c>
      <c r="T530" s="63" t="s">
        <v>61</v>
      </c>
      <c r="U530" s="51"/>
      <c r="V530" s="52"/>
      <c r="W530" s="81" t="s">
        <v>62</v>
      </c>
      <c r="X530" s="57"/>
      <c r="Y530" s="106"/>
      <c r="Z530" s="106"/>
      <c r="AA530" s="106"/>
      <c r="AB530" s="106"/>
    </row>
    <row r="531">
      <c r="A531" s="39">
        <v>271.16</v>
      </c>
      <c r="B531" s="63" t="s">
        <v>142</v>
      </c>
      <c r="C531" s="51"/>
      <c r="D531" s="39" t="s">
        <v>55</v>
      </c>
      <c r="E531" s="38"/>
      <c r="F531" s="41"/>
      <c r="G531" s="62" t="s">
        <v>1378</v>
      </c>
      <c r="H531" s="58" t="s">
        <v>1380</v>
      </c>
      <c r="I531" s="38"/>
      <c r="J531" s="38"/>
      <c r="K531" s="46"/>
      <c r="L531" s="47"/>
      <c r="M531" s="105">
        <v>0.028981481481481483</v>
      </c>
      <c r="N531" s="105">
        <v>0.030659722222222224</v>
      </c>
      <c r="O531" s="105">
        <v>0.0016782407407407408</v>
      </c>
      <c r="P531" s="89">
        <v>43025.0</v>
      </c>
      <c r="Q531" s="61" t="str">
        <f t="shared" si="38"/>
        <v>https://www.youtube.com/embed/_OWY_haNDNI?start=2504&amp;end=2649&amp;autoplay=1</v>
      </c>
      <c r="R531" s="63" t="s">
        <v>61</v>
      </c>
      <c r="S531" s="63" t="s">
        <v>1314</v>
      </c>
      <c r="T531" s="63" t="s">
        <v>61</v>
      </c>
      <c r="U531" s="51"/>
      <c r="V531" s="52"/>
      <c r="W531" s="81" t="s">
        <v>62</v>
      </c>
      <c r="X531" s="57"/>
      <c r="Y531" s="106"/>
      <c r="Z531" s="106"/>
      <c r="AA531" s="106"/>
      <c r="AB531" s="106"/>
    </row>
    <row r="532">
      <c r="A532" s="38">
        <v>272.0</v>
      </c>
      <c r="B532" s="38"/>
      <c r="C532" s="38"/>
      <c r="D532" s="38"/>
      <c r="E532" s="38" t="s">
        <v>1065</v>
      </c>
      <c r="F532" s="41" t="s">
        <v>1066</v>
      </c>
      <c r="G532" s="43"/>
      <c r="H532" s="45"/>
      <c r="I532" s="38"/>
      <c r="J532" s="38">
        <f>7.6*1000</f>
        <v>7600</v>
      </c>
      <c r="K532" s="46">
        <v>0.03329861111111111</v>
      </c>
      <c r="L532" s="47" t="s">
        <v>1011</v>
      </c>
      <c r="M532" s="46"/>
      <c r="N532" s="46"/>
      <c r="O532" s="38"/>
      <c r="P532" s="38"/>
      <c r="Q532" s="12" t="str">
        <f t="shared" si="38"/>
        <v/>
      </c>
      <c r="R532" s="50"/>
      <c r="S532" s="50"/>
      <c r="T532" s="50"/>
      <c r="U532" s="53"/>
      <c r="V532" s="54"/>
      <c r="W532" s="56"/>
      <c r="X532" s="119"/>
      <c r="Y532" s="113"/>
      <c r="Z532" s="113"/>
    </row>
    <row r="533">
      <c r="A533" s="38">
        <v>273.0</v>
      </c>
      <c r="B533" s="38"/>
      <c r="C533" s="38"/>
      <c r="D533" s="38"/>
      <c r="E533" s="38" t="s">
        <v>1069</v>
      </c>
      <c r="F533" s="41" t="s">
        <v>1070</v>
      </c>
      <c r="G533" s="43"/>
      <c r="H533" s="45"/>
      <c r="I533" s="38"/>
      <c r="J533" s="38">
        <f>12*1000</f>
        <v>12000</v>
      </c>
      <c r="K533" s="46">
        <v>0.03005787037037037</v>
      </c>
      <c r="L533" s="47" t="s">
        <v>1011</v>
      </c>
      <c r="M533" s="46"/>
      <c r="N533" s="46"/>
      <c r="O533" s="38"/>
      <c r="P533" s="38"/>
      <c r="Q533" s="12" t="str">
        <f t="shared" si="38"/>
        <v/>
      </c>
      <c r="R533" s="50"/>
      <c r="S533" s="50"/>
      <c r="T533" s="50"/>
      <c r="U533" s="53"/>
      <c r="V533" s="54"/>
      <c r="W533" s="56"/>
      <c r="X533" s="119"/>
      <c r="Y533" s="113"/>
      <c r="Z533" s="113"/>
    </row>
    <row r="534">
      <c r="A534" s="38">
        <v>274.0</v>
      </c>
      <c r="B534" s="38"/>
      <c r="C534" s="38"/>
      <c r="D534" s="38"/>
      <c r="E534" s="38" t="s">
        <v>1075</v>
      </c>
      <c r="F534" s="41" t="s">
        <v>1076</v>
      </c>
      <c r="G534" s="43"/>
      <c r="H534" s="45"/>
      <c r="I534" s="38"/>
      <c r="J534" s="38">
        <f>4.4*1000</f>
        <v>4400</v>
      </c>
      <c r="K534" s="46">
        <v>0.02090277777777778</v>
      </c>
      <c r="L534" s="47" t="s">
        <v>1011</v>
      </c>
      <c r="M534" s="46"/>
      <c r="N534" s="46"/>
      <c r="O534" s="38"/>
      <c r="P534" s="38"/>
      <c r="Q534" s="12" t="str">
        <f t="shared" si="38"/>
        <v/>
      </c>
      <c r="R534" s="50"/>
      <c r="S534" s="50"/>
      <c r="T534" s="50"/>
      <c r="U534" s="53"/>
      <c r="V534" s="54"/>
      <c r="W534" s="56"/>
      <c r="X534" s="119"/>
      <c r="Y534" s="113"/>
      <c r="Z534" s="113"/>
    </row>
    <row r="535">
      <c r="A535" s="38">
        <v>275.0</v>
      </c>
      <c r="B535" s="38"/>
      <c r="C535" s="38"/>
      <c r="D535" s="38"/>
      <c r="E535" s="38" t="s">
        <v>1082</v>
      </c>
      <c r="F535" s="41" t="s">
        <v>1083</v>
      </c>
      <c r="G535" s="43"/>
      <c r="H535" s="45"/>
      <c r="I535" s="38"/>
      <c r="J535" s="38">
        <f>4.5*1000</f>
        <v>4500</v>
      </c>
      <c r="K535" s="46">
        <v>0.022083333333333333</v>
      </c>
      <c r="L535" s="47" t="s">
        <v>1011</v>
      </c>
      <c r="M535" s="46"/>
      <c r="N535" s="46"/>
      <c r="O535" s="38"/>
      <c r="P535" s="38"/>
      <c r="Q535" s="12" t="str">
        <f t="shared" si="38"/>
        <v/>
      </c>
      <c r="R535" s="50"/>
      <c r="S535" s="50"/>
      <c r="T535" s="50"/>
      <c r="U535" s="53"/>
      <c r="V535" s="54"/>
      <c r="W535" s="56"/>
      <c r="X535" s="119"/>
      <c r="Y535" s="113"/>
      <c r="Z535" s="113"/>
    </row>
    <row r="536">
      <c r="A536" s="38">
        <v>276.0</v>
      </c>
      <c r="B536" s="38"/>
      <c r="C536" s="38"/>
      <c r="D536" s="38"/>
      <c r="E536" s="38" t="s">
        <v>1089</v>
      </c>
      <c r="F536" s="41" t="s">
        <v>1090</v>
      </c>
      <c r="G536" s="43"/>
      <c r="H536" s="45"/>
      <c r="I536" s="38"/>
      <c r="J536" s="38">
        <f>4.3*1000</f>
        <v>4300</v>
      </c>
      <c r="K536" s="46">
        <v>0.0052430555555555555</v>
      </c>
      <c r="L536" s="47" t="s">
        <v>1011</v>
      </c>
      <c r="M536" s="46"/>
      <c r="N536" s="46"/>
      <c r="O536" s="38"/>
      <c r="P536" s="38"/>
      <c r="Q536" s="12" t="str">
        <f t="shared" si="38"/>
        <v/>
      </c>
      <c r="R536" s="50"/>
      <c r="S536" s="50"/>
      <c r="T536" s="50"/>
      <c r="U536" s="53"/>
      <c r="V536" s="54"/>
      <c r="W536" s="56"/>
      <c r="X536" s="119"/>
      <c r="Y536" s="113"/>
      <c r="Z536" s="113"/>
    </row>
    <row r="537">
      <c r="A537" s="38">
        <v>277.0</v>
      </c>
      <c r="B537" s="38"/>
      <c r="C537" s="38"/>
      <c r="D537" s="38"/>
      <c r="E537" s="38" t="s">
        <v>1094</v>
      </c>
      <c r="F537" s="41" t="s">
        <v>1095</v>
      </c>
      <c r="G537" s="43"/>
      <c r="H537" s="45"/>
      <c r="I537" s="38"/>
      <c r="J537" s="38">
        <f>34*1000</f>
        <v>34000</v>
      </c>
      <c r="K537" s="46">
        <v>0.02388888888888889</v>
      </c>
      <c r="L537" s="47" t="s">
        <v>1011</v>
      </c>
      <c r="M537" s="46"/>
      <c r="N537" s="46"/>
      <c r="O537" s="38"/>
      <c r="P537" s="38"/>
      <c r="Q537" s="12" t="str">
        <f t="shared" si="38"/>
        <v/>
      </c>
      <c r="R537" s="50"/>
      <c r="S537" s="50"/>
      <c r="T537" s="50"/>
      <c r="U537" s="53"/>
      <c r="V537" s="54"/>
      <c r="W537" s="56"/>
      <c r="X537" s="119"/>
      <c r="Y537" s="113"/>
      <c r="Z537" s="113"/>
    </row>
    <row r="538">
      <c r="A538" s="38">
        <v>278.0</v>
      </c>
      <c r="B538" s="38"/>
      <c r="C538" s="38"/>
      <c r="D538" s="38"/>
      <c r="E538" s="38" t="s">
        <v>1098</v>
      </c>
      <c r="F538" s="41" t="s">
        <v>1099</v>
      </c>
      <c r="G538" s="43"/>
      <c r="H538" s="45"/>
      <c r="I538" s="38"/>
      <c r="J538" s="38">
        <f>27*1000</f>
        <v>27000</v>
      </c>
      <c r="K538" s="46">
        <v>0.053981481481481484</v>
      </c>
      <c r="L538" s="47" t="s">
        <v>1011</v>
      </c>
      <c r="M538" s="46"/>
      <c r="N538" s="46"/>
      <c r="O538" s="38"/>
      <c r="P538" s="38"/>
      <c r="Q538" s="12" t="str">
        <f t="shared" si="38"/>
        <v/>
      </c>
      <c r="R538" s="50"/>
      <c r="S538" s="50"/>
      <c r="T538" s="50"/>
      <c r="U538" s="53"/>
      <c r="V538" s="54"/>
      <c r="W538" s="56"/>
      <c r="X538" s="119"/>
      <c r="Y538" s="113"/>
      <c r="Z538" s="113"/>
    </row>
    <row r="539">
      <c r="A539" s="38">
        <v>279.0</v>
      </c>
      <c r="B539" s="38"/>
      <c r="C539" s="38"/>
      <c r="D539" s="38"/>
      <c r="E539" s="38" t="s">
        <v>1100</v>
      </c>
      <c r="F539" s="41" t="s">
        <v>1101</v>
      </c>
      <c r="G539" s="43"/>
      <c r="H539" s="45"/>
      <c r="I539" s="38"/>
      <c r="J539" s="38">
        <f>6.6*1000</f>
        <v>6600</v>
      </c>
      <c r="K539" s="46">
        <v>0.03349537037037037</v>
      </c>
      <c r="L539" s="47" t="s">
        <v>1011</v>
      </c>
      <c r="M539" s="46"/>
      <c r="N539" s="46"/>
      <c r="O539" s="38"/>
      <c r="P539" s="38"/>
      <c r="Q539" s="12" t="str">
        <f t="shared" si="38"/>
        <v/>
      </c>
      <c r="R539" s="50"/>
      <c r="S539" s="50"/>
      <c r="T539" s="50"/>
      <c r="U539" s="53"/>
      <c r="V539" s="54"/>
      <c r="W539" s="56"/>
      <c r="X539" s="119"/>
      <c r="Y539" s="113"/>
      <c r="Z539" s="113"/>
    </row>
    <row r="540">
      <c r="A540" s="38">
        <v>280.0</v>
      </c>
      <c r="B540" s="38"/>
      <c r="C540" s="38"/>
      <c r="D540" s="38"/>
      <c r="E540" s="38" t="s">
        <v>1104</v>
      </c>
      <c r="F540" s="41" t="s">
        <v>1105</v>
      </c>
      <c r="G540" s="43"/>
      <c r="H540" s="45"/>
      <c r="I540" s="38"/>
      <c r="J540" s="38">
        <f>7.2*1000</f>
        <v>7200</v>
      </c>
      <c r="K540" s="46">
        <v>0.07150462962962963</v>
      </c>
      <c r="L540" s="47" t="s">
        <v>1011</v>
      </c>
      <c r="M540" s="46"/>
      <c r="N540" s="46"/>
      <c r="O540" s="38"/>
      <c r="P540" s="38"/>
      <c r="Q540" s="12" t="str">
        <f t="shared" si="38"/>
        <v/>
      </c>
      <c r="R540" s="50"/>
      <c r="S540" s="50"/>
      <c r="T540" s="50"/>
      <c r="U540" s="53"/>
      <c r="V540" s="54"/>
      <c r="W540" s="56"/>
      <c r="X540" s="119"/>
      <c r="Y540" s="113"/>
      <c r="Z540" s="113"/>
    </row>
    <row r="541">
      <c r="A541" s="38">
        <v>281.0</v>
      </c>
      <c r="B541" s="38"/>
      <c r="C541" s="38"/>
      <c r="D541" s="38"/>
      <c r="E541" s="38" t="s">
        <v>1109</v>
      </c>
      <c r="F541" s="41" t="s">
        <v>1110</v>
      </c>
      <c r="G541" s="43"/>
      <c r="H541" s="45"/>
      <c r="I541" s="38"/>
      <c r="J541" s="38">
        <f>20*1000</f>
        <v>20000</v>
      </c>
      <c r="K541" s="46">
        <v>0.09664351851851853</v>
      </c>
      <c r="L541" s="47" t="s">
        <v>1011</v>
      </c>
      <c r="M541" s="46"/>
      <c r="N541" s="46"/>
      <c r="O541" s="38"/>
      <c r="P541" s="38"/>
      <c r="Q541" s="12" t="str">
        <f t="shared" si="38"/>
        <v/>
      </c>
      <c r="R541" s="50"/>
      <c r="S541" s="50"/>
      <c r="T541" s="50"/>
      <c r="U541" s="53"/>
      <c r="V541" s="54"/>
      <c r="W541" s="56"/>
      <c r="X541" s="119"/>
      <c r="Y541" s="113"/>
      <c r="Z541" s="113"/>
    </row>
    <row r="542">
      <c r="A542" s="38">
        <v>282.0</v>
      </c>
      <c r="B542" s="38"/>
      <c r="C542" s="38"/>
      <c r="D542" s="38"/>
      <c r="E542" s="38" t="s">
        <v>1114</v>
      </c>
      <c r="F542" s="41" t="s">
        <v>1115</v>
      </c>
      <c r="G542" s="43"/>
      <c r="H542" s="45"/>
      <c r="I542" s="38"/>
      <c r="J542" s="38">
        <f>11*1000</f>
        <v>11000</v>
      </c>
      <c r="K542" s="46">
        <v>0.07072916666666666</v>
      </c>
      <c r="L542" s="47" t="s">
        <v>1011</v>
      </c>
      <c r="M542" s="46"/>
      <c r="N542" s="46"/>
      <c r="O542" s="38"/>
      <c r="P542" s="38"/>
      <c r="Q542" s="12" t="str">
        <f t="shared" si="38"/>
        <v/>
      </c>
      <c r="R542" s="50"/>
      <c r="S542" s="50"/>
      <c r="T542" s="50"/>
      <c r="U542" s="53"/>
      <c r="V542" s="54"/>
      <c r="W542" s="56"/>
      <c r="X542" s="119"/>
      <c r="Y542" s="113"/>
      <c r="Z542" s="113"/>
    </row>
    <row r="543">
      <c r="A543" s="38">
        <v>283.0</v>
      </c>
      <c r="B543" s="38"/>
      <c r="C543" s="38"/>
      <c r="D543" s="38"/>
      <c r="E543" s="38" t="s">
        <v>1120</v>
      </c>
      <c r="F543" s="41" t="s">
        <v>1121</v>
      </c>
      <c r="G543" s="43"/>
      <c r="H543" s="45"/>
      <c r="I543" s="38"/>
      <c r="J543" s="38">
        <f>10*1000</f>
        <v>10000</v>
      </c>
      <c r="K543" s="46">
        <v>0.08366898148148148</v>
      </c>
      <c r="L543" s="47" t="s">
        <v>1011</v>
      </c>
      <c r="M543" s="46"/>
      <c r="N543" s="46"/>
      <c r="O543" s="38"/>
      <c r="P543" s="38"/>
      <c r="Q543" s="12" t="str">
        <f t="shared" si="38"/>
        <v/>
      </c>
      <c r="R543" s="50"/>
      <c r="S543" s="50"/>
      <c r="T543" s="50"/>
      <c r="U543" s="53"/>
      <c r="V543" s="54"/>
      <c r="W543" s="56"/>
      <c r="X543" s="119"/>
      <c r="Y543" s="113"/>
      <c r="Z543" s="113"/>
    </row>
    <row r="544">
      <c r="A544" s="38">
        <v>284.0</v>
      </c>
      <c r="B544" s="38"/>
      <c r="C544" s="38"/>
      <c r="D544" s="38"/>
      <c r="E544" s="38" t="s">
        <v>1122</v>
      </c>
      <c r="F544" s="41" t="s">
        <v>1123</v>
      </c>
      <c r="G544" s="43"/>
      <c r="H544" s="45"/>
      <c r="I544" s="38"/>
      <c r="J544" s="38">
        <f>4.7*1000</f>
        <v>4700</v>
      </c>
      <c r="K544" s="46">
        <v>0.075625</v>
      </c>
      <c r="L544" s="47" t="s">
        <v>1011</v>
      </c>
      <c r="M544" s="46"/>
      <c r="N544" s="46"/>
      <c r="O544" s="38"/>
      <c r="P544" s="38"/>
      <c r="Q544" s="12" t="str">
        <f t="shared" si="38"/>
        <v/>
      </c>
      <c r="R544" s="50"/>
      <c r="S544" s="50"/>
      <c r="T544" s="50"/>
      <c r="U544" s="53"/>
      <c r="V544" s="54"/>
      <c r="W544" s="56"/>
      <c r="X544" s="119"/>
      <c r="Y544" s="113"/>
      <c r="Z544" s="113"/>
    </row>
    <row r="545">
      <c r="A545" s="38">
        <v>285.0</v>
      </c>
      <c r="B545" s="38"/>
      <c r="C545" s="38"/>
      <c r="D545" s="38"/>
      <c r="E545" s="38" t="s">
        <v>1128</v>
      </c>
      <c r="F545" s="41" t="s">
        <v>1129</v>
      </c>
      <c r="G545" s="43"/>
      <c r="H545" s="45"/>
      <c r="I545" s="38"/>
      <c r="J545" s="38">
        <f>6.7*1000</f>
        <v>6700</v>
      </c>
      <c r="K545" s="46">
        <v>0.018472222222222223</v>
      </c>
      <c r="L545" s="47" t="s">
        <v>1011</v>
      </c>
      <c r="M545" s="46"/>
      <c r="N545" s="46"/>
      <c r="O545" s="38"/>
      <c r="P545" s="38"/>
      <c r="Q545" s="12" t="str">
        <f t="shared" si="38"/>
        <v/>
      </c>
      <c r="R545" s="50"/>
      <c r="S545" s="50"/>
      <c r="T545" s="50"/>
      <c r="U545" s="53"/>
      <c r="V545" s="54"/>
      <c r="W545" s="56"/>
      <c r="X545" s="119"/>
      <c r="Y545" s="113"/>
      <c r="Z545" s="113"/>
    </row>
    <row r="546">
      <c r="A546" s="38">
        <v>286.0</v>
      </c>
      <c r="B546" s="38"/>
      <c r="C546" s="38"/>
      <c r="D546" s="38"/>
      <c r="E546" s="38" t="s">
        <v>1133</v>
      </c>
      <c r="F546" s="41" t="s">
        <v>1135</v>
      </c>
      <c r="G546" s="43"/>
      <c r="H546" s="45"/>
      <c r="I546" s="38"/>
      <c r="J546" s="38">
        <f>11*1000</f>
        <v>11000</v>
      </c>
      <c r="K546" s="46">
        <v>0.09569444444444446</v>
      </c>
      <c r="L546" s="47" t="s">
        <v>1048</v>
      </c>
      <c r="M546" s="46"/>
      <c r="N546" s="46"/>
      <c r="O546" s="38"/>
      <c r="P546" s="38"/>
      <c r="Q546" s="12" t="str">
        <f t="shared" si="38"/>
        <v/>
      </c>
      <c r="R546" s="50"/>
      <c r="S546" s="50"/>
      <c r="T546" s="50"/>
      <c r="U546" s="53"/>
      <c r="V546" s="54"/>
      <c r="W546" s="56"/>
      <c r="X546" s="119"/>
      <c r="Y546" s="113"/>
      <c r="Z546" s="113"/>
    </row>
    <row r="547">
      <c r="A547" s="38">
        <v>287.0</v>
      </c>
      <c r="B547" s="38"/>
      <c r="C547" s="38"/>
      <c r="D547" s="38"/>
      <c r="E547" s="38" t="s">
        <v>1138</v>
      </c>
      <c r="F547" s="41" t="s">
        <v>1139</v>
      </c>
      <c r="G547" s="43"/>
      <c r="H547" s="45"/>
      <c r="I547" s="38"/>
      <c r="J547" s="38">
        <f>14*1000</f>
        <v>14000</v>
      </c>
      <c r="K547" s="46">
        <v>0.0853587962962963</v>
      </c>
      <c r="L547" s="47" t="s">
        <v>1048</v>
      </c>
      <c r="M547" s="46"/>
      <c r="N547" s="46"/>
      <c r="O547" s="38"/>
      <c r="P547" s="38"/>
      <c r="Q547" s="12" t="str">
        <f t="shared" si="38"/>
        <v/>
      </c>
      <c r="R547" s="50"/>
      <c r="S547" s="50"/>
      <c r="T547" s="50"/>
      <c r="U547" s="53"/>
      <c r="V547" s="54"/>
      <c r="W547" s="56"/>
      <c r="X547" s="119"/>
      <c r="Y547" s="113"/>
      <c r="Z547" s="113"/>
    </row>
    <row r="548">
      <c r="A548" s="38">
        <v>288.0</v>
      </c>
      <c r="B548" s="38"/>
      <c r="C548" s="38"/>
      <c r="D548" s="38"/>
      <c r="E548" s="38" t="s">
        <v>1142</v>
      </c>
      <c r="F548" s="41" t="s">
        <v>1143</v>
      </c>
      <c r="G548" s="43"/>
      <c r="H548" s="45"/>
      <c r="I548" s="38"/>
      <c r="J548" s="38">
        <f>6.9*1000</f>
        <v>6900</v>
      </c>
      <c r="K548" s="46">
        <v>0.05684027777777778</v>
      </c>
      <c r="L548" s="47" t="s">
        <v>1048</v>
      </c>
      <c r="M548" s="46"/>
      <c r="N548" s="46"/>
      <c r="O548" s="38"/>
      <c r="P548" s="38"/>
      <c r="Q548" s="12" t="str">
        <f t="shared" si="38"/>
        <v/>
      </c>
      <c r="R548" s="50"/>
      <c r="S548" s="50"/>
      <c r="T548" s="50"/>
      <c r="U548" s="53"/>
      <c r="V548" s="54"/>
      <c r="W548" s="56"/>
      <c r="X548" s="119"/>
      <c r="Y548" s="113"/>
      <c r="Z548" s="113"/>
    </row>
    <row r="549">
      <c r="A549" s="38">
        <v>289.0</v>
      </c>
      <c r="B549" s="38"/>
      <c r="C549" s="38"/>
      <c r="D549" s="38"/>
      <c r="E549" s="38" t="s">
        <v>1146</v>
      </c>
      <c r="F549" s="41" t="s">
        <v>1147</v>
      </c>
      <c r="G549" s="43"/>
      <c r="H549" s="45"/>
      <c r="I549" s="38"/>
      <c r="J549" s="38">
        <f>22*1000</f>
        <v>22000</v>
      </c>
      <c r="K549" s="46">
        <v>0.07487268518518518</v>
      </c>
      <c r="L549" s="47" t="s">
        <v>1048</v>
      </c>
      <c r="M549" s="46"/>
      <c r="N549" s="46"/>
      <c r="O549" s="38"/>
      <c r="P549" s="38"/>
      <c r="Q549" s="12" t="str">
        <f t="shared" si="38"/>
        <v/>
      </c>
      <c r="R549" s="50"/>
      <c r="S549" s="50"/>
      <c r="T549" s="50"/>
      <c r="U549" s="53"/>
      <c r="V549" s="54"/>
      <c r="W549" s="56"/>
      <c r="X549" s="119"/>
      <c r="Y549" s="113"/>
      <c r="Z549" s="113"/>
    </row>
    <row r="550">
      <c r="A550" s="38">
        <v>290.0</v>
      </c>
      <c r="B550" s="38"/>
      <c r="C550" s="38"/>
      <c r="D550" s="38"/>
      <c r="E550" s="38" t="s">
        <v>1152</v>
      </c>
      <c r="F550" s="41" t="s">
        <v>1153</v>
      </c>
      <c r="G550" s="43"/>
      <c r="H550" s="45"/>
      <c r="I550" s="38"/>
      <c r="J550" s="38">
        <f>13*1000</f>
        <v>13000</v>
      </c>
      <c r="K550" s="46">
        <v>0.08131944444444444</v>
      </c>
      <c r="L550" s="47" t="s">
        <v>1048</v>
      </c>
      <c r="M550" s="46"/>
      <c r="N550" s="46"/>
      <c r="O550" s="38"/>
      <c r="P550" s="38"/>
      <c r="Q550" s="12" t="str">
        <f t="shared" si="38"/>
        <v/>
      </c>
      <c r="R550" s="50"/>
      <c r="S550" s="50"/>
      <c r="T550" s="50"/>
      <c r="U550" s="53"/>
      <c r="V550" s="54"/>
      <c r="W550" s="56"/>
      <c r="X550" s="119"/>
      <c r="Y550" s="113"/>
      <c r="Z550" s="113"/>
    </row>
    <row r="551">
      <c r="A551" s="38">
        <v>291.0</v>
      </c>
      <c r="B551" s="38"/>
      <c r="C551" s="38"/>
      <c r="D551" s="38"/>
      <c r="E551" s="38" t="s">
        <v>1156</v>
      </c>
      <c r="F551" s="41" t="s">
        <v>1157</v>
      </c>
      <c r="G551" s="43"/>
      <c r="H551" s="45"/>
      <c r="I551" s="38"/>
      <c r="J551" s="38">
        <f>51*1000</f>
        <v>51000</v>
      </c>
      <c r="K551" s="46">
        <v>0.06484953703703704</v>
      </c>
      <c r="L551" s="47" t="s">
        <v>1048</v>
      </c>
      <c r="M551" s="46"/>
      <c r="N551" s="46"/>
      <c r="O551" s="38"/>
      <c r="P551" s="38"/>
      <c r="Q551" s="12" t="str">
        <f t="shared" si="38"/>
        <v/>
      </c>
      <c r="R551" s="50"/>
      <c r="S551" s="50"/>
      <c r="T551" s="50"/>
      <c r="U551" s="53"/>
      <c r="V551" s="54"/>
      <c r="W551" s="56"/>
      <c r="X551" s="119"/>
      <c r="Y551" s="113"/>
      <c r="Z551" s="113"/>
    </row>
    <row r="552">
      <c r="A552" s="38">
        <v>292.0</v>
      </c>
      <c r="B552" s="38"/>
      <c r="C552" s="38"/>
      <c r="D552" s="38"/>
      <c r="E552" s="38" t="s">
        <v>1162</v>
      </c>
      <c r="F552" s="41" t="s">
        <v>1163</v>
      </c>
      <c r="G552" s="43"/>
      <c r="H552" s="45"/>
      <c r="I552" s="38"/>
      <c r="J552" s="38">
        <f>11*1000</f>
        <v>11000</v>
      </c>
      <c r="K552" s="46">
        <v>0.049687499999999996</v>
      </c>
      <c r="L552" s="47" t="s">
        <v>1048</v>
      </c>
      <c r="M552" s="46"/>
      <c r="N552" s="46"/>
      <c r="O552" s="38"/>
      <c r="P552" s="38"/>
      <c r="Q552" s="12" t="str">
        <f t="shared" si="38"/>
        <v/>
      </c>
      <c r="R552" s="50"/>
      <c r="S552" s="50"/>
      <c r="T552" s="50"/>
      <c r="U552" s="53"/>
      <c r="V552" s="54"/>
      <c r="W552" s="56"/>
      <c r="X552" s="119"/>
      <c r="Y552" s="113"/>
      <c r="Z552" s="113"/>
    </row>
    <row r="553">
      <c r="A553" s="38">
        <v>293.0</v>
      </c>
      <c r="B553" s="38"/>
      <c r="C553" s="38"/>
      <c r="D553" s="38"/>
      <c r="E553" s="38" t="s">
        <v>1166</v>
      </c>
      <c r="F553" s="41" t="s">
        <v>1169</v>
      </c>
      <c r="G553" s="43"/>
      <c r="H553" s="45"/>
      <c r="I553" s="38"/>
      <c r="J553" s="38">
        <f t="shared" ref="J553:J554" si="42">19*1000</f>
        <v>19000</v>
      </c>
      <c r="K553" s="46">
        <v>0.06641203703703703</v>
      </c>
      <c r="L553" s="47" t="s">
        <v>1048</v>
      </c>
      <c r="M553" s="46"/>
      <c r="N553" s="46"/>
      <c r="O553" s="38"/>
      <c r="P553" s="38"/>
      <c r="Q553" s="12" t="str">
        <f t="shared" si="38"/>
        <v/>
      </c>
      <c r="R553" s="50"/>
      <c r="S553" s="50"/>
      <c r="T553" s="50"/>
      <c r="U553" s="53"/>
      <c r="V553" s="54"/>
      <c r="W553" s="56"/>
      <c r="X553" s="119"/>
      <c r="Y553" s="113"/>
      <c r="Z553" s="113"/>
    </row>
    <row r="554">
      <c r="A554" s="38">
        <v>294.0</v>
      </c>
      <c r="B554" s="38"/>
      <c r="C554" s="38"/>
      <c r="D554" s="38"/>
      <c r="E554" s="38" t="s">
        <v>1171</v>
      </c>
      <c r="F554" s="41" t="s">
        <v>1172</v>
      </c>
      <c r="G554" s="43"/>
      <c r="H554" s="45"/>
      <c r="I554" s="38"/>
      <c r="J554" s="38">
        <f t="shared" si="42"/>
        <v>19000</v>
      </c>
      <c r="K554" s="46">
        <v>0.012002314814814815</v>
      </c>
      <c r="L554" s="47" t="s">
        <v>1048</v>
      </c>
      <c r="M554" s="46"/>
      <c r="N554" s="46"/>
      <c r="O554" s="38"/>
      <c r="P554" s="38"/>
      <c r="Q554" s="12" t="str">
        <f t="shared" si="38"/>
        <v/>
      </c>
      <c r="R554" s="50"/>
      <c r="S554" s="50"/>
      <c r="T554" s="50"/>
      <c r="U554" s="53"/>
      <c r="V554" s="54"/>
      <c r="W554" s="56"/>
      <c r="X554" s="119"/>
      <c r="Y554" s="113"/>
      <c r="Z554" s="113"/>
    </row>
    <row r="555">
      <c r="A555" s="38">
        <v>295.0</v>
      </c>
      <c r="B555" s="38"/>
      <c r="C555" s="38"/>
      <c r="D555" s="38"/>
      <c r="E555" s="38" t="s">
        <v>1173</v>
      </c>
      <c r="F555" s="41" t="s">
        <v>1174</v>
      </c>
      <c r="G555" s="43"/>
      <c r="H555" s="45"/>
      <c r="I555" s="38"/>
      <c r="J555" s="38">
        <f>3.5*1000</f>
        <v>3500</v>
      </c>
      <c r="K555" s="46">
        <v>0.007534722222222221</v>
      </c>
      <c r="L555" s="47" t="s">
        <v>1048</v>
      </c>
      <c r="M555" s="46"/>
      <c r="N555" s="46"/>
      <c r="O555" s="38"/>
      <c r="P555" s="38"/>
      <c r="Q555" s="12" t="str">
        <f t="shared" si="38"/>
        <v/>
      </c>
      <c r="R555" s="50"/>
      <c r="S555" s="50"/>
      <c r="T555" s="50"/>
      <c r="U555" s="53"/>
      <c r="V555" s="54"/>
      <c r="W555" s="56"/>
      <c r="X555" s="119"/>
      <c r="Y555" s="113"/>
      <c r="Z555" s="113"/>
    </row>
    <row r="556">
      <c r="A556" s="38">
        <v>296.0</v>
      </c>
      <c r="B556" s="38"/>
      <c r="C556" s="38"/>
      <c r="D556" s="38"/>
      <c r="E556" s="38" t="s">
        <v>1177</v>
      </c>
      <c r="F556" s="41" t="s">
        <v>1178</v>
      </c>
      <c r="G556" s="43"/>
      <c r="H556" s="45"/>
      <c r="I556" s="38"/>
      <c r="J556" s="38">
        <f t="shared" ref="J556:J557" si="43">10*1000</f>
        <v>10000</v>
      </c>
      <c r="K556" s="46">
        <v>0.07385416666666667</v>
      </c>
      <c r="L556" s="47" t="s">
        <v>1048</v>
      </c>
      <c r="M556" s="46"/>
      <c r="N556" s="46"/>
      <c r="O556" s="38"/>
      <c r="P556" s="38"/>
      <c r="Q556" s="12" t="str">
        <f t="shared" si="38"/>
        <v/>
      </c>
      <c r="R556" s="50"/>
      <c r="S556" s="50"/>
      <c r="T556" s="50"/>
      <c r="U556" s="53"/>
      <c r="V556" s="54"/>
      <c r="W556" s="56"/>
      <c r="X556" s="119"/>
      <c r="Y556" s="113"/>
      <c r="Z556" s="113"/>
    </row>
    <row r="557">
      <c r="A557" s="38">
        <v>297.0</v>
      </c>
      <c r="B557" s="38"/>
      <c r="C557" s="38"/>
      <c r="D557" s="38"/>
      <c r="E557" s="38" t="s">
        <v>1182</v>
      </c>
      <c r="F557" s="41" t="s">
        <v>1184</v>
      </c>
      <c r="G557" s="43"/>
      <c r="H557" s="45"/>
      <c r="I557" s="38"/>
      <c r="J557" s="38">
        <f t="shared" si="43"/>
        <v>10000</v>
      </c>
      <c r="K557" s="46">
        <v>0.06874999999999999</v>
      </c>
      <c r="L557" s="47" t="s">
        <v>1048</v>
      </c>
      <c r="M557" s="46"/>
      <c r="N557" s="46"/>
      <c r="O557" s="38"/>
      <c r="P557" s="38"/>
      <c r="Q557" s="12" t="str">
        <f t="shared" si="38"/>
        <v/>
      </c>
      <c r="R557" s="50"/>
      <c r="S557" s="50"/>
      <c r="T557" s="50"/>
      <c r="U557" s="53"/>
      <c r="V557" s="54"/>
      <c r="W557" s="56"/>
      <c r="X557" s="119"/>
      <c r="Y557" s="113"/>
      <c r="Z557" s="113"/>
    </row>
    <row r="558">
      <c r="A558" s="38">
        <v>298.0</v>
      </c>
      <c r="B558" s="38"/>
      <c r="C558" s="38"/>
      <c r="D558" s="38"/>
      <c r="E558" s="38" t="s">
        <v>1187</v>
      </c>
      <c r="F558" s="41" t="s">
        <v>1188</v>
      </c>
      <c r="G558" s="43"/>
      <c r="H558" s="45"/>
      <c r="I558" s="38"/>
      <c r="J558" s="38">
        <f>15*1000</f>
        <v>15000</v>
      </c>
      <c r="K558" s="46">
        <v>0.021585648148148145</v>
      </c>
      <c r="L558" s="47" t="s">
        <v>1048</v>
      </c>
      <c r="M558" s="46"/>
      <c r="N558" s="46"/>
      <c r="O558" s="38"/>
      <c r="P558" s="38"/>
      <c r="Q558" s="12" t="str">
        <f t="shared" si="38"/>
        <v/>
      </c>
      <c r="R558" s="50"/>
      <c r="S558" s="50"/>
      <c r="T558" s="50"/>
      <c r="U558" s="53"/>
      <c r="V558" s="54"/>
      <c r="W558" s="56"/>
      <c r="X558" s="119"/>
      <c r="Y558" s="113"/>
      <c r="Z558" s="113"/>
    </row>
    <row r="559">
      <c r="A559" s="38">
        <v>299.0</v>
      </c>
      <c r="B559" s="38"/>
      <c r="C559" s="38"/>
      <c r="D559" s="38"/>
      <c r="E559" s="38" t="s">
        <v>1189</v>
      </c>
      <c r="F559" s="41" t="s">
        <v>1190</v>
      </c>
      <c r="G559" s="43"/>
      <c r="H559" s="45"/>
      <c r="I559" s="38"/>
      <c r="J559" s="38">
        <f>3.1*1000</f>
        <v>3100</v>
      </c>
      <c r="K559" s="46">
        <v>0.06766203703703703</v>
      </c>
      <c r="L559" s="47" t="s">
        <v>1048</v>
      </c>
      <c r="M559" s="46"/>
      <c r="N559" s="46"/>
      <c r="O559" s="38"/>
      <c r="P559" s="38"/>
      <c r="Q559" s="12" t="str">
        <f t="shared" si="38"/>
        <v/>
      </c>
      <c r="R559" s="50"/>
      <c r="S559" s="50"/>
      <c r="T559" s="50"/>
      <c r="U559" s="53"/>
      <c r="V559" s="54"/>
      <c r="W559" s="56"/>
      <c r="X559" s="119"/>
      <c r="Y559" s="113"/>
      <c r="Z559" s="113"/>
    </row>
    <row r="560">
      <c r="A560" s="38">
        <v>300.0</v>
      </c>
      <c r="B560" s="38"/>
      <c r="C560" s="38"/>
      <c r="D560" s="38"/>
      <c r="E560" s="38" t="s">
        <v>1193</v>
      </c>
      <c r="F560" s="41" t="s">
        <v>1194</v>
      </c>
      <c r="G560" s="43"/>
      <c r="H560" s="45"/>
      <c r="I560" s="38"/>
      <c r="J560" s="38">
        <f>27*1000</f>
        <v>27000</v>
      </c>
      <c r="K560" s="46">
        <v>0.11447916666666667</v>
      </c>
      <c r="L560" s="47" t="s">
        <v>1048</v>
      </c>
      <c r="M560" s="46"/>
      <c r="N560" s="46"/>
      <c r="O560" s="38"/>
      <c r="P560" s="38"/>
      <c r="Q560" s="12" t="str">
        <f t="shared" si="38"/>
        <v/>
      </c>
      <c r="R560" s="50"/>
      <c r="S560" s="50"/>
      <c r="T560" s="50"/>
      <c r="U560" s="53"/>
      <c r="V560" s="54"/>
      <c r="W560" s="56"/>
      <c r="X560" s="119"/>
      <c r="Y560" s="113"/>
      <c r="Z560" s="113"/>
    </row>
    <row r="561">
      <c r="A561" s="38">
        <v>301.0</v>
      </c>
      <c r="B561" s="38"/>
      <c r="C561" s="38"/>
      <c r="D561" s="38"/>
      <c r="E561" s="38" t="s">
        <v>1199</v>
      </c>
      <c r="F561" s="41" t="s">
        <v>1200</v>
      </c>
      <c r="G561" s="43"/>
      <c r="H561" s="45"/>
      <c r="I561" s="38"/>
      <c r="J561" s="38">
        <f>4.6*1000</f>
        <v>4600</v>
      </c>
      <c r="K561" s="46">
        <v>0.0955787037037037</v>
      </c>
      <c r="L561" s="47" t="s">
        <v>1048</v>
      </c>
      <c r="M561" s="46"/>
      <c r="N561" s="46"/>
      <c r="O561" s="38"/>
      <c r="P561" s="38"/>
      <c r="Q561" s="12" t="str">
        <f t="shared" si="38"/>
        <v/>
      </c>
      <c r="R561" s="50"/>
      <c r="S561" s="50"/>
      <c r="T561" s="50"/>
      <c r="U561" s="53"/>
      <c r="V561" s="54"/>
      <c r="W561" s="56"/>
      <c r="X561" s="119"/>
      <c r="Y561" s="113"/>
      <c r="Z561" s="113"/>
    </row>
    <row r="562">
      <c r="A562" s="38">
        <v>302.0</v>
      </c>
      <c r="B562" s="38"/>
      <c r="C562" s="38"/>
      <c r="D562" s="38"/>
      <c r="E562" s="38" t="s">
        <v>1203</v>
      </c>
      <c r="F562" s="41" t="s">
        <v>1204</v>
      </c>
      <c r="G562" s="43"/>
      <c r="H562" s="45"/>
      <c r="I562" s="38"/>
      <c r="J562" s="38">
        <f>27*1000</f>
        <v>27000</v>
      </c>
      <c r="K562" s="46">
        <v>0.04047453703703704</v>
      </c>
      <c r="L562" s="47" t="s">
        <v>1048</v>
      </c>
      <c r="M562" s="46"/>
      <c r="N562" s="46"/>
      <c r="O562" s="38"/>
      <c r="P562" s="38"/>
      <c r="Q562" s="12" t="str">
        <f t="shared" si="38"/>
        <v/>
      </c>
      <c r="R562" s="50"/>
      <c r="S562" s="50"/>
      <c r="T562" s="50"/>
      <c r="U562" s="53"/>
      <c r="V562" s="54"/>
      <c r="W562" s="56"/>
      <c r="X562" s="119"/>
      <c r="Y562" s="113"/>
      <c r="Z562" s="113"/>
    </row>
    <row r="563">
      <c r="A563" s="38">
        <v>303.0</v>
      </c>
      <c r="B563" s="38"/>
      <c r="C563" s="38"/>
      <c r="D563" s="38"/>
      <c r="E563" s="38" t="s">
        <v>1209</v>
      </c>
      <c r="F563" s="41" t="s">
        <v>1210</v>
      </c>
      <c r="G563" s="43"/>
      <c r="H563" s="45"/>
      <c r="I563" s="38"/>
      <c r="J563" s="38">
        <f>7.5*1000</f>
        <v>7500</v>
      </c>
      <c r="K563" s="46">
        <v>0.09998842592592593</v>
      </c>
      <c r="L563" s="47" t="s">
        <v>1048</v>
      </c>
      <c r="M563" s="46"/>
      <c r="N563" s="46"/>
      <c r="O563" s="38"/>
      <c r="P563" s="38"/>
      <c r="Q563" s="12" t="str">
        <f t="shared" si="38"/>
        <v/>
      </c>
      <c r="R563" s="50"/>
      <c r="S563" s="50"/>
      <c r="T563" s="50"/>
      <c r="U563" s="53"/>
      <c r="V563" s="54"/>
      <c r="W563" s="56"/>
      <c r="X563" s="119"/>
      <c r="Y563" s="113"/>
      <c r="Z563" s="113"/>
    </row>
    <row r="564">
      <c r="A564" s="38">
        <v>304.0</v>
      </c>
      <c r="B564" s="38"/>
      <c r="C564" s="38"/>
      <c r="D564" s="38"/>
      <c r="E564" s="38" t="s">
        <v>1212</v>
      </c>
      <c r="F564" s="41" t="s">
        <v>1213</v>
      </c>
      <c r="G564" s="43"/>
      <c r="H564" s="45"/>
      <c r="I564" s="38"/>
      <c r="J564" s="38">
        <f>5.7*1000</f>
        <v>5700</v>
      </c>
      <c r="K564" s="46">
        <v>0.08685185185185185</v>
      </c>
      <c r="L564" s="47" t="s">
        <v>1048</v>
      </c>
      <c r="M564" s="46"/>
      <c r="N564" s="46"/>
      <c r="O564" s="38"/>
      <c r="P564" s="38"/>
      <c r="Q564" s="12" t="str">
        <f t="shared" si="38"/>
        <v/>
      </c>
      <c r="R564" s="50"/>
      <c r="S564" s="50"/>
      <c r="T564" s="50"/>
      <c r="U564" s="53"/>
      <c r="V564" s="54"/>
      <c r="W564" s="56"/>
      <c r="X564" s="119"/>
      <c r="Y564" s="113"/>
      <c r="Z564" s="113"/>
    </row>
    <row r="565">
      <c r="A565" s="38">
        <v>305.0</v>
      </c>
      <c r="B565" s="38"/>
      <c r="C565" s="38"/>
      <c r="D565" s="38"/>
      <c r="E565" s="38" t="s">
        <v>1219</v>
      </c>
      <c r="F565" s="41" t="s">
        <v>1220</v>
      </c>
      <c r="G565" s="43"/>
      <c r="H565" s="45"/>
      <c r="I565" s="38"/>
      <c r="J565" s="38">
        <f>20*1000</f>
        <v>20000</v>
      </c>
      <c r="K565" s="46">
        <v>0.1057523148148148</v>
      </c>
      <c r="L565" s="47" t="s">
        <v>1048</v>
      </c>
      <c r="M565" s="46"/>
      <c r="N565" s="46"/>
      <c r="O565" s="38"/>
      <c r="P565" s="38"/>
      <c r="Q565" s="12" t="str">
        <f t="shared" si="38"/>
        <v/>
      </c>
      <c r="R565" s="50"/>
      <c r="S565" s="50"/>
      <c r="T565" s="50"/>
      <c r="U565" s="53"/>
      <c r="V565" s="54"/>
      <c r="W565" s="56"/>
      <c r="X565" s="119"/>
      <c r="Y565" s="113"/>
      <c r="Z565" s="113"/>
    </row>
    <row r="566">
      <c r="A566" s="38">
        <v>306.0</v>
      </c>
      <c r="B566" s="38"/>
      <c r="C566" s="38"/>
      <c r="D566" s="38"/>
      <c r="E566" s="38" t="s">
        <v>1227</v>
      </c>
      <c r="F566" s="41" t="s">
        <v>1228</v>
      </c>
      <c r="G566" s="43"/>
      <c r="H566" s="45"/>
      <c r="I566" s="38"/>
      <c r="J566" s="38">
        <f>6.3*1000</f>
        <v>6300</v>
      </c>
      <c r="K566" s="46">
        <v>0.05416666666666667</v>
      </c>
      <c r="L566" s="47" t="s">
        <v>1048</v>
      </c>
      <c r="M566" s="46"/>
      <c r="N566" s="46"/>
      <c r="O566" s="38"/>
      <c r="P566" s="38"/>
      <c r="Q566" s="12" t="str">
        <f t="shared" si="38"/>
        <v/>
      </c>
      <c r="R566" s="50"/>
      <c r="S566" s="50"/>
      <c r="T566" s="50"/>
      <c r="U566" s="53"/>
      <c r="V566" s="54"/>
      <c r="W566" s="56"/>
      <c r="X566" s="119"/>
      <c r="Y566" s="113"/>
      <c r="Z566" s="113"/>
    </row>
    <row r="567">
      <c r="A567" s="38">
        <v>307.0</v>
      </c>
      <c r="B567" s="38"/>
      <c r="C567" s="38"/>
      <c r="D567" s="38"/>
      <c r="E567" s="38" t="s">
        <v>1235</v>
      </c>
      <c r="F567" s="41" t="s">
        <v>1237</v>
      </c>
      <c r="G567" s="43"/>
      <c r="H567" s="45"/>
      <c r="I567" s="38"/>
      <c r="J567" s="38">
        <f>6.8*1000</f>
        <v>6800</v>
      </c>
      <c r="K567" s="46">
        <v>0.07585648148148148</v>
      </c>
      <c r="L567" s="47" t="s">
        <v>1048</v>
      </c>
      <c r="M567" s="46"/>
      <c r="N567" s="46"/>
      <c r="O567" s="38"/>
      <c r="P567" s="38"/>
      <c r="Q567" s="12" t="str">
        <f t="shared" si="38"/>
        <v/>
      </c>
      <c r="R567" s="50"/>
      <c r="S567" s="50"/>
      <c r="T567" s="50"/>
      <c r="U567" s="53"/>
      <c r="V567" s="54"/>
      <c r="W567" s="56"/>
      <c r="X567" s="119"/>
      <c r="Y567" s="113"/>
      <c r="Z567" s="113"/>
    </row>
    <row r="568">
      <c r="A568" s="38">
        <v>308.0</v>
      </c>
      <c r="B568" s="38"/>
      <c r="C568" s="38"/>
      <c r="D568" s="38"/>
      <c r="E568" s="38" t="s">
        <v>1241</v>
      </c>
      <c r="F568" s="41" t="s">
        <v>1242</v>
      </c>
      <c r="G568" s="43"/>
      <c r="H568" s="45"/>
      <c r="I568" s="38"/>
      <c r="J568" s="38">
        <f>9.9*1000</f>
        <v>9900</v>
      </c>
      <c r="K568" s="46">
        <v>0.06229166666666667</v>
      </c>
      <c r="L568" s="47" t="s">
        <v>1048</v>
      </c>
      <c r="M568" s="46"/>
      <c r="N568" s="46"/>
      <c r="O568" s="38"/>
      <c r="P568" s="38"/>
      <c r="Q568" s="12" t="str">
        <f t="shared" si="38"/>
        <v/>
      </c>
      <c r="R568" s="50"/>
      <c r="S568" s="50"/>
      <c r="T568" s="50"/>
      <c r="U568" s="53"/>
      <c r="V568" s="54"/>
      <c r="W568" s="56"/>
      <c r="X568" s="119"/>
      <c r="Y568" s="113"/>
      <c r="Z568" s="113"/>
    </row>
    <row r="569">
      <c r="A569" s="38">
        <v>309.0</v>
      </c>
      <c r="B569" s="38"/>
      <c r="C569" s="38"/>
      <c r="D569" s="38"/>
      <c r="E569" s="38" t="s">
        <v>1243</v>
      </c>
      <c r="F569" s="41" t="s">
        <v>1244</v>
      </c>
      <c r="G569" s="43"/>
      <c r="H569" s="45"/>
      <c r="I569" s="38"/>
      <c r="J569" s="38">
        <f>849</f>
        <v>849</v>
      </c>
      <c r="K569" s="46">
        <v>0.003900462962962963</v>
      </c>
      <c r="L569" s="47" t="s">
        <v>1048</v>
      </c>
      <c r="M569" s="46"/>
      <c r="N569" s="46"/>
      <c r="O569" s="38"/>
      <c r="P569" s="38"/>
      <c r="Q569" s="12" t="str">
        <f t="shared" si="38"/>
        <v/>
      </c>
      <c r="R569" s="50"/>
      <c r="S569" s="50"/>
      <c r="T569" s="50"/>
      <c r="U569" s="53"/>
      <c r="V569" s="54"/>
      <c r="W569" s="56"/>
      <c r="X569" s="119"/>
      <c r="Y569" s="113"/>
      <c r="Z569" s="113"/>
    </row>
    <row r="570">
      <c r="A570" s="38">
        <v>310.0</v>
      </c>
      <c r="B570" s="38"/>
      <c r="C570" s="38"/>
      <c r="D570" s="38"/>
      <c r="E570" s="38" t="s">
        <v>1247</v>
      </c>
      <c r="F570" s="41" t="s">
        <v>1248</v>
      </c>
      <c r="G570" s="43"/>
      <c r="H570" s="45"/>
      <c r="I570" s="38"/>
      <c r="J570" s="38">
        <f>799</f>
        <v>799</v>
      </c>
      <c r="K570" s="46">
        <v>0.0038541666666666668</v>
      </c>
      <c r="L570" s="47" t="s">
        <v>1048</v>
      </c>
      <c r="M570" s="46"/>
      <c r="N570" s="46"/>
      <c r="O570" s="38"/>
      <c r="P570" s="38"/>
      <c r="Q570" s="12" t="str">
        <f t="shared" si="38"/>
        <v/>
      </c>
      <c r="R570" s="50"/>
      <c r="S570" s="50"/>
      <c r="T570" s="50"/>
      <c r="U570" s="53"/>
      <c r="V570" s="54"/>
      <c r="W570" s="56"/>
      <c r="X570" s="119"/>
      <c r="Y570" s="113"/>
      <c r="Z570" s="113"/>
    </row>
    <row r="571">
      <c r="A571" s="38">
        <v>311.0</v>
      </c>
      <c r="B571" s="38"/>
      <c r="C571" s="38"/>
      <c r="D571" s="38"/>
      <c r="E571" s="38" t="s">
        <v>1251</v>
      </c>
      <c r="F571" s="41" t="s">
        <v>1252</v>
      </c>
      <c r="G571" s="43"/>
      <c r="H571" s="45"/>
      <c r="I571" s="38"/>
      <c r="J571" s="38">
        <f t="shared" ref="J571:J572" si="44">1.4*1000</f>
        <v>1400</v>
      </c>
      <c r="K571" s="46">
        <v>0.004872685185185186</v>
      </c>
      <c r="L571" s="47" t="s">
        <v>1048</v>
      </c>
      <c r="M571" s="46"/>
      <c r="N571" s="46"/>
      <c r="O571" s="38"/>
      <c r="P571" s="38"/>
      <c r="Q571" s="12" t="str">
        <f t="shared" si="38"/>
        <v/>
      </c>
      <c r="R571" s="50"/>
      <c r="S571" s="50"/>
      <c r="T571" s="50"/>
      <c r="U571" s="53"/>
      <c r="V571" s="54"/>
      <c r="W571" s="56"/>
      <c r="X571" s="119"/>
      <c r="Y571" s="113"/>
      <c r="Z571" s="113"/>
    </row>
    <row r="572">
      <c r="A572" s="38">
        <v>312.0</v>
      </c>
      <c r="B572" s="38"/>
      <c r="C572" s="38"/>
      <c r="D572" s="38"/>
      <c r="E572" s="38" t="s">
        <v>1258</v>
      </c>
      <c r="F572" s="41" t="s">
        <v>1259</v>
      </c>
      <c r="G572" s="43"/>
      <c r="H572" s="45"/>
      <c r="I572" s="38"/>
      <c r="J572" s="38">
        <f t="shared" si="44"/>
        <v>1400</v>
      </c>
      <c r="K572" s="46">
        <v>0.008749999999999999</v>
      </c>
      <c r="L572" s="47" t="s">
        <v>1048</v>
      </c>
      <c r="M572" s="46"/>
      <c r="N572" s="46"/>
      <c r="O572" s="38"/>
      <c r="P572" s="38"/>
      <c r="Q572" s="12" t="str">
        <f t="shared" si="38"/>
        <v/>
      </c>
      <c r="R572" s="50"/>
      <c r="S572" s="50"/>
      <c r="T572" s="50"/>
      <c r="U572" s="53"/>
      <c r="V572" s="54"/>
      <c r="W572" s="56"/>
      <c r="X572" s="119"/>
      <c r="Y572" s="113"/>
      <c r="Z572" s="113"/>
    </row>
    <row r="573">
      <c r="A573" s="38">
        <v>313.0</v>
      </c>
      <c r="B573" s="38"/>
      <c r="C573" s="38"/>
      <c r="D573" s="38"/>
      <c r="E573" s="38" t="s">
        <v>1261</v>
      </c>
      <c r="F573" s="41" t="s">
        <v>1262</v>
      </c>
      <c r="G573" s="43"/>
      <c r="H573" s="45"/>
      <c r="I573" s="38"/>
      <c r="J573" s="38">
        <f>3.5*1000</f>
        <v>3500</v>
      </c>
      <c r="K573" s="46">
        <v>0.011180555555555556</v>
      </c>
      <c r="L573" s="47" t="s">
        <v>1048</v>
      </c>
      <c r="M573" s="46"/>
      <c r="N573" s="46"/>
      <c r="O573" s="38"/>
      <c r="P573" s="38"/>
      <c r="Q573" s="12" t="str">
        <f t="shared" si="38"/>
        <v/>
      </c>
      <c r="R573" s="50"/>
      <c r="S573" s="50"/>
      <c r="T573" s="50"/>
      <c r="U573" s="53"/>
      <c r="V573" s="54"/>
      <c r="W573" s="56"/>
      <c r="X573" s="119"/>
      <c r="Y573" s="113"/>
      <c r="Z573" s="113"/>
    </row>
    <row r="574">
      <c r="A574" s="38">
        <v>314.0</v>
      </c>
      <c r="B574" s="38"/>
      <c r="C574" s="38"/>
      <c r="D574" s="38"/>
      <c r="E574" s="38" t="s">
        <v>1263</v>
      </c>
      <c r="F574" s="41" t="s">
        <v>1264</v>
      </c>
      <c r="G574" s="43"/>
      <c r="H574" s="45"/>
      <c r="I574" s="38"/>
      <c r="J574" s="38">
        <f>2.6*1000</f>
        <v>2600</v>
      </c>
      <c r="K574" s="46">
        <v>0.02466435185185185</v>
      </c>
      <c r="L574" s="47" t="s">
        <v>1048</v>
      </c>
      <c r="M574" s="46"/>
      <c r="N574" s="46"/>
      <c r="O574" s="38"/>
      <c r="P574" s="38"/>
      <c r="Q574" s="12" t="str">
        <f t="shared" si="38"/>
        <v/>
      </c>
      <c r="R574" s="50"/>
      <c r="S574" s="50"/>
      <c r="T574" s="50"/>
      <c r="U574" s="53"/>
      <c r="V574" s="54"/>
      <c r="W574" s="56"/>
      <c r="X574" s="119"/>
      <c r="Y574" s="113"/>
      <c r="Z574" s="113"/>
    </row>
    <row r="575">
      <c r="A575" s="38">
        <v>315.0</v>
      </c>
      <c r="B575" s="38"/>
      <c r="C575" s="38"/>
      <c r="D575" s="38"/>
      <c r="E575" s="38" t="s">
        <v>1265</v>
      </c>
      <c r="F575" s="41" t="s">
        <v>1266</v>
      </c>
      <c r="G575" s="43"/>
      <c r="H575" s="45"/>
      <c r="I575" s="38"/>
      <c r="J575" s="38">
        <f>2.9*1000</f>
        <v>2900</v>
      </c>
      <c r="K575" s="46">
        <v>0.022835648148148147</v>
      </c>
      <c r="L575" s="47" t="s">
        <v>1048</v>
      </c>
      <c r="M575" s="46"/>
      <c r="N575" s="46"/>
      <c r="O575" s="38"/>
      <c r="P575" s="38"/>
      <c r="Q575" s="12" t="str">
        <f t="shared" si="38"/>
        <v/>
      </c>
      <c r="R575" s="50"/>
      <c r="S575" s="50"/>
      <c r="T575" s="50"/>
      <c r="U575" s="53"/>
      <c r="V575" s="54"/>
      <c r="W575" s="56"/>
      <c r="X575" s="119"/>
      <c r="Y575" s="113"/>
      <c r="Z575" s="113"/>
    </row>
    <row r="576">
      <c r="A576" s="38">
        <v>316.0</v>
      </c>
      <c r="B576" s="38"/>
      <c r="C576" s="38"/>
      <c r="D576" s="38"/>
      <c r="E576" s="38" t="s">
        <v>1267</v>
      </c>
      <c r="F576" s="41" t="s">
        <v>1268</v>
      </c>
      <c r="G576" s="43"/>
      <c r="H576" s="45"/>
      <c r="I576" s="38"/>
      <c r="J576" s="38">
        <f>6*1000</f>
        <v>6000</v>
      </c>
      <c r="K576" s="46">
        <v>0.020949074074074075</v>
      </c>
      <c r="L576" s="47" t="s">
        <v>1048</v>
      </c>
      <c r="M576" s="46"/>
      <c r="N576" s="46"/>
      <c r="O576" s="38"/>
      <c r="P576" s="38"/>
      <c r="Q576" s="12" t="str">
        <f t="shared" si="38"/>
        <v/>
      </c>
      <c r="R576" s="50"/>
      <c r="S576" s="50"/>
      <c r="T576" s="50"/>
      <c r="U576" s="53"/>
      <c r="V576" s="54"/>
      <c r="W576" s="56"/>
      <c r="X576" s="119"/>
      <c r="Y576" s="113"/>
      <c r="Z576" s="113"/>
    </row>
    <row r="577">
      <c r="A577" s="38">
        <v>317.0</v>
      </c>
      <c r="B577" s="38"/>
      <c r="C577" s="38"/>
      <c r="D577" s="38"/>
      <c r="E577" s="38" t="s">
        <v>1269</v>
      </c>
      <c r="F577" s="41" t="s">
        <v>1270</v>
      </c>
      <c r="G577" s="43"/>
      <c r="H577" s="45"/>
      <c r="I577" s="38"/>
      <c r="J577" s="38">
        <f>3*1000</f>
        <v>3000</v>
      </c>
      <c r="K577" s="46">
        <v>0.011597222222222222</v>
      </c>
      <c r="L577" s="47" t="s">
        <v>1048</v>
      </c>
      <c r="M577" s="46"/>
      <c r="N577" s="46"/>
      <c r="O577" s="38"/>
      <c r="P577" s="38"/>
      <c r="Q577" s="12" t="str">
        <f t="shared" si="38"/>
        <v/>
      </c>
      <c r="R577" s="50"/>
      <c r="S577" s="50"/>
      <c r="T577" s="50"/>
      <c r="U577" s="53"/>
      <c r="V577" s="54"/>
      <c r="W577" s="56"/>
      <c r="X577" s="119"/>
      <c r="Y577" s="113"/>
      <c r="Z577" s="113"/>
    </row>
    <row r="578">
      <c r="A578" s="38">
        <v>318.0</v>
      </c>
      <c r="B578" s="38"/>
      <c r="C578" s="38"/>
      <c r="D578" s="38"/>
      <c r="E578" s="38" t="s">
        <v>1271</v>
      </c>
      <c r="F578" s="41" t="s">
        <v>1272</v>
      </c>
      <c r="G578" s="43"/>
      <c r="H578" s="45"/>
      <c r="I578" s="38"/>
      <c r="J578" s="38">
        <f>70*1000</f>
        <v>70000</v>
      </c>
      <c r="K578" s="46">
        <v>0.06600694444444444</v>
      </c>
      <c r="L578" s="47" t="s">
        <v>1048</v>
      </c>
      <c r="M578" s="46"/>
      <c r="N578" s="46"/>
      <c r="O578" s="38"/>
      <c r="P578" s="38"/>
      <c r="Q578" s="12" t="str">
        <f t="shared" si="38"/>
        <v/>
      </c>
      <c r="R578" s="50"/>
      <c r="S578" s="50"/>
      <c r="T578" s="50"/>
      <c r="U578" s="53"/>
      <c r="V578" s="54"/>
      <c r="W578" s="56"/>
      <c r="X578" s="119"/>
      <c r="Y578" s="113"/>
      <c r="Z578" s="113"/>
    </row>
    <row r="579">
      <c r="A579" s="38">
        <v>319.0</v>
      </c>
      <c r="B579" s="38"/>
      <c r="C579" s="38"/>
      <c r="D579" s="38"/>
      <c r="E579" s="38" t="s">
        <v>1273</v>
      </c>
      <c r="F579" s="41" t="s">
        <v>1274</v>
      </c>
      <c r="G579" s="43"/>
      <c r="H579" s="45"/>
      <c r="I579" s="38"/>
      <c r="J579" s="38">
        <f>28*1000</f>
        <v>28000</v>
      </c>
      <c r="K579" s="46">
        <v>0.09258101851851852</v>
      </c>
      <c r="L579" s="47" t="s">
        <v>1048</v>
      </c>
      <c r="M579" s="46"/>
      <c r="N579" s="46"/>
      <c r="O579" s="38"/>
      <c r="P579" s="38"/>
      <c r="Q579" s="12" t="str">
        <f t="shared" si="38"/>
        <v/>
      </c>
      <c r="R579" s="50"/>
      <c r="S579" s="50"/>
      <c r="T579" s="50"/>
      <c r="U579" s="53"/>
      <c r="V579" s="54"/>
      <c r="W579" s="56"/>
      <c r="X579" s="119"/>
      <c r="Y579" s="113"/>
      <c r="Z579" s="113"/>
    </row>
    <row r="580">
      <c r="A580" s="38">
        <v>320.0</v>
      </c>
      <c r="B580" s="38"/>
      <c r="C580" s="38"/>
      <c r="D580" s="38"/>
      <c r="E580" s="38" t="s">
        <v>1275</v>
      </c>
      <c r="F580" s="41" t="s">
        <v>1276</v>
      </c>
      <c r="G580" s="43"/>
      <c r="H580" s="45"/>
      <c r="I580" s="38"/>
      <c r="J580" s="38">
        <f>1.9*1000</f>
        <v>1900</v>
      </c>
      <c r="K580" s="46">
        <v>0.0024652777777777776</v>
      </c>
      <c r="L580" s="47" t="s">
        <v>1048</v>
      </c>
      <c r="M580" s="46"/>
      <c r="N580" s="46"/>
      <c r="O580" s="38"/>
      <c r="P580" s="38"/>
      <c r="Q580" s="12" t="str">
        <f t="shared" si="38"/>
        <v/>
      </c>
      <c r="R580" s="50"/>
      <c r="S580" s="50"/>
      <c r="T580" s="50"/>
      <c r="U580" s="53"/>
      <c r="V580" s="54"/>
      <c r="W580" s="56"/>
      <c r="X580" s="119"/>
      <c r="Y580" s="113"/>
      <c r="Z580" s="113"/>
    </row>
    <row r="581">
      <c r="A581" s="38">
        <v>321.0</v>
      </c>
      <c r="B581" s="38"/>
      <c r="C581" s="38"/>
      <c r="D581" s="38"/>
      <c r="E581" s="38" t="s">
        <v>1277</v>
      </c>
      <c r="F581" s="41" t="s">
        <v>1278</v>
      </c>
      <c r="G581" s="43"/>
      <c r="H581" s="45"/>
      <c r="I581" s="38"/>
      <c r="J581" s="38">
        <f>2.1*1000</f>
        <v>2100</v>
      </c>
      <c r="K581" s="46">
        <v>0.001712962962962963</v>
      </c>
      <c r="L581" s="47" t="s">
        <v>1048</v>
      </c>
      <c r="M581" s="46"/>
      <c r="N581" s="46"/>
      <c r="O581" s="38"/>
      <c r="P581" s="38"/>
      <c r="Q581" s="12" t="str">
        <f t="shared" si="38"/>
        <v/>
      </c>
      <c r="R581" s="50"/>
      <c r="S581" s="50"/>
      <c r="T581" s="50"/>
      <c r="U581" s="53"/>
      <c r="V581" s="54"/>
      <c r="W581" s="56"/>
      <c r="X581" s="119"/>
      <c r="Y581" s="113"/>
      <c r="Z581" s="113"/>
    </row>
    <row r="582">
      <c r="A582" s="38">
        <v>322.0</v>
      </c>
      <c r="B582" s="38"/>
      <c r="C582" s="38"/>
      <c r="D582" s="38"/>
      <c r="E582" s="38" t="s">
        <v>1279</v>
      </c>
      <c r="F582" s="41" t="s">
        <v>1280</v>
      </c>
      <c r="G582" s="43"/>
      <c r="H582" s="45"/>
      <c r="I582" s="38"/>
      <c r="J582" s="38">
        <f>7.6*1000</f>
        <v>7600</v>
      </c>
      <c r="K582" s="46">
        <v>0.0034490740740740745</v>
      </c>
      <c r="L582" s="47" t="s">
        <v>1048</v>
      </c>
      <c r="M582" s="46"/>
      <c r="N582" s="46"/>
      <c r="O582" s="38"/>
      <c r="P582" s="38"/>
      <c r="Q582" s="12" t="str">
        <f t="shared" si="38"/>
        <v/>
      </c>
      <c r="R582" s="50"/>
      <c r="S582" s="50"/>
      <c r="T582" s="50"/>
      <c r="U582" s="53"/>
      <c r="V582" s="54"/>
      <c r="W582" s="56"/>
      <c r="X582" s="119"/>
      <c r="Y582" s="113"/>
      <c r="Z582" s="113"/>
    </row>
    <row r="583">
      <c r="A583" s="38">
        <v>323.0</v>
      </c>
      <c r="B583" s="38"/>
      <c r="C583" s="38"/>
      <c r="D583" s="38"/>
      <c r="E583" s="38" t="s">
        <v>1281</v>
      </c>
      <c r="F583" s="41" t="s">
        <v>1282</v>
      </c>
      <c r="G583" s="43"/>
      <c r="H583" s="45"/>
      <c r="I583" s="38"/>
      <c r="J583" s="38">
        <f>944</f>
        <v>944</v>
      </c>
      <c r="K583" s="46">
        <v>0.009479166666666667</v>
      </c>
      <c r="L583" s="47" t="s">
        <v>1048</v>
      </c>
      <c r="M583" s="46"/>
      <c r="N583" s="46"/>
      <c r="O583" s="38"/>
      <c r="P583" s="38"/>
      <c r="Q583" s="12" t="str">
        <f t="shared" si="38"/>
        <v/>
      </c>
      <c r="R583" s="50"/>
      <c r="S583" s="50"/>
      <c r="T583" s="50"/>
      <c r="U583" s="53"/>
      <c r="V583" s="54"/>
      <c r="W583" s="56"/>
      <c r="X583" s="119"/>
      <c r="Y583" s="113"/>
      <c r="Z583" s="113"/>
    </row>
    <row r="584">
      <c r="A584" s="38">
        <v>324.0</v>
      </c>
      <c r="B584" s="38"/>
      <c r="C584" s="38"/>
      <c r="D584" s="38"/>
      <c r="E584" s="38" t="s">
        <v>1283</v>
      </c>
      <c r="F584" s="41" t="s">
        <v>1284</v>
      </c>
      <c r="G584" s="43"/>
      <c r="H584" s="45"/>
      <c r="I584" s="38"/>
      <c r="J584" s="38">
        <f>545</f>
        <v>545</v>
      </c>
      <c r="K584" s="46">
        <v>0.001597222222222222</v>
      </c>
      <c r="L584" s="47" t="s">
        <v>1048</v>
      </c>
      <c r="M584" s="46"/>
      <c r="N584" s="46"/>
      <c r="O584" s="38"/>
      <c r="P584" s="38"/>
      <c r="Q584" s="12" t="str">
        <f t="shared" si="38"/>
        <v/>
      </c>
      <c r="R584" s="50"/>
      <c r="S584" s="50"/>
      <c r="T584" s="50"/>
      <c r="U584" s="53"/>
      <c r="V584" s="54"/>
      <c r="W584" s="56"/>
      <c r="X584" s="119"/>
      <c r="Y584" s="113"/>
      <c r="Z584" s="113"/>
    </row>
    <row r="585">
      <c r="A585" s="38">
        <v>325.0</v>
      </c>
      <c r="B585" s="38"/>
      <c r="C585" s="38"/>
      <c r="D585" s="38"/>
      <c r="E585" s="38" t="s">
        <v>1285</v>
      </c>
      <c r="F585" s="41" t="s">
        <v>1286</v>
      </c>
      <c r="G585" s="43"/>
      <c r="H585" s="45"/>
      <c r="I585" s="38"/>
      <c r="J585" s="38">
        <f>626</f>
        <v>626</v>
      </c>
      <c r="K585" s="46">
        <v>0.001574074074074074</v>
      </c>
      <c r="L585" s="47" t="s">
        <v>1048</v>
      </c>
      <c r="M585" s="46"/>
      <c r="N585" s="46"/>
      <c r="O585" s="38"/>
      <c r="P585" s="38"/>
      <c r="Q585" s="12" t="str">
        <f t="shared" si="38"/>
        <v/>
      </c>
      <c r="R585" s="50"/>
      <c r="S585" s="50"/>
      <c r="T585" s="50"/>
      <c r="U585" s="53"/>
      <c r="V585" s="54"/>
      <c r="W585" s="56"/>
      <c r="X585" s="119"/>
      <c r="Y585" s="113"/>
      <c r="Z585" s="113"/>
    </row>
    <row r="586">
      <c r="A586" s="38">
        <v>326.0</v>
      </c>
      <c r="B586" s="38"/>
      <c r="C586" s="38"/>
      <c r="D586" s="38"/>
      <c r="E586" s="38" t="s">
        <v>1287</v>
      </c>
      <c r="F586" s="41" t="s">
        <v>1288</v>
      </c>
      <c r="G586" s="43"/>
      <c r="H586" s="45"/>
      <c r="I586" s="38"/>
      <c r="J586" s="38">
        <f>1.5*1000</f>
        <v>1500</v>
      </c>
      <c r="K586" s="46">
        <v>0.005486111111111112</v>
      </c>
      <c r="L586" s="47" t="s">
        <v>1048</v>
      </c>
      <c r="M586" s="46"/>
      <c r="N586" s="46"/>
      <c r="O586" s="38"/>
      <c r="P586" s="38"/>
      <c r="Q586" s="12" t="str">
        <f t="shared" si="38"/>
        <v/>
      </c>
      <c r="R586" s="50"/>
      <c r="S586" s="50"/>
      <c r="T586" s="50"/>
      <c r="U586" s="53"/>
      <c r="V586" s="54"/>
      <c r="W586" s="56"/>
      <c r="X586" s="119"/>
      <c r="Y586" s="113"/>
      <c r="Z586" s="113"/>
    </row>
    <row r="587">
      <c r="A587" s="38">
        <v>327.0</v>
      </c>
      <c r="B587" s="38"/>
      <c r="C587" s="38"/>
      <c r="D587" s="38"/>
      <c r="E587" s="38" t="s">
        <v>1289</v>
      </c>
      <c r="F587" s="41" t="s">
        <v>1290</v>
      </c>
      <c r="G587" s="43"/>
      <c r="H587" s="45"/>
      <c r="I587" s="38"/>
      <c r="J587" s="38">
        <f>1.6*1000</f>
        <v>1600</v>
      </c>
      <c r="K587" s="46">
        <v>0.005069444444444444</v>
      </c>
      <c r="L587" s="47" t="s">
        <v>1048</v>
      </c>
      <c r="M587" s="46"/>
      <c r="N587" s="46"/>
      <c r="O587" s="38"/>
      <c r="P587" s="38"/>
      <c r="Q587" s="12" t="str">
        <f t="shared" si="38"/>
        <v/>
      </c>
      <c r="R587" s="50"/>
      <c r="S587" s="50"/>
      <c r="T587" s="50"/>
      <c r="U587" s="53"/>
      <c r="V587" s="54"/>
      <c r="W587" s="56"/>
      <c r="X587" s="119"/>
      <c r="Y587" s="113"/>
      <c r="Z587" s="113"/>
    </row>
    <row r="588">
      <c r="A588" s="38">
        <v>328.0</v>
      </c>
      <c r="B588" s="38"/>
      <c r="C588" s="38"/>
      <c r="D588" s="38"/>
      <c r="E588" s="38" t="s">
        <v>1046</v>
      </c>
      <c r="F588" s="41" t="s">
        <v>1047</v>
      </c>
      <c r="G588" s="43"/>
      <c r="H588" s="45"/>
      <c r="I588" s="38"/>
      <c r="J588" s="38">
        <f>16*1000</f>
        <v>16000</v>
      </c>
      <c r="K588" s="46">
        <v>0.06074074074074074</v>
      </c>
      <c r="L588" s="47" t="s">
        <v>1048</v>
      </c>
      <c r="M588" s="46"/>
      <c r="N588" s="46"/>
      <c r="O588" s="38"/>
      <c r="P588" s="38"/>
      <c r="Q588" s="12" t="str">
        <f t="shared" si="38"/>
        <v/>
      </c>
      <c r="R588" s="50"/>
      <c r="S588" s="50"/>
      <c r="T588" s="50"/>
      <c r="U588" s="53"/>
      <c r="V588" s="54"/>
      <c r="W588" s="56"/>
      <c r="X588" s="119"/>
      <c r="Y588" s="113"/>
      <c r="Z588" s="113"/>
    </row>
    <row r="589">
      <c r="A589" s="38">
        <v>329.0</v>
      </c>
      <c r="B589" s="38"/>
      <c r="C589" s="38"/>
      <c r="D589" s="38"/>
      <c r="E589" s="38" t="s">
        <v>1291</v>
      </c>
      <c r="F589" s="41" t="s">
        <v>1292</v>
      </c>
      <c r="G589" s="43"/>
      <c r="H589" s="45"/>
      <c r="I589" s="38"/>
      <c r="J589" s="38">
        <f>1.5*1000</f>
        <v>1500</v>
      </c>
      <c r="K589" s="46">
        <v>0.002002314814814815</v>
      </c>
      <c r="L589" s="47" t="s">
        <v>1048</v>
      </c>
      <c r="M589" s="46"/>
      <c r="N589" s="46"/>
      <c r="O589" s="38"/>
      <c r="P589" s="38"/>
      <c r="Q589" s="12" t="str">
        <f t="shared" si="38"/>
        <v/>
      </c>
      <c r="R589" s="50"/>
      <c r="S589" s="50"/>
      <c r="T589" s="50"/>
      <c r="U589" s="53"/>
      <c r="V589" s="54"/>
      <c r="W589" s="56"/>
      <c r="X589" s="119"/>
      <c r="Y589" s="113"/>
      <c r="Z589" s="113"/>
    </row>
    <row r="590">
      <c r="A590" s="38">
        <v>330.0</v>
      </c>
      <c r="B590" s="38"/>
      <c r="C590" s="38"/>
      <c r="D590" s="38"/>
      <c r="E590" s="38" t="s">
        <v>1293</v>
      </c>
      <c r="F590" s="41" t="s">
        <v>1294</v>
      </c>
      <c r="G590" s="43"/>
      <c r="H590" s="45"/>
      <c r="I590" s="38"/>
      <c r="J590" s="38">
        <f>1.2*1000</f>
        <v>1200</v>
      </c>
      <c r="K590" s="46">
        <v>7.87037037037037E-4</v>
      </c>
      <c r="L590" s="47" t="s">
        <v>1048</v>
      </c>
      <c r="M590" s="46"/>
      <c r="N590" s="46"/>
      <c r="O590" s="38"/>
      <c r="P590" s="38"/>
      <c r="Q590" s="12" t="str">
        <f t="shared" si="38"/>
        <v/>
      </c>
      <c r="R590" s="50"/>
      <c r="S590" s="50"/>
      <c r="T590" s="50"/>
      <c r="U590" s="53"/>
      <c r="V590" s="54"/>
      <c r="W590" s="56"/>
      <c r="X590" s="119"/>
      <c r="Y590" s="113"/>
      <c r="Z590" s="113"/>
    </row>
    <row r="591">
      <c r="A591" s="38">
        <v>331.0</v>
      </c>
      <c r="B591" s="38"/>
      <c r="C591" s="38"/>
      <c r="D591" s="38"/>
      <c r="E591" s="38" t="s">
        <v>1295</v>
      </c>
      <c r="F591" s="41" t="s">
        <v>1296</v>
      </c>
      <c r="G591" s="43"/>
      <c r="H591" s="45"/>
      <c r="I591" s="38"/>
      <c r="J591" s="38">
        <f>9.3*1000</f>
        <v>9300</v>
      </c>
      <c r="K591" s="46">
        <v>0.0062499999999999995</v>
      </c>
      <c r="L591" s="47" t="s">
        <v>1048</v>
      </c>
      <c r="M591" s="46"/>
      <c r="N591" s="46"/>
      <c r="O591" s="38"/>
      <c r="P591" s="38"/>
      <c r="Q591" s="12" t="str">
        <f t="shared" si="38"/>
        <v/>
      </c>
      <c r="R591" s="50"/>
      <c r="S591" s="50"/>
      <c r="T591" s="50"/>
      <c r="U591" s="53"/>
      <c r="V591" s="54"/>
      <c r="W591" s="56"/>
      <c r="X591" s="119"/>
      <c r="Y591" s="113"/>
      <c r="Z591" s="113"/>
    </row>
    <row r="592">
      <c r="A592" s="38">
        <v>332.0</v>
      </c>
      <c r="B592" s="38"/>
      <c r="C592" s="38"/>
      <c r="D592" s="38"/>
      <c r="E592" s="38" t="s">
        <v>1297</v>
      </c>
      <c r="F592" s="41" t="s">
        <v>1298</v>
      </c>
      <c r="G592" s="43"/>
      <c r="H592" s="45"/>
      <c r="I592" s="38"/>
      <c r="J592" s="38">
        <f>265</f>
        <v>265</v>
      </c>
      <c r="K592" s="46">
        <v>0.0027199074074074074</v>
      </c>
      <c r="L592" s="47" t="s">
        <v>1048</v>
      </c>
      <c r="M592" s="46"/>
      <c r="N592" s="46"/>
      <c r="O592" s="38"/>
      <c r="P592" s="38"/>
      <c r="Q592" s="12" t="str">
        <f t="shared" si="38"/>
        <v/>
      </c>
      <c r="R592" s="50"/>
      <c r="S592" s="50"/>
      <c r="T592" s="50"/>
      <c r="U592" s="53"/>
      <c r="V592" s="54"/>
      <c r="W592" s="56"/>
      <c r="X592" s="119"/>
      <c r="Y592" s="113"/>
      <c r="Z592" s="113"/>
    </row>
    <row r="593">
      <c r="A593" s="38">
        <v>333.0</v>
      </c>
      <c r="B593" s="38"/>
      <c r="C593" s="38"/>
      <c r="D593" s="38"/>
      <c r="E593" s="38" t="s">
        <v>1299</v>
      </c>
      <c r="F593" s="41" t="s">
        <v>1300</v>
      </c>
      <c r="G593" s="43"/>
      <c r="H593" s="45"/>
      <c r="I593" s="38"/>
      <c r="J593" s="38">
        <f>238</f>
        <v>238</v>
      </c>
      <c r="K593" s="46">
        <v>0.0026041666666666665</v>
      </c>
      <c r="L593" s="47" t="s">
        <v>1048</v>
      </c>
      <c r="M593" s="46"/>
      <c r="N593" s="46"/>
      <c r="O593" s="38"/>
      <c r="P593" s="38"/>
      <c r="Q593" s="12" t="str">
        <f t="shared" si="38"/>
        <v/>
      </c>
      <c r="R593" s="50"/>
      <c r="S593" s="50"/>
      <c r="T593" s="50"/>
      <c r="U593" s="53"/>
      <c r="V593" s="54"/>
      <c r="W593" s="56"/>
      <c r="X593" s="119"/>
      <c r="Y593" s="113"/>
      <c r="Z593" s="113"/>
    </row>
    <row r="594">
      <c r="A594" s="38">
        <v>334.0</v>
      </c>
      <c r="B594" s="38"/>
      <c r="C594" s="38"/>
      <c r="D594" s="38"/>
      <c r="E594" s="38" t="s">
        <v>1301</v>
      </c>
      <c r="F594" s="41" t="s">
        <v>1302</v>
      </c>
      <c r="G594" s="43"/>
      <c r="H594" s="45"/>
      <c r="I594" s="38"/>
      <c r="J594" s="38">
        <f>585</f>
        <v>585</v>
      </c>
      <c r="K594" s="46">
        <v>0.0078125</v>
      </c>
      <c r="L594" s="47" t="s">
        <v>1048</v>
      </c>
      <c r="M594" s="46"/>
      <c r="N594" s="46"/>
      <c r="O594" s="38"/>
      <c r="P594" s="38"/>
      <c r="Q594" s="12" t="str">
        <f t="shared" si="38"/>
        <v/>
      </c>
      <c r="R594" s="50"/>
      <c r="S594" s="50"/>
      <c r="T594" s="50"/>
      <c r="U594" s="53"/>
      <c r="V594" s="54"/>
      <c r="W594" s="56"/>
      <c r="X594" s="119"/>
      <c r="Y594" s="113"/>
      <c r="Z594" s="113"/>
    </row>
    <row r="595">
      <c r="A595" s="38">
        <v>335.0</v>
      </c>
      <c r="B595" s="38"/>
      <c r="C595" s="38"/>
      <c r="D595" s="38"/>
      <c r="E595" s="38" t="s">
        <v>1245</v>
      </c>
      <c r="F595" s="41" t="s">
        <v>1246</v>
      </c>
      <c r="G595" s="43"/>
      <c r="H595" s="45"/>
      <c r="I595" s="38"/>
      <c r="J595" s="38">
        <f>8.8*1000</f>
        <v>8800</v>
      </c>
      <c r="K595" s="46">
        <v>0.039328703703703706</v>
      </c>
      <c r="L595" s="47" t="s">
        <v>1048</v>
      </c>
      <c r="M595" s="46"/>
      <c r="N595" s="46"/>
      <c r="O595" s="38"/>
      <c r="P595" s="38"/>
      <c r="Q595" s="12" t="str">
        <f t="shared" si="38"/>
        <v/>
      </c>
      <c r="R595" s="50"/>
      <c r="S595" s="50"/>
      <c r="T595" s="50"/>
      <c r="U595" s="53"/>
      <c r="V595" s="54"/>
      <c r="W595" s="56"/>
      <c r="X595" s="119"/>
      <c r="Y595" s="113"/>
      <c r="Z595" s="113"/>
    </row>
    <row r="596">
      <c r="A596" s="38">
        <v>336.0</v>
      </c>
      <c r="B596" s="38"/>
      <c r="C596" s="38"/>
      <c r="D596" s="38"/>
      <c r="E596" s="38" t="s">
        <v>1303</v>
      </c>
      <c r="F596" s="41" t="s">
        <v>1304</v>
      </c>
      <c r="G596" s="43"/>
      <c r="H596" s="45"/>
      <c r="I596" s="38"/>
      <c r="J596" s="38">
        <f>2.2*1000</f>
        <v>2200</v>
      </c>
      <c r="K596" s="46">
        <v>0.0026388888888888885</v>
      </c>
      <c r="L596" s="47" t="s">
        <v>1048</v>
      </c>
      <c r="M596" s="46"/>
      <c r="N596" s="46"/>
      <c r="O596" s="38"/>
      <c r="P596" s="38"/>
      <c r="Q596" s="12" t="str">
        <f t="shared" si="38"/>
        <v/>
      </c>
      <c r="R596" s="50"/>
      <c r="S596" s="50"/>
      <c r="T596" s="50"/>
      <c r="U596" s="53"/>
      <c r="V596" s="54"/>
      <c r="W596" s="56"/>
      <c r="X596" s="119"/>
      <c r="Y596" s="113"/>
      <c r="Z596" s="113"/>
    </row>
    <row r="597">
      <c r="A597" s="38">
        <v>337.0</v>
      </c>
      <c r="B597" s="38"/>
      <c r="C597" s="38"/>
      <c r="D597" s="38"/>
      <c r="E597" s="38" t="s">
        <v>1305</v>
      </c>
      <c r="F597" s="41" t="s">
        <v>1306</v>
      </c>
      <c r="G597" s="43"/>
      <c r="H597" s="45"/>
      <c r="I597" s="38"/>
      <c r="J597" s="38">
        <f>3.3*1000</f>
        <v>3300</v>
      </c>
      <c r="K597" s="46">
        <v>0.07506944444444445</v>
      </c>
      <c r="L597" s="47" t="s">
        <v>1048</v>
      </c>
      <c r="M597" s="46"/>
      <c r="N597" s="46"/>
      <c r="O597" s="38"/>
      <c r="P597" s="38"/>
      <c r="Q597" s="12" t="str">
        <f t="shared" si="38"/>
        <v/>
      </c>
      <c r="R597" s="50"/>
      <c r="S597" s="50"/>
      <c r="T597" s="50"/>
      <c r="U597" s="53"/>
      <c r="V597" s="54"/>
      <c r="W597" s="56"/>
      <c r="X597" s="119"/>
      <c r="Y597" s="113"/>
      <c r="Z597" s="113"/>
    </row>
    <row r="598">
      <c r="A598" s="38">
        <v>338.0</v>
      </c>
      <c r="B598" s="38"/>
      <c r="C598" s="38"/>
      <c r="D598" s="38"/>
      <c r="E598" s="38" t="s">
        <v>1307</v>
      </c>
      <c r="F598" s="41" t="s">
        <v>1308</v>
      </c>
      <c r="G598" s="43"/>
      <c r="H598" s="45"/>
      <c r="I598" s="38"/>
      <c r="J598" s="38">
        <f>828</f>
        <v>828</v>
      </c>
      <c r="K598" s="46">
        <v>0.0025</v>
      </c>
      <c r="L598" s="47" t="s">
        <v>1048</v>
      </c>
      <c r="M598" s="46"/>
      <c r="N598" s="46"/>
      <c r="O598" s="38"/>
      <c r="P598" s="38"/>
      <c r="Q598" s="12" t="str">
        <f t="shared" si="38"/>
        <v/>
      </c>
      <c r="R598" s="50"/>
      <c r="S598" s="50"/>
      <c r="T598" s="50"/>
      <c r="U598" s="53"/>
      <c r="V598" s="54"/>
      <c r="W598" s="56"/>
      <c r="X598" s="119"/>
      <c r="Y598" s="113"/>
      <c r="Z598" s="113"/>
    </row>
    <row r="599">
      <c r="A599" s="38">
        <v>339.0</v>
      </c>
      <c r="B599" s="38"/>
      <c r="C599" s="38"/>
      <c r="D599" s="38"/>
      <c r="E599" s="38" t="s">
        <v>1309</v>
      </c>
      <c r="F599" s="41" t="s">
        <v>1310</v>
      </c>
      <c r="G599" s="43"/>
      <c r="H599" s="45"/>
      <c r="I599" s="38"/>
      <c r="J599" s="38">
        <f>1.2*1000</f>
        <v>1200</v>
      </c>
      <c r="K599" s="46">
        <v>9.837962962962964E-4</v>
      </c>
      <c r="L599" s="47" t="s">
        <v>1048</v>
      </c>
      <c r="M599" s="46"/>
      <c r="N599" s="46"/>
      <c r="O599" s="38"/>
      <c r="P599" s="38"/>
      <c r="Q599" s="12" t="str">
        <f t="shared" si="38"/>
        <v/>
      </c>
      <c r="R599" s="50"/>
      <c r="S599" s="50"/>
      <c r="T599" s="50"/>
      <c r="U599" s="53"/>
      <c r="V599" s="54"/>
      <c r="W599" s="56"/>
      <c r="X599" s="119"/>
      <c r="Y599" s="113"/>
      <c r="Z599" s="113"/>
    </row>
    <row r="600">
      <c r="A600" s="38">
        <v>340.0</v>
      </c>
      <c r="B600" s="38"/>
      <c r="C600" s="38"/>
      <c r="D600" s="38"/>
      <c r="E600" s="38" t="s">
        <v>1311</v>
      </c>
      <c r="F600" s="41" t="s">
        <v>1312</v>
      </c>
      <c r="G600" s="43"/>
      <c r="H600" s="45"/>
      <c r="I600" s="38"/>
      <c r="J600" s="38">
        <f>3.7*1000</f>
        <v>3700</v>
      </c>
      <c r="K600" s="46">
        <v>0.07063657407407407</v>
      </c>
      <c r="L600" s="47" t="s">
        <v>1048</v>
      </c>
      <c r="M600" s="46"/>
      <c r="N600" s="46"/>
      <c r="O600" s="38"/>
      <c r="P600" s="38"/>
      <c r="Q600" s="12" t="str">
        <f t="shared" si="38"/>
        <v/>
      </c>
      <c r="R600" s="50"/>
      <c r="S600" s="50"/>
      <c r="T600" s="50"/>
      <c r="U600" s="53"/>
      <c r="V600" s="54"/>
      <c r="W600" s="56"/>
      <c r="X600" s="119"/>
      <c r="Y600" s="113"/>
      <c r="Z600" s="113"/>
    </row>
    <row r="601">
      <c r="A601" s="38">
        <v>341.0</v>
      </c>
      <c r="B601" s="38"/>
      <c r="C601" s="38"/>
      <c r="D601" s="38"/>
      <c r="E601" s="38" t="s">
        <v>1313</v>
      </c>
      <c r="F601" s="41" t="s">
        <v>1315</v>
      </c>
      <c r="G601" s="43"/>
      <c r="H601" s="45"/>
      <c r="I601" s="38"/>
      <c r="J601" s="38">
        <f>6.8*1000</f>
        <v>6800</v>
      </c>
      <c r="K601" s="46">
        <v>0.012453703703703703</v>
      </c>
      <c r="L601" s="47" t="s">
        <v>1048</v>
      </c>
      <c r="M601" s="46"/>
      <c r="N601" s="46"/>
      <c r="O601" s="38"/>
      <c r="P601" s="38"/>
      <c r="Q601" s="12" t="str">
        <f t="shared" si="38"/>
        <v/>
      </c>
      <c r="R601" s="50"/>
      <c r="S601" s="50"/>
      <c r="T601" s="50"/>
      <c r="U601" s="53"/>
      <c r="V601" s="54"/>
      <c r="W601" s="56"/>
      <c r="X601" s="119"/>
      <c r="Y601" s="113"/>
      <c r="Z601" s="113"/>
    </row>
    <row r="602">
      <c r="A602" s="38">
        <v>342.0</v>
      </c>
      <c r="B602" s="38"/>
      <c r="C602" s="38"/>
      <c r="D602" s="38"/>
      <c r="E602" s="38" t="s">
        <v>1318</v>
      </c>
      <c r="F602" s="41" t="s">
        <v>1319</v>
      </c>
      <c r="G602" s="43"/>
      <c r="H602" s="45"/>
      <c r="I602" s="38"/>
      <c r="J602" s="38">
        <f t="shared" ref="J602:J603" si="45">1.2*1000</f>
        <v>1200</v>
      </c>
      <c r="K602" s="46">
        <v>0.0027546296296296294</v>
      </c>
      <c r="L602" s="47" t="s">
        <v>1048</v>
      </c>
      <c r="M602" s="46"/>
      <c r="N602" s="46"/>
      <c r="O602" s="38"/>
      <c r="P602" s="38"/>
      <c r="Q602" s="12" t="str">
        <f t="shared" si="38"/>
        <v/>
      </c>
      <c r="R602" s="50"/>
      <c r="S602" s="50"/>
      <c r="T602" s="50"/>
      <c r="U602" s="53"/>
      <c r="V602" s="54"/>
      <c r="W602" s="56"/>
      <c r="X602" s="119"/>
      <c r="Y602" s="113"/>
      <c r="Z602" s="113"/>
    </row>
    <row r="603">
      <c r="A603" s="38">
        <v>343.0</v>
      </c>
      <c r="B603" s="38"/>
      <c r="C603" s="38"/>
      <c r="D603" s="38"/>
      <c r="E603" s="38" t="s">
        <v>1322</v>
      </c>
      <c r="F603" s="41" t="s">
        <v>1323</v>
      </c>
      <c r="G603" s="43"/>
      <c r="H603" s="45"/>
      <c r="I603" s="38"/>
      <c r="J603" s="38">
        <f t="shared" si="45"/>
        <v>1200</v>
      </c>
      <c r="K603" s="46">
        <v>0.0025694444444444445</v>
      </c>
      <c r="L603" s="47" t="s">
        <v>1048</v>
      </c>
      <c r="M603" s="46"/>
      <c r="N603" s="46"/>
      <c r="O603" s="38"/>
      <c r="P603" s="38"/>
      <c r="Q603" s="12" t="str">
        <f t="shared" si="38"/>
        <v/>
      </c>
      <c r="R603" s="50"/>
      <c r="S603" s="50"/>
      <c r="T603" s="50"/>
      <c r="U603" s="53"/>
      <c r="V603" s="54"/>
      <c r="W603" s="56"/>
      <c r="X603" s="119"/>
      <c r="Y603" s="113"/>
      <c r="Z603" s="113"/>
    </row>
    <row r="604">
      <c r="A604" s="38">
        <v>344.0</v>
      </c>
      <c r="B604" s="38"/>
      <c r="C604" s="38"/>
      <c r="D604" s="38"/>
      <c r="E604" s="38" t="s">
        <v>1326</v>
      </c>
      <c r="F604" s="41" t="s">
        <v>1327</v>
      </c>
      <c r="G604" s="43"/>
      <c r="H604" s="45"/>
      <c r="I604" s="38"/>
      <c r="J604" s="38">
        <f>231</f>
        <v>231</v>
      </c>
      <c r="K604" s="46">
        <v>0.0017708333333333332</v>
      </c>
      <c r="L604" s="47" t="s">
        <v>1048</v>
      </c>
      <c r="M604" s="46"/>
      <c r="N604" s="46"/>
      <c r="O604" s="38"/>
      <c r="P604" s="38"/>
      <c r="Q604" s="12" t="str">
        <f t="shared" si="38"/>
        <v/>
      </c>
      <c r="R604" s="50"/>
      <c r="S604" s="50"/>
      <c r="T604" s="50"/>
      <c r="U604" s="53"/>
      <c r="V604" s="54"/>
      <c r="W604" s="56"/>
      <c r="X604" s="119"/>
      <c r="Y604" s="113"/>
      <c r="Z604" s="113"/>
    </row>
    <row r="605">
      <c r="A605" s="38">
        <v>345.0</v>
      </c>
      <c r="B605" s="38"/>
      <c r="C605" s="38"/>
      <c r="D605" s="38"/>
      <c r="E605" s="38" t="s">
        <v>1330</v>
      </c>
      <c r="F605" s="41" t="s">
        <v>1331</v>
      </c>
      <c r="G605" s="43"/>
      <c r="H605" s="45"/>
      <c r="I605" s="38"/>
      <c r="J605" s="38">
        <f>666</f>
        <v>666</v>
      </c>
      <c r="K605" s="46">
        <v>0.0013194444444444443</v>
      </c>
      <c r="L605" s="47" t="s">
        <v>1048</v>
      </c>
      <c r="M605" s="46"/>
      <c r="N605" s="46"/>
      <c r="O605" s="38"/>
      <c r="P605" s="38"/>
      <c r="Q605" s="12" t="str">
        <f t="shared" si="38"/>
        <v/>
      </c>
      <c r="R605" s="50"/>
      <c r="S605" s="50"/>
      <c r="T605" s="50"/>
      <c r="U605" s="53"/>
      <c r="V605" s="54"/>
      <c r="W605" s="56"/>
      <c r="X605" s="119"/>
      <c r="Y605" s="113"/>
      <c r="Z605" s="113"/>
    </row>
    <row r="606">
      <c r="A606" s="38">
        <v>346.0</v>
      </c>
      <c r="B606" s="38"/>
      <c r="C606" s="38"/>
      <c r="D606" s="38"/>
      <c r="E606" s="38" t="s">
        <v>1332</v>
      </c>
      <c r="F606" s="41" t="s">
        <v>1334</v>
      </c>
      <c r="G606" s="43"/>
      <c r="H606" s="45"/>
      <c r="I606" s="38"/>
      <c r="J606" s="38">
        <f>191</f>
        <v>191</v>
      </c>
      <c r="K606" s="46">
        <v>9.490740740740741E-4</v>
      </c>
      <c r="L606" s="47" t="s">
        <v>1048</v>
      </c>
      <c r="M606" s="46"/>
      <c r="N606" s="46"/>
      <c r="O606" s="38"/>
      <c r="P606" s="38"/>
      <c r="Q606" s="12" t="str">
        <f t="shared" si="38"/>
        <v/>
      </c>
      <c r="R606" s="50"/>
      <c r="S606" s="50"/>
      <c r="T606" s="50"/>
      <c r="U606" s="53"/>
      <c r="V606" s="54"/>
      <c r="W606" s="56"/>
      <c r="X606" s="119"/>
      <c r="Y606" s="113"/>
      <c r="Z606" s="113"/>
    </row>
    <row r="607">
      <c r="A607" s="38">
        <v>347.0</v>
      </c>
      <c r="B607" s="38"/>
      <c r="C607" s="38"/>
      <c r="D607" s="38"/>
      <c r="E607" s="38" t="s">
        <v>1336</v>
      </c>
      <c r="F607" s="41" t="s">
        <v>1338</v>
      </c>
      <c r="G607" s="43"/>
      <c r="H607" s="45"/>
      <c r="I607" s="38"/>
      <c r="J607" s="38">
        <f>870</f>
        <v>870</v>
      </c>
      <c r="K607" s="46">
        <v>0.006076388888888889</v>
      </c>
      <c r="L607" s="47" t="s">
        <v>1048</v>
      </c>
      <c r="M607" s="46"/>
      <c r="N607" s="46"/>
      <c r="O607" s="38"/>
      <c r="P607" s="38"/>
      <c r="Q607" s="12" t="str">
        <f t="shared" si="38"/>
        <v/>
      </c>
      <c r="R607" s="50"/>
      <c r="S607" s="50"/>
      <c r="T607" s="50"/>
      <c r="U607" s="53"/>
      <c r="V607" s="54"/>
      <c r="W607" s="56"/>
      <c r="X607" s="119"/>
      <c r="Y607" s="113"/>
      <c r="Z607" s="113"/>
    </row>
    <row r="608">
      <c r="A608" s="38">
        <v>348.0</v>
      </c>
      <c r="B608" s="38"/>
      <c r="C608" s="38"/>
      <c r="D608" s="38"/>
      <c r="E608" s="38" t="s">
        <v>1340</v>
      </c>
      <c r="F608" s="41" t="s">
        <v>1341</v>
      </c>
      <c r="G608" s="43"/>
      <c r="H608" s="45"/>
      <c r="I608" s="38"/>
      <c r="J608" s="38">
        <f>527</f>
        <v>527</v>
      </c>
      <c r="K608" s="46">
        <v>0.0036574074074074074</v>
      </c>
      <c r="L608" s="47" t="s">
        <v>1048</v>
      </c>
      <c r="M608" s="46"/>
      <c r="N608" s="46"/>
      <c r="O608" s="38"/>
      <c r="P608" s="38"/>
      <c r="Q608" s="12" t="str">
        <f t="shared" si="38"/>
        <v/>
      </c>
      <c r="R608" s="50"/>
      <c r="S608" s="50"/>
      <c r="T608" s="50"/>
      <c r="U608" s="53"/>
      <c r="V608" s="54"/>
      <c r="W608" s="56"/>
      <c r="X608" s="119"/>
      <c r="Y608" s="113"/>
      <c r="Z608" s="113"/>
    </row>
    <row r="609">
      <c r="A609" s="38">
        <v>349.0</v>
      </c>
      <c r="B609" s="38"/>
      <c r="C609" s="38"/>
      <c r="D609" s="38"/>
      <c r="E609" s="38" t="s">
        <v>1344</v>
      </c>
      <c r="F609" s="41" t="s">
        <v>1346</v>
      </c>
      <c r="G609" s="43"/>
      <c r="H609" s="45"/>
      <c r="I609" s="38"/>
      <c r="J609" s="38">
        <f>1*1000</f>
        <v>1000</v>
      </c>
      <c r="K609" s="46">
        <v>0.0052662037037037035</v>
      </c>
      <c r="L609" s="47" t="s">
        <v>1048</v>
      </c>
      <c r="M609" s="46"/>
      <c r="N609" s="46"/>
      <c r="O609" s="38"/>
      <c r="P609" s="38"/>
      <c r="Q609" s="12" t="str">
        <f t="shared" si="38"/>
        <v/>
      </c>
      <c r="R609" s="50"/>
      <c r="S609" s="50"/>
      <c r="T609" s="50"/>
      <c r="U609" s="53"/>
      <c r="V609" s="54"/>
      <c r="W609" s="56"/>
      <c r="X609" s="119"/>
      <c r="Y609" s="113"/>
      <c r="Z609" s="113"/>
    </row>
    <row r="610">
      <c r="A610" s="38">
        <v>350.0</v>
      </c>
      <c r="B610" s="38"/>
      <c r="C610" s="38"/>
      <c r="D610" s="38"/>
      <c r="E610" s="38" t="s">
        <v>1348</v>
      </c>
      <c r="F610" s="41" t="s">
        <v>1349</v>
      </c>
      <c r="G610" s="43"/>
      <c r="H610" s="45"/>
      <c r="I610" s="38"/>
      <c r="J610" s="38">
        <f>368</f>
        <v>368</v>
      </c>
      <c r="K610" s="46">
        <v>0.0011805555555555556</v>
      </c>
      <c r="L610" s="47" t="s">
        <v>1048</v>
      </c>
      <c r="M610" s="46"/>
      <c r="N610" s="46"/>
      <c r="O610" s="38"/>
      <c r="P610" s="38"/>
      <c r="Q610" s="12" t="str">
        <f t="shared" si="38"/>
        <v/>
      </c>
      <c r="R610" s="50"/>
      <c r="S610" s="50"/>
      <c r="T610" s="50"/>
      <c r="U610" s="53"/>
      <c r="V610" s="54"/>
      <c r="W610" s="56"/>
      <c r="X610" s="119"/>
      <c r="Y610" s="113"/>
      <c r="Z610" s="113"/>
    </row>
    <row r="611">
      <c r="A611" s="38">
        <v>351.0</v>
      </c>
      <c r="B611" s="38"/>
      <c r="C611" s="38"/>
      <c r="D611" s="38"/>
      <c r="E611" s="38" t="s">
        <v>1352</v>
      </c>
      <c r="F611" s="41" t="s">
        <v>1353</v>
      </c>
      <c r="G611" s="43"/>
      <c r="H611" s="45"/>
      <c r="I611" s="38"/>
      <c r="J611" s="38">
        <f>1.3*1000</f>
        <v>1300</v>
      </c>
      <c r="K611" s="46">
        <v>0.002939814814814815</v>
      </c>
      <c r="L611" s="47" t="s">
        <v>1048</v>
      </c>
      <c r="M611" s="46"/>
      <c r="N611" s="46"/>
      <c r="O611" s="38"/>
      <c r="P611" s="38"/>
      <c r="Q611" s="12" t="str">
        <f t="shared" si="38"/>
        <v/>
      </c>
      <c r="R611" s="50"/>
      <c r="S611" s="50"/>
      <c r="T611" s="50"/>
      <c r="U611" s="53"/>
      <c r="V611" s="54"/>
      <c r="W611" s="56"/>
      <c r="X611" s="119"/>
      <c r="Y611" s="113"/>
      <c r="Z611" s="113"/>
    </row>
    <row r="612">
      <c r="A612" s="38">
        <v>352.0</v>
      </c>
      <c r="B612" s="38"/>
      <c r="C612" s="38"/>
      <c r="D612" s="38"/>
      <c r="E612" s="38" t="s">
        <v>1356</v>
      </c>
      <c r="F612" s="41" t="s">
        <v>1357</v>
      </c>
      <c r="G612" s="43"/>
      <c r="H612" s="45"/>
      <c r="I612" s="38"/>
      <c r="J612" s="38">
        <f>207</f>
        <v>207</v>
      </c>
      <c r="K612" s="46">
        <v>0.003425925925925926</v>
      </c>
      <c r="L612" s="47" t="s">
        <v>1048</v>
      </c>
      <c r="M612" s="46"/>
      <c r="N612" s="46"/>
      <c r="O612" s="38"/>
      <c r="P612" s="38"/>
      <c r="Q612" s="12" t="str">
        <f t="shared" si="38"/>
        <v/>
      </c>
      <c r="R612" s="50"/>
      <c r="S612" s="50"/>
      <c r="T612" s="50"/>
      <c r="U612" s="53"/>
      <c r="V612" s="54"/>
      <c r="W612" s="56"/>
      <c r="X612" s="119"/>
      <c r="Y612" s="113"/>
      <c r="Z612" s="113"/>
    </row>
    <row r="613">
      <c r="A613" s="38">
        <v>353.0</v>
      </c>
      <c r="B613" s="38"/>
      <c r="C613" s="38"/>
      <c r="D613" s="38"/>
      <c r="E613" s="38" t="s">
        <v>1360</v>
      </c>
      <c r="F613" s="41" t="s">
        <v>1361</v>
      </c>
      <c r="G613" s="43"/>
      <c r="H613" s="45"/>
      <c r="I613" s="38"/>
      <c r="J613" s="38">
        <f>177</f>
        <v>177</v>
      </c>
      <c r="K613" s="46">
        <v>2.777777777777778E-4</v>
      </c>
      <c r="L613" s="47" t="s">
        <v>1048</v>
      </c>
      <c r="M613" s="46"/>
      <c r="N613" s="46"/>
      <c r="O613" s="38"/>
      <c r="P613" s="38"/>
      <c r="Q613" s="12" t="str">
        <f t="shared" si="38"/>
        <v/>
      </c>
      <c r="R613" s="50"/>
      <c r="S613" s="50"/>
      <c r="T613" s="50"/>
      <c r="U613" s="53"/>
      <c r="V613" s="54"/>
      <c r="W613" s="56"/>
      <c r="X613" s="119"/>
      <c r="Y613" s="113"/>
      <c r="Z613" s="113"/>
    </row>
    <row r="614">
      <c r="A614" s="38">
        <v>354.0</v>
      </c>
      <c r="B614" s="38"/>
      <c r="C614" s="38"/>
      <c r="D614" s="38"/>
      <c r="E614" s="38" t="s">
        <v>1364</v>
      </c>
      <c r="F614" s="41" t="s">
        <v>1365</v>
      </c>
      <c r="G614" s="43"/>
      <c r="H614" s="45"/>
      <c r="I614" s="38"/>
      <c r="J614" s="38">
        <f>3*1000</f>
        <v>3000</v>
      </c>
      <c r="K614" s="46">
        <v>0.002615740740740741</v>
      </c>
      <c r="L614" s="47" t="s">
        <v>1048</v>
      </c>
      <c r="M614" s="46"/>
      <c r="N614" s="46"/>
      <c r="O614" s="38"/>
      <c r="P614" s="38"/>
      <c r="Q614" s="12" t="str">
        <f t="shared" si="38"/>
        <v/>
      </c>
      <c r="R614" s="50"/>
      <c r="S614" s="50"/>
      <c r="T614" s="50"/>
      <c r="U614" s="53"/>
      <c r="V614" s="54"/>
      <c r="W614" s="56"/>
      <c r="X614" s="119"/>
      <c r="Y614" s="113"/>
      <c r="Z614" s="113"/>
    </row>
    <row r="615">
      <c r="A615" s="38">
        <v>355.0</v>
      </c>
      <c r="B615" s="38"/>
      <c r="C615" s="38"/>
      <c r="D615" s="38"/>
      <c r="E615" s="38" t="s">
        <v>1368</v>
      </c>
      <c r="F615" s="41" t="s">
        <v>1369</v>
      </c>
      <c r="G615" s="43"/>
      <c r="H615" s="45"/>
      <c r="I615" s="38"/>
      <c r="J615" s="38">
        <f>1.9*1000</f>
        <v>1900</v>
      </c>
      <c r="K615" s="46">
        <v>0.002962962962962963</v>
      </c>
      <c r="L615" s="47" t="s">
        <v>1048</v>
      </c>
      <c r="M615" s="46"/>
      <c r="N615" s="46"/>
      <c r="O615" s="38"/>
      <c r="P615" s="38"/>
      <c r="Q615" s="12" t="str">
        <f t="shared" si="38"/>
        <v/>
      </c>
      <c r="R615" s="50"/>
      <c r="S615" s="50"/>
      <c r="T615" s="50"/>
      <c r="U615" s="53"/>
      <c r="V615" s="54"/>
      <c r="W615" s="56"/>
      <c r="X615" s="119"/>
      <c r="Y615" s="113"/>
      <c r="Z615" s="113"/>
    </row>
    <row r="616">
      <c r="A616" s="38">
        <v>356.0</v>
      </c>
      <c r="B616" s="38"/>
      <c r="C616" s="38"/>
      <c r="D616" s="38"/>
      <c r="E616" s="38" t="s">
        <v>1372</v>
      </c>
      <c r="F616" s="41" t="s">
        <v>1373</v>
      </c>
      <c r="G616" s="43"/>
      <c r="H616" s="45"/>
      <c r="I616" s="38"/>
      <c r="J616" s="38">
        <f>549</f>
        <v>549</v>
      </c>
      <c r="K616" s="46">
        <v>0.0021874999999999998</v>
      </c>
      <c r="L616" s="47" t="s">
        <v>1048</v>
      </c>
      <c r="M616" s="46"/>
      <c r="N616" s="46"/>
      <c r="O616" s="38"/>
      <c r="P616" s="38"/>
      <c r="Q616" s="12" t="str">
        <f t="shared" si="38"/>
        <v/>
      </c>
      <c r="R616" s="50"/>
      <c r="S616" s="50"/>
      <c r="T616" s="50"/>
      <c r="U616" s="53"/>
      <c r="V616" s="54"/>
      <c r="W616" s="56"/>
      <c r="X616" s="119"/>
      <c r="Y616" s="113"/>
      <c r="Z616" s="113"/>
    </row>
    <row r="617">
      <c r="A617" s="38">
        <v>357.0</v>
      </c>
      <c r="B617" s="38"/>
      <c r="C617" s="38"/>
      <c r="D617" s="38"/>
      <c r="E617" s="38" t="s">
        <v>1376</v>
      </c>
      <c r="F617" s="41" t="s">
        <v>1377</v>
      </c>
      <c r="G617" s="43"/>
      <c r="H617" s="45"/>
      <c r="I617" s="38"/>
      <c r="J617" s="38">
        <f>632</f>
        <v>632</v>
      </c>
      <c r="K617" s="46">
        <v>0.0043749999999999995</v>
      </c>
      <c r="L617" s="47" t="s">
        <v>1048</v>
      </c>
      <c r="M617" s="46"/>
      <c r="N617" s="46"/>
      <c r="O617" s="38"/>
      <c r="P617" s="38"/>
      <c r="Q617" s="12" t="str">
        <f t="shared" si="38"/>
        <v/>
      </c>
      <c r="R617" s="50"/>
      <c r="S617" s="50"/>
      <c r="T617" s="50"/>
      <c r="U617" s="53"/>
      <c r="V617" s="54"/>
      <c r="W617" s="56"/>
      <c r="X617" s="119"/>
      <c r="Y617" s="113"/>
      <c r="Z617" s="113"/>
    </row>
    <row r="618">
      <c r="A618" s="38">
        <v>358.0</v>
      </c>
      <c r="B618" s="38"/>
      <c r="C618" s="38"/>
      <c r="D618" s="38"/>
      <c r="E618" s="38" t="s">
        <v>1379</v>
      </c>
      <c r="F618" s="41" t="s">
        <v>1381</v>
      </c>
      <c r="G618" s="43"/>
      <c r="H618" s="45"/>
      <c r="I618" s="38"/>
      <c r="J618" s="38">
        <f>656</f>
        <v>656</v>
      </c>
      <c r="K618" s="46">
        <v>3.125E-4</v>
      </c>
      <c r="L618" s="47" t="s">
        <v>1048</v>
      </c>
      <c r="M618" s="46"/>
      <c r="N618" s="46"/>
      <c r="O618" s="38"/>
      <c r="P618" s="38"/>
      <c r="Q618" s="12" t="str">
        <f t="shared" si="38"/>
        <v/>
      </c>
      <c r="R618" s="50"/>
      <c r="S618" s="50"/>
      <c r="T618" s="50"/>
      <c r="U618" s="53"/>
      <c r="V618" s="54"/>
      <c r="W618" s="56"/>
      <c r="X618" s="119"/>
      <c r="Y618" s="113"/>
      <c r="Z618" s="113"/>
    </row>
    <row r="619">
      <c r="A619" s="38">
        <v>359.0</v>
      </c>
      <c r="B619" s="38"/>
      <c r="C619" s="38"/>
      <c r="D619" s="38"/>
      <c r="E619" s="38" t="s">
        <v>1382</v>
      </c>
      <c r="F619" s="41" t="s">
        <v>1383</v>
      </c>
      <c r="G619" s="43"/>
      <c r="H619" s="45"/>
      <c r="I619" s="38"/>
      <c r="J619" s="38">
        <f>1.2*1000</f>
        <v>1200</v>
      </c>
      <c r="K619" s="46">
        <v>0.004918981481481482</v>
      </c>
      <c r="L619" s="47" t="s">
        <v>1255</v>
      </c>
      <c r="M619" s="46"/>
      <c r="N619" s="46"/>
      <c r="O619" s="38"/>
      <c r="P619" s="38"/>
      <c r="Q619" s="12" t="str">
        <f t="shared" si="38"/>
        <v/>
      </c>
      <c r="R619" s="50"/>
      <c r="S619" s="50"/>
      <c r="T619" s="50"/>
      <c r="U619" s="53"/>
      <c r="V619" s="54"/>
      <c r="W619" s="56"/>
      <c r="X619" s="119"/>
      <c r="Y619" s="113"/>
      <c r="Z619" s="113"/>
    </row>
    <row r="620">
      <c r="A620" s="38">
        <v>360.0</v>
      </c>
      <c r="B620" s="38"/>
      <c r="C620" s="38"/>
      <c r="D620" s="38"/>
      <c r="E620" s="38" t="s">
        <v>1384</v>
      </c>
      <c r="F620" s="41" t="s">
        <v>1385</v>
      </c>
      <c r="G620" s="43"/>
      <c r="H620" s="45"/>
      <c r="I620" s="38"/>
      <c r="J620" s="38">
        <f>1.3*1000</f>
        <v>1300</v>
      </c>
      <c r="K620" s="46">
        <v>0.002939814814814815</v>
      </c>
      <c r="L620" s="47" t="s">
        <v>1048</v>
      </c>
      <c r="M620" s="46"/>
      <c r="N620" s="46"/>
      <c r="O620" s="38"/>
      <c r="P620" s="38"/>
      <c r="Q620" s="12" t="str">
        <f t="shared" si="38"/>
        <v/>
      </c>
      <c r="R620" s="50"/>
      <c r="S620" s="50"/>
      <c r="T620" s="50"/>
      <c r="U620" s="53"/>
      <c r="V620" s="54"/>
      <c r="W620" s="56"/>
      <c r="X620" s="119"/>
      <c r="Y620" s="113"/>
      <c r="Z620" s="113"/>
    </row>
    <row r="621">
      <c r="A621" s="38">
        <v>361.0</v>
      </c>
      <c r="B621" s="38"/>
      <c r="C621" s="38"/>
      <c r="D621" s="38"/>
      <c r="E621" s="38" t="s">
        <v>1386</v>
      </c>
      <c r="F621" s="41" t="s">
        <v>1387</v>
      </c>
      <c r="G621" s="43"/>
      <c r="H621" s="45"/>
      <c r="I621" s="38"/>
      <c r="J621" s="38">
        <f>3.8*1000</f>
        <v>3800</v>
      </c>
      <c r="K621" s="46">
        <v>0.013912037037037037</v>
      </c>
      <c r="L621" s="47" t="s">
        <v>1048</v>
      </c>
      <c r="M621" s="46"/>
      <c r="N621" s="46"/>
      <c r="O621" s="38"/>
      <c r="P621" s="38"/>
      <c r="Q621" s="12" t="str">
        <f t="shared" si="38"/>
        <v/>
      </c>
      <c r="R621" s="50"/>
      <c r="S621" s="50"/>
      <c r="T621" s="50"/>
      <c r="U621" s="53"/>
      <c r="V621" s="54"/>
      <c r="W621" s="56"/>
      <c r="X621" s="119"/>
      <c r="Y621" s="113"/>
      <c r="Z621" s="113"/>
    </row>
    <row r="622">
      <c r="A622" s="38">
        <v>362.0</v>
      </c>
      <c r="B622" s="38"/>
      <c r="C622" s="38"/>
      <c r="D622" s="38"/>
      <c r="E622" s="38" t="s">
        <v>1391</v>
      </c>
      <c r="F622" s="41" t="s">
        <v>1392</v>
      </c>
      <c r="G622" s="43"/>
      <c r="H622" s="45"/>
      <c r="I622" s="38"/>
      <c r="J622" s="38">
        <f>9.2*1000</f>
        <v>9200</v>
      </c>
      <c r="K622" s="46">
        <v>0.016898148148148148</v>
      </c>
      <c r="L622" s="47" t="s">
        <v>1048</v>
      </c>
      <c r="M622" s="46"/>
      <c r="N622" s="46"/>
      <c r="O622" s="38"/>
      <c r="P622" s="38"/>
      <c r="Q622" s="12" t="str">
        <f t="shared" si="38"/>
        <v/>
      </c>
      <c r="R622" s="50"/>
      <c r="S622" s="50"/>
      <c r="T622" s="50"/>
      <c r="U622" s="53"/>
      <c r="V622" s="54"/>
      <c r="W622" s="56"/>
      <c r="X622" s="119"/>
      <c r="Y622" s="113"/>
      <c r="Z622" s="113"/>
    </row>
    <row r="623">
      <c r="A623" s="38">
        <v>363.0</v>
      </c>
      <c r="B623" s="38"/>
      <c r="C623" s="38"/>
      <c r="D623" s="38"/>
      <c r="E623" s="38" t="s">
        <v>1395</v>
      </c>
      <c r="F623" s="41" t="s">
        <v>1396</v>
      </c>
      <c r="G623" s="43"/>
      <c r="H623" s="45"/>
      <c r="I623" s="38"/>
      <c r="J623" s="38">
        <f>1.6*1000</f>
        <v>1600</v>
      </c>
      <c r="K623" s="46">
        <v>0.0022106481481481478</v>
      </c>
      <c r="L623" s="47" t="s">
        <v>1048</v>
      </c>
      <c r="M623" s="46"/>
      <c r="N623" s="46"/>
      <c r="O623" s="38"/>
      <c r="P623" s="38"/>
      <c r="Q623" s="12" t="str">
        <f t="shared" si="38"/>
        <v/>
      </c>
      <c r="R623" s="50"/>
      <c r="S623" s="50"/>
      <c r="T623" s="50"/>
      <c r="U623" s="53"/>
      <c r="V623" s="54"/>
      <c r="W623" s="56"/>
      <c r="X623" s="119"/>
      <c r="Y623" s="113"/>
      <c r="Z623" s="113"/>
    </row>
    <row r="624">
      <c r="A624" s="38">
        <v>364.0</v>
      </c>
      <c r="B624" s="38"/>
      <c r="C624" s="38"/>
      <c r="D624" s="38"/>
      <c r="E624" s="38" t="s">
        <v>1397</v>
      </c>
      <c r="F624" s="41" t="s">
        <v>1398</v>
      </c>
      <c r="G624" s="43"/>
      <c r="H624" s="45"/>
      <c r="I624" s="38"/>
      <c r="J624" s="38">
        <f>2.7*1000</f>
        <v>2700</v>
      </c>
      <c r="K624" s="46">
        <v>0.022615740740740742</v>
      </c>
      <c r="L624" s="47" t="s">
        <v>1048</v>
      </c>
      <c r="M624" s="46"/>
      <c r="N624" s="46"/>
      <c r="O624" s="38"/>
      <c r="P624" s="38"/>
      <c r="Q624" s="12" t="str">
        <f t="shared" si="38"/>
        <v/>
      </c>
      <c r="R624" s="50"/>
      <c r="S624" s="50"/>
      <c r="T624" s="50"/>
      <c r="U624" s="53"/>
      <c r="V624" s="54"/>
      <c r="W624" s="56"/>
      <c r="X624" s="119"/>
      <c r="Y624" s="113"/>
      <c r="Z624" s="113"/>
    </row>
    <row r="625">
      <c r="A625" s="38">
        <v>365.0</v>
      </c>
      <c r="B625" s="38"/>
      <c r="C625" s="38"/>
      <c r="D625" s="38"/>
      <c r="E625" s="38" t="s">
        <v>1399</v>
      </c>
      <c r="F625" s="41" t="s">
        <v>1400</v>
      </c>
      <c r="G625" s="43"/>
      <c r="H625" s="45"/>
      <c r="I625" s="38"/>
      <c r="J625" s="38">
        <f>768</f>
        <v>768</v>
      </c>
      <c r="K625" s="46">
        <v>0.0028587962962962963</v>
      </c>
      <c r="L625" s="47" t="s">
        <v>1048</v>
      </c>
      <c r="M625" s="46"/>
      <c r="N625" s="46"/>
      <c r="O625" s="38"/>
      <c r="P625" s="38"/>
      <c r="Q625" s="12" t="str">
        <f t="shared" si="38"/>
        <v/>
      </c>
      <c r="R625" s="50"/>
      <c r="S625" s="50"/>
      <c r="T625" s="50"/>
      <c r="U625" s="53"/>
      <c r="V625" s="54"/>
      <c r="W625" s="56"/>
      <c r="X625" s="119"/>
      <c r="Y625" s="113"/>
      <c r="Z625" s="113"/>
    </row>
    <row r="626">
      <c r="A626" s="38">
        <v>366.0</v>
      </c>
      <c r="B626" s="38"/>
      <c r="C626" s="38"/>
      <c r="D626" s="38"/>
      <c r="E626" s="38" t="s">
        <v>1401</v>
      </c>
      <c r="F626" s="41" t="s">
        <v>1402</v>
      </c>
      <c r="G626" s="43"/>
      <c r="H626" s="45"/>
      <c r="I626" s="38"/>
      <c r="J626" s="38">
        <f>925</f>
        <v>925</v>
      </c>
      <c r="K626" s="46">
        <v>0.0012037037037037038</v>
      </c>
      <c r="L626" s="47" t="s">
        <v>1048</v>
      </c>
      <c r="M626" s="46"/>
      <c r="N626" s="46"/>
      <c r="O626" s="38"/>
      <c r="P626" s="38"/>
      <c r="Q626" s="12" t="str">
        <f t="shared" si="38"/>
        <v/>
      </c>
      <c r="R626" s="50"/>
      <c r="S626" s="50"/>
      <c r="T626" s="50"/>
      <c r="U626" s="53"/>
      <c r="V626" s="54"/>
      <c r="W626" s="56"/>
      <c r="X626" s="119"/>
      <c r="Y626" s="113"/>
      <c r="Z626" s="113"/>
    </row>
    <row r="627">
      <c r="A627" s="38">
        <v>367.0</v>
      </c>
      <c r="B627" s="38"/>
      <c r="C627" s="38"/>
      <c r="D627" s="38"/>
      <c r="E627" s="38" t="s">
        <v>1405</v>
      </c>
      <c r="F627" s="41" t="s">
        <v>1406</v>
      </c>
      <c r="G627" s="43"/>
      <c r="H627" s="45"/>
      <c r="I627" s="38"/>
      <c r="J627" s="38">
        <f>12*1000</f>
        <v>12000</v>
      </c>
      <c r="K627" s="46">
        <v>0.0018634259259259261</v>
      </c>
      <c r="L627" s="47" t="s">
        <v>1048</v>
      </c>
      <c r="M627" s="46"/>
      <c r="N627" s="46"/>
      <c r="O627" s="38"/>
      <c r="P627" s="38"/>
      <c r="Q627" s="12" t="str">
        <f t="shared" si="38"/>
        <v/>
      </c>
      <c r="R627" s="50"/>
      <c r="S627" s="50"/>
      <c r="T627" s="50"/>
      <c r="U627" s="53"/>
      <c r="V627" s="54"/>
      <c r="W627" s="56"/>
      <c r="X627" s="119"/>
      <c r="Y627" s="113"/>
      <c r="Z627" s="113"/>
    </row>
    <row r="628">
      <c r="A628" s="38">
        <v>368.0</v>
      </c>
      <c r="B628" s="38"/>
      <c r="C628" s="38"/>
      <c r="D628" s="38"/>
      <c r="E628" s="38" t="s">
        <v>1409</v>
      </c>
      <c r="F628" s="41" t="s">
        <v>1410</v>
      </c>
      <c r="G628" s="43"/>
      <c r="H628" s="45"/>
      <c r="I628" s="38"/>
      <c r="J628" s="38">
        <f>13*1000</f>
        <v>13000</v>
      </c>
      <c r="K628" s="46">
        <v>0.015914351851851853</v>
      </c>
      <c r="L628" s="47" t="s">
        <v>1048</v>
      </c>
      <c r="M628" s="46"/>
      <c r="N628" s="46"/>
      <c r="O628" s="38"/>
      <c r="P628" s="38"/>
      <c r="Q628" s="12" t="str">
        <f t="shared" si="38"/>
        <v/>
      </c>
      <c r="R628" s="50"/>
      <c r="S628" s="50"/>
      <c r="T628" s="50"/>
      <c r="U628" s="53"/>
      <c r="V628" s="54"/>
      <c r="W628" s="56"/>
      <c r="X628" s="119"/>
      <c r="Y628" s="113"/>
      <c r="Z628" s="113"/>
    </row>
    <row r="629">
      <c r="A629" s="38">
        <v>369.0</v>
      </c>
      <c r="B629" s="38"/>
      <c r="C629" s="38"/>
      <c r="D629" s="38"/>
      <c r="E629" s="38" t="s">
        <v>1411</v>
      </c>
      <c r="F629" s="41" t="s">
        <v>1412</v>
      </c>
      <c r="G629" s="43"/>
      <c r="H629" s="45"/>
      <c r="I629" s="38"/>
      <c r="J629" s="38">
        <f>193</f>
        <v>193</v>
      </c>
      <c r="K629" s="46">
        <v>0.0038773148148148143</v>
      </c>
      <c r="L629" s="47" t="s">
        <v>1048</v>
      </c>
      <c r="M629" s="46"/>
      <c r="N629" s="46"/>
      <c r="O629" s="38"/>
      <c r="P629" s="38"/>
      <c r="Q629" s="12" t="str">
        <f t="shared" si="38"/>
        <v/>
      </c>
      <c r="R629" s="50"/>
      <c r="S629" s="50"/>
      <c r="T629" s="50"/>
      <c r="U629" s="53"/>
      <c r="V629" s="54"/>
      <c r="W629" s="56"/>
      <c r="X629" s="119"/>
      <c r="Y629" s="113"/>
      <c r="Z629" s="113"/>
    </row>
    <row r="630">
      <c r="A630" s="38">
        <v>370.0</v>
      </c>
      <c r="B630" s="38"/>
      <c r="C630" s="38"/>
      <c r="D630" s="38"/>
      <c r="E630" s="38" t="s">
        <v>1413</v>
      </c>
      <c r="F630" s="41" t="s">
        <v>1414</v>
      </c>
      <c r="G630" s="43"/>
      <c r="H630" s="45"/>
      <c r="I630" s="38"/>
      <c r="J630" s="38">
        <f>219</f>
        <v>219</v>
      </c>
      <c r="K630" s="46">
        <v>0.0021296296296296298</v>
      </c>
      <c r="L630" s="47" t="s">
        <v>1048</v>
      </c>
      <c r="M630" s="46"/>
      <c r="N630" s="46"/>
      <c r="O630" s="38"/>
      <c r="P630" s="38"/>
      <c r="Q630" s="12" t="str">
        <f t="shared" si="38"/>
        <v/>
      </c>
      <c r="R630" s="50"/>
      <c r="S630" s="50"/>
      <c r="T630" s="50"/>
      <c r="U630" s="53"/>
      <c r="V630" s="54"/>
      <c r="W630" s="56"/>
      <c r="X630" s="119"/>
      <c r="Y630" s="113"/>
      <c r="Z630" s="113"/>
    </row>
    <row r="631">
      <c r="A631" s="38">
        <v>371.0</v>
      </c>
      <c r="B631" s="38"/>
      <c r="C631" s="38"/>
      <c r="D631" s="38"/>
      <c r="E631" s="38" t="s">
        <v>1415</v>
      </c>
      <c r="F631" s="41" t="s">
        <v>1416</v>
      </c>
      <c r="G631" s="43"/>
      <c r="H631" s="45"/>
      <c r="I631" s="38"/>
      <c r="J631" s="38">
        <f>413</f>
        <v>413</v>
      </c>
      <c r="K631" s="46">
        <v>0.0024189814814814816</v>
      </c>
      <c r="L631" s="47" t="s">
        <v>1048</v>
      </c>
      <c r="M631" s="46"/>
      <c r="N631" s="46"/>
      <c r="O631" s="38"/>
      <c r="P631" s="38"/>
      <c r="Q631" s="12" t="str">
        <f t="shared" si="38"/>
        <v/>
      </c>
      <c r="R631" s="50"/>
      <c r="S631" s="50"/>
      <c r="T631" s="50"/>
      <c r="U631" s="53"/>
      <c r="V631" s="54"/>
      <c r="W631" s="56"/>
      <c r="X631" s="119"/>
      <c r="Y631" s="113"/>
      <c r="Z631" s="113"/>
    </row>
    <row r="632">
      <c r="A632" s="38">
        <v>372.0</v>
      </c>
      <c r="B632" s="38"/>
      <c r="C632" s="38"/>
      <c r="D632" s="38"/>
      <c r="E632" s="38" t="s">
        <v>1417</v>
      </c>
      <c r="F632" s="41" t="s">
        <v>1418</v>
      </c>
      <c r="G632" s="43"/>
      <c r="H632" s="45"/>
      <c r="I632" s="38"/>
      <c r="J632" s="38">
        <f>126</f>
        <v>126</v>
      </c>
      <c r="K632" s="46">
        <v>0.0016203703703703703</v>
      </c>
      <c r="L632" s="47" t="s">
        <v>1048</v>
      </c>
      <c r="M632" s="46"/>
      <c r="N632" s="46"/>
      <c r="O632" s="38"/>
      <c r="P632" s="38"/>
      <c r="Q632" s="12" t="str">
        <f t="shared" si="38"/>
        <v/>
      </c>
      <c r="R632" s="50"/>
      <c r="S632" s="50"/>
      <c r="T632" s="50"/>
      <c r="U632" s="53"/>
      <c r="V632" s="54"/>
      <c r="W632" s="56"/>
      <c r="X632" s="119"/>
      <c r="Y632" s="113"/>
      <c r="Z632" s="113"/>
    </row>
    <row r="633">
      <c r="A633" s="38">
        <v>373.0</v>
      </c>
      <c r="B633" s="38"/>
      <c r="C633" s="38"/>
      <c r="D633" s="38"/>
      <c r="E633" s="38" t="s">
        <v>1419</v>
      </c>
      <c r="F633" s="41" t="s">
        <v>1420</v>
      </c>
      <c r="G633" s="43"/>
      <c r="H633" s="45"/>
      <c r="I633" s="38"/>
      <c r="J633" s="38">
        <f>154</f>
        <v>154</v>
      </c>
      <c r="K633" s="46">
        <v>0.003368055555555555</v>
      </c>
      <c r="L633" s="47" t="s">
        <v>1048</v>
      </c>
      <c r="M633" s="46"/>
      <c r="N633" s="46"/>
      <c r="O633" s="38"/>
      <c r="P633" s="38"/>
      <c r="Q633" s="12" t="str">
        <f t="shared" si="38"/>
        <v/>
      </c>
      <c r="R633" s="50"/>
      <c r="S633" s="50"/>
      <c r="T633" s="50"/>
      <c r="U633" s="53"/>
      <c r="V633" s="54"/>
      <c r="W633" s="56"/>
      <c r="X633" s="119"/>
      <c r="Y633" s="113"/>
      <c r="Z633" s="113"/>
    </row>
    <row r="634">
      <c r="A634" s="38">
        <v>374.0</v>
      </c>
      <c r="B634" s="38"/>
      <c r="C634" s="38"/>
      <c r="D634" s="38"/>
      <c r="E634" s="38" t="s">
        <v>1421</v>
      </c>
      <c r="F634" s="41" t="s">
        <v>1422</v>
      </c>
      <c r="G634" s="43"/>
      <c r="H634" s="45"/>
      <c r="I634" s="38"/>
      <c r="J634" s="38">
        <f>119</f>
        <v>119</v>
      </c>
      <c r="K634" s="46">
        <v>0.0023263888888888887</v>
      </c>
      <c r="L634" s="47" t="s">
        <v>1048</v>
      </c>
      <c r="M634" s="46"/>
      <c r="N634" s="46"/>
      <c r="O634" s="38"/>
      <c r="P634" s="38"/>
      <c r="Q634" s="12" t="str">
        <f t="shared" si="38"/>
        <v/>
      </c>
      <c r="R634" s="50"/>
      <c r="S634" s="50"/>
      <c r="T634" s="50"/>
      <c r="U634" s="53"/>
      <c r="V634" s="54"/>
      <c r="W634" s="56"/>
      <c r="X634" s="119"/>
      <c r="Y634" s="113"/>
      <c r="Z634" s="113"/>
    </row>
    <row r="635">
      <c r="A635" s="38">
        <v>375.0</v>
      </c>
      <c r="B635" s="38"/>
      <c r="C635" s="38"/>
      <c r="D635" s="38"/>
      <c r="E635" s="38" t="s">
        <v>1423</v>
      </c>
      <c r="F635" s="41" t="s">
        <v>1424</v>
      </c>
      <c r="G635" s="43"/>
      <c r="H635" s="45"/>
      <c r="I635" s="38"/>
      <c r="J635" s="38">
        <f>241</f>
        <v>241</v>
      </c>
      <c r="K635" s="46">
        <v>8.796296296296296E-4</v>
      </c>
      <c r="L635" s="47" t="s">
        <v>1048</v>
      </c>
      <c r="M635" s="46"/>
      <c r="N635" s="46"/>
      <c r="O635" s="38"/>
      <c r="P635" s="38"/>
      <c r="Q635" s="12" t="str">
        <f t="shared" si="38"/>
        <v/>
      </c>
      <c r="R635" s="50"/>
      <c r="S635" s="50"/>
      <c r="T635" s="50"/>
      <c r="U635" s="53"/>
      <c r="V635" s="54"/>
      <c r="W635" s="56"/>
      <c r="X635" s="119"/>
      <c r="Y635" s="113"/>
      <c r="Z635" s="113"/>
    </row>
    <row r="636">
      <c r="A636" s="38">
        <v>376.0</v>
      </c>
      <c r="B636" s="38"/>
      <c r="C636" s="38"/>
      <c r="D636" s="38"/>
      <c r="E636" s="38" t="s">
        <v>1425</v>
      </c>
      <c r="F636" s="41" t="s">
        <v>1426</v>
      </c>
      <c r="G636" s="43"/>
      <c r="H636" s="45"/>
      <c r="I636" s="38"/>
      <c r="J636" s="38">
        <f>13*1000</f>
        <v>13000</v>
      </c>
      <c r="K636" s="46">
        <v>0.00829861111111111</v>
      </c>
      <c r="L636" s="47" t="s">
        <v>1048</v>
      </c>
      <c r="M636" s="46"/>
      <c r="N636" s="46"/>
      <c r="O636" s="38"/>
      <c r="P636" s="38"/>
      <c r="Q636" s="12" t="str">
        <f t="shared" si="38"/>
        <v/>
      </c>
      <c r="R636" s="50"/>
      <c r="S636" s="50"/>
      <c r="T636" s="50"/>
      <c r="U636" s="53"/>
      <c r="V636" s="54"/>
      <c r="W636" s="56"/>
      <c r="X636" s="119"/>
      <c r="Y636" s="113"/>
      <c r="Z636" s="113"/>
    </row>
    <row r="637">
      <c r="A637" s="38">
        <v>377.0</v>
      </c>
      <c r="B637" s="38"/>
      <c r="C637" s="38"/>
      <c r="D637" s="38"/>
      <c r="E637" s="38" t="s">
        <v>1427</v>
      </c>
      <c r="F637" s="41" t="s">
        <v>1428</v>
      </c>
      <c r="G637" s="43"/>
      <c r="H637" s="45"/>
      <c r="I637" s="38"/>
      <c r="J637" s="38">
        <f>20*1000</f>
        <v>20000</v>
      </c>
      <c r="K637" s="46">
        <v>0.006759259259259259</v>
      </c>
      <c r="L637" s="47" t="s">
        <v>1048</v>
      </c>
      <c r="M637" s="46"/>
      <c r="N637" s="46"/>
      <c r="O637" s="38"/>
      <c r="P637" s="38"/>
      <c r="Q637" s="12" t="str">
        <f t="shared" si="38"/>
        <v/>
      </c>
      <c r="R637" s="50"/>
      <c r="S637" s="50"/>
      <c r="T637" s="50"/>
      <c r="U637" s="53"/>
      <c r="V637" s="54"/>
      <c r="W637" s="56"/>
      <c r="X637" s="119"/>
      <c r="Y637" s="113"/>
      <c r="Z637" s="113"/>
    </row>
    <row r="638">
      <c r="A638" s="38">
        <v>378.0</v>
      </c>
      <c r="B638" s="38"/>
      <c r="C638" s="38"/>
      <c r="D638" s="38"/>
      <c r="E638" s="38" t="s">
        <v>1429</v>
      </c>
      <c r="F638" s="41" t="s">
        <v>1430</v>
      </c>
      <c r="G638" s="43"/>
      <c r="H638" s="45"/>
      <c r="I638" s="38"/>
      <c r="J638" s="38">
        <f>844</f>
        <v>844</v>
      </c>
      <c r="K638" s="46">
        <v>0.002534722222222222</v>
      </c>
      <c r="L638" s="47" t="s">
        <v>1048</v>
      </c>
      <c r="M638" s="46"/>
      <c r="N638" s="46"/>
      <c r="O638" s="38"/>
      <c r="P638" s="38"/>
      <c r="Q638" s="12" t="str">
        <f t="shared" si="38"/>
        <v/>
      </c>
      <c r="R638" s="50"/>
      <c r="S638" s="50"/>
      <c r="T638" s="50"/>
      <c r="U638" s="53"/>
      <c r="V638" s="54"/>
      <c r="W638" s="56"/>
      <c r="X638" s="119"/>
      <c r="Y638" s="113"/>
      <c r="Z638" s="113"/>
    </row>
    <row r="639">
      <c r="A639" s="38">
        <v>379.0</v>
      </c>
      <c r="B639" s="38"/>
      <c r="C639" s="38"/>
      <c r="D639" s="38"/>
      <c r="E639" s="38" t="s">
        <v>1431</v>
      </c>
      <c r="F639" s="41" t="s">
        <v>1432</v>
      </c>
      <c r="G639" s="43"/>
      <c r="H639" s="45"/>
      <c r="I639" s="38"/>
      <c r="J639" s="38">
        <f>904</f>
        <v>904</v>
      </c>
      <c r="K639" s="46">
        <v>0.00537037037037037</v>
      </c>
      <c r="L639" s="47" t="s">
        <v>1048</v>
      </c>
      <c r="M639" s="46"/>
      <c r="N639" s="46"/>
      <c r="O639" s="38"/>
      <c r="P639" s="38"/>
      <c r="Q639" s="12" t="str">
        <f t="shared" si="38"/>
        <v/>
      </c>
      <c r="R639" s="50"/>
      <c r="S639" s="50"/>
      <c r="T639" s="50"/>
      <c r="U639" s="53"/>
      <c r="V639" s="54"/>
      <c r="W639" s="56"/>
      <c r="X639" s="119"/>
      <c r="Y639" s="113"/>
      <c r="Z639" s="113"/>
    </row>
    <row r="640">
      <c r="A640" s="38">
        <v>380.0</v>
      </c>
      <c r="B640" s="38"/>
      <c r="C640" s="38"/>
      <c r="D640" s="38"/>
      <c r="E640" s="38" t="s">
        <v>1433</v>
      </c>
      <c r="F640" s="41" t="s">
        <v>1434</v>
      </c>
      <c r="G640" s="43"/>
      <c r="H640" s="45"/>
      <c r="I640" s="38"/>
      <c r="J640" s="38">
        <f>384</f>
        <v>384</v>
      </c>
      <c r="K640" s="46">
        <v>0.0017592592592592592</v>
      </c>
      <c r="L640" s="47" t="s">
        <v>1048</v>
      </c>
      <c r="M640" s="46"/>
      <c r="N640" s="46"/>
      <c r="O640" s="38"/>
      <c r="P640" s="38"/>
      <c r="Q640" s="12" t="str">
        <f t="shared" si="38"/>
        <v/>
      </c>
      <c r="R640" s="50"/>
      <c r="S640" s="50"/>
      <c r="T640" s="50"/>
      <c r="U640" s="53"/>
      <c r="V640" s="54"/>
      <c r="W640" s="56"/>
      <c r="X640" s="119"/>
      <c r="Y640" s="113"/>
      <c r="Z640" s="113"/>
    </row>
    <row r="641">
      <c r="A641" s="38">
        <v>381.0</v>
      </c>
      <c r="B641" s="38"/>
      <c r="C641" s="38"/>
      <c r="D641" s="38"/>
      <c r="E641" s="38" t="s">
        <v>1435</v>
      </c>
      <c r="F641" s="41" t="s">
        <v>1436</v>
      </c>
      <c r="G641" s="43"/>
      <c r="H641" s="45"/>
      <c r="I641" s="38"/>
      <c r="J641" s="38">
        <f>43*1000</f>
        <v>43000</v>
      </c>
      <c r="K641" s="46">
        <v>0.004965277777777778</v>
      </c>
      <c r="L641" s="47" t="s">
        <v>1048</v>
      </c>
      <c r="M641" s="46"/>
      <c r="N641" s="46"/>
      <c r="O641" s="38"/>
      <c r="P641" s="38"/>
      <c r="Q641" s="12" t="str">
        <f t="shared" si="38"/>
        <v/>
      </c>
      <c r="R641" s="50"/>
      <c r="S641" s="50"/>
      <c r="T641" s="50"/>
      <c r="U641" s="53"/>
      <c r="V641" s="54"/>
      <c r="W641" s="56"/>
      <c r="X641" s="119"/>
      <c r="Y641" s="113"/>
      <c r="Z641" s="113"/>
    </row>
    <row r="642">
      <c r="A642" s="38">
        <v>382.0</v>
      </c>
      <c r="B642" s="38"/>
      <c r="C642" s="38"/>
      <c r="D642" s="38"/>
      <c r="E642" s="38" t="s">
        <v>1437</v>
      </c>
      <c r="F642" s="41" t="s">
        <v>1438</v>
      </c>
      <c r="G642" s="43"/>
      <c r="H642" s="45"/>
      <c r="I642" s="38"/>
      <c r="J642" s="38">
        <f>1.3*1000</f>
        <v>1300</v>
      </c>
      <c r="K642" s="46">
        <v>0.011689814814814814</v>
      </c>
      <c r="L642" s="47" t="s">
        <v>1048</v>
      </c>
      <c r="M642" s="46"/>
      <c r="N642" s="46"/>
      <c r="O642" s="38"/>
      <c r="P642" s="38"/>
      <c r="Q642" s="12" t="str">
        <f t="shared" si="38"/>
        <v/>
      </c>
      <c r="R642" s="50"/>
      <c r="S642" s="50"/>
      <c r="T642" s="50"/>
      <c r="U642" s="53"/>
      <c r="V642" s="54"/>
      <c r="W642" s="56"/>
      <c r="X642" s="119"/>
      <c r="Y642" s="113"/>
      <c r="Z642" s="113"/>
    </row>
    <row r="643">
      <c r="A643" s="38">
        <v>383.0</v>
      </c>
      <c r="B643" s="38"/>
      <c r="C643" s="38"/>
      <c r="D643" s="38"/>
      <c r="E643" s="38" t="s">
        <v>1439</v>
      </c>
      <c r="F643" s="41" t="s">
        <v>1440</v>
      </c>
      <c r="G643" s="43"/>
      <c r="H643" s="45"/>
      <c r="I643" s="38"/>
      <c r="J643" s="38">
        <f>1.1*1000</f>
        <v>1100</v>
      </c>
      <c r="K643" s="46">
        <v>0.0027199074074074074</v>
      </c>
      <c r="L643" s="47" t="s">
        <v>1048</v>
      </c>
      <c r="M643" s="46"/>
      <c r="N643" s="46"/>
      <c r="O643" s="38"/>
      <c r="P643" s="38"/>
      <c r="Q643" s="12" t="str">
        <f t="shared" si="38"/>
        <v/>
      </c>
      <c r="R643" s="50"/>
      <c r="S643" s="50"/>
      <c r="T643" s="50"/>
      <c r="U643" s="53"/>
      <c r="V643" s="54"/>
      <c r="W643" s="56"/>
      <c r="X643" s="119"/>
      <c r="Y643" s="113"/>
      <c r="Z643" s="113"/>
    </row>
    <row r="644">
      <c r="A644" s="38">
        <v>384.0</v>
      </c>
      <c r="B644" s="38"/>
      <c r="C644" s="38"/>
      <c r="D644" s="38"/>
      <c r="E644" s="38" t="s">
        <v>1441</v>
      </c>
      <c r="F644" s="41" t="s">
        <v>1442</v>
      </c>
      <c r="G644" s="43"/>
      <c r="H644" s="45"/>
      <c r="I644" s="38"/>
      <c r="J644" s="38">
        <f>947</f>
        <v>947</v>
      </c>
      <c r="K644" s="46">
        <v>0.002025462962962963</v>
      </c>
      <c r="L644" s="47" t="s">
        <v>1048</v>
      </c>
      <c r="M644" s="46"/>
      <c r="N644" s="46"/>
      <c r="O644" s="38"/>
      <c r="P644" s="38"/>
      <c r="Q644" s="12" t="str">
        <f t="shared" si="38"/>
        <v/>
      </c>
      <c r="R644" s="50"/>
      <c r="S644" s="50"/>
      <c r="T644" s="50"/>
      <c r="U644" s="53"/>
      <c r="V644" s="54"/>
      <c r="W644" s="56"/>
      <c r="X644" s="119"/>
      <c r="Y644" s="113"/>
      <c r="Z644" s="113"/>
    </row>
    <row r="645">
      <c r="A645" s="38">
        <v>385.0</v>
      </c>
      <c r="B645" s="38"/>
      <c r="C645" s="38"/>
      <c r="D645" s="38"/>
      <c r="E645" s="38" t="s">
        <v>1443</v>
      </c>
      <c r="F645" s="41" t="s">
        <v>1444</v>
      </c>
      <c r="G645" s="43"/>
      <c r="H645" s="45"/>
      <c r="I645" s="38"/>
      <c r="J645" s="38">
        <f>405</f>
        <v>405</v>
      </c>
      <c r="K645" s="46">
        <v>0.0034375</v>
      </c>
      <c r="L645" s="47" t="s">
        <v>1048</v>
      </c>
      <c r="M645" s="46"/>
      <c r="N645" s="46"/>
      <c r="O645" s="38"/>
      <c r="P645" s="38"/>
      <c r="Q645" s="12" t="str">
        <f t="shared" si="38"/>
        <v/>
      </c>
      <c r="R645" s="50"/>
      <c r="S645" s="50"/>
      <c r="T645" s="50"/>
      <c r="U645" s="53"/>
      <c r="V645" s="54"/>
      <c r="W645" s="56"/>
      <c r="X645" s="119"/>
      <c r="Y645" s="113"/>
      <c r="Z645" s="113"/>
    </row>
    <row r="646">
      <c r="A646" s="38">
        <v>386.0</v>
      </c>
      <c r="B646" s="38"/>
      <c r="C646" s="38"/>
      <c r="D646" s="38"/>
      <c r="E646" s="38" t="s">
        <v>1445</v>
      </c>
      <c r="F646" s="41" t="s">
        <v>1446</v>
      </c>
      <c r="G646" s="43"/>
      <c r="H646" s="45"/>
      <c r="I646" s="38"/>
      <c r="J646" s="38">
        <f>365</f>
        <v>365</v>
      </c>
      <c r="K646" s="46">
        <v>0.0029745370370370373</v>
      </c>
      <c r="L646" s="47" t="s">
        <v>1048</v>
      </c>
      <c r="M646" s="46"/>
      <c r="N646" s="46"/>
      <c r="O646" s="38"/>
      <c r="P646" s="38"/>
      <c r="Q646" s="12" t="str">
        <f t="shared" si="38"/>
        <v/>
      </c>
      <c r="R646" s="50"/>
      <c r="S646" s="50"/>
      <c r="T646" s="50"/>
      <c r="U646" s="53"/>
      <c r="V646" s="54"/>
      <c r="W646" s="56"/>
      <c r="X646" s="119"/>
      <c r="Y646" s="113"/>
      <c r="Z646" s="113"/>
    </row>
    <row r="647">
      <c r="A647" s="38">
        <v>387.0</v>
      </c>
      <c r="B647" s="38"/>
      <c r="C647" s="38"/>
      <c r="D647" s="38"/>
      <c r="E647" s="38" t="s">
        <v>1447</v>
      </c>
      <c r="F647" s="41" t="s">
        <v>1448</v>
      </c>
      <c r="G647" s="43"/>
      <c r="H647" s="45"/>
      <c r="I647" s="38"/>
      <c r="J647" s="38">
        <f>728</f>
        <v>728</v>
      </c>
      <c r="K647" s="46">
        <v>0.00337962962962963</v>
      </c>
      <c r="L647" s="47" t="s">
        <v>1048</v>
      </c>
      <c r="M647" s="46"/>
      <c r="N647" s="46"/>
      <c r="O647" s="38"/>
      <c r="P647" s="38"/>
      <c r="Q647" s="12" t="str">
        <f t="shared" si="38"/>
        <v/>
      </c>
      <c r="R647" s="50"/>
      <c r="S647" s="50"/>
      <c r="T647" s="50"/>
      <c r="U647" s="53"/>
      <c r="V647" s="54"/>
      <c r="W647" s="56"/>
      <c r="X647" s="119"/>
      <c r="Y647" s="113"/>
      <c r="Z647" s="113"/>
    </row>
    <row r="648">
      <c r="A648" s="38">
        <v>388.0</v>
      </c>
      <c r="B648" s="38"/>
      <c r="C648" s="38"/>
      <c r="D648" s="38"/>
      <c r="E648" s="38" t="s">
        <v>1449</v>
      </c>
      <c r="F648" s="41" t="s">
        <v>1450</v>
      </c>
      <c r="G648" s="43"/>
      <c r="H648" s="45"/>
      <c r="I648" s="38"/>
      <c r="J648" s="38">
        <f>3.7*1000</f>
        <v>3700</v>
      </c>
      <c r="K648" s="46">
        <v>0.031782407407407405</v>
      </c>
      <c r="L648" s="47" t="s">
        <v>1048</v>
      </c>
      <c r="M648" s="46"/>
      <c r="N648" s="46"/>
      <c r="O648" s="38"/>
      <c r="P648" s="38"/>
      <c r="Q648" s="12" t="str">
        <f t="shared" si="38"/>
        <v/>
      </c>
      <c r="R648" s="50"/>
      <c r="S648" s="50"/>
      <c r="T648" s="50"/>
      <c r="U648" s="53"/>
      <c r="V648" s="54"/>
      <c r="W648" s="56"/>
      <c r="X648" s="119"/>
      <c r="Y648" s="113"/>
      <c r="Z648" s="113"/>
    </row>
    <row r="649">
      <c r="A649" s="38">
        <v>389.0</v>
      </c>
      <c r="B649" s="38"/>
      <c r="C649" s="38"/>
      <c r="D649" s="38"/>
      <c r="E649" s="38" t="s">
        <v>1451</v>
      </c>
      <c r="F649" s="41" t="s">
        <v>1452</v>
      </c>
      <c r="G649" s="43"/>
      <c r="H649" s="45"/>
      <c r="I649" s="38"/>
      <c r="J649" s="38">
        <f>634</f>
        <v>634</v>
      </c>
      <c r="K649" s="46">
        <v>0.0022337962962962967</v>
      </c>
      <c r="L649" s="47" t="s">
        <v>1048</v>
      </c>
      <c r="M649" s="46"/>
      <c r="N649" s="46"/>
      <c r="O649" s="38"/>
      <c r="P649" s="38"/>
      <c r="Q649" s="12" t="str">
        <f t="shared" si="38"/>
        <v/>
      </c>
      <c r="R649" s="50"/>
      <c r="S649" s="50"/>
      <c r="T649" s="50"/>
      <c r="U649" s="53"/>
      <c r="V649" s="54"/>
      <c r="W649" s="56"/>
      <c r="X649" s="119"/>
      <c r="Y649" s="113"/>
      <c r="Z649" s="113"/>
    </row>
    <row r="650">
      <c r="A650" s="38">
        <v>390.0</v>
      </c>
      <c r="B650" s="38"/>
      <c r="C650" s="38"/>
      <c r="D650" s="38"/>
      <c r="E650" s="38" t="s">
        <v>1454</v>
      </c>
      <c r="F650" s="41" t="s">
        <v>1455</v>
      </c>
      <c r="G650" s="43"/>
      <c r="H650" s="45"/>
      <c r="I650" s="38"/>
      <c r="J650" s="38">
        <f>387</f>
        <v>387</v>
      </c>
      <c r="K650" s="46">
        <v>0.0018171296296296297</v>
      </c>
      <c r="L650" s="47" t="s">
        <v>1048</v>
      </c>
      <c r="M650" s="46"/>
      <c r="N650" s="46"/>
      <c r="O650" s="38"/>
      <c r="P650" s="38"/>
      <c r="Q650" s="12" t="str">
        <f t="shared" si="38"/>
        <v/>
      </c>
      <c r="R650" s="50"/>
      <c r="S650" s="50"/>
      <c r="T650" s="50"/>
      <c r="U650" s="53"/>
      <c r="V650" s="54"/>
      <c r="W650" s="56"/>
      <c r="X650" s="119"/>
      <c r="Y650" s="113"/>
      <c r="Z650" s="113"/>
    </row>
    <row r="651">
      <c r="A651" s="38">
        <v>391.0</v>
      </c>
      <c r="B651" s="38"/>
      <c r="C651" s="38"/>
      <c r="D651" s="38"/>
      <c r="E651" s="38" t="s">
        <v>1457</v>
      </c>
      <c r="F651" s="41" t="s">
        <v>1458</v>
      </c>
      <c r="G651" s="43"/>
      <c r="H651" s="45"/>
      <c r="I651" s="38"/>
      <c r="J651" s="38">
        <f>319</f>
        <v>319</v>
      </c>
      <c r="K651" s="46">
        <v>0.0018402777777777777</v>
      </c>
      <c r="L651" s="47" t="s">
        <v>1048</v>
      </c>
      <c r="M651" s="46"/>
      <c r="N651" s="46"/>
      <c r="O651" s="38"/>
      <c r="P651" s="38"/>
      <c r="Q651" s="12" t="str">
        <f t="shared" si="38"/>
        <v/>
      </c>
      <c r="R651" s="50"/>
      <c r="S651" s="50"/>
      <c r="T651" s="50"/>
      <c r="U651" s="53"/>
      <c r="V651" s="54"/>
      <c r="W651" s="56"/>
      <c r="X651" s="119"/>
      <c r="Y651" s="113"/>
      <c r="Z651" s="113"/>
    </row>
    <row r="652">
      <c r="A652" s="38">
        <v>392.0</v>
      </c>
      <c r="B652" s="38"/>
      <c r="C652" s="38"/>
      <c r="D652" s="38"/>
      <c r="E652" s="38" t="s">
        <v>1459</v>
      </c>
      <c r="F652" s="41" t="s">
        <v>1460</v>
      </c>
      <c r="G652" s="43"/>
      <c r="H652" s="45"/>
      <c r="I652" s="38"/>
      <c r="J652" s="38">
        <f>282</f>
        <v>282</v>
      </c>
      <c r="K652" s="46">
        <v>0.001099537037037037</v>
      </c>
      <c r="L652" s="47" t="s">
        <v>1048</v>
      </c>
      <c r="M652" s="46"/>
      <c r="N652" s="46"/>
      <c r="O652" s="38"/>
      <c r="P652" s="38"/>
      <c r="Q652" s="12" t="str">
        <f t="shared" si="38"/>
        <v/>
      </c>
      <c r="R652" s="50"/>
      <c r="S652" s="50"/>
      <c r="T652" s="50"/>
      <c r="U652" s="53"/>
      <c r="V652" s="54"/>
      <c r="W652" s="56"/>
      <c r="X652" s="119"/>
      <c r="Y652" s="113"/>
      <c r="Z652" s="113"/>
    </row>
    <row r="653">
      <c r="A653" s="38">
        <v>393.0</v>
      </c>
      <c r="B653" s="38"/>
      <c r="C653" s="38"/>
      <c r="D653" s="38"/>
      <c r="E653" s="38" t="s">
        <v>1461</v>
      </c>
      <c r="F653" s="41" t="s">
        <v>1462</v>
      </c>
      <c r="G653" s="43"/>
      <c r="H653" s="45"/>
      <c r="I653" s="38"/>
      <c r="J653" s="38">
        <f>1*1000</f>
        <v>1000</v>
      </c>
      <c r="K653" s="46">
        <v>0.005798611111111111</v>
      </c>
      <c r="L653" s="47" t="s">
        <v>1048</v>
      </c>
      <c r="M653" s="46"/>
      <c r="N653" s="46"/>
      <c r="O653" s="38"/>
      <c r="P653" s="38"/>
      <c r="Q653" s="12" t="str">
        <f t="shared" si="38"/>
        <v/>
      </c>
      <c r="R653" s="50"/>
      <c r="S653" s="50"/>
      <c r="T653" s="50"/>
      <c r="U653" s="53"/>
      <c r="V653" s="54"/>
      <c r="W653" s="56"/>
      <c r="X653" s="119"/>
      <c r="Y653" s="113"/>
      <c r="Z653" s="113"/>
    </row>
    <row r="654">
      <c r="A654" s="38">
        <v>394.0</v>
      </c>
      <c r="B654" s="38"/>
      <c r="C654" s="38"/>
      <c r="D654" s="38"/>
      <c r="E654" s="38" t="s">
        <v>1463</v>
      </c>
      <c r="F654" s="41" t="s">
        <v>1464</v>
      </c>
      <c r="G654" s="43"/>
      <c r="H654" s="45"/>
      <c r="I654" s="38"/>
      <c r="J654" s="38">
        <f>790</f>
        <v>790</v>
      </c>
      <c r="K654" s="46">
        <v>0.0028124999999999995</v>
      </c>
      <c r="L654" s="47" t="s">
        <v>1048</v>
      </c>
      <c r="M654" s="46"/>
      <c r="N654" s="46"/>
      <c r="O654" s="38"/>
      <c r="P654" s="38"/>
      <c r="Q654" s="12" t="str">
        <f t="shared" si="38"/>
        <v/>
      </c>
      <c r="R654" s="50"/>
      <c r="S654" s="50"/>
      <c r="T654" s="50"/>
      <c r="U654" s="53"/>
      <c r="V654" s="54"/>
      <c r="W654" s="56"/>
      <c r="X654" s="119"/>
      <c r="Y654" s="113"/>
      <c r="Z654" s="113"/>
    </row>
    <row r="655">
      <c r="A655" s="38">
        <v>395.0</v>
      </c>
      <c r="B655" s="38"/>
      <c r="C655" s="38"/>
      <c r="D655" s="38"/>
      <c r="E655" s="38" t="s">
        <v>1467</v>
      </c>
      <c r="F655" s="41" t="s">
        <v>1468</v>
      </c>
      <c r="G655" s="43"/>
      <c r="H655" s="45"/>
      <c r="I655" s="38"/>
      <c r="J655" s="38">
        <f>270</f>
        <v>270</v>
      </c>
      <c r="K655" s="46">
        <v>7.75462962962963E-4</v>
      </c>
      <c r="L655" s="47" t="s">
        <v>1048</v>
      </c>
      <c r="M655" s="46"/>
      <c r="N655" s="46"/>
      <c r="O655" s="38"/>
      <c r="P655" s="38"/>
      <c r="Q655" s="12" t="str">
        <f t="shared" si="38"/>
        <v/>
      </c>
      <c r="R655" s="50"/>
      <c r="S655" s="50"/>
      <c r="T655" s="50"/>
      <c r="U655" s="53"/>
      <c r="V655" s="54"/>
      <c r="W655" s="56"/>
      <c r="X655" s="119"/>
      <c r="Y655" s="113"/>
      <c r="Z655" s="113"/>
    </row>
    <row r="656">
      <c r="A656" s="38">
        <v>396.0</v>
      </c>
      <c r="B656" s="38"/>
      <c r="C656" s="38"/>
      <c r="D656" s="38"/>
      <c r="E656" s="38" t="s">
        <v>1469</v>
      </c>
      <c r="F656" s="41" t="s">
        <v>1470</v>
      </c>
      <c r="G656" s="43"/>
      <c r="H656" s="45"/>
      <c r="I656" s="38"/>
      <c r="J656" s="38">
        <f>9.5*1000</f>
        <v>9500</v>
      </c>
      <c r="K656" s="46">
        <v>0.014224537037037037</v>
      </c>
      <c r="L656" s="47" t="s">
        <v>1048</v>
      </c>
      <c r="M656" s="46"/>
      <c r="N656" s="46"/>
      <c r="O656" s="38"/>
      <c r="P656" s="38"/>
      <c r="Q656" s="12" t="str">
        <f t="shared" si="38"/>
        <v/>
      </c>
      <c r="R656" s="50"/>
      <c r="S656" s="50"/>
      <c r="T656" s="50"/>
      <c r="U656" s="53"/>
      <c r="V656" s="54"/>
      <c r="W656" s="56"/>
      <c r="X656" s="119"/>
      <c r="Y656" s="113"/>
      <c r="Z656" s="113"/>
    </row>
    <row r="657">
      <c r="A657" s="38">
        <v>397.0</v>
      </c>
      <c r="B657" s="38"/>
      <c r="C657" s="38"/>
      <c r="D657" s="38"/>
      <c r="E657" s="38" t="s">
        <v>1472</v>
      </c>
      <c r="F657" s="41" t="s">
        <v>1473</v>
      </c>
      <c r="G657" s="43"/>
      <c r="H657" s="45"/>
      <c r="I657" s="38"/>
      <c r="J657" s="38">
        <f>276</f>
        <v>276</v>
      </c>
      <c r="K657" s="46">
        <v>0.002511574074074074</v>
      </c>
      <c r="L657" s="47" t="s">
        <v>1048</v>
      </c>
      <c r="M657" s="46"/>
      <c r="N657" s="46"/>
      <c r="O657" s="38"/>
      <c r="P657" s="38"/>
      <c r="Q657" s="12" t="str">
        <f t="shared" si="38"/>
        <v/>
      </c>
      <c r="R657" s="50"/>
      <c r="S657" s="50"/>
      <c r="T657" s="50"/>
      <c r="U657" s="53"/>
      <c r="V657" s="54"/>
      <c r="W657" s="56"/>
      <c r="X657" s="119"/>
      <c r="Y657" s="113"/>
      <c r="Z657" s="113"/>
    </row>
    <row r="658">
      <c r="A658" s="38">
        <v>398.0</v>
      </c>
      <c r="B658" s="38"/>
      <c r="C658" s="38"/>
      <c r="D658" s="38"/>
      <c r="E658" s="38" t="s">
        <v>1475</v>
      </c>
      <c r="F658" s="41" t="s">
        <v>1476</v>
      </c>
      <c r="G658" s="43"/>
      <c r="H658" s="45"/>
      <c r="I658" s="38"/>
      <c r="J658" s="38">
        <f>574</f>
        <v>574</v>
      </c>
      <c r="K658" s="46">
        <v>0.005069444444444444</v>
      </c>
      <c r="L658" s="47" t="s">
        <v>1048</v>
      </c>
      <c r="M658" s="46"/>
      <c r="N658" s="46"/>
      <c r="O658" s="38"/>
      <c r="P658" s="38"/>
      <c r="Q658" s="12" t="str">
        <f t="shared" si="38"/>
        <v/>
      </c>
      <c r="R658" s="50"/>
      <c r="S658" s="50"/>
      <c r="T658" s="50"/>
      <c r="U658" s="53"/>
      <c r="V658" s="54"/>
      <c r="W658" s="56"/>
      <c r="X658" s="119"/>
      <c r="Y658" s="113"/>
      <c r="Z658" s="113"/>
    </row>
    <row r="659">
      <c r="A659" s="38">
        <v>399.0</v>
      </c>
      <c r="B659" s="38"/>
      <c r="C659" s="38"/>
      <c r="D659" s="38"/>
      <c r="E659" s="38" t="s">
        <v>1479</v>
      </c>
      <c r="F659" s="41" t="s">
        <v>1480</v>
      </c>
      <c r="G659" s="43"/>
      <c r="H659" s="45"/>
      <c r="I659" s="38"/>
      <c r="J659" s="38">
        <f>612</f>
        <v>612</v>
      </c>
      <c r="K659" s="46">
        <v>0.0015393518518518519</v>
      </c>
      <c r="L659" s="47" t="s">
        <v>1048</v>
      </c>
      <c r="M659" s="46"/>
      <c r="N659" s="46"/>
      <c r="O659" s="38"/>
      <c r="P659" s="38"/>
      <c r="Q659" s="12" t="str">
        <f t="shared" si="38"/>
        <v/>
      </c>
      <c r="R659" s="50"/>
      <c r="S659" s="50"/>
      <c r="T659" s="50"/>
      <c r="U659" s="53"/>
      <c r="V659" s="54"/>
      <c r="W659" s="56"/>
      <c r="X659" s="119"/>
      <c r="Y659" s="113"/>
      <c r="Z659" s="113"/>
    </row>
    <row r="660">
      <c r="A660" s="38">
        <v>400.0</v>
      </c>
      <c r="B660" s="38"/>
      <c r="C660" s="38"/>
      <c r="D660" s="38"/>
      <c r="E660" s="38" t="s">
        <v>1481</v>
      </c>
      <c r="F660" s="41" t="s">
        <v>1482</v>
      </c>
      <c r="G660" s="43"/>
      <c r="H660" s="45"/>
      <c r="I660" s="38"/>
      <c r="J660" s="38">
        <f>423</f>
        <v>423</v>
      </c>
      <c r="K660" s="46">
        <v>0.0011689814814814816</v>
      </c>
      <c r="L660" s="47" t="s">
        <v>1048</v>
      </c>
      <c r="M660" s="46"/>
      <c r="N660" s="46"/>
      <c r="O660" s="38"/>
      <c r="P660" s="38"/>
      <c r="Q660" s="12" t="str">
        <f t="shared" si="38"/>
        <v/>
      </c>
      <c r="R660" s="50"/>
      <c r="S660" s="50"/>
      <c r="T660" s="50"/>
      <c r="U660" s="53"/>
      <c r="V660" s="54"/>
      <c r="W660" s="56"/>
      <c r="X660" s="119"/>
      <c r="Y660" s="113"/>
      <c r="Z660" s="113"/>
    </row>
    <row r="661">
      <c r="A661" s="38">
        <v>401.0</v>
      </c>
      <c r="B661" s="38"/>
      <c r="C661" s="38"/>
      <c r="D661" s="38"/>
      <c r="E661" s="38" t="s">
        <v>1484</v>
      </c>
      <c r="F661" s="41" t="s">
        <v>1485</v>
      </c>
      <c r="G661" s="43"/>
      <c r="H661" s="45"/>
      <c r="I661" s="38"/>
      <c r="J661" s="38">
        <f>567</f>
        <v>567</v>
      </c>
      <c r="K661" s="46">
        <v>0.001365740740740741</v>
      </c>
      <c r="L661" s="47" t="s">
        <v>1048</v>
      </c>
      <c r="M661" s="46"/>
      <c r="N661" s="46"/>
      <c r="O661" s="38"/>
      <c r="P661" s="38"/>
      <c r="Q661" s="12" t="str">
        <f t="shared" si="38"/>
        <v/>
      </c>
      <c r="R661" s="50"/>
      <c r="S661" s="50"/>
      <c r="T661" s="50"/>
      <c r="U661" s="53"/>
      <c r="V661" s="54"/>
      <c r="W661" s="56"/>
      <c r="X661" s="119"/>
      <c r="Y661" s="113"/>
      <c r="Z661" s="113"/>
    </row>
    <row r="662">
      <c r="A662" s="38">
        <v>402.0</v>
      </c>
      <c r="B662" s="38"/>
      <c r="C662" s="38"/>
      <c r="D662" s="38"/>
      <c r="E662" s="38" t="s">
        <v>1489</v>
      </c>
      <c r="F662" s="41" t="s">
        <v>1490</v>
      </c>
      <c r="G662" s="43"/>
      <c r="H662" s="45"/>
      <c r="I662" s="38"/>
      <c r="J662" s="38">
        <f>231</f>
        <v>231</v>
      </c>
      <c r="K662" s="46">
        <v>0.0022685185185185182</v>
      </c>
      <c r="L662" s="47" t="s">
        <v>1048</v>
      </c>
      <c r="M662" s="46"/>
      <c r="N662" s="46"/>
      <c r="O662" s="38"/>
      <c r="P662" s="38"/>
      <c r="Q662" s="12" t="str">
        <f t="shared" si="38"/>
        <v/>
      </c>
      <c r="R662" s="50"/>
      <c r="S662" s="50"/>
      <c r="T662" s="50"/>
      <c r="U662" s="53"/>
      <c r="V662" s="54"/>
      <c r="W662" s="56"/>
      <c r="X662" s="119"/>
      <c r="Y662" s="113"/>
      <c r="Z662" s="113"/>
    </row>
    <row r="663">
      <c r="A663" s="38">
        <v>403.0</v>
      </c>
      <c r="B663" s="38"/>
      <c r="C663" s="38"/>
      <c r="D663" s="38"/>
      <c r="E663" s="38" t="s">
        <v>1491</v>
      </c>
      <c r="F663" s="41" t="s">
        <v>1492</v>
      </c>
      <c r="G663" s="43"/>
      <c r="H663" s="45"/>
      <c r="I663" s="38"/>
      <c r="J663" s="38">
        <f>415</f>
        <v>415</v>
      </c>
      <c r="K663" s="46">
        <v>0.002893518518518519</v>
      </c>
      <c r="L663" s="47" t="s">
        <v>1048</v>
      </c>
      <c r="M663" s="46"/>
      <c r="N663" s="46"/>
      <c r="O663" s="38"/>
      <c r="P663" s="38"/>
      <c r="Q663" s="12" t="str">
        <f t="shared" si="38"/>
        <v/>
      </c>
      <c r="R663" s="50"/>
      <c r="S663" s="50"/>
      <c r="T663" s="50"/>
      <c r="U663" s="53"/>
      <c r="V663" s="54"/>
      <c r="W663" s="56"/>
      <c r="X663" s="119"/>
      <c r="Y663" s="113"/>
      <c r="Z663" s="113"/>
    </row>
    <row r="664">
      <c r="A664" s="38">
        <v>404.0</v>
      </c>
      <c r="B664" s="38"/>
      <c r="C664" s="38"/>
      <c r="D664" s="38"/>
      <c r="E664" s="38" t="s">
        <v>1493</v>
      </c>
      <c r="F664" s="41" t="s">
        <v>1494</v>
      </c>
      <c r="G664" s="43"/>
      <c r="H664" s="45"/>
      <c r="I664" s="38"/>
      <c r="J664" s="38">
        <f>553</f>
        <v>553</v>
      </c>
      <c r="K664" s="46">
        <v>0.002199074074074074</v>
      </c>
      <c r="L664" s="47" t="s">
        <v>1048</v>
      </c>
      <c r="M664" s="46"/>
      <c r="N664" s="46"/>
      <c r="O664" s="38"/>
      <c r="P664" s="38"/>
      <c r="Q664" s="12" t="str">
        <f t="shared" si="38"/>
        <v/>
      </c>
      <c r="R664" s="50"/>
      <c r="S664" s="50"/>
      <c r="T664" s="50"/>
      <c r="U664" s="53"/>
      <c r="V664" s="54"/>
      <c r="W664" s="56"/>
      <c r="X664" s="119"/>
      <c r="Y664" s="113"/>
      <c r="Z664" s="113"/>
    </row>
    <row r="665">
      <c r="A665" s="38">
        <v>405.0</v>
      </c>
      <c r="B665" s="38"/>
      <c r="C665" s="38"/>
      <c r="D665" s="38"/>
      <c r="E665" s="38" t="s">
        <v>1495</v>
      </c>
      <c r="F665" s="41" t="s">
        <v>1496</v>
      </c>
      <c r="G665" s="43"/>
      <c r="H665" s="45"/>
      <c r="I665" s="38"/>
      <c r="J665" s="38">
        <f>353</f>
        <v>353</v>
      </c>
      <c r="K665" s="46">
        <v>0.0013541666666666667</v>
      </c>
      <c r="L665" s="47" t="s">
        <v>1048</v>
      </c>
      <c r="M665" s="46"/>
      <c r="N665" s="46"/>
      <c r="O665" s="38"/>
      <c r="P665" s="38"/>
      <c r="Q665" s="12" t="str">
        <f t="shared" si="38"/>
        <v/>
      </c>
      <c r="R665" s="50"/>
      <c r="S665" s="50"/>
      <c r="T665" s="50"/>
      <c r="U665" s="53"/>
      <c r="V665" s="54"/>
      <c r="W665" s="56"/>
      <c r="X665" s="119"/>
      <c r="Y665" s="113"/>
      <c r="Z665" s="113"/>
    </row>
    <row r="666">
      <c r="A666" s="38">
        <v>406.0</v>
      </c>
      <c r="B666" s="38"/>
      <c r="C666" s="38"/>
      <c r="D666" s="38"/>
      <c r="E666" s="38" t="s">
        <v>1497</v>
      </c>
      <c r="F666" s="41" t="s">
        <v>1498</v>
      </c>
      <c r="G666" s="43"/>
      <c r="H666" s="45"/>
      <c r="I666" s="38"/>
      <c r="J666" s="38">
        <f>798</f>
        <v>798</v>
      </c>
      <c r="K666" s="46">
        <v>0.0018287037037037037</v>
      </c>
      <c r="L666" s="47" t="s">
        <v>1048</v>
      </c>
      <c r="M666" s="46"/>
      <c r="N666" s="46"/>
      <c r="O666" s="38"/>
      <c r="P666" s="38"/>
      <c r="Q666" s="12" t="str">
        <f t="shared" si="38"/>
        <v/>
      </c>
      <c r="R666" s="50"/>
      <c r="S666" s="50"/>
      <c r="T666" s="50"/>
      <c r="U666" s="53"/>
      <c r="V666" s="54"/>
      <c r="W666" s="56"/>
      <c r="X666" s="119"/>
      <c r="Y666" s="113"/>
      <c r="Z666" s="113"/>
    </row>
    <row r="667">
      <c r="A667" s="38">
        <v>407.0</v>
      </c>
      <c r="B667" s="38"/>
      <c r="C667" s="38"/>
      <c r="D667" s="38"/>
      <c r="E667" s="38" t="s">
        <v>1499</v>
      </c>
      <c r="F667" s="41" t="s">
        <v>1500</v>
      </c>
      <c r="G667" s="43"/>
      <c r="H667" s="45"/>
      <c r="I667" s="38"/>
      <c r="J667" s="38">
        <f>632</f>
        <v>632</v>
      </c>
      <c r="K667" s="46">
        <v>0.0059490740740740745</v>
      </c>
      <c r="L667" s="47" t="s">
        <v>1048</v>
      </c>
      <c r="M667" s="46"/>
      <c r="N667" s="46"/>
      <c r="O667" s="38"/>
      <c r="P667" s="38"/>
      <c r="Q667" s="12" t="str">
        <f t="shared" si="38"/>
        <v/>
      </c>
      <c r="R667" s="50"/>
      <c r="S667" s="50"/>
      <c r="T667" s="50"/>
      <c r="U667" s="53"/>
      <c r="V667" s="54"/>
      <c r="W667" s="56"/>
      <c r="X667" s="119"/>
      <c r="Y667" s="113"/>
      <c r="Z667" s="113"/>
    </row>
    <row r="668">
      <c r="A668" s="38">
        <v>408.0</v>
      </c>
      <c r="B668" s="38"/>
      <c r="C668" s="38"/>
      <c r="D668" s="38"/>
      <c r="E668" s="38" t="s">
        <v>1501</v>
      </c>
      <c r="F668" s="41" t="s">
        <v>1502</v>
      </c>
      <c r="G668" s="43"/>
      <c r="H668" s="45"/>
      <c r="I668" s="38"/>
      <c r="J668" s="38">
        <f>363</f>
        <v>363</v>
      </c>
      <c r="K668" s="46">
        <v>0.0014583333333333334</v>
      </c>
      <c r="L668" s="47" t="s">
        <v>1048</v>
      </c>
      <c r="M668" s="46"/>
      <c r="N668" s="46"/>
      <c r="O668" s="38"/>
      <c r="P668" s="38"/>
      <c r="Q668" s="12" t="str">
        <f t="shared" si="38"/>
        <v/>
      </c>
      <c r="R668" s="50"/>
      <c r="S668" s="50"/>
      <c r="T668" s="50"/>
      <c r="U668" s="53"/>
      <c r="V668" s="54"/>
      <c r="W668" s="56"/>
      <c r="X668" s="119"/>
      <c r="Y668" s="113"/>
      <c r="Z668" s="113"/>
    </row>
    <row r="669">
      <c r="A669" s="38">
        <v>409.0</v>
      </c>
      <c r="B669" s="38"/>
      <c r="C669" s="38"/>
      <c r="D669" s="38"/>
      <c r="E669" s="38" t="s">
        <v>1503</v>
      </c>
      <c r="F669" s="41" t="s">
        <v>1504</v>
      </c>
      <c r="G669" s="43"/>
      <c r="H669" s="45"/>
      <c r="I669" s="38"/>
      <c r="J669" s="38">
        <f>2.4*1000</f>
        <v>2400</v>
      </c>
      <c r="K669" s="46">
        <v>0.0020370370370370373</v>
      </c>
      <c r="L669" s="47" t="s">
        <v>1048</v>
      </c>
      <c r="M669" s="46"/>
      <c r="N669" s="46"/>
      <c r="O669" s="38"/>
      <c r="P669" s="38"/>
      <c r="Q669" s="12" t="str">
        <f t="shared" si="38"/>
        <v/>
      </c>
      <c r="R669" s="50"/>
      <c r="S669" s="50"/>
      <c r="T669" s="50"/>
      <c r="U669" s="53"/>
      <c r="V669" s="54"/>
      <c r="W669" s="56"/>
      <c r="X669" s="119"/>
      <c r="Y669" s="113"/>
      <c r="Z669" s="113"/>
    </row>
    <row r="670">
      <c r="A670" s="38">
        <v>410.0</v>
      </c>
      <c r="B670" s="38"/>
      <c r="C670" s="38"/>
      <c r="D670" s="38"/>
      <c r="E670" s="38" t="s">
        <v>1505</v>
      </c>
      <c r="F670" s="41" t="s">
        <v>1506</v>
      </c>
      <c r="G670" s="43"/>
      <c r="H670" s="45"/>
      <c r="I670" s="38"/>
      <c r="J670" s="38">
        <f>513</f>
        <v>513</v>
      </c>
      <c r="K670" s="46">
        <v>7.638888888888889E-4</v>
      </c>
      <c r="L670" s="47" t="s">
        <v>1048</v>
      </c>
      <c r="M670" s="46"/>
      <c r="N670" s="46"/>
      <c r="O670" s="38"/>
      <c r="P670" s="38"/>
      <c r="Q670" s="12" t="str">
        <f t="shared" si="38"/>
        <v/>
      </c>
      <c r="R670" s="50"/>
      <c r="S670" s="50"/>
      <c r="T670" s="50"/>
      <c r="U670" s="53"/>
      <c r="V670" s="54"/>
      <c r="W670" s="56"/>
      <c r="X670" s="119"/>
      <c r="Y670" s="113"/>
      <c r="Z670" s="113"/>
    </row>
    <row r="671">
      <c r="A671" s="38">
        <v>411.0</v>
      </c>
      <c r="B671" s="38"/>
      <c r="C671" s="38"/>
      <c r="D671" s="38"/>
      <c r="E671" s="38" t="s">
        <v>1507</v>
      </c>
      <c r="F671" s="41" t="s">
        <v>1508</v>
      </c>
      <c r="G671" s="43"/>
      <c r="H671" s="45"/>
      <c r="I671" s="38"/>
      <c r="J671" s="38">
        <f>765</f>
        <v>765</v>
      </c>
      <c r="K671" s="46">
        <v>0.002615740740740741</v>
      </c>
      <c r="L671" s="47" t="s">
        <v>1048</v>
      </c>
      <c r="M671" s="46"/>
      <c r="N671" s="46"/>
      <c r="O671" s="38"/>
      <c r="P671" s="38"/>
      <c r="Q671" s="12" t="str">
        <f t="shared" si="38"/>
        <v/>
      </c>
      <c r="R671" s="50"/>
      <c r="S671" s="50"/>
      <c r="T671" s="50"/>
      <c r="U671" s="53"/>
      <c r="V671" s="54"/>
      <c r="W671" s="56"/>
      <c r="X671" s="119"/>
      <c r="Y671" s="113"/>
      <c r="Z671" s="113"/>
    </row>
    <row r="672">
      <c r="A672" s="38">
        <v>412.0</v>
      </c>
      <c r="B672" s="38"/>
      <c r="C672" s="38"/>
      <c r="D672" s="38"/>
      <c r="E672" s="38" t="s">
        <v>1509</v>
      </c>
      <c r="F672" s="41" t="s">
        <v>1510</v>
      </c>
      <c r="G672" s="43"/>
      <c r="H672" s="45"/>
      <c r="I672" s="38"/>
      <c r="J672" s="38">
        <f>477</f>
        <v>477</v>
      </c>
      <c r="K672" s="46">
        <v>0.002962962962962963</v>
      </c>
      <c r="L672" s="47" t="s">
        <v>1048</v>
      </c>
      <c r="M672" s="46"/>
      <c r="N672" s="46"/>
      <c r="O672" s="38"/>
      <c r="P672" s="38"/>
      <c r="Q672" s="12" t="str">
        <f t="shared" si="38"/>
        <v/>
      </c>
      <c r="R672" s="50"/>
      <c r="S672" s="50"/>
      <c r="T672" s="50"/>
      <c r="U672" s="53"/>
      <c r="V672" s="54"/>
      <c r="W672" s="56"/>
      <c r="X672" s="119"/>
      <c r="Y672" s="113"/>
      <c r="Z672" s="113"/>
    </row>
    <row r="673">
      <c r="A673" s="38">
        <v>413.0</v>
      </c>
      <c r="B673" s="38"/>
      <c r="C673" s="38"/>
      <c r="D673" s="38"/>
      <c r="E673" s="38" t="s">
        <v>1511</v>
      </c>
      <c r="F673" s="41" t="s">
        <v>1512</v>
      </c>
      <c r="G673" s="43"/>
      <c r="H673" s="45"/>
      <c r="I673" s="38"/>
      <c r="J673" s="38">
        <f>742</f>
        <v>742</v>
      </c>
      <c r="K673" s="46">
        <v>0.002627314814814815</v>
      </c>
      <c r="L673" s="47" t="s">
        <v>1048</v>
      </c>
      <c r="M673" s="46"/>
      <c r="N673" s="46"/>
      <c r="O673" s="38"/>
      <c r="P673" s="38"/>
      <c r="Q673" s="12" t="str">
        <f t="shared" si="38"/>
        <v/>
      </c>
      <c r="R673" s="50"/>
      <c r="S673" s="50"/>
      <c r="T673" s="50"/>
      <c r="U673" s="53"/>
      <c r="V673" s="54"/>
      <c r="W673" s="56"/>
      <c r="X673" s="119"/>
      <c r="Y673" s="113"/>
      <c r="Z673" s="113"/>
    </row>
    <row r="674">
      <c r="A674" s="38">
        <v>414.0</v>
      </c>
      <c r="B674" s="38"/>
      <c r="C674" s="38"/>
      <c r="D674" s="38"/>
      <c r="E674" s="38" t="s">
        <v>1513</v>
      </c>
      <c r="F674" s="41" t="s">
        <v>1514</v>
      </c>
      <c r="G674" s="43"/>
      <c r="H674" s="45"/>
      <c r="I674" s="38"/>
      <c r="J674" s="38">
        <f>540</f>
        <v>540</v>
      </c>
      <c r="K674" s="46">
        <v>0.003923611111111111</v>
      </c>
      <c r="L674" s="47" t="s">
        <v>1048</v>
      </c>
      <c r="M674" s="46"/>
      <c r="N674" s="46"/>
      <c r="O674" s="38"/>
      <c r="P674" s="38"/>
      <c r="Q674" s="12" t="str">
        <f t="shared" si="38"/>
        <v/>
      </c>
      <c r="R674" s="50"/>
      <c r="S674" s="50"/>
      <c r="T674" s="50"/>
      <c r="U674" s="53"/>
      <c r="V674" s="54"/>
      <c r="W674" s="56"/>
      <c r="X674" s="119"/>
      <c r="Y674" s="113"/>
      <c r="Z674" s="113"/>
    </row>
    <row r="675">
      <c r="A675" s="38">
        <v>415.0</v>
      </c>
      <c r="B675" s="38"/>
      <c r="C675" s="38"/>
      <c r="D675" s="38"/>
      <c r="E675" s="38" t="s">
        <v>1515</v>
      </c>
      <c r="F675" s="41" t="s">
        <v>1516</v>
      </c>
      <c r="G675" s="43"/>
      <c r="H675" s="45"/>
      <c r="I675" s="38"/>
      <c r="J675" s="38">
        <f>657</f>
        <v>657</v>
      </c>
      <c r="K675" s="46">
        <v>0.001099537037037037</v>
      </c>
      <c r="L675" s="47" t="s">
        <v>1048</v>
      </c>
      <c r="M675" s="46"/>
      <c r="N675" s="46"/>
      <c r="O675" s="38"/>
      <c r="P675" s="38"/>
      <c r="Q675" s="12" t="str">
        <f t="shared" si="38"/>
        <v/>
      </c>
      <c r="R675" s="50"/>
      <c r="S675" s="50"/>
      <c r="T675" s="50"/>
      <c r="U675" s="53"/>
      <c r="V675" s="54"/>
      <c r="W675" s="56"/>
      <c r="X675" s="119"/>
      <c r="Y675" s="113"/>
      <c r="Z675" s="113"/>
    </row>
    <row r="676">
      <c r="A676" s="38">
        <v>416.0</v>
      </c>
      <c r="B676" s="38"/>
      <c r="C676" s="38"/>
      <c r="D676" s="38"/>
      <c r="E676" s="38" t="s">
        <v>1517</v>
      </c>
      <c r="F676" s="41" t="s">
        <v>1518</v>
      </c>
      <c r="G676" s="43"/>
      <c r="H676" s="45"/>
      <c r="I676" s="38"/>
      <c r="J676" s="38">
        <f>535</f>
        <v>535</v>
      </c>
      <c r="K676" s="46">
        <v>0.0017708333333333332</v>
      </c>
      <c r="L676" s="47" t="s">
        <v>1048</v>
      </c>
      <c r="M676" s="46"/>
      <c r="N676" s="46"/>
      <c r="O676" s="38"/>
      <c r="P676" s="38"/>
      <c r="Q676" s="12" t="str">
        <f t="shared" si="38"/>
        <v/>
      </c>
      <c r="R676" s="50"/>
      <c r="S676" s="50"/>
      <c r="T676" s="50"/>
      <c r="U676" s="53"/>
      <c r="V676" s="54"/>
      <c r="W676" s="56"/>
      <c r="X676" s="119"/>
      <c r="Y676" s="113"/>
      <c r="Z676" s="113"/>
    </row>
    <row r="677">
      <c r="A677" s="38">
        <v>417.0</v>
      </c>
      <c r="B677" s="38"/>
      <c r="C677" s="38"/>
      <c r="D677" s="38"/>
      <c r="E677" s="38" t="s">
        <v>1519</v>
      </c>
      <c r="F677" s="41" t="s">
        <v>1520</v>
      </c>
      <c r="G677" s="43"/>
      <c r="H677" s="45"/>
      <c r="I677" s="38"/>
      <c r="J677" s="38">
        <f>6.4*1000</f>
        <v>6400</v>
      </c>
      <c r="K677" s="46">
        <v>0.01880787037037037</v>
      </c>
      <c r="L677" s="47" t="s">
        <v>1048</v>
      </c>
      <c r="M677" s="46"/>
      <c r="N677" s="46"/>
      <c r="O677" s="38"/>
      <c r="P677" s="38"/>
      <c r="Q677" s="12" t="str">
        <f t="shared" si="38"/>
        <v/>
      </c>
      <c r="R677" s="50"/>
      <c r="S677" s="50"/>
      <c r="T677" s="50"/>
      <c r="U677" s="53"/>
      <c r="V677" s="54"/>
      <c r="W677" s="56"/>
      <c r="X677" s="119"/>
      <c r="Y677" s="113"/>
      <c r="Z677" s="113"/>
    </row>
    <row r="678">
      <c r="A678" s="38">
        <v>418.0</v>
      </c>
      <c r="B678" s="38"/>
      <c r="C678" s="38"/>
      <c r="D678" s="38"/>
      <c r="E678" s="38" t="s">
        <v>1524</v>
      </c>
      <c r="F678" s="41" t="s">
        <v>1525</v>
      </c>
      <c r="G678" s="43"/>
      <c r="H678" s="45"/>
      <c r="I678" s="38"/>
      <c r="J678" s="38">
        <f>257</f>
        <v>257</v>
      </c>
      <c r="K678" s="46">
        <v>0.0020486111111111113</v>
      </c>
      <c r="L678" s="47" t="s">
        <v>1048</v>
      </c>
      <c r="M678" s="46"/>
      <c r="N678" s="46"/>
      <c r="O678" s="38"/>
      <c r="P678" s="38"/>
      <c r="Q678" s="12" t="str">
        <f t="shared" si="38"/>
        <v/>
      </c>
      <c r="R678" s="50"/>
      <c r="S678" s="50"/>
      <c r="T678" s="50"/>
      <c r="U678" s="53"/>
      <c r="V678" s="54"/>
      <c r="W678" s="56"/>
      <c r="X678" s="119"/>
      <c r="Y678" s="113"/>
      <c r="Z678" s="113"/>
    </row>
    <row r="679">
      <c r="A679" s="38">
        <v>419.0</v>
      </c>
      <c r="B679" s="38"/>
      <c r="C679" s="38"/>
      <c r="D679" s="38"/>
      <c r="E679" s="38" t="s">
        <v>1526</v>
      </c>
      <c r="F679" s="41" t="s">
        <v>1527</v>
      </c>
      <c r="G679" s="43"/>
      <c r="H679" s="45"/>
      <c r="I679" s="38"/>
      <c r="J679" s="38">
        <f>485</f>
        <v>485</v>
      </c>
      <c r="K679" s="46">
        <v>0.0015624999999999999</v>
      </c>
      <c r="L679" s="47" t="s">
        <v>1048</v>
      </c>
      <c r="M679" s="46"/>
      <c r="N679" s="46"/>
      <c r="O679" s="38"/>
      <c r="P679" s="38"/>
      <c r="Q679" s="12" t="str">
        <f t="shared" si="38"/>
        <v/>
      </c>
      <c r="R679" s="50"/>
      <c r="S679" s="50"/>
      <c r="T679" s="50"/>
      <c r="U679" s="53"/>
      <c r="V679" s="54"/>
      <c r="W679" s="56"/>
      <c r="X679" s="119"/>
      <c r="Y679" s="113"/>
      <c r="Z679" s="113"/>
    </row>
    <row r="680">
      <c r="A680" s="38">
        <v>420.0</v>
      </c>
      <c r="B680" s="38"/>
      <c r="C680" s="38"/>
      <c r="D680" s="38"/>
      <c r="E680" s="38" t="s">
        <v>1530</v>
      </c>
      <c r="F680" s="41" t="s">
        <v>1531</v>
      </c>
      <c r="G680" s="43"/>
      <c r="H680" s="45"/>
      <c r="I680" s="38"/>
      <c r="J680" s="38">
        <f>994</f>
        <v>994</v>
      </c>
      <c r="K680" s="46">
        <v>3.5879629629629635E-4</v>
      </c>
      <c r="L680" s="47" t="s">
        <v>1048</v>
      </c>
      <c r="M680" s="46"/>
      <c r="N680" s="46"/>
      <c r="O680" s="38"/>
      <c r="P680" s="38"/>
      <c r="Q680" s="12" t="str">
        <f t="shared" si="38"/>
        <v/>
      </c>
      <c r="R680" s="50"/>
      <c r="S680" s="50"/>
      <c r="T680" s="50"/>
      <c r="U680" s="53"/>
      <c r="V680" s="54"/>
      <c r="W680" s="56"/>
      <c r="X680" s="119"/>
      <c r="Y680" s="113"/>
      <c r="Z680" s="113"/>
    </row>
    <row r="681">
      <c r="A681" s="38">
        <v>421.0</v>
      </c>
      <c r="B681" s="38"/>
      <c r="C681" s="38"/>
      <c r="D681" s="38"/>
      <c r="E681" s="38" t="s">
        <v>1532</v>
      </c>
      <c r="F681" s="41" t="s">
        <v>1533</v>
      </c>
      <c r="G681" s="43"/>
      <c r="H681" s="45"/>
      <c r="I681" s="38"/>
      <c r="J681" s="38">
        <f>3.3*1000</f>
        <v>3300</v>
      </c>
      <c r="K681" s="46">
        <v>0.0038194444444444443</v>
      </c>
      <c r="L681" s="47" t="s">
        <v>1048</v>
      </c>
      <c r="M681" s="46"/>
      <c r="N681" s="46"/>
      <c r="O681" s="38"/>
      <c r="P681" s="38"/>
      <c r="Q681" s="12" t="str">
        <f t="shared" si="38"/>
        <v/>
      </c>
      <c r="R681" s="50"/>
      <c r="S681" s="50"/>
      <c r="T681" s="50"/>
      <c r="U681" s="53"/>
      <c r="V681" s="54"/>
      <c r="W681" s="56"/>
      <c r="X681" s="119"/>
      <c r="Y681" s="113"/>
      <c r="Z681" s="113"/>
    </row>
    <row r="682">
      <c r="A682" s="38">
        <v>422.0</v>
      </c>
      <c r="B682" s="38"/>
      <c r="C682" s="38"/>
      <c r="D682" s="38"/>
      <c r="E682" s="38" t="s">
        <v>1534</v>
      </c>
      <c r="F682" s="41" t="s">
        <v>1535</v>
      </c>
      <c r="G682" s="43"/>
      <c r="H682" s="45"/>
      <c r="I682" s="38"/>
      <c r="J682" s="38">
        <f>376</f>
        <v>376</v>
      </c>
      <c r="K682" s="46">
        <v>0.0016203703703703703</v>
      </c>
      <c r="L682" s="47" t="s">
        <v>1048</v>
      </c>
      <c r="M682" s="46"/>
      <c r="N682" s="46"/>
      <c r="O682" s="38"/>
      <c r="P682" s="38"/>
      <c r="Q682" s="12" t="str">
        <f t="shared" si="38"/>
        <v/>
      </c>
      <c r="R682" s="50"/>
      <c r="S682" s="50"/>
      <c r="T682" s="50"/>
      <c r="U682" s="53"/>
      <c r="V682" s="54"/>
      <c r="W682" s="56"/>
      <c r="X682" s="119"/>
      <c r="Y682" s="113"/>
      <c r="Z682" s="113"/>
    </row>
    <row r="683">
      <c r="A683" s="38">
        <v>423.0</v>
      </c>
      <c r="B683" s="38"/>
      <c r="C683" s="38"/>
      <c r="D683" s="38"/>
      <c r="E683" s="38" t="s">
        <v>1539</v>
      </c>
      <c r="F683" s="41" t="s">
        <v>1540</v>
      </c>
      <c r="G683" s="43"/>
      <c r="H683" s="45"/>
      <c r="I683" s="38"/>
      <c r="J683" s="38">
        <f>263</f>
        <v>263</v>
      </c>
      <c r="K683" s="46">
        <v>4.513888888888889E-4</v>
      </c>
      <c r="L683" s="47" t="s">
        <v>1048</v>
      </c>
      <c r="M683" s="46"/>
      <c r="N683" s="46"/>
      <c r="O683" s="38"/>
      <c r="P683" s="38"/>
      <c r="Q683" s="12" t="str">
        <f t="shared" si="38"/>
        <v/>
      </c>
      <c r="R683" s="50"/>
      <c r="S683" s="50"/>
      <c r="T683" s="50"/>
      <c r="U683" s="53"/>
      <c r="V683" s="54"/>
      <c r="W683" s="56"/>
      <c r="X683" s="119"/>
      <c r="Y683" s="113"/>
      <c r="Z683" s="113"/>
    </row>
    <row r="684">
      <c r="A684" s="38">
        <v>424.0</v>
      </c>
      <c r="B684" s="38"/>
      <c r="C684" s="38"/>
      <c r="D684" s="38"/>
      <c r="E684" s="38" t="s">
        <v>1544</v>
      </c>
      <c r="F684" s="41" t="s">
        <v>1545</v>
      </c>
      <c r="G684" s="43"/>
      <c r="H684" s="45"/>
      <c r="I684" s="38"/>
      <c r="J684" s="38">
        <f>309</f>
        <v>309</v>
      </c>
      <c r="K684" s="46">
        <v>0.0018171296296296297</v>
      </c>
      <c r="L684" s="47" t="s">
        <v>1048</v>
      </c>
      <c r="M684" s="46"/>
      <c r="N684" s="46"/>
      <c r="O684" s="38"/>
      <c r="P684" s="38"/>
      <c r="Q684" s="12" t="str">
        <f t="shared" si="38"/>
        <v/>
      </c>
      <c r="R684" s="50"/>
      <c r="S684" s="50"/>
      <c r="T684" s="50"/>
      <c r="U684" s="53"/>
      <c r="V684" s="54"/>
      <c r="W684" s="56"/>
      <c r="X684" s="119"/>
      <c r="Y684" s="113"/>
      <c r="Z684" s="113"/>
    </row>
    <row r="685">
      <c r="A685" s="38">
        <v>425.0</v>
      </c>
      <c r="B685" s="38"/>
      <c r="C685" s="38"/>
      <c r="D685" s="38"/>
      <c r="E685" s="38" t="s">
        <v>1548</v>
      </c>
      <c r="F685" s="41" t="s">
        <v>1549</v>
      </c>
      <c r="G685" s="43"/>
      <c r="H685" s="45"/>
      <c r="I685" s="38"/>
      <c r="J685" s="38">
        <f>899</f>
        <v>899</v>
      </c>
      <c r="K685" s="46">
        <v>8.912037037037036E-4</v>
      </c>
      <c r="L685" s="47" t="s">
        <v>1048</v>
      </c>
      <c r="M685" s="46"/>
      <c r="N685" s="46"/>
      <c r="O685" s="38"/>
      <c r="P685" s="38"/>
      <c r="Q685" s="12" t="str">
        <f t="shared" si="38"/>
        <v/>
      </c>
      <c r="R685" s="50"/>
      <c r="S685" s="50"/>
      <c r="T685" s="50"/>
      <c r="U685" s="53"/>
      <c r="V685" s="54"/>
      <c r="W685" s="56"/>
      <c r="X685" s="119"/>
      <c r="Y685" s="113"/>
      <c r="Z685" s="113"/>
    </row>
    <row r="686">
      <c r="A686" s="38">
        <v>426.0</v>
      </c>
      <c r="B686" s="38"/>
      <c r="C686" s="38"/>
      <c r="D686" s="38"/>
      <c r="E686" s="38" t="s">
        <v>1551</v>
      </c>
      <c r="F686" s="41" t="s">
        <v>1552</v>
      </c>
      <c r="G686" s="43"/>
      <c r="H686" s="45"/>
      <c r="I686" s="38"/>
      <c r="J686" s="38">
        <f>1.4*1000</f>
        <v>1400</v>
      </c>
      <c r="K686" s="46">
        <v>0.001736111111111111</v>
      </c>
      <c r="L686" s="47" t="s">
        <v>1048</v>
      </c>
      <c r="M686" s="46"/>
      <c r="N686" s="46"/>
      <c r="O686" s="38"/>
      <c r="P686" s="38"/>
      <c r="Q686" s="12" t="str">
        <f t="shared" si="38"/>
        <v/>
      </c>
      <c r="R686" s="50"/>
      <c r="S686" s="50"/>
      <c r="T686" s="50"/>
      <c r="U686" s="53"/>
      <c r="V686" s="54"/>
      <c r="W686" s="56"/>
      <c r="X686" s="119"/>
      <c r="Y686" s="113"/>
      <c r="Z686" s="113"/>
    </row>
    <row r="687">
      <c r="A687" s="38">
        <v>427.0</v>
      </c>
      <c r="B687" s="38"/>
      <c r="C687" s="38"/>
      <c r="D687" s="38"/>
      <c r="E687" s="38" t="s">
        <v>1555</v>
      </c>
      <c r="F687" s="41" t="s">
        <v>1556</v>
      </c>
      <c r="G687" s="43"/>
      <c r="H687" s="45"/>
      <c r="I687" s="38"/>
      <c r="J687" s="38">
        <f>328</f>
        <v>328</v>
      </c>
      <c r="K687" s="46">
        <v>0.0023958333333333336</v>
      </c>
      <c r="L687" s="47" t="s">
        <v>1048</v>
      </c>
      <c r="M687" s="46"/>
      <c r="N687" s="46"/>
      <c r="O687" s="38"/>
      <c r="P687" s="38"/>
      <c r="Q687" s="12" t="str">
        <f t="shared" si="38"/>
        <v/>
      </c>
      <c r="R687" s="50"/>
      <c r="S687" s="50"/>
      <c r="T687" s="50"/>
      <c r="U687" s="53"/>
      <c r="V687" s="54"/>
      <c r="W687" s="56"/>
      <c r="X687" s="119"/>
      <c r="Y687" s="113"/>
      <c r="Z687" s="113"/>
    </row>
    <row r="688">
      <c r="A688" s="38">
        <v>428.0</v>
      </c>
      <c r="B688" s="38"/>
      <c r="C688" s="38"/>
      <c r="D688" s="38"/>
      <c r="E688" s="38" t="s">
        <v>1557</v>
      </c>
      <c r="F688" s="41" t="s">
        <v>1558</v>
      </c>
      <c r="G688" s="43"/>
      <c r="H688" s="45"/>
      <c r="I688" s="38"/>
      <c r="J688" s="38">
        <f>776</f>
        <v>776</v>
      </c>
      <c r="K688" s="46">
        <v>0.0013078703703703705</v>
      </c>
      <c r="L688" s="47" t="s">
        <v>1048</v>
      </c>
      <c r="M688" s="46"/>
      <c r="N688" s="46"/>
      <c r="O688" s="38"/>
      <c r="P688" s="38"/>
      <c r="Q688" s="12" t="str">
        <f t="shared" si="38"/>
        <v/>
      </c>
      <c r="R688" s="50"/>
      <c r="S688" s="50"/>
      <c r="T688" s="50"/>
      <c r="U688" s="53"/>
      <c r="V688" s="54"/>
      <c r="W688" s="56"/>
      <c r="X688" s="119"/>
      <c r="Y688" s="113"/>
      <c r="Z688" s="113"/>
    </row>
    <row r="689">
      <c r="A689" s="38">
        <v>429.0</v>
      </c>
      <c r="B689" s="38"/>
      <c r="C689" s="38"/>
      <c r="D689" s="38"/>
      <c r="E689" s="38" t="s">
        <v>1560</v>
      </c>
      <c r="F689" s="41" t="s">
        <v>1562</v>
      </c>
      <c r="G689" s="43"/>
      <c r="H689" s="45"/>
      <c r="I689" s="38"/>
      <c r="J689" s="38">
        <f>241</f>
        <v>241</v>
      </c>
      <c r="K689" s="46">
        <v>0.0012962962962962963</v>
      </c>
      <c r="L689" s="47" t="s">
        <v>1048</v>
      </c>
      <c r="M689" s="46"/>
      <c r="N689" s="46"/>
      <c r="O689" s="38"/>
      <c r="P689" s="38"/>
      <c r="Q689" s="12" t="str">
        <f t="shared" si="38"/>
        <v/>
      </c>
      <c r="R689" s="50"/>
      <c r="S689" s="50"/>
      <c r="T689" s="50"/>
      <c r="U689" s="53"/>
      <c r="V689" s="54"/>
      <c r="W689" s="56"/>
      <c r="X689" s="119"/>
      <c r="Y689" s="113"/>
      <c r="Z689" s="113"/>
    </row>
    <row r="690">
      <c r="A690" s="38">
        <v>430.0</v>
      </c>
      <c r="B690" s="38"/>
      <c r="C690" s="38"/>
      <c r="D690" s="38"/>
      <c r="E690" s="38" t="s">
        <v>1566</v>
      </c>
      <c r="F690" s="41" t="s">
        <v>1567</v>
      </c>
      <c r="G690" s="43"/>
      <c r="H690" s="45"/>
      <c r="I690" s="38"/>
      <c r="J690" s="38">
        <f>440</f>
        <v>440</v>
      </c>
      <c r="K690" s="46">
        <v>0.004386574074074074</v>
      </c>
      <c r="L690" s="47" t="s">
        <v>1048</v>
      </c>
      <c r="M690" s="46"/>
      <c r="N690" s="46"/>
      <c r="O690" s="38"/>
      <c r="P690" s="38"/>
      <c r="Q690" s="12" t="str">
        <f t="shared" si="38"/>
        <v/>
      </c>
      <c r="R690" s="50"/>
      <c r="S690" s="50"/>
      <c r="T690" s="50"/>
      <c r="U690" s="53"/>
      <c r="V690" s="54"/>
      <c r="W690" s="56"/>
      <c r="X690" s="119"/>
      <c r="Y690" s="113"/>
      <c r="Z690" s="113"/>
    </row>
    <row r="691">
      <c r="A691" s="38">
        <v>431.0</v>
      </c>
      <c r="B691" s="38"/>
      <c r="C691" s="38"/>
      <c r="D691" s="38"/>
      <c r="E691" s="38" t="s">
        <v>1570</v>
      </c>
      <c r="F691" s="41" t="s">
        <v>1571</v>
      </c>
      <c r="G691" s="43"/>
      <c r="H691" s="45"/>
      <c r="I691" s="38"/>
      <c r="J691" s="38">
        <f>801</f>
        <v>801</v>
      </c>
      <c r="K691" s="46">
        <v>0.003414351851851852</v>
      </c>
      <c r="L691" s="47" t="s">
        <v>1048</v>
      </c>
      <c r="M691" s="46"/>
      <c r="N691" s="46"/>
      <c r="O691" s="38"/>
      <c r="P691" s="38"/>
      <c r="Q691" s="12" t="str">
        <f t="shared" si="38"/>
        <v/>
      </c>
      <c r="R691" s="50"/>
      <c r="S691" s="50"/>
      <c r="T691" s="50"/>
      <c r="U691" s="53"/>
      <c r="V691" s="54"/>
      <c r="W691" s="56"/>
      <c r="X691" s="119"/>
      <c r="Y691" s="113"/>
      <c r="Z691" s="113"/>
    </row>
    <row r="692">
      <c r="A692" s="38">
        <v>432.0</v>
      </c>
      <c r="B692" s="38"/>
      <c r="C692" s="38"/>
      <c r="D692" s="38"/>
      <c r="E692" s="38" t="s">
        <v>1572</v>
      </c>
      <c r="F692" s="41" t="s">
        <v>1573</v>
      </c>
      <c r="G692" s="43"/>
      <c r="H692" s="45"/>
      <c r="I692" s="38"/>
      <c r="J692" s="38">
        <f>271</f>
        <v>271</v>
      </c>
      <c r="K692" s="46">
        <v>0.0024537037037037036</v>
      </c>
      <c r="L692" s="47" t="s">
        <v>1048</v>
      </c>
      <c r="M692" s="46"/>
      <c r="N692" s="46"/>
      <c r="O692" s="38"/>
      <c r="P692" s="38"/>
      <c r="Q692" s="12" t="str">
        <f t="shared" si="38"/>
        <v/>
      </c>
      <c r="R692" s="50"/>
      <c r="S692" s="50"/>
      <c r="T692" s="50"/>
      <c r="U692" s="53"/>
      <c r="V692" s="54"/>
      <c r="W692" s="56"/>
      <c r="X692" s="119"/>
      <c r="Y692" s="113"/>
      <c r="Z692" s="113"/>
    </row>
    <row r="693">
      <c r="A693" s="38">
        <v>433.0</v>
      </c>
      <c r="B693" s="38"/>
      <c r="C693" s="38"/>
      <c r="D693" s="38"/>
      <c r="E693" s="38" t="s">
        <v>1576</v>
      </c>
      <c r="F693" s="41" t="s">
        <v>1577</v>
      </c>
      <c r="G693" s="43"/>
      <c r="H693" s="45"/>
      <c r="I693" s="38"/>
      <c r="J693" s="38">
        <f>296</f>
        <v>296</v>
      </c>
      <c r="K693" s="46">
        <v>0.0021643518518518518</v>
      </c>
      <c r="L693" s="47" t="s">
        <v>1048</v>
      </c>
      <c r="M693" s="46"/>
      <c r="N693" s="46"/>
      <c r="O693" s="38"/>
      <c r="P693" s="38"/>
      <c r="Q693" s="12" t="str">
        <f t="shared" si="38"/>
        <v/>
      </c>
      <c r="R693" s="50"/>
      <c r="S693" s="50"/>
      <c r="T693" s="50"/>
      <c r="U693" s="53"/>
      <c r="V693" s="54"/>
      <c r="W693" s="56"/>
      <c r="X693" s="119"/>
      <c r="Y693" s="113"/>
      <c r="Z693" s="113"/>
    </row>
    <row r="694">
      <c r="A694" s="38">
        <v>434.0</v>
      </c>
      <c r="B694" s="38"/>
      <c r="C694" s="38"/>
      <c r="D694" s="38"/>
      <c r="E694" s="38" t="s">
        <v>1578</v>
      </c>
      <c r="F694" s="41" t="s">
        <v>1580</v>
      </c>
      <c r="G694" s="43"/>
      <c r="H694" s="45"/>
      <c r="I694" s="38"/>
      <c r="J694" s="38">
        <f>696</f>
        <v>696</v>
      </c>
      <c r="K694" s="46">
        <v>0.002847222222222222</v>
      </c>
      <c r="L694" s="47" t="s">
        <v>1048</v>
      </c>
      <c r="M694" s="46"/>
      <c r="N694" s="46"/>
      <c r="O694" s="38"/>
      <c r="P694" s="38"/>
      <c r="Q694" s="12" t="str">
        <f t="shared" si="38"/>
        <v/>
      </c>
      <c r="R694" s="50"/>
      <c r="S694" s="50"/>
      <c r="T694" s="50"/>
      <c r="U694" s="53"/>
      <c r="V694" s="54"/>
      <c r="W694" s="56"/>
      <c r="X694" s="119"/>
      <c r="Y694" s="113"/>
      <c r="Z694" s="113"/>
    </row>
    <row r="695">
      <c r="A695" s="38">
        <v>435.0</v>
      </c>
      <c r="B695" s="38"/>
      <c r="C695" s="38"/>
      <c r="D695" s="38"/>
      <c r="E695" s="38" t="s">
        <v>1249</v>
      </c>
      <c r="F695" s="41" t="s">
        <v>1250</v>
      </c>
      <c r="G695" s="43"/>
      <c r="H695" s="45"/>
      <c r="I695" s="38"/>
      <c r="J695" s="38">
        <f>2.4*1000</f>
        <v>2400</v>
      </c>
      <c r="K695" s="46">
        <v>0.013310185185185187</v>
      </c>
      <c r="L695" s="47" t="s">
        <v>1048</v>
      </c>
      <c r="M695" s="46"/>
      <c r="N695" s="46"/>
      <c r="O695" s="38"/>
      <c r="P695" s="38"/>
      <c r="Q695" s="12" t="str">
        <f t="shared" si="38"/>
        <v/>
      </c>
      <c r="R695" s="50"/>
      <c r="S695" s="50"/>
      <c r="T695" s="50"/>
      <c r="U695" s="53"/>
      <c r="V695" s="54"/>
      <c r="W695" s="56"/>
      <c r="X695" s="119"/>
      <c r="Y695" s="113"/>
      <c r="Z695" s="113"/>
    </row>
    <row r="696">
      <c r="A696" s="38">
        <v>436.0</v>
      </c>
      <c r="B696" s="38"/>
      <c r="C696" s="38"/>
      <c r="D696" s="38"/>
      <c r="E696" s="38" t="s">
        <v>1582</v>
      </c>
      <c r="F696" s="41" t="s">
        <v>1583</v>
      </c>
      <c r="G696" s="43"/>
      <c r="H696" s="45"/>
      <c r="I696" s="38"/>
      <c r="J696" s="38">
        <f>928</f>
        <v>928</v>
      </c>
      <c r="K696" s="46">
        <v>0.001597222222222222</v>
      </c>
      <c r="L696" s="47" t="s">
        <v>1048</v>
      </c>
      <c r="M696" s="46"/>
      <c r="N696" s="46"/>
      <c r="O696" s="38"/>
      <c r="P696" s="38"/>
      <c r="Q696" s="12" t="str">
        <f t="shared" si="38"/>
        <v/>
      </c>
      <c r="R696" s="50"/>
      <c r="S696" s="50"/>
      <c r="T696" s="50"/>
      <c r="U696" s="53"/>
      <c r="V696" s="54"/>
      <c r="W696" s="56"/>
      <c r="X696" s="119"/>
      <c r="Y696" s="113"/>
      <c r="Z696" s="113"/>
    </row>
    <row r="697">
      <c r="A697" s="38">
        <v>437.0</v>
      </c>
      <c r="B697" s="38"/>
      <c r="C697" s="38"/>
      <c r="D697" s="38"/>
      <c r="E697" s="38" t="s">
        <v>1584</v>
      </c>
      <c r="F697" s="41" t="s">
        <v>1585</v>
      </c>
      <c r="G697" s="43"/>
      <c r="H697" s="45"/>
      <c r="I697" s="38"/>
      <c r="J697" s="38">
        <f>261</f>
        <v>261</v>
      </c>
      <c r="K697" s="46">
        <v>0.004583333333333333</v>
      </c>
      <c r="L697" s="47" t="s">
        <v>1048</v>
      </c>
      <c r="M697" s="46"/>
      <c r="N697" s="46"/>
      <c r="O697" s="38"/>
      <c r="P697" s="38"/>
      <c r="Q697" s="12" t="str">
        <f t="shared" si="38"/>
        <v/>
      </c>
      <c r="R697" s="50"/>
      <c r="S697" s="50"/>
      <c r="T697" s="50"/>
      <c r="U697" s="53"/>
      <c r="V697" s="54"/>
      <c r="W697" s="56"/>
      <c r="X697" s="119"/>
      <c r="Y697" s="113"/>
      <c r="Z697" s="113"/>
    </row>
    <row r="698">
      <c r="A698" s="38">
        <v>438.0</v>
      </c>
      <c r="B698" s="38"/>
      <c r="C698" s="38"/>
      <c r="D698" s="38"/>
      <c r="E698" s="38" t="s">
        <v>1586</v>
      </c>
      <c r="F698" s="41" t="s">
        <v>1587</v>
      </c>
      <c r="G698" s="43"/>
      <c r="H698" s="45"/>
      <c r="I698" s="38"/>
      <c r="J698" s="38">
        <f>309</f>
        <v>309</v>
      </c>
      <c r="K698" s="46">
        <v>0.0020833333333333333</v>
      </c>
      <c r="L698" s="47" t="s">
        <v>1048</v>
      </c>
      <c r="M698" s="46"/>
      <c r="N698" s="46"/>
      <c r="O698" s="38"/>
      <c r="P698" s="38"/>
      <c r="Q698" s="12" t="str">
        <f t="shared" si="38"/>
        <v/>
      </c>
      <c r="R698" s="50"/>
      <c r="S698" s="50"/>
      <c r="T698" s="50"/>
      <c r="U698" s="53"/>
      <c r="V698" s="54"/>
      <c r="W698" s="56"/>
      <c r="X698" s="119"/>
      <c r="Y698" s="113"/>
      <c r="Z698" s="113"/>
    </row>
    <row r="699">
      <c r="A699" s="38">
        <v>439.0</v>
      </c>
      <c r="B699" s="38"/>
      <c r="C699" s="38"/>
      <c r="D699" s="38"/>
      <c r="E699" s="38" t="s">
        <v>1588</v>
      </c>
      <c r="F699" s="41" t="s">
        <v>1589</v>
      </c>
      <c r="G699" s="43"/>
      <c r="H699" s="45"/>
      <c r="I699" s="38"/>
      <c r="J699" s="38">
        <f>184</f>
        <v>184</v>
      </c>
      <c r="K699" s="46">
        <v>0.001967592592592593</v>
      </c>
      <c r="L699" s="47" t="s">
        <v>1048</v>
      </c>
      <c r="M699" s="46"/>
      <c r="N699" s="46"/>
      <c r="O699" s="38"/>
      <c r="P699" s="38"/>
      <c r="Q699" s="12" t="str">
        <f t="shared" si="38"/>
        <v/>
      </c>
      <c r="R699" s="50"/>
      <c r="S699" s="50"/>
      <c r="T699" s="50"/>
      <c r="U699" s="53"/>
      <c r="V699" s="54"/>
      <c r="W699" s="56"/>
      <c r="X699" s="119"/>
      <c r="Y699" s="113"/>
      <c r="Z699" s="113"/>
    </row>
    <row r="700">
      <c r="A700" s="38">
        <v>440.0</v>
      </c>
      <c r="B700" s="38"/>
      <c r="C700" s="38"/>
      <c r="D700" s="38"/>
      <c r="E700" s="38" t="s">
        <v>1590</v>
      </c>
      <c r="F700" s="41" t="s">
        <v>1591</v>
      </c>
      <c r="G700" s="43"/>
      <c r="H700" s="45"/>
      <c r="I700" s="38"/>
      <c r="J700" s="38">
        <f>380</f>
        <v>380</v>
      </c>
      <c r="K700" s="46">
        <v>0.0036342592592592594</v>
      </c>
      <c r="L700" s="47" t="s">
        <v>1048</v>
      </c>
      <c r="M700" s="46"/>
      <c r="N700" s="46"/>
      <c r="O700" s="38"/>
      <c r="P700" s="38"/>
      <c r="Q700" s="12" t="str">
        <f t="shared" si="38"/>
        <v/>
      </c>
      <c r="R700" s="50"/>
      <c r="S700" s="50"/>
      <c r="T700" s="50"/>
      <c r="U700" s="53"/>
      <c r="V700" s="54"/>
      <c r="W700" s="56"/>
      <c r="X700" s="119"/>
      <c r="Y700" s="113"/>
      <c r="Z700" s="113"/>
    </row>
    <row r="701">
      <c r="A701" s="38">
        <v>441.0</v>
      </c>
      <c r="B701" s="38"/>
      <c r="C701" s="38"/>
      <c r="D701" s="38"/>
      <c r="E701" s="38" t="s">
        <v>1592</v>
      </c>
      <c r="F701" s="41" t="s">
        <v>1593</v>
      </c>
      <c r="G701" s="43"/>
      <c r="H701" s="45"/>
      <c r="I701" s="38"/>
      <c r="J701" s="38">
        <f>398</f>
        <v>398</v>
      </c>
      <c r="K701" s="46">
        <v>0.0012152777777777778</v>
      </c>
      <c r="L701" s="47" t="s">
        <v>1048</v>
      </c>
      <c r="M701" s="46"/>
      <c r="N701" s="46"/>
      <c r="O701" s="38"/>
      <c r="P701" s="38"/>
      <c r="Q701" s="12" t="str">
        <f t="shared" si="38"/>
        <v/>
      </c>
      <c r="R701" s="50"/>
      <c r="S701" s="50"/>
      <c r="T701" s="50"/>
      <c r="U701" s="53"/>
      <c r="V701" s="54"/>
      <c r="W701" s="56"/>
      <c r="X701" s="119"/>
      <c r="Y701" s="113"/>
      <c r="Z701" s="113"/>
    </row>
    <row r="702">
      <c r="A702" s="38">
        <v>442.0</v>
      </c>
      <c r="B702" s="38"/>
      <c r="C702" s="38"/>
      <c r="D702" s="38"/>
      <c r="E702" s="38" t="s">
        <v>1594</v>
      </c>
      <c r="F702" s="41" t="s">
        <v>1595</v>
      </c>
      <c r="G702" s="43"/>
      <c r="H702" s="45"/>
      <c r="I702" s="38"/>
      <c r="J702" s="38">
        <f>667</f>
        <v>667</v>
      </c>
      <c r="K702" s="46">
        <v>0.0043518518518518515</v>
      </c>
      <c r="L702" s="47" t="s">
        <v>1048</v>
      </c>
      <c r="M702" s="46"/>
      <c r="N702" s="46"/>
      <c r="O702" s="38"/>
      <c r="P702" s="38"/>
      <c r="Q702" s="12" t="str">
        <f t="shared" si="38"/>
        <v/>
      </c>
      <c r="R702" s="50"/>
      <c r="S702" s="50"/>
      <c r="T702" s="50"/>
      <c r="U702" s="53"/>
      <c r="V702" s="54"/>
      <c r="W702" s="56"/>
      <c r="X702" s="119"/>
      <c r="Y702" s="113"/>
      <c r="Z702" s="113"/>
    </row>
    <row r="703">
      <c r="A703" s="38">
        <v>443.0</v>
      </c>
      <c r="B703" s="38"/>
      <c r="C703" s="38"/>
      <c r="D703" s="38"/>
      <c r="E703" s="38" t="s">
        <v>1596</v>
      </c>
      <c r="F703" s="41" t="s">
        <v>1597</v>
      </c>
      <c r="G703" s="43"/>
      <c r="H703" s="45"/>
      <c r="I703" s="38"/>
      <c r="J703" s="38">
        <f>1.6*1000</f>
        <v>1600</v>
      </c>
      <c r="K703" s="46">
        <v>0.005277777777777777</v>
      </c>
      <c r="L703" s="47" t="s">
        <v>1048</v>
      </c>
      <c r="M703" s="46"/>
      <c r="N703" s="46"/>
      <c r="O703" s="38"/>
      <c r="P703" s="38"/>
      <c r="Q703" s="12" t="str">
        <f t="shared" si="38"/>
        <v/>
      </c>
      <c r="R703" s="50"/>
      <c r="S703" s="50"/>
      <c r="T703" s="50"/>
      <c r="U703" s="53"/>
      <c r="V703" s="54"/>
      <c r="W703" s="56"/>
      <c r="X703" s="119"/>
      <c r="Y703" s="113"/>
      <c r="Z703" s="113"/>
    </row>
    <row r="704">
      <c r="A704" s="38">
        <v>444.0</v>
      </c>
      <c r="B704" s="38"/>
      <c r="C704" s="38"/>
      <c r="D704" s="38"/>
      <c r="E704" s="38" t="s">
        <v>1598</v>
      </c>
      <c r="F704" s="41" t="s">
        <v>1599</v>
      </c>
      <c r="G704" s="43"/>
      <c r="H704" s="45"/>
      <c r="I704" s="38"/>
      <c r="J704" s="38">
        <f>797</f>
        <v>797</v>
      </c>
      <c r="K704" s="46">
        <v>0.0014699074074074074</v>
      </c>
      <c r="L704" s="47" t="s">
        <v>1048</v>
      </c>
      <c r="M704" s="46"/>
      <c r="N704" s="46"/>
      <c r="O704" s="38"/>
      <c r="P704" s="38"/>
      <c r="Q704" s="12" t="str">
        <f t="shared" si="38"/>
        <v/>
      </c>
      <c r="R704" s="50"/>
      <c r="S704" s="50"/>
      <c r="T704" s="50"/>
      <c r="U704" s="53"/>
      <c r="V704" s="54"/>
      <c r="W704" s="56"/>
      <c r="X704" s="119"/>
      <c r="Y704" s="113"/>
      <c r="Z704" s="113"/>
    </row>
    <row r="705">
      <c r="A705" s="38">
        <v>445.0</v>
      </c>
      <c r="B705" s="38"/>
      <c r="C705" s="38"/>
      <c r="D705" s="38"/>
      <c r="E705" s="38" t="s">
        <v>1600</v>
      </c>
      <c r="F705" s="41" t="s">
        <v>1601</v>
      </c>
      <c r="G705" s="43"/>
      <c r="H705" s="45"/>
      <c r="I705" s="38"/>
      <c r="J705" s="38">
        <f>327</f>
        <v>327</v>
      </c>
      <c r="K705" s="46">
        <v>0.003206018518518519</v>
      </c>
      <c r="L705" s="47" t="s">
        <v>1048</v>
      </c>
      <c r="M705" s="46"/>
      <c r="N705" s="46"/>
      <c r="O705" s="38"/>
      <c r="P705" s="38"/>
      <c r="Q705" s="12" t="str">
        <f t="shared" si="38"/>
        <v/>
      </c>
      <c r="R705" s="50"/>
      <c r="S705" s="50"/>
      <c r="T705" s="50"/>
      <c r="U705" s="53"/>
      <c r="V705" s="54"/>
      <c r="W705" s="56"/>
      <c r="X705" s="119"/>
      <c r="Y705" s="113"/>
      <c r="Z705" s="113"/>
    </row>
    <row r="706">
      <c r="A706" s="38">
        <v>446.0</v>
      </c>
      <c r="B706" s="38"/>
      <c r="C706" s="38"/>
      <c r="D706" s="38"/>
      <c r="E706" s="38" t="s">
        <v>1605</v>
      </c>
      <c r="F706" s="41" t="s">
        <v>1606</v>
      </c>
      <c r="G706" s="43"/>
      <c r="H706" s="45"/>
      <c r="I706" s="38"/>
      <c r="J706" s="38">
        <f>173</f>
        <v>173</v>
      </c>
      <c r="K706" s="46">
        <v>8.912037037037036E-4</v>
      </c>
      <c r="L706" s="47" t="s">
        <v>1048</v>
      </c>
      <c r="M706" s="46"/>
      <c r="N706" s="46"/>
      <c r="O706" s="38"/>
      <c r="P706" s="38"/>
      <c r="Q706" s="12" t="str">
        <f t="shared" si="38"/>
        <v/>
      </c>
      <c r="R706" s="50"/>
      <c r="S706" s="50"/>
      <c r="T706" s="50"/>
      <c r="U706" s="53"/>
      <c r="V706" s="54"/>
      <c r="W706" s="56"/>
      <c r="X706" s="119"/>
      <c r="Y706" s="113"/>
      <c r="Z706" s="113"/>
    </row>
    <row r="707">
      <c r="A707" s="38">
        <v>447.0</v>
      </c>
      <c r="B707" s="38"/>
      <c r="C707" s="38"/>
      <c r="D707" s="38"/>
      <c r="E707" s="38" t="s">
        <v>1609</v>
      </c>
      <c r="F707" s="41" t="s">
        <v>1610</v>
      </c>
      <c r="G707" s="43"/>
      <c r="H707" s="45"/>
      <c r="I707" s="38"/>
      <c r="J707" s="38">
        <f>297</f>
        <v>297</v>
      </c>
      <c r="K707" s="46">
        <v>0.004212962962962963</v>
      </c>
      <c r="L707" s="47" t="s">
        <v>1048</v>
      </c>
      <c r="M707" s="46"/>
      <c r="N707" s="46"/>
      <c r="O707" s="38"/>
      <c r="P707" s="38"/>
      <c r="Q707" s="12" t="str">
        <f t="shared" si="38"/>
        <v/>
      </c>
      <c r="R707" s="50"/>
      <c r="S707" s="50"/>
      <c r="T707" s="50"/>
      <c r="U707" s="53"/>
      <c r="V707" s="54"/>
      <c r="W707" s="56"/>
      <c r="X707" s="119"/>
      <c r="Y707" s="113"/>
      <c r="Z707" s="113"/>
    </row>
    <row r="708">
      <c r="A708" s="38">
        <v>448.0</v>
      </c>
      <c r="B708" s="38"/>
      <c r="C708" s="38"/>
      <c r="D708" s="38"/>
      <c r="E708" s="38" t="s">
        <v>1613</v>
      </c>
      <c r="F708" s="41" t="s">
        <v>1614</v>
      </c>
      <c r="G708" s="43"/>
      <c r="H708" s="45"/>
      <c r="I708" s="38"/>
      <c r="J708" s="38">
        <f>182</f>
        <v>182</v>
      </c>
      <c r="K708" s="46">
        <v>0.002731481481481482</v>
      </c>
      <c r="L708" s="47" t="s">
        <v>1048</v>
      </c>
      <c r="M708" s="46"/>
      <c r="N708" s="46"/>
      <c r="O708" s="38"/>
      <c r="P708" s="38"/>
      <c r="Q708" s="12" t="str">
        <f t="shared" si="38"/>
        <v/>
      </c>
      <c r="R708" s="50"/>
      <c r="S708" s="50"/>
      <c r="T708" s="50"/>
      <c r="U708" s="53"/>
      <c r="V708" s="54"/>
      <c r="W708" s="56"/>
      <c r="X708" s="119"/>
      <c r="Y708" s="113"/>
      <c r="Z708" s="113"/>
    </row>
    <row r="709">
      <c r="A709" s="38">
        <v>449.0</v>
      </c>
      <c r="B709" s="38"/>
      <c r="C709" s="38"/>
      <c r="D709" s="38"/>
      <c r="E709" s="38" t="s">
        <v>1625</v>
      </c>
      <c r="F709" s="41" t="s">
        <v>1626</v>
      </c>
      <c r="G709" s="43"/>
      <c r="H709" s="45"/>
      <c r="I709" s="38"/>
      <c r="J709" s="38">
        <f>1.8*1000</f>
        <v>1800</v>
      </c>
      <c r="K709" s="46">
        <v>0.010081018518518519</v>
      </c>
      <c r="L709" s="47" t="s">
        <v>1048</v>
      </c>
      <c r="M709" s="46"/>
      <c r="N709" s="46"/>
      <c r="O709" s="38"/>
      <c r="P709" s="38"/>
      <c r="Q709" s="12" t="str">
        <f t="shared" si="38"/>
        <v/>
      </c>
      <c r="R709" s="50"/>
      <c r="S709" s="50"/>
      <c r="T709" s="50"/>
      <c r="U709" s="53"/>
      <c r="V709" s="54"/>
      <c r="W709" s="56"/>
      <c r="X709" s="119"/>
      <c r="Y709" s="113"/>
      <c r="Z709" s="113"/>
    </row>
    <row r="710">
      <c r="A710" s="38">
        <v>450.0</v>
      </c>
      <c r="B710" s="38"/>
      <c r="C710" s="38"/>
      <c r="D710" s="38"/>
      <c r="E710" s="38" t="s">
        <v>1631</v>
      </c>
      <c r="F710" s="41" t="s">
        <v>1633</v>
      </c>
      <c r="G710" s="43"/>
      <c r="H710" s="45"/>
      <c r="I710" s="38"/>
      <c r="J710" s="38">
        <f>3.6*1000</f>
        <v>3600</v>
      </c>
      <c r="K710" s="46">
        <v>0.02702546296296296</v>
      </c>
      <c r="L710" s="47" t="s">
        <v>1048</v>
      </c>
      <c r="M710" s="46"/>
      <c r="N710" s="46"/>
      <c r="O710" s="38"/>
      <c r="P710" s="38"/>
      <c r="Q710" s="12" t="str">
        <f t="shared" si="38"/>
        <v/>
      </c>
      <c r="R710" s="50"/>
      <c r="S710" s="50"/>
      <c r="T710" s="50"/>
      <c r="U710" s="53"/>
      <c r="V710" s="54"/>
      <c r="W710" s="56"/>
      <c r="X710" s="119"/>
      <c r="Y710" s="113"/>
      <c r="Z710" s="113"/>
    </row>
    <row r="711">
      <c r="A711" s="38">
        <v>451.0</v>
      </c>
      <c r="B711" s="38"/>
      <c r="C711" s="38"/>
      <c r="D711" s="38"/>
      <c r="E711" s="38" t="s">
        <v>1638</v>
      </c>
      <c r="F711" s="41" t="s">
        <v>1639</v>
      </c>
      <c r="G711" s="43"/>
      <c r="H711" s="45"/>
      <c r="I711" s="38"/>
      <c r="J711" s="38">
        <f>198</f>
        <v>198</v>
      </c>
      <c r="K711" s="46">
        <v>0.002361111111111111</v>
      </c>
      <c r="L711" s="47" t="s">
        <v>1048</v>
      </c>
      <c r="M711" s="46"/>
      <c r="N711" s="46"/>
      <c r="O711" s="38"/>
      <c r="P711" s="38"/>
      <c r="Q711" s="12" t="str">
        <f t="shared" si="38"/>
        <v/>
      </c>
      <c r="R711" s="50"/>
      <c r="S711" s="50"/>
      <c r="T711" s="50"/>
      <c r="U711" s="53"/>
      <c r="V711" s="54"/>
      <c r="W711" s="56"/>
      <c r="X711" s="119"/>
      <c r="Y711" s="113"/>
      <c r="Z711" s="113"/>
    </row>
    <row r="712">
      <c r="A712" s="38">
        <v>452.0</v>
      </c>
      <c r="B712" s="38"/>
      <c r="C712" s="38"/>
      <c r="D712" s="38"/>
      <c r="E712" s="38" t="s">
        <v>1640</v>
      </c>
      <c r="F712" s="41" t="s">
        <v>1641</v>
      </c>
      <c r="G712" s="43"/>
      <c r="H712" s="45"/>
      <c r="I712" s="38"/>
      <c r="J712" s="38">
        <f>193</f>
        <v>193</v>
      </c>
      <c r="K712" s="46">
        <v>0.0017013888888888892</v>
      </c>
      <c r="L712" s="47" t="s">
        <v>1048</v>
      </c>
      <c r="M712" s="46"/>
      <c r="N712" s="46"/>
      <c r="O712" s="38"/>
      <c r="P712" s="38"/>
      <c r="Q712" s="12" t="str">
        <f t="shared" si="38"/>
        <v/>
      </c>
      <c r="R712" s="50"/>
      <c r="S712" s="50"/>
      <c r="T712" s="50"/>
      <c r="U712" s="53"/>
      <c r="V712" s="54"/>
      <c r="W712" s="56"/>
      <c r="X712" s="119"/>
      <c r="Y712" s="113"/>
      <c r="Z712" s="113"/>
    </row>
    <row r="713">
      <c r="A713" s="38">
        <v>453.0</v>
      </c>
      <c r="B713" s="38"/>
      <c r="C713" s="38"/>
      <c r="D713" s="38"/>
      <c r="E713" s="38" t="s">
        <v>1642</v>
      </c>
      <c r="F713" s="41" t="s">
        <v>1643</v>
      </c>
      <c r="G713" s="43"/>
      <c r="H713" s="45"/>
      <c r="I713" s="38"/>
      <c r="J713" s="38">
        <f>1*1000</f>
        <v>1000</v>
      </c>
      <c r="K713" s="46">
        <v>0.007418981481481481</v>
      </c>
      <c r="L713" s="47" t="s">
        <v>1048</v>
      </c>
      <c r="M713" s="46"/>
      <c r="N713" s="46"/>
      <c r="O713" s="38"/>
      <c r="P713" s="38"/>
      <c r="Q713" s="12" t="str">
        <f t="shared" si="38"/>
        <v/>
      </c>
      <c r="R713" s="50"/>
      <c r="S713" s="50"/>
      <c r="T713" s="50"/>
      <c r="U713" s="53"/>
      <c r="V713" s="54"/>
      <c r="W713" s="56"/>
      <c r="X713" s="119"/>
      <c r="Y713" s="113"/>
      <c r="Z713" s="113"/>
    </row>
    <row r="714">
      <c r="A714" s="38">
        <v>454.0</v>
      </c>
      <c r="B714" s="38"/>
      <c r="C714" s="38"/>
      <c r="D714" s="38"/>
      <c r="E714" s="38" t="s">
        <v>1644</v>
      </c>
      <c r="F714" s="41" t="s">
        <v>1645</v>
      </c>
      <c r="G714" s="43"/>
      <c r="H714" s="45"/>
      <c r="I714" s="38"/>
      <c r="J714" s="38">
        <f>530</f>
        <v>530</v>
      </c>
      <c r="K714" s="46">
        <v>0.0016666666666666668</v>
      </c>
      <c r="L714" s="47" t="s">
        <v>1048</v>
      </c>
      <c r="M714" s="46"/>
      <c r="N714" s="46"/>
      <c r="O714" s="38"/>
      <c r="P714" s="38"/>
      <c r="Q714" s="12" t="str">
        <f t="shared" si="38"/>
        <v/>
      </c>
      <c r="R714" s="50"/>
      <c r="S714" s="50"/>
      <c r="T714" s="50"/>
      <c r="U714" s="53"/>
      <c r="V714" s="54"/>
      <c r="W714" s="56"/>
      <c r="X714" s="119"/>
      <c r="Y714" s="113"/>
      <c r="Z714" s="113"/>
    </row>
    <row r="715">
      <c r="A715" s="38">
        <v>455.0</v>
      </c>
      <c r="B715" s="38"/>
      <c r="C715" s="38"/>
      <c r="D715" s="38"/>
      <c r="E715" s="38" t="s">
        <v>1646</v>
      </c>
      <c r="F715" s="41" t="s">
        <v>1647</v>
      </c>
      <c r="G715" s="43"/>
      <c r="H715" s="45"/>
      <c r="I715" s="38"/>
      <c r="J715" s="38">
        <f>509</f>
        <v>509</v>
      </c>
      <c r="K715" s="46">
        <v>0.0013773148148148147</v>
      </c>
      <c r="L715" s="47" t="s">
        <v>1048</v>
      </c>
      <c r="M715" s="46"/>
      <c r="N715" s="46"/>
      <c r="O715" s="38"/>
      <c r="P715" s="38"/>
      <c r="Q715" s="12" t="str">
        <f t="shared" si="38"/>
        <v/>
      </c>
      <c r="R715" s="50"/>
      <c r="S715" s="50"/>
      <c r="T715" s="50"/>
      <c r="U715" s="53"/>
      <c r="V715" s="54"/>
      <c r="W715" s="56"/>
      <c r="X715" s="119"/>
      <c r="Y715" s="113"/>
      <c r="Z715" s="113"/>
    </row>
    <row r="716">
      <c r="A716" s="38">
        <v>456.0</v>
      </c>
      <c r="B716" s="38"/>
      <c r="C716" s="38"/>
      <c r="D716" s="38"/>
      <c r="E716" s="38" t="s">
        <v>1648</v>
      </c>
      <c r="F716" s="41" t="s">
        <v>1649</v>
      </c>
      <c r="G716" s="43"/>
      <c r="H716" s="45"/>
      <c r="I716" s="38"/>
      <c r="J716" s="38">
        <f>352</f>
        <v>352</v>
      </c>
      <c r="K716" s="46">
        <v>0.002025462962962963</v>
      </c>
      <c r="L716" s="47" t="s">
        <v>1048</v>
      </c>
      <c r="M716" s="46"/>
      <c r="N716" s="46"/>
      <c r="O716" s="38"/>
      <c r="P716" s="38"/>
      <c r="Q716" s="12" t="str">
        <f t="shared" si="38"/>
        <v/>
      </c>
      <c r="R716" s="50"/>
      <c r="S716" s="50"/>
      <c r="T716" s="50"/>
      <c r="U716" s="53"/>
      <c r="V716" s="54"/>
      <c r="W716" s="56"/>
      <c r="X716" s="119"/>
      <c r="Y716" s="113"/>
      <c r="Z716" s="113"/>
    </row>
    <row r="717">
      <c r="A717" s="38">
        <v>457.0</v>
      </c>
      <c r="B717" s="38"/>
      <c r="C717" s="38"/>
      <c r="D717" s="38"/>
      <c r="E717" s="38" t="s">
        <v>1650</v>
      </c>
      <c r="F717" s="41" t="s">
        <v>1651</v>
      </c>
      <c r="G717" s="43"/>
      <c r="H717" s="45"/>
      <c r="I717" s="38"/>
      <c r="J717" s="38">
        <f>223</f>
        <v>223</v>
      </c>
      <c r="K717" s="46">
        <v>0.0038888888888888883</v>
      </c>
      <c r="L717" s="47" t="s">
        <v>1048</v>
      </c>
      <c r="M717" s="46"/>
      <c r="N717" s="46"/>
      <c r="O717" s="38"/>
      <c r="P717" s="38"/>
      <c r="Q717" s="12" t="str">
        <f t="shared" si="38"/>
        <v/>
      </c>
      <c r="R717" s="50"/>
      <c r="S717" s="50"/>
      <c r="T717" s="50"/>
      <c r="U717" s="53"/>
      <c r="V717" s="54"/>
      <c r="W717" s="56"/>
      <c r="X717" s="119"/>
      <c r="Y717" s="113"/>
      <c r="Z717" s="113"/>
    </row>
    <row r="718">
      <c r="A718" s="38">
        <v>458.0</v>
      </c>
      <c r="B718" s="38"/>
      <c r="C718" s="38"/>
      <c r="D718" s="38"/>
      <c r="E718" s="38" t="s">
        <v>1652</v>
      </c>
      <c r="F718" s="41" t="s">
        <v>1653</v>
      </c>
      <c r="G718" s="43"/>
      <c r="H718" s="45"/>
      <c r="I718" s="38"/>
      <c r="J718" s="38">
        <f>2.5*1000</f>
        <v>2500</v>
      </c>
      <c r="K718" s="46">
        <v>0.03434027777777778</v>
      </c>
      <c r="L718" s="47" t="s">
        <v>1048</v>
      </c>
      <c r="M718" s="46"/>
      <c r="N718" s="46"/>
      <c r="O718" s="38"/>
      <c r="P718" s="38"/>
      <c r="Q718" s="12" t="str">
        <f t="shared" si="38"/>
        <v/>
      </c>
      <c r="R718" s="50"/>
      <c r="S718" s="50"/>
      <c r="T718" s="50"/>
      <c r="U718" s="53"/>
      <c r="V718" s="54"/>
      <c r="W718" s="56"/>
      <c r="X718" s="119"/>
      <c r="Y718" s="113"/>
      <c r="Z718" s="113"/>
    </row>
    <row r="719">
      <c r="A719" s="38">
        <v>459.0</v>
      </c>
      <c r="B719" s="38"/>
      <c r="C719" s="38"/>
      <c r="D719" s="38"/>
      <c r="E719" s="38" t="s">
        <v>1654</v>
      </c>
      <c r="F719" s="41" t="s">
        <v>1655</v>
      </c>
      <c r="G719" s="43"/>
      <c r="H719" s="45"/>
      <c r="I719" s="38"/>
      <c r="J719" s="38">
        <f>4.4*1000</f>
        <v>4400</v>
      </c>
      <c r="K719" s="46">
        <v>0.027303240740740743</v>
      </c>
      <c r="L719" s="47" t="s">
        <v>1048</v>
      </c>
      <c r="M719" s="46"/>
      <c r="N719" s="46"/>
      <c r="O719" s="38"/>
      <c r="P719" s="38"/>
      <c r="Q719" s="12" t="str">
        <f t="shared" si="38"/>
        <v/>
      </c>
      <c r="R719" s="50"/>
      <c r="S719" s="50"/>
      <c r="T719" s="50"/>
      <c r="U719" s="53"/>
      <c r="V719" s="54"/>
      <c r="W719" s="56"/>
      <c r="X719" s="119"/>
      <c r="Y719" s="113"/>
      <c r="Z719" s="113"/>
    </row>
    <row r="720">
      <c r="A720" s="38">
        <v>460.0</v>
      </c>
      <c r="B720" s="38"/>
      <c r="C720" s="38"/>
      <c r="D720" s="38"/>
      <c r="E720" s="38" t="s">
        <v>1656</v>
      </c>
      <c r="F720" s="41" t="s">
        <v>1657</v>
      </c>
      <c r="G720" s="43"/>
      <c r="H720" s="45"/>
      <c r="I720" s="38"/>
      <c r="J720" s="38">
        <f>2.7*1000</f>
        <v>2700</v>
      </c>
      <c r="K720" s="46">
        <v>0.0019560185185185184</v>
      </c>
      <c r="L720" s="47" t="s">
        <v>1048</v>
      </c>
      <c r="M720" s="46"/>
      <c r="N720" s="46"/>
      <c r="O720" s="38"/>
      <c r="P720" s="38"/>
      <c r="Q720" s="12" t="str">
        <f t="shared" si="38"/>
        <v/>
      </c>
      <c r="R720" s="50"/>
      <c r="S720" s="50"/>
      <c r="T720" s="50"/>
      <c r="U720" s="53"/>
      <c r="V720" s="54"/>
      <c r="W720" s="56"/>
      <c r="X720" s="119"/>
      <c r="Y720" s="113"/>
      <c r="Z720" s="113"/>
    </row>
    <row r="721">
      <c r="A721" s="38">
        <v>461.0</v>
      </c>
      <c r="B721" s="38"/>
      <c r="C721" s="38"/>
      <c r="D721" s="38"/>
      <c r="E721" s="38" t="s">
        <v>1658</v>
      </c>
      <c r="F721" s="41" t="s">
        <v>1659</v>
      </c>
      <c r="G721" s="43"/>
      <c r="H721" s="45"/>
      <c r="I721" s="38"/>
      <c r="J721" s="38">
        <f>2.2*1000</f>
        <v>2200</v>
      </c>
      <c r="K721" s="46">
        <v>0.011331018518518518</v>
      </c>
      <c r="L721" s="47" t="s">
        <v>1048</v>
      </c>
      <c r="M721" s="46"/>
      <c r="N721" s="46"/>
      <c r="O721" s="38"/>
      <c r="P721" s="38"/>
      <c r="Q721" s="12" t="str">
        <f t="shared" si="38"/>
        <v/>
      </c>
      <c r="R721" s="50"/>
      <c r="S721" s="50"/>
      <c r="T721" s="50"/>
      <c r="U721" s="53"/>
      <c r="V721" s="54"/>
      <c r="W721" s="56"/>
      <c r="X721" s="119"/>
      <c r="Y721" s="113"/>
      <c r="Z721" s="113"/>
    </row>
    <row r="722">
      <c r="A722" s="38">
        <v>462.0</v>
      </c>
      <c r="B722" s="38"/>
      <c r="C722" s="38"/>
      <c r="D722" s="38"/>
      <c r="E722" s="38" t="s">
        <v>1660</v>
      </c>
      <c r="F722" s="41" t="s">
        <v>1661</v>
      </c>
      <c r="G722" s="43"/>
      <c r="H722" s="45"/>
      <c r="I722" s="38"/>
      <c r="J722" s="38">
        <f>1*1000</f>
        <v>1000</v>
      </c>
      <c r="K722" s="46">
        <v>0.007650462962962963</v>
      </c>
      <c r="L722" s="47" t="s">
        <v>1048</v>
      </c>
      <c r="M722" s="46"/>
      <c r="N722" s="46"/>
      <c r="O722" s="38"/>
      <c r="P722" s="38"/>
      <c r="Q722" s="12" t="str">
        <f t="shared" si="38"/>
        <v/>
      </c>
      <c r="R722" s="50"/>
      <c r="S722" s="50"/>
      <c r="T722" s="50"/>
      <c r="U722" s="53"/>
      <c r="V722" s="54"/>
      <c r="W722" s="56"/>
      <c r="X722" s="119"/>
      <c r="Y722" s="113"/>
      <c r="Z722" s="113"/>
    </row>
    <row r="723">
      <c r="A723" s="38">
        <v>463.0</v>
      </c>
      <c r="B723" s="38"/>
      <c r="C723" s="38"/>
      <c r="D723" s="38"/>
      <c r="E723" s="38" t="s">
        <v>1662</v>
      </c>
      <c r="F723" s="41" t="s">
        <v>1663</v>
      </c>
      <c r="G723" s="43"/>
      <c r="H723" s="45"/>
      <c r="I723" s="38"/>
      <c r="J723" s="38">
        <f>704</f>
        <v>704</v>
      </c>
      <c r="K723" s="46">
        <v>0.004733796296296296</v>
      </c>
      <c r="L723" s="47" t="s">
        <v>1048</v>
      </c>
      <c r="M723" s="46"/>
      <c r="N723" s="46"/>
      <c r="O723" s="38"/>
      <c r="P723" s="38"/>
      <c r="Q723" s="12" t="str">
        <f t="shared" si="38"/>
        <v/>
      </c>
      <c r="R723" s="50"/>
      <c r="S723" s="50"/>
      <c r="T723" s="50"/>
      <c r="U723" s="53"/>
      <c r="V723" s="54"/>
      <c r="W723" s="56"/>
      <c r="X723" s="119"/>
      <c r="Y723" s="113"/>
      <c r="Z723" s="113"/>
    </row>
    <row r="724">
      <c r="A724" s="38">
        <v>464.0</v>
      </c>
      <c r="B724" s="38"/>
      <c r="C724" s="38"/>
      <c r="D724" s="38"/>
      <c r="E724" s="38" t="s">
        <v>1665</v>
      </c>
      <c r="F724" s="41" t="s">
        <v>1666</v>
      </c>
      <c r="G724" s="43"/>
      <c r="H724" s="45"/>
      <c r="I724" s="38"/>
      <c r="J724" s="38">
        <f>396</f>
        <v>396</v>
      </c>
      <c r="K724" s="46">
        <v>0.0026041666666666665</v>
      </c>
      <c r="L724" s="47" t="s">
        <v>1048</v>
      </c>
      <c r="M724" s="46"/>
      <c r="N724" s="46"/>
      <c r="O724" s="38"/>
      <c r="P724" s="38"/>
      <c r="Q724" s="12" t="str">
        <f t="shared" si="38"/>
        <v/>
      </c>
      <c r="R724" s="50"/>
      <c r="S724" s="50"/>
      <c r="T724" s="50"/>
      <c r="U724" s="53"/>
      <c r="V724" s="54"/>
      <c r="W724" s="56"/>
      <c r="X724" s="119"/>
      <c r="Y724" s="113"/>
      <c r="Z724" s="113"/>
    </row>
    <row r="725">
      <c r="A725" s="38">
        <v>465.0</v>
      </c>
      <c r="B725" s="38"/>
      <c r="C725" s="38"/>
      <c r="D725" s="38"/>
      <c r="E725" s="38" t="s">
        <v>1667</v>
      </c>
      <c r="F725" s="41" t="s">
        <v>1668</v>
      </c>
      <c r="G725" s="43"/>
      <c r="H725" s="45"/>
      <c r="I725" s="38"/>
      <c r="J725" s="38">
        <f>260</f>
        <v>260</v>
      </c>
      <c r="K725" s="46">
        <v>0.0015393518518518519</v>
      </c>
      <c r="L725" s="47" t="s">
        <v>1048</v>
      </c>
      <c r="M725" s="46"/>
      <c r="N725" s="46"/>
      <c r="O725" s="38"/>
      <c r="P725" s="38"/>
      <c r="Q725" s="12" t="str">
        <f t="shared" si="38"/>
        <v/>
      </c>
      <c r="R725" s="50"/>
      <c r="S725" s="50"/>
      <c r="T725" s="50"/>
      <c r="U725" s="53"/>
      <c r="V725" s="54"/>
      <c r="W725" s="56"/>
      <c r="X725" s="119"/>
      <c r="Y725" s="113"/>
      <c r="Z725" s="113"/>
    </row>
    <row r="726">
      <c r="A726" s="38">
        <v>466.0</v>
      </c>
      <c r="B726" s="38"/>
      <c r="C726" s="38"/>
      <c r="D726" s="38"/>
      <c r="E726" s="38" t="s">
        <v>1669</v>
      </c>
      <c r="F726" s="41" t="s">
        <v>1670</v>
      </c>
      <c r="G726" s="43"/>
      <c r="H726" s="45"/>
      <c r="I726" s="38"/>
      <c r="J726" s="38">
        <f>366</f>
        <v>366</v>
      </c>
      <c r="K726" s="46">
        <v>0.0011342592592592591</v>
      </c>
      <c r="L726" s="47" t="s">
        <v>1048</v>
      </c>
      <c r="M726" s="46"/>
      <c r="N726" s="46"/>
      <c r="O726" s="38"/>
      <c r="P726" s="38"/>
      <c r="Q726" s="12" t="str">
        <f t="shared" si="38"/>
        <v/>
      </c>
      <c r="R726" s="50"/>
      <c r="S726" s="50"/>
      <c r="T726" s="50"/>
      <c r="U726" s="53"/>
      <c r="V726" s="54"/>
      <c r="W726" s="56"/>
      <c r="X726" s="119"/>
      <c r="Y726" s="113"/>
      <c r="Z726" s="113"/>
    </row>
    <row r="727">
      <c r="A727" s="38">
        <v>467.0</v>
      </c>
      <c r="B727" s="38"/>
      <c r="C727" s="38"/>
      <c r="D727" s="38"/>
      <c r="E727" s="38" t="s">
        <v>1671</v>
      </c>
      <c r="F727" s="41" t="s">
        <v>1672</v>
      </c>
      <c r="G727" s="43"/>
      <c r="H727" s="45"/>
      <c r="I727" s="38"/>
      <c r="J727" s="38">
        <f>461</f>
        <v>461</v>
      </c>
      <c r="K727" s="46">
        <v>0.0018287037037037037</v>
      </c>
      <c r="L727" s="47" t="s">
        <v>1048</v>
      </c>
      <c r="M727" s="46"/>
      <c r="N727" s="46"/>
      <c r="O727" s="38"/>
      <c r="P727" s="38"/>
      <c r="Q727" s="12" t="str">
        <f t="shared" si="38"/>
        <v/>
      </c>
      <c r="R727" s="50"/>
      <c r="S727" s="50"/>
      <c r="T727" s="50"/>
      <c r="U727" s="53"/>
      <c r="V727" s="54"/>
      <c r="W727" s="56"/>
      <c r="X727" s="119"/>
      <c r="Y727" s="113"/>
      <c r="Z727" s="113"/>
    </row>
    <row r="728">
      <c r="A728" s="38">
        <v>468.0</v>
      </c>
      <c r="B728" s="38"/>
      <c r="C728" s="38"/>
      <c r="D728" s="38"/>
      <c r="E728" s="38" t="s">
        <v>1674</v>
      </c>
      <c r="F728" s="41" t="s">
        <v>1675</v>
      </c>
      <c r="G728" s="43"/>
      <c r="H728" s="45"/>
      <c r="I728" s="38"/>
      <c r="J728" s="38">
        <f>849</f>
        <v>849</v>
      </c>
      <c r="K728" s="46">
        <v>9.490740740740741E-4</v>
      </c>
      <c r="L728" s="47" t="s">
        <v>1048</v>
      </c>
      <c r="M728" s="46"/>
      <c r="N728" s="46"/>
      <c r="O728" s="38"/>
      <c r="P728" s="38"/>
      <c r="Q728" s="12" t="str">
        <f t="shared" si="38"/>
        <v/>
      </c>
      <c r="R728" s="50"/>
      <c r="S728" s="50"/>
      <c r="T728" s="50"/>
      <c r="U728" s="53"/>
      <c r="V728" s="54"/>
      <c r="W728" s="56"/>
      <c r="X728" s="119"/>
      <c r="Y728" s="113"/>
      <c r="Z728" s="113"/>
    </row>
    <row r="729">
      <c r="A729" s="38">
        <v>469.0</v>
      </c>
      <c r="B729" s="38"/>
      <c r="C729" s="38"/>
      <c r="D729" s="38"/>
      <c r="E729" s="38" t="s">
        <v>1676</v>
      </c>
      <c r="F729" s="41" t="s">
        <v>1677</v>
      </c>
      <c r="G729" s="43"/>
      <c r="H729" s="45"/>
      <c r="I729" s="38"/>
      <c r="J729" s="38">
        <f>248</f>
        <v>248</v>
      </c>
      <c r="K729" s="46">
        <v>0.0015046296296296294</v>
      </c>
      <c r="L729" s="47" t="s">
        <v>1048</v>
      </c>
      <c r="M729" s="46"/>
      <c r="N729" s="46"/>
      <c r="O729" s="38"/>
      <c r="P729" s="38"/>
      <c r="Q729" s="12" t="str">
        <f t="shared" si="38"/>
        <v/>
      </c>
      <c r="R729" s="50"/>
      <c r="S729" s="50"/>
      <c r="T729" s="50"/>
      <c r="U729" s="53"/>
      <c r="V729" s="54"/>
      <c r="W729" s="56"/>
      <c r="X729" s="119"/>
      <c r="Y729" s="113"/>
      <c r="Z729" s="113"/>
    </row>
    <row r="730">
      <c r="A730" s="38">
        <v>470.0</v>
      </c>
      <c r="B730" s="38"/>
      <c r="C730" s="38"/>
      <c r="D730" s="38"/>
      <c r="E730" s="38" t="s">
        <v>1678</v>
      </c>
      <c r="F730" s="41" t="s">
        <v>1679</v>
      </c>
      <c r="G730" s="43"/>
      <c r="H730" s="45"/>
      <c r="I730" s="38"/>
      <c r="J730" s="38">
        <f>671</f>
        <v>671</v>
      </c>
      <c r="K730" s="46">
        <v>0.0013078703703703705</v>
      </c>
      <c r="L730" s="47" t="s">
        <v>1048</v>
      </c>
      <c r="M730" s="46"/>
      <c r="N730" s="46"/>
      <c r="O730" s="38"/>
      <c r="P730" s="38"/>
      <c r="Q730" s="12" t="str">
        <f t="shared" si="38"/>
        <v/>
      </c>
      <c r="R730" s="50"/>
      <c r="S730" s="50"/>
      <c r="T730" s="50"/>
      <c r="U730" s="53"/>
      <c r="V730" s="54"/>
      <c r="W730" s="56"/>
      <c r="X730" s="119"/>
      <c r="Y730" s="113"/>
      <c r="Z730" s="113"/>
    </row>
    <row r="731">
      <c r="A731" s="38">
        <v>471.0</v>
      </c>
      <c r="B731" s="38"/>
      <c r="C731" s="38"/>
      <c r="D731" s="38"/>
      <c r="E731" s="38" t="s">
        <v>1680</v>
      </c>
      <c r="F731" s="41" t="s">
        <v>1681</v>
      </c>
      <c r="G731" s="43"/>
      <c r="H731" s="45"/>
      <c r="I731" s="38"/>
      <c r="J731" s="38">
        <f>335</f>
        <v>335</v>
      </c>
      <c r="K731" s="46">
        <v>7.060185185185185E-4</v>
      </c>
      <c r="L731" s="47" t="s">
        <v>1048</v>
      </c>
      <c r="M731" s="46"/>
      <c r="N731" s="46"/>
      <c r="O731" s="38"/>
      <c r="P731" s="38"/>
      <c r="Q731" s="12" t="str">
        <f t="shared" si="38"/>
        <v/>
      </c>
      <c r="R731" s="50"/>
      <c r="S731" s="50"/>
      <c r="T731" s="50"/>
      <c r="U731" s="53"/>
      <c r="V731" s="54"/>
      <c r="W731" s="56"/>
      <c r="X731" s="119"/>
      <c r="Y731" s="113"/>
      <c r="Z731" s="113"/>
    </row>
    <row r="732">
      <c r="A732" s="38">
        <v>472.0</v>
      </c>
      <c r="B732" s="38"/>
      <c r="C732" s="38"/>
      <c r="D732" s="38"/>
      <c r="E732" s="38" t="s">
        <v>1682</v>
      </c>
      <c r="F732" s="41" t="s">
        <v>1683</v>
      </c>
      <c r="G732" s="43"/>
      <c r="H732" s="45"/>
      <c r="I732" s="38"/>
      <c r="J732" s="38">
        <f>1*1000</f>
        <v>1000</v>
      </c>
      <c r="K732" s="46">
        <v>0.0049884259259259265</v>
      </c>
      <c r="L732" s="47" t="s">
        <v>1048</v>
      </c>
      <c r="M732" s="46"/>
      <c r="N732" s="46"/>
      <c r="O732" s="38"/>
      <c r="P732" s="38"/>
      <c r="Q732" s="12" t="str">
        <f t="shared" si="38"/>
        <v/>
      </c>
      <c r="R732" s="50"/>
      <c r="S732" s="50"/>
      <c r="T732" s="50"/>
      <c r="U732" s="53"/>
      <c r="V732" s="54"/>
      <c r="W732" s="56"/>
      <c r="X732" s="119"/>
      <c r="Y732" s="113"/>
      <c r="Z732" s="113"/>
    </row>
    <row r="733">
      <c r="A733" s="38">
        <v>473.0</v>
      </c>
      <c r="B733" s="38"/>
      <c r="C733" s="38"/>
      <c r="D733" s="38"/>
      <c r="E733" s="38" t="s">
        <v>1685</v>
      </c>
      <c r="F733" s="41" t="s">
        <v>1686</v>
      </c>
      <c r="G733" s="43"/>
      <c r="H733" s="45"/>
      <c r="I733" s="38"/>
      <c r="J733" s="38">
        <f>704</f>
        <v>704</v>
      </c>
      <c r="K733" s="46">
        <v>0.008425925925925925</v>
      </c>
      <c r="L733" s="47" t="s">
        <v>1048</v>
      </c>
      <c r="M733" s="46"/>
      <c r="N733" s="46"/>
      <c r="O733" s="38"/>
      <c r="P733" s="38"/>
      <c r="Q733" s="12" t="str">
        <f t="shared" si="38"/>
        <v/>
      </c>
      <c r="R733" s="50"/>
      <c r="S733" s="50"/>
      <c r="T733" s="50"/>
      <c r="U733" s="53"/>
      <c r="V733" s="54"/>
      <c r="W733" s="56"/>
      <c r="X733" s="119"/>
      <c r="Y733" s="113"/>
      <c r="Z733" s="113"/>
    </row>
    <row r="734">
      <c r="A734" s="38">
        <v>474.0</v>
      </c>
      <c r="B734" s="38"/>
      <c r="C734" s="38"/>
      <c r="D734" s="38"/>
      <c r="E734" s="38" t="s">
        <v>1689</v>
      </c>
      <c r="F734" s="41" t="s">
        <v>1691</v>
      </c>
      <c r="G734" s="43"/>
      <c r="H734" s="45"/>
      <c r="I734" s="38"/>
      <c r="J734" s="38">
        <f>1.1*1000</f>
        <v>1100</v>
      </c>
      <c r="K734" s="46">
        <v>0.011099537037037038</v>
      </c>
      <c r="L734" s="47" t="s">
        <v>1048</v>
      </c>
      <c r="M734" s="46"/>
      <c r="N734" s="46"/>
      <c r="O734" s="38"/>
      <c r="P734" s="38"/>
      <c r="Q734" s="12" t="str">
        <f t="shared" si="38"/>
        <v/>
      </c>
      <c r="R734" s="50"/>
      <c r="S734" s="50"/>
      <c r="T734" s="50"/>
      <c r="U734" s="53"/>
      <c r="V734" s="54"/>
      <c r="W734" s="56"/>
      <c r="X734" s="119"/>
      <c r="Y734" s="113"/>
      <c r="Z734" s="113"/>
    </row>
    <row r="735">
      <c r="A735" s="38">
        <v>475.0</v>
      </c>
      <c r="B735" s="38"/>
      <c r="C735" s="38"/>
      <c r="D735" s="38"/>
      <c r="E735" s="38" t="s">
        <v>1705</v>
      </c>
      <c r="F735" s="41" t="s">
        <v>1706</v>
      </c>
      <c r="G735" s="43"/>
      <c r="H735" s="45"/>
      <c r="I735" s="38"/>
      <c r="J735" s="38">
        <f>179</f>
        <v>179</v>
      </c>
      <c r="K735" s="46">
        <v>0.0022222222222222222</v>
      </c>
      <c r="L735" s="47" t="s">
        <v>1048</v>
      </c>
      <c r="M735" s="46"/>
      <c r="N735" s="46"/>
      <c r="O735" s="38"/>
      <c r="P735" s="38"/>
      <c r="Q735" s="12" t="str">
        <f t="shared" si="38"/>
        <v/>
      </c>
      <c r="R735" s="50"/>
      <c r="S735" s="50"/>
      <c r="T735" s="50"/>
      <c r="U735" s="53"/>
      <c r="V735" s="54"/>
      <c r="W735" s="56"/>
      <c r="X735" s="119"/>
      <c r="Y735" s="113"/>
      <c r="Z735" s="113"/>
    </row>
    <row r="736">
      <c r="A736" s="38">
        <v>476.0</v>
      </c>
      <c r="B736" s="38"/>
      <c r="C736" s="38"/>
      <c r="D736" s="38"/>
      <c r="E736" s="38" t="s">
        <v>1707</v>
      </c>
      <c r="F736" s="41" t="s">
        <v>1708</v>
      </c>
      <c r="G736" s="43"/>
      <c r="H736" s="45"/>
      <c r="I736" s="38"/>
      <c r="J736" s="38">
        <f>961</f>
        <v>961</v>
      </c>
      <c r="K736" s="46">
        <v>0.005624999999999999</v>
      </c>
      <c r="L736" s="47" t="s">
        <v>1048</v>
      </c>
      <c r="M736" s="46"/>
      <c r="N736" s="46"/>
      <c r="O736" s="38"/>
      <c r="P736" s="38"/>
      <c r="Q736" s="12" t="str">
        <f t="shared" si="38"/>
        <v/>
      </c>
      <c r="R736" s="50"/>
      <c r="S736" s="50"/>
      <c r="T736" s="50"/>
      <c r="U736" s="53"/>
      <c r="V736" s="54"/>
      <c r="W736" s="56"/>
      <c r="X736" s="119"/>
      <c r="Y736" s="113"/>
      <c r="Z736" s="113"/>
    </row>
    <row r="737">
      <c r="A737" s="38">
        <v>477.0</v>
      </c>
      <c r="B737" s="38"/>
      <c r="C737" s="38"/>
      <c r="D737" s="38"/>
      <c r="E737" s="38" t="s">
        <v>1709</v>
      </c>
      <c r="F737" s="41" t="s">
        <v>1712</v>
      </c>
      <c r="G737" s="43"/>
      <c r="H737" s="45"/>
      <c r="I737" s="38"/>
      <c r="J737" s="38">
        <f>144</f>
        <v>144</v>
      </c>
      <c r="K737" s="46">
        <v>0.0018287037037037037</v>
      </c>
      <c r="L737" s="47" t="s">
        <v>1048</v>
      </c>
      <c r="M737" s="46"/>
      <c r="N737" s="46"/>
      <c r="O737" s="38"/>
      <c r="P737" s="38"/>
      <c r="Q737" s="12" t="str">
        <f t="shared" si="38"/>
        <v/>
      </c>
      <c r="R737" s="50"/>
      <c r="S737" s="50"/>
      <c r="T737" s="50"/>
      <c r="U737" s="53"/>
      <c r="V737" s="54"/>
      <c r="W737" s="56"/>
      <c r="X737" s="119"/>
      <c r="Y737" s="113"/>
      <c r="Z737" s="113"/>
    </row>
    <row r="738">
      <c r="A738" s="38">
        <v>478.0</v>
      </c>
      <c r="B738" s="38"/>
      <c r="C738" s="38"/>
      <c r="D738" s="38"/>
      <c r="E738" s="38" t="s">
        <v>1718</v>
      </c>
      <c r="F738" s="41" t="s">
        <v>1719</v>
      </c>
      <c r="G738" s="43"/>
      <c r="H738" s="45"/>
      <c r="I738" s="38"/>
      <c r="J738" s="38">
        <f>2.4*1000</f>
        <v>2400</v>
      </c>
      <c r="K738" s="46">
        <v>0.0026620370370370374</v>
      </c>
      <c r="L738" s="47" t="s">
        <v>1048</v>
      </c>
      <c r="M738" s="46"/>
      <c r="N738" s="46"/>
      <c r="O738" s="38"/>
      <c r="P738" s="38"/>
      <c r="Q738" s="12" t="str">
        <f t="shared" si="38"/>
        <v/>
      </c>
      <c r="R738" s="50"/>
      <c r="S738" s="50"/>
      <c r="T738" s="50"/>
      <c r="U738" s="53"/>
      <c r="V738" s="54"/>
      <c r="W738" s="56"/>
      <c r="X738" s="119"/>
      <c r="Y738" s="113"/>
      <c r="Z738" s="113"/>
    </row>
    <row r="739">
      <c r="A739" s="38">
        <v>479.0</v>
      </c>
      <c r="B739" s="38"/>
      <c r="C739" s="38"/>
      <c r="D739" s="38"/>
      <c r="E739" s="38" t="s">
        <v>1746</v>
      </c>
      <c r="F739" s="41" t="s">
        <v>1749</v>
      </c>
      <c r="G739" s="43"/>
      <c r="H739" s="45"/>
      <c r="I739" s="38"/>
      <c r="J739" s="38">
        <f>2.8*1000</f>
        <v>2800</v>
      </c>
      <c r="K739" s="46">
        <v>0.0049884259259259265</v>
      </c>
      <c r="L739" s="47" t="s">
        <v>1048</v>
      </c>
      <c r="M739" s="46"/>
      <c r="N739" s="46"/>
      <c r="O739" s="38"/>
      <c r="P739" s="38"/>
      <c r="Q739" s="12" t="str">
        <f t="shared" si="38"/>
        <v/>
      </c>
      <c r="R739" s="50"/>
      <c r="S739" s="50"/>
      <c r="T739" s="50"/>
      <c r="U739" s="53"/>
      <c r="V739" s="54"/>
      <c r="W739" s="56"/>
      <c r="X739" s="119"/>
      <c r="Y739" s="113"/>
      <c r="Z739" s="113"/>
    </row>
    <row r="740">
      <c r="A740" s="38">
        <v>480.0</v>
      </c>
      <c r="B740" s="38"/>
      <c r="C740" s="38"/>
      <c r="D740" s="38"/>
      <c r="E740" s="38" t="s">
        <v>1783</v>
      </c>
      <c r="F740" s="41" t="s">
        <v>1787</v>
      </c>
      <c r="G740" s="43"/>
      <c r="H740" s="45"/>
      <c r="I740" s="38"/>
      <c r="J740" s="38">
        <f>14*1000</f>
        <v>14000</v>
      </c>
      <c r="K740" s="46">
        <v>0.008541666666666668</v>
      </c>
      <c r="L740" s="47" t="s">
        <v>1048</v>
      </c>
      <c r="M740" s="46"/>
      <c r="N740" s="46"/>
      <c r="O740" s="38"/>
      <c r="P740" s="38"/>
      <c r="Q740" s="12" t="str">
        <f t="shared" si="38"/>
        <v/>
      </c>
      <c r="R740" s="50"/>
      <c r="S740" s="50"/>
      <c r="T740" s="50"/>
      <c r="U740" s="53"/>
      <c r="V740" s="54"/>
      <c r="W740" s="56"/>
      <c r="X740" s="119"/>
      <c r="Y740" s="113"/>
      <c r="Z740" s="113"/>
    </row>
    <row r="741">
      <c r="A741" s="38">
        <v>481.0</v>
      </c>
      <c r="B741" s="38"/>
      <c r="C741" s="38"/>
      <c r="D741" s="38"/>
      <c r="E741" s="38" t="s">
        <v>1403</v>
      </c>
      <c r="F741" s="41" t="s">
        <v>1404</v>
      </c>
      <c r="G741" s="43"/>
      <c r="H741" s="45"/>
      <c r="I741" s="38"/>
      <c r="J741" s="38">
        <f>3.5*1000</f>
        <v>3500</v>
      </c>
      <c r="K741" s="46">
        <v>0.007488425925925926</v>
      </c>
      <c r="L741" s="47" t="s">
        <v>1048</v>
      </c>
      <c r="M741" s="46"/>
      <c r="N741" s="46"/>
      <c r="O741" s="38"/>
      <c r="P741" s="38"/>
      <c r="Q741" s="12" t="str">
        <f t="shared" si="38"/>
        <v/>
      </c>
      <c r="R741" s="50"/>
      <c r="S741" s="50"/>
      <c r="T741" s="50"/>
      <c r="U741" s="53"/>
      <c r="V741" s="54"/>
      <c r="W741" s="56"/>
      <c r="X741" s="119"/>
      <c r="Y741" s="113"/>
      <c r="Z741" s="113"/>
    </row>
    <row r="742">
      <c r="A742" s="38">
        <v>482.0</v>
      </c>
      <c r="B742" s="38"/>
      <c r="C742" s="38"/>
      <c r="D742" s="38"/>
      <c r="E742" s="38" t="s">
        <v>1788</v>
      </c>
      <c r="F742" s="41" t="s">
        <v>1789</v>
      </c>
      <c r="G742" s="43"/>
      <c r="H742" s="45"/>
      <c r="I742" s="38"/>
      <c r="J742" s="38">
        <f>118</f>
        <v>118</v>
      </c>
      <c r="K742" s="46">
        <v>0.0010763888888888889</v>
      </c>
      <c r="L742" s="47" t="s">
        <v>1048</v>
      </c>
      <c r="M742" s="46"/>
      <c r="N742" s="46"/>
      <c r="O742" s="38"/>
      <c r="P742" s="38"/>
      <c r="Q742" s="12" t="str">
        <f t="shared" si="38"/>
        <v/>
      </c>
      <c r="R742" s="50"/>
      <c r="S742" s="50"/>
      <c r="T742" s="50"/>
      <c r="U742" s="53"/>
      <c r="V742" s="54"/>
      <c r="W742" s="56"/>
      <c r="X742" s="119"/>
      <c r="Y742" s="113"/>
      <c r="Z742" s="113"/>
    </row>
    <row r="743">
      <c r="A743" s="38">
        <v>483.0</v>
      </c>
      <c r="B743" s="38"/>
      <c r="C743" s="38"/>
      <c r="D743" s="38"/>
      <c r="E743" s="38" t="s">
        <v>1790</v>
      </c>
      <c r="F743" s="41" t="s">
        <v>1791</v>
      </c>
      <c r="G743" s="43"/>
      <c r="H743" s="45"/>
      <c r="I743" s="38"/>
      <c r="J743" s="38">
        <f>317</f>
        <v>317</v>
      </c>
      <c r="K743" s="46">
        <v>0.0016319444444444445</v>
      </c>
      <c r="L743" s="47" t="s">
        <v>1048</v>
      </c>
      <c r="M743" s="46"/>
      <c r="N743" s="46"/>
      <c r="O743" s="38"/>
      <c r="P743" s="38"/>
      <c r="Q743" s="12" t="str">
        <f t="shared" si="38"/>
        <v/>
      </c>
      <c r="R743" s="50"/>
      <c r="S743" s="50"/>
      <c r="T743" s="50"/>
      <c r="U743" s="53"/>
      <c r="V743" s="54"/>
      <c r="W743" s="56"/>
      <c r="X743" s="119"/>
      <c r="Y743" s="113"/>
      <c r="Z743" s="113"/>
    </row>
    <row r="744">
      <c r="A744" s="38">
        <v>484.0</v>
      </c>
      <c r="B744" s="38"/>
      <c r="C744" s="38"/>
      <c r="D744" s="38"/>
      <c r="E744" s="38" t="s">
        <v>1792</v>
      </c>
      <c r="F744" s="41" t="s">
        <v>1793</v>
      </c>
      <c r="G744" s="43"/>
      <c r="H744" s="45"/>
      <c r="I744" s="38"/>
      <c r="J744" s="38">
        <f>3.2*1000</f>
        <v>3200</v>
      </c>
      <c r="K744" s="46">
        <v>0.0043749999999999995</v>
      </c>
      <c r="L744" s="47" t="s">
        <v>1048</v>
      </c>
      <c r="M744" s="46"/>
      <c r="N744" s="46"/>
      <c r="O744" s="38"/>
      <c r="P744" s="38"/>
      <c r="Q744" s="12" t="str">
        <f t="shared" si="38"/>
        <v/>
      </c>
      <c r="R744" s="50"/>
      <c r="S744" s="50"/>
      <c r="T744" s="50"/>
      <c r="U744" s="53"/>
      <c r="V744" s="54"/>
      <c r="W744" s="56"/>
      <c r="X744" s="119"/>
      <c r="Y744" s="113"/>
      <c r="Z744" s="113"/>
    </row>
    <row r="745">
      <c r="A745" s="38">
        <v>485.0</v>
      </c>
      <c r="B745" s="38"/>
      <c r="C745" s="38"/>
      <c r="D745" s="38"/>
      <c r="E745" s="38" t="s">
        <v>1794</v>
      </c>
      <c r="F745" s="41" t="s">
        <v>1795</v>
      </c>
      <c r="G745" s="43"/>
      <c r="H745" s="45"/>
      <c r="I745" s="38"/>
      <c r="J745" s="38">
        <f>219</f>
        <v>219</v>
      </c>
      <c r="K745" s="46">
        <v>0.0021296296296296298</v>
      </c>
      <c r="L745" s="47" t="s">
        <v>1048</v>
      </c>
      <c r="M745" s="46"/>
      <c r="N745" s="46"/>
      <c r="O745" s="38"/>
      <c r="P745" s="38"/>
      <c r="Q745" s="12" t="str">
        <f t="shared" si="38"/>
        <v/>
      </c>
      <c r="R745" s="50"/>
      <c r="S745" s="50"/>
      <c r="T745" s="50"/>
      <c r="U745" s="53"/>
      <c r="V745" s="54"/>
      <c r="W745" s="56"/>
      <c r="X745" s="119"/>
      <c r="Y745" s="113"/>
      <c r="Z745" s="113"/>
    </row>
    <row r="746">
      <c r="A746" s="38">
        <v>486.0</v>
      </c>
      <c r="B746" s="38"/>
      <c r="C746" s="38"/>
      <c r="D746" s="38"/>
      <c r="E746" s="38" t="s">
        <v>1802</v>
      </c>
      <c r="F746" s="41" t="s">
        <v>1803</v>
      </c>
      <c r="G746" s="43"/>
      <c r="H746" s="45"/>
      <c r="I746" s="38"/>
      <c r="J746" s="38">
        <f>22*1000</f>
        <v>22000</v>
      </c>
      <c r="K746" s="46">
        <v>0.007245370370370371</v>
      </c>
      <c r="L746" s="47" t="s">
        <v>1048</v>
      </c>
      <c r="M746" s="46"/>
      <c r="N746" s="46"/>
      <c r="O746" s="38"/>
      <c r="P746" s="38"/>
      <c r="Q746" s="12" t="str">
        <f t="shared" si="38"/>
        <v/>
      </c>
      <c r="R746" s="50"/>
      <c r="S746" s="50"/>
      <c r="T746" s="50"/>
      <c r="U746" s="53"/>
      <c r="V746" s="54"/>
      <c r="W746" s="56"/>
      <c r="X746" s="119"/>
      <c r="Y746" s="113"/>
      <c r="Z746" s="113"/>
    </row>
    <row r="747">
      <c r="A747" s="38">
        <v>487.0</v>
      </c>
      <c r="B747" s="38"/>
      <c r="C747" s="38"/>
      <c r="D747" s="38"/>
      <c r="E747" s="38" t="s">
        <v>1818</v>
      </c>
      <c r="F747" s="41" t="s">
        <v>1820</v>
      </c>
      <c r="G747" s="43"/>
      <c r="H747" s="45"/>
      <c r="I747" s="38"/>
      <c r="J747" s="38">
        <f>743</f>
        <v>743</v>
      </c>
      <c r="K747" s="46">
        <v>0.0021527777777777778</v>
      </c>
      <c r="L747" s="47" t="s">
        <v>1048</v>
      </c>
      <c r="M747" s="46"/>
      <c r="N747" s="46"/>
      <c r="O747" s="38"/>
      <c r="P747" s="38"/>
      <c r="Q747" s="12" t="str">
        <f t="shared" si="38"/>
        <v/>
      </c>
      <c r="R747" s="50"/>
      <c r="S747" s="50"/>
      <c r="T747" s="50"/>
      <c r="U747" s="53"/>
      <c r="V747" s="54"/>
      <c r="W747" s="56"/>
      <c r="X747" s="119"/>
      <c r="Y747" s="113"/>
      <c r="Z747" s="113"/>
    </row>
    <row r="748">
      <c r="A748" s="38">
        <v>488.0</v>
      </c>
      <c r="B748" s="38"/>
      <c r="C748" s="38"/>
      <c r="D748" s="38"/>
      <c r="E748" s="38" t="s">
        <v>1822</v>
      </c>
      <c r="F748" s="41" t="s">
        <v>1823</v>
      </c>
      <c r="G748" s="43"/>
      <c r="H748" s="45"/>
      <c r="I748" s="38"/>
      <c r="J748" s="38">
        <f>408</f>
        <v>408</v>
      </c>
      <c r="K748" s="46">
        <v>0.0013773148148148147</v>
      </c>
      <c r="L748" s="47" t="s">
        <v>1048</v>
      </c>
      <c r="M748" s="46"/>
      <c r="N748" s="46"/>
      <c r="O748" s="38"/>
      <c r="P748" s="38"/>
      <c r="Q748" s="12" t="str">
        <f t="shared" si="38"/>
        <v/>
      </c>
      <c r="R748" s="50"/>
      <c r="S748" s="50"/>
      <c r="T748" s="50"/>
      <c r="U748" s="53"/>
      <c r="V748" s="54"/>
      <c r="W748" s="56"/>
      <c r="X748" s="119"/>
      <c r="Y748" s="113"/>
      <c r="Z748" s="113"/>
    </row>
    <row r="749">
      <c r="A749" s="38">
        <v>489.0</v>
      </c>
      <c r="B749" s="38"/>
      <c r="C749" s="38"/>
      <c r="D749" s="38"/>
      <c r="E749" s="38" t="s">
        <v>1840</v>
      </c>
      <c r="F749" s="41" t="s">
        <v>1842</v>
      </c>
      <c r="G749" s="43"/>
      <c r="H749" s="45"/>
      <c r="I749" s="38"/>
      <c r="J749" s="38">
        <f>1.8*1000</f>
        <v>1800</v>
      </c>
      <c r="K749" s="46">
        <v>0.0032291666666666666</v>
      </c>
      <c r="L749" s="47" t="s">
        <v>1048</v>
      </c>
      <c r="M749" s="46"/>
      <c r="N749" s="46"/>
      <c r="O749" s="38"/>
      <c r="P749" s="38"/>
      <c r="Q749" s="12" t="str">
        <f t="shared" si="38"/>
        <v/>
      </c>
      <c r="R749" s="50"/>
      <c r="S749" s="50"/>
      <c r="T749" s="50"/>
      <c r="U749" s="53"/>
      <c r="V749" s="54"/>
      <c r="W749" s="56"/>
      <c r="X749" s="119"/>
      <c r="Y749" s="113"/>
      <c r="Z749" s="113"/>
    </row>
    <row r="750">
      <c r="A750" s="38">
        <v>490.0</v>
      </c>
      <c r="B750" s="38"/>
      <c r="C750" s="38"/>
      <c r="D750" s="38"/>
      <c r="E750" s="38" t="s">
        <v>1854</v>
      </c>
      <c r="F750" s="41" t="s">
        <v>1856</v>
      </c>
      <c r="G750" s="43"/>
      <c r="H750" s="45"/>
      <c r="I750" s="38"/>
      <c r="J750" s="38">
        <f>577</f>
        <v>577</v>
      </c>
      <c r="K750" s="46">
        <v>0.0020370370370370373</v>
      </c>
      <c r="L750" s="47" t="s">
        <v>1048</v>
      </c>
      <c r="M750" s="46"/>
      <c r="N750" s="46"/>
      <c r="O750" s="38"/>
      <c r="P750" s="38"/>
      <c r="Q750" s="12" t="str">
        <f t="shared" si="38"/>
        <v/>
      </c>
      <c r="R750" s="50"/>
      <c r="S750" s="50"/>
      <c r="T750" s="50"/>
      <c r="U750" s="53"/>
      <c r="V750" s="54"/>
      <c r="W750" s="56"/>
      <c r="X750" s="119"/>
      <c r="Y750" s="113"/>
      <c r="Z750" s="113"/>
    </row>
    <row r="751">
      <c r="A751" s="38">
        <v>491.0</v>
      </c>
      <c r="B751" s="38"/>
      <c r="C751" s="38"/>
      <c r="D751" s="38"/>
      <c r="E751" s="38" t="s">
        <v>1866</v>
      </c>
      <c r="F751" s="41" t="s">
        <v>1868</v>
      </c>
      <c r="G751" s="43"/>
      <c r="H751" s="45"/>
      <c r="I751" s="38"/>
      <c r="J751" s="38">
        <f>1.1*1000</f>
        <v>1100</v>
      </c>
      <c r="K751" s="46">
        <v>0.0028587962962962963</v>
      </c>
      <c r="L751" s="47" t="s">
        <v>1048</v>
      </c>
      <c r="M751" s="46"/>
      <c r="N751" s="46"/>
      <c r="O751" s="38"/>
      <c r="P751" s="38"/>
      <c r="Q751" s="12" t="str">
        <f t="shared" si="38"/>
        <v/>
      </c>
      <c r="R751" s="50"/>
      <c r="S751" s="50"/>
      <c r="T751" s="50"/>
      <c r="U751" s="53"/>
      <c r="V751" s="54"/>
      <c r="W751" s="56"/>
      <c r="X751" s="119"/>
      <c r="Y751" s="113"/>
      <c r="Z751" s="113"/>
    </row>
    <row r="752">
      <c r="A752" s="38">
        <v>492.0</v>
      </c>
      <c r="B752" s="38"/>
      <c r="C752" s="38"/>
      <c r="D752" s="38"/>
      <c r="E752" s="38" t="s">
        <v>1877</v>
      </c>
      <c r="F752" s="41" t="s">
        <v>1878</v>
      </c>
      <c r="G752" s="43"/>
      <c r="H752" s="45"/>
      <c r="I752" s="38"/>
      <c r="J752" s="38">
        <f>225</f>
        <v>225</v>
      </c>
      <c r="K752" s="46">
        <v>0.0016319444444444445</v>
      </c>
      <c r="L752" s="47" t="s">
        <v>1048</v>
      </c>
      <c r="M752" s="46"/>
      <c r="N752" s="46"/>
      <c r="O752" s="38"/>
      <c r="P752" s="38"/>
      <c r="Q752" s="12" t="str">
        <f t="shared" si="38"/>
        <v/>
      </c>
      <c r="R752" s="50"/>
      <c r="S752" s="50"/>
      <c r="T752" s="50"/>
      <c r="U752" s="53"/>
      <c r="V752" s="54"/>
      <c r="W752" s="56"/>
      <c r="X752" s="119"/>
      <c r="Y752" s="113"/>
      <c r="Z752" s="113"/>
    </row>
    <row r="753">
      <c r="A753" s="38">
        <v>493.0</v>
      </c>
      <c r="B753" s="38"/>
      <c r="C753" s="38"/>
      <c r="D753" s="38"/>
      <c r="E753" s="38" t="s">
        <v>1882</v>
      </c>
      <c r="F753" s="41" t="s">
        <v>1883</v>
      </c>
      <c r="G753" s="43"/>
      <c r="H753" s="45"/>
      <c r="I753" s="38"/>
      <c r="J753" s="38">
        <f>208</f>
        <v>208</v>
      </c>
      <c r="K753" s="46">
        <v>0.002847222222222222</v>
      </c>
      <c r="L753" s="47" t="s">
        <v>1048</v>
      </c>
      <c r="M753" s="46"/>
      <c r="N753" s="46"/>
      <c r="O753" s="38"/>
      <c r="P753" s="38"/>
      <c r="Q753" s="12" t="str">
        <f t="shared" si="38"/>
        <v/>
      </c>
      <c r="R753" s="50"/>
      <c r="S753" s="50"/>
      <c r="T753" s="50"/>
      <c r="U753" s="53"/>
      <c r="V753" s="54"/>
      <c r="W753" s="56"/>
      <c r="X753" s="119"/>
      <c r="Y753" s="113"/>
      <c r="Z753" s="113"/>
    </row>
    <row r="754">
      <c r="A754" s="38">
        <v>494.0</v>
      </c>
      <c r="B754" s="38"/>
      <c r="C754" s="38"/>
      <c r="D754" s="38"/>
      <c r="E754" s="38" t="s">
        <v>1886</v>
      </c>
      <c r="F754" s="41" t="s">
        <v>1887</v>
      </c>
      <c r="G754" s="43"/>
      <c r="H754" s="45"/>
      <c r="I754" s="38"/>
      <c r="J754" s="38">
        <f>422</f>
        <v>422</v>
      </c>
      <c r="K754" s="46">
        <v>0.002685185185185185</v>
      </c>
      <c r="L754" s="47" t="s">
        <v>1048</v>
      </c>
      <c r="M754" s="46"/>
      <c r="N754" s="46"/>
      <c r="O754" s="38"/>
      <c r="P754" s="38"/>
      <c r="Q754" s="12" t="str">
        <f t="shared" si="38"/>
        <v/>
      </c>
      <c r="R754" s="50"/>
      <c r="S754" s="50"/>
      <c r="T754" s="50"/>
      <c r="U754" s="53"/>
      <c r="V754" s="54"/>
      <c r="W754" s="56"/>
      <c r="X754" s="119"/>
      <c r="Y754" s="113"/>
      <c r="Z754" s="113"/>
    </row>
    <row r="755">
      <c r="A755" s="38">
        <v>495.0</v>
      </c>
      <c r="B755" s="38"/>
      <c r="C755" s="38"/>
      <c r="D755" s="38"/>
      <c r="E755" s="38" t="s">
        <v>1889</v>
      </c>
      <c r="F755" s="41" t="s">
        <v>1890</v>
      </c>
      <c r="G755" s="43"/>
      <c r="H755" s="45"/>
      <c r="I755" s="38"/>
      <c r="J755" s="38">
        <f>6.6*1000</f>
        <v>6600</v>
      </c>
      <c r="K755" s="46">
        <v>0.005509259259259259</v>
      </c>
      <c r="L755" s="47" t="s">
        <v>1048</v>
      </c>
      <c r="M755" s="46"/>
      <c r="N755" s="46"/>
      <c r="O755" s="38"/>
      <c r="P755" s="38"/>
      <c r="Q755" s="12" t="str">
        <f t="shared" si="38"/>
        <v/>
      </c>
      <c r="R755" s="50"/>
      <c r="S755" s="50"/>
      <c r="T755" s="50"/>
      <c r="U755" s="53"/>
      <c r="V755" s="54"/>
      <c r="W755" s="56"/>
      <c r="X755" s="119"/>
      <c r="Y755" s="113"/>
      <c r="Z755" s="113"/>
    </row>
    <row r="756">
      <c r="A756" s="38">
        <v>496.0</v>
      </c>
      <c r="B756" s="38"/>
      <c r="C756" s="38"/>
      <c r="D756" s="38"/>
      <c r="E756" s="38" t="s">
        <v>1893</v>
      </c>
      <c r="F756" s="41" t="s">
        <v>1895</v>
      </c>
      <c r="G756" s="43"/>
      <c r="H756" s="45"/>
      <c r="I756" s="38"/>
      <c r="J756" s="38">
        <f>1*1000</f>
        <v>1000</v>
      </c>
      <c r="K756" s="46">
        <v>0.004039351851851852</v>
      </c>
      <c r="L756" s="47" t="s">
        <v>1048</v>
      </c>
      <c r="M756" s="46"/>
      <c r="N756" s="46"/>
      <c r="O756" s="38"/>
      <c r="P756" s="38"/>
      <c r="Q756" s="12" t="str">
        <f t="shared" si="38"/>
        <v/>
      </c>
      <c r="R756" s="50"/>
      <c r="S756" s="50"/>
      <c r="T756" s="50"/>
      <c r="U756" s="53"/>
      <c r="V756" s="54"/>
      <c r="W756" s="56"/>
      <c r="X756" s="119"/>
      <c r="Y756" s="113"/>
      <c r="Z756" s="113"/>
    </row>
    <row r="757">
      <c r="A757" s="38">
        <v>497.0</v>
      </c>
      <c r="B757" s="38"/>
      <c r="C757" s="38"/>
      <c r="D757" s="38"/>
      <c r="E757" s="38" t="s">
        <v>1900</v>
      </c>
      <c r="F757" s="41" t="s">
        <v>1901</v>
      </c>
      <c r="G757" s="43"/>
      <c r="H757" s="45"/>
      <c r="I757" s="38"/>
      <c r="J757" s="38">
        <f>2.1*1000</f>
        <v>2100</v>
      </c>
      <c r="K757" s="46">
        <v>0.043946759259259255</v>
      </c>
      <c r="L757" s="47" t="s">
        <v>1048</v>
      </c>
      <c r="M757" s="46"/>
      <c r="N757" s="46"/>
      <c r="O757" s="38"/>
      <c r="P757" s="38"/>
      <c r="Q757" s="12" t="str">
        <f t="shared" si="38"/>
        <v/>
      </c>
      <c r="R757" s="50"/>
      <c r="S757" s="50"/>
      <c r="T757" s="50"/>
      <c r="U757" s="53"/>
      <c r="V757" s="54"/>
      <c r="W757" s="56"/>
      <c r="X757" s="119"/>
      <c r="Y757" s="113"/>
      <c r="Z757" s="113"/>
    </row>
    <row r="758">
      <c r="A758" s="38">
        <v>498.0</v>
      </c>
      <c r="B758" s="38"/>
      <c r="C758" s="38"/>
      <c r="D758" s="38"/>
      <c r="E758" s="38" t="s">
        <v>1907</v>
      </c>
      <c r="F758" s="41" t="s">
        <v>1908</v>
      </c>
      <c r="G758" s="43"/>
      <c r="H758" s="45"/>
      <c r="I758" s="38"/>
      <c r="J758" s="38">
        <f>1.9*1000</f>
        <v>1900</v>
      </c>
      <c r="K758" s="46">
        <v>0.0250462962962963</v>
      </c>
      <c r="L758" s="47" t="s">
        <v>1048</v>
      </c>
      <c r="M758" s="46"/>
      <c r="N758" s="46"/>
      <c r="O758" s="38"/>
      <c r="P758" s="38"/>
      <c r="Q758" s="12" t="str">
        <f t="shared" si="38"/>
        <v/>
      </c>
      <c r="R758" s="50"/>
      <c r="S758" s="50"/>
      <c r="T758" s="50"/>
      <c r="U758" s="53"/>
      <c r="V758" s="54"/>
      <c r="W758" s="56"/>
      <c r="X758" s="119"/>
      <c r="Y758" s="113"/>
      <c r="Z758" s="113"/>
    </row>
    <row r="759">
      <c r="A759" s="38">
        <v>499.0</v>
      </c>
      <c r="B759" s="38"/>
      <c r="C759" s="38"/>
      <c r="D759" s="38"/>
      <c r="E759" s="38" t="s">
        <v>1910</v>
      </c>
      <c r="F759" s="41" t="s">
        <v>1911</v>
      </c>
      <c r="G759" s="43"/>
      <c r="H759" s="45"/>
      <c r="I759" s="38"/>
      <c r="J759" s="38">
        <f>234</f>
        <v>234</v>
      </c>
      <c r="K759" s="46">
        <v>0.001388888888888889</v>
      </c>
      <c r="L759" s="47" t="s">
        <v>1048</v>
      </c>
      <c r="M759" s="46"/>
      <c r="N759" s="46"/>
      <c r="O759" s="38"/>
      <c r="P759" s="38"/>
      <c r="Q759" s="12" t="str">
        <f t="shared" si="38"/>
        <v/>
      </c>
      <c r="R759" s="50"/>
      <c r="S759" s="50"/>
      <c r="T759" s="50"/>
      <c r="U759" s="53"/>
      <c r="V759" s="54"/>
      <c r="W759" s="56"/>
      <c r="X759" s="119"/>
      <c r="Y759" s="113"/>
      <c r="Z759" s="113"/>
    </row>
    <row r="760">
      <c r="A760" s="38">
        <v>500.0</v>
      </c>
      <c r="B760" s="38"/>
      <c r="C760" s="38"/>
      <c r="D760" s="38"/>
      <c r="E760" s="38" t="s">
        <v>1912</v>
      </c>
      <c r="F760" s="41" t="s">
        <v>1913</v>
      </c>
      <c r="G760" s="43"/>
      <c r="H760" s="45"/>
      <c r="I760" s="38"/>
      <c r="J760" s="38">
        <f>205</f>
        <v>205</v>
      </c>
      <c r="K760" s="46">
        <v>0.0021874999999999998</v>
      </c>
      <c r="L760" s="47" t="s">
        <v>1048</v>
      </c>
      <c r="M760" s="46"/>
      <c r="N760" s="46"/>
      <c r="O760" s="38"/>
      <c r="P760" s="38"/>
      <c r="Q760" s="12" t="str">
        <f t="shared" si="38"/>
        <v/>
      </c>
      <c r="R760" s="50"/>
      <c r="S760" s="50"/>
      <c r="T760" s="50"/>
      <c r="U760" s="53"/>
      <c r="V760" s="54"/>
      <c r="W760" s="56"/>
      <c r="X760" s="119"/>
      <c r="Y760" s="113"/>
      <c r="Z760" s="113"/>
    </row>
    <row r="761">
      <c r="A761" s="38">
        <v>501.0</v>
      </c>
      <c r="B761" s="38"/>
      <c r="C761" s="38"/>
      <c r="D761" s="38"/>
      <c r="E761" s="38" t="s">
        <v>1914</v>
      </c>
      <c r="F761" s="41" t="s">
        <v>1915</v>
      </c>
      <c r="G761" s="43"/>
      <c r="H761" s="45"/>
      <c r="I761" s="38"/>
      <c r="J761" s="38">
        <f>3*1000</f>
        <v>3000</v>
      </c>
      <c r="K761" s="46">
        <v>0.02395833333333333</v>
      </c>
      <c r="L761" s="47" t="s">
        <v>1048</v>
      </c>
      <c r="M761" s="46"/>
      <c r="N761" s="46"/>
      <c r="O761" s="38"/>
      <c r="P761" s="38"/>
      <c r="Q761" s="12" t="str">
        <f t="shared" si="38"/>
        <v/>
      </c>
      <c r="R761" s="50"/>
      <c r="S761" s="50"/>
      <c r="T761" s="50"/>
      <c r="U761" s="53"/>
      <c r="V761" s="54"/>
      <c r="W761" s="56"/>
      <c r="X761" s="119"/>
      <c r="Y761" s="113"/>
      <c r="Z761" s="113"/>
    </row>
    <row r="762">
      <c r="A762" s="38">
        <v>502.0</v>
      </c>
      <c r="B762" s="38"/>
      <c r="C762" s="38"/>
      <c r="D762" s="38"/>
      <c r="E762" s="38" t="s">
        <v>1916</v>
      </c>
      <c r="F762" s="41" t="s">
        <v>1917</v>
      </c>
      <c r="G762" s="43"/>
      <c r="H762" s="45"/>
      <c r="I762" s="38"/>
      <c r="J762" s="38">
        <f>2.4*1000</f>
        <v>2400</v>
      </c>
      <c r="K762" s="46">
        <v>0.03774305555555556</v>
      </c>
      <c r="L762" s="47" t="s">
        <v>1048</v>
      </c>
      <c r="M762" s="46"/>
      <c r="N762" s="46"/>
      <c r="O762" s="38"/>
      <c r="P762" s="38"/>
      <c r="Q762" s="12" t="str">
        <f t="shared" si="38"/>
        <v/>
      </c>
      <c r="R762" s="50"/>
      <c r="S762" s="50"/>
      <c r="T762" s="50"/>
      <c r="U762" s="53"/>
      <c r="V762" s="54"/>
      <c r="W762" s="56"/>
      <c r="X762" s="119"/>
      <c r="Y762" s="113"/>
      <c r="Z762" s="113"/>
    </row>
    <row r="763">
      <c r="A763" s="38">
        <v>503.0</v>
      </c>
      <c r="B763" s="38"/>
      <c r="C763" s="38"/>
      <c r="D763" s="38"/>
      <c r="E763" s="38" t="s">
        <v>1918</v>
      </c>
      <c r="F763" s="41" t="s">
        <v>1919</v>
      </c>
      <c r="G763" s="43"/>
      <c r="H763" s="45"/>
      <c r="I763" s="38"/>
      <c r="J763" s="38">
        <f>2.8*1000</f>
        <v>2800</v>
      </c>
      <c r="K763" s="46">
        <v>0.018460648148148146</v>
      </c>
      <c r="L763" s="47" t="s">
        <v>1048</v>
      </c>
      <c r="M763" s="46"/>
      <c r="N763" s="46"/>
      <c r="O763" s="38"/>
      <c r="P763" s="38"/>
      <c r="Q763" s="12" t="str">
        <f t="shared" si="38"/>
        <v/>
      </c>
      <c r="R763" s="50"/>
      <c r="S763" s="50"/>
      <c r="T763" s="50"/>
      <c r="U763" s="53"/>
      <c r="V763" s="54"/>
      <c r="W763" s="56"/>
      <c r="X763" s="119"/>
      <c r="Y763" s="113"/>
      <c r="Z763" s="113"/>
    </row>
    <row r="764">
      <c r="A764" s="38">
        <v>504.0</v>
      </c>
      <c r="B764" s="38"/>
      <c r="C764" s="38"/>
      <c r="D764" s="38"/>
      <c r="E764" s="38" t="s">
        <v>1920</v>
      </c>
      <c r="F764" s="41" t="s">
        <v>1921</v>
      </c>
      <c r="G764" s="43"/>
      <c r="H764" s="45"/>
      <c r="I764" s="38"/>
      <c r="J764" s="38">
        <f>3.5*1000</f>
        <v>3500</v>
      </c>
      <c r="K764" s="46">
        <v>0.03820601851851852</v>
      </c>
      <c r="L764" s="47" t="s">
        <v>1048</v>
      </c>
      <c r="M764" s="46"/>
      <c r="N764" s="46"/>
      <c r="O764" s="38"/>
      <c r="P764" s="38"/>
      <c r="Q764" s="12" t="str">
        <f t="shared" si="38"/>
        <v/>
      </c>
      <c r="R764" s="50"/>
      <c r="S764" s="50"/>
      <c r="T764" s="50"/>
      <c r="U764" s="53"/>
      <c r="V764" s="54"/>
      <c r="W764" s="56"/>
      <c r="X764" s="119"/>
      <c r="Y764" s="113"/>
      <c r="Z764" s="113"/>
    </row>
    <row r="765">
      <c r="A765" s="38">
        <v>505.0</v>
      </c>
      <c r="B765" s="38"/>
      <c r="C765" s="38"/>
      <c r="D765" s="38"/>
      <c r="E765" s="38" t="s">
        <v>1922</v>
      </c>
      <c r="F765" s="41" t="s">
        <v>1923</v>
      </c>
      <c r="G765" s="43"/>
      <c r="H765" s="45"/>
      <c r="I765" s="38"/>
      <c r="J765" s="38">
        <f>1*1000</f>
        <v>1000</v>
      </c>
      <c r="K765" s="46">
        <v>0.011562499999999998</v>
      </c>
      <c r="L765" s="47" t="s">
        <v>1048</v>
      </c>
      <c r="M765" s="46"/>
      <c r="N765" s="46"/>
      <c r="O765" s="38"/>
      <c r="P765" s="38"/>
      <c r="Q765" s="12" t="str">
        <f t="shared" si="38"/>
        <v/>
      </c>
      <c r="R765" s="50"/>
      <c r="S765" s="50"/>
      <c r="T765" s="50"/>
      <c r="U765" s="53"/>
      <c r="V765" s="54"/>
      <c r="W765" s="56"/>
      <c r="X765" s="119"/>
      <c r="Y765" s="113"/>
      <c r="Z765" s="113"/>
    </row>
    <row r="766">
      <c r="A766" s="38">
        <v>506.0</v>
      </c>
      <c r="B766" s="38"/>
      <c r="C766" s="38"/>
      <c r="D766" s="38"/>
      <c r="E766" s="38" t="s">
        <v>1924</v>
      </c>
      <c r="F766" s="41" t="s">
        <v>1925</v>
      </c>
      <c r="G766" s="43"/>
      <c r="H766" s="45"/>
      <c r="I766" s="38"/>
      <c r="J766" s="38">
        <f>4.3*1000</f>
        <v>4300</v>
      </c>
      <c r="K766" s="46">
        <v>0.024340277777777777</v>
      </c>
      <c r="L766" s="47" t="s">
        <v>1048</v>
      </c>
      <c r="M766" s="46"/>
      <c r="N766" s="46"/>
      <c r="O766" s="38"/>
      <c r="P766" s="38"/>
      <c r="Q766" s="12" t="str">
        <f t="shared" si="38"/>
        <v/>
      </c>
      <c r="R766" s="50"/>
      <c r="S766" s="50"/>
      <c r="T766" s="50"/>
      <c r="U766" s="53"/>
      <c r="V766" s="54"/>
      <c r="W766" s="56"/>
      <c r="X766" s="119"/>
      <c r="Y766" s="113"/>
      <c r="Z766" s="113"/>
    </row>
    <row r="767">
      <c r="A767" s="38">
        <v>507.0</v>
      </c>
      <c r="B767" s="38"/>
      <c r="C767" s="38"/>
      <c r="D767" s="38"/>
      <c r="E767" s="38" t="s">
        <v>1926</v>
      </c>
      <c r="F767" s="41" t="s">
        <v>1927</v>
      </c>
      <c r="G767" s="43"/>
      <c r="H767" s="45"/>
      <c r="I767" s="38"/>
      <c r="J767" s="38">
        <f>2.6*1000</f>
        <v>2600</v>
      </c>
      <c r="K767" s="46">
        <v>0.01318287037037037</v>
      </c>
      <c r="L767" s="47" t="s">
        <v>1048</v>
      </c>
      <c r="M767" s="46"/>
      <c r="N767" s="46"/>
      <c r="O767" s="38"/>
      <c r="P767" s="38"/>
      <c r="Q767" s="12" t="str">
        <f t="shared" si="38"/>
        <v/>
      </c>
      <c r="R767" s="50"/>
      <c r="S767" s="50"/>
      <c r="T767" s="50"/>
      <c r="U767" s="53"/>
      <c r="V767" s="54"/>
      <c r="W767" s="56"/>
      <c r="X767" s="119"/>
      <c r="Y767" s="113"/>
      <c r="Z767" s="113"/>
    </row>
    <row r="768">
      <c r="A768" s="38">
        <v>508.0</v>
      </c>
      <c r="B768" s="38"/>
      <c r="C768" s="38"/>
      <c r="D768" s="38"/>
      <c r="E768" s="38" t="s">
        <v>1928</v>
      </c>
      <c r="F768" s="41" t="s">
        <v>1929</v>
      </c>
      <c r="G768" s="43"/>
      <c r="H768" s="45"/>
      <c r="I768" s="38"/>
      <c r="J768" s="38">
        <f>473</f>
        <v>473</v>
      </c>
      <c r="K768" s="46">
        <v>0.006527777777777778</v>
      </c>
      <c r="L768" s="47" t="s">
        <v>1048</v>
      </c>
      <c r="M768" s="46"/>
      <c r="N768" s="46"/>
      <c r="O768" s="38"/>
      <c r="P768" s="38"/>
      <c r="Q768" s="12" t="str">
        <f t="shared" si="38"/>
        <v/>
      </c>
      <c r="R768" s="50"/>
      <c r="S768" s="50"/>
      <c r="T768" s="50"/>
      <c r="U768" s="53"/>
      <c r="V768" s="54"/>
      <c r="W768" s="56"/>
      <c r="X768" s="119"/>
      <c r="Y768" s="113"/>
      <c r="Z768" s="113"/>
    </row>
    <row r="769">
      <c r="A769" s="38">
        <v>509.0</v>
      </c>
      <c r="B769" s="38"/>
      <c r="C769" s="38"/>
      <c r="D769" s="38"/>
      <c r="E769" s="38" t="s">
        <v>1930</v>
      </c>
      <c r="F769" s="41" t="s">
        <v>1931</v>
      </c>
      <c r="G769" s="43"/>
      <c r="H769" s="45"/>
      <c r="I769" s="38"/>
      <c r="J769" s="38">
        <f>974</f>
        <v>974</v>
      </c>
      <c r="K769" s="46">
        <v>0.002673611111111111</v>
      </c>
      <c r="L769" s="47" t="s">
        <v>1048</v>
      </c>
      <c r="M769" s="46"/>
      <c r="N769" s="46"/>
      <c r="O769" s="38"/>
      <c r="P769" s="38"/>
      <c r="Q769" s="12" t="str">
        <f t="shared" si="38"/>
        <v/>
      </c>
      <c r="R769" s="50"/>
      <c r="S769" s="50"/>
      <c r="T769" s="50"/>
      <c r="U769" s="53"/>
      <c r="V769" s="54"/>
      <c r="W769" s="56"/>
      <c r="X769" s="119"/>
      <c r="Y769" s="113"/>
      <c r="Z769" s="113"/>
    </row>
    <row r="770">
      <c r="A770" s="38">
        <v>510.0</v>
      </c>
      <c r="B770" s="38"/>
      <c r="C770" s="38"/>
      <c r="D770" s="38"/>
      <c r="E770" s="38" t="s">
        <v>1932</v>
      </c>
      <c r="F770" s="41" t="s">
        <v>1933</v>
      </c>
      <c r="G770" s="43"/>
      <c r="H770" s="45"/>
      <c r="I770" s="38"/>
      <c r="J770" s="38">
        <f>437</f>
        <v>437</v>
      </c>
      <c r="K770" s="46">
        <v>0.0013194444444444443</v>
      </c>
      <c r="L770" s="47" t="s">
        <v>1048</v>
      </c>
      <c r="M770" s="46"/>
      <c r="N770" s="46"/>
      <c r="O770" s="38"/>
      <c r="P770" s="38"/>
      <c r="Q770" s="12" t="str">
        <f t="shared" si="38"/>
        <v/>
      </c>
      <c r="R770" s="50"/>
      <c r="S770" s="50"/>
      <c r="T770" s="50"/>
      <c r="U770" s="53"/>
      <c r="V770" s="54"/>
      <c r="W770" s="56"/>
      <c r="X770" s="119"/>
      <c r="Y770" s="113"/>
      <c r="Z770" s="113"/>
    </row>
    <row r="771">
      <c r="A771" s="38">
        <v>511.0</v>
      </c>
      <c r="B771" s="38"/>
      <c r="C771" s="38"/>
      <c r="D771" s="38"/>
      <c r="E771" s="38" t="s">
        <v>1934</v>
      </c>
      <c r="F771" s="41" t="s">
        <v>1935</v>
      </c>
      <c r="G771" s="43"/>
      <c r="H771" s="45"/>
      <c r="I771" s="38"/>
      <c r="J771" s="38">
        <f>274</f>
        <v>274</v>
      </c>
      <c r="K771" s="46">
        <v>0.0014351851851851854</v>
      </c>
      <c r="L771" s="47" t="s">
        <v>1048</v>
      </c>
      <c r="M771" s="46"/>
      <c r="N771" s="46"/>
      <c r="O771" s="38"/>
      <c r="P771" s="38"/>
      <c r="Q771" s="12" t="str">
        <f t="shared" si="38"/>
        <v/>
      </c>
      <c r="R771" s="50"/>
      <c r="S771" s="50"/>
      <c r="T771" s="50"/>
      <c r="U771" s="53"/>
      <c r="V771" s="54"/>
      <c r="W771" s="56"/>
      <c r="X771" s="119"/>
      <c r="Y771" s="113"/>
      <c r="Z771" s="113"/>
    </row>
    <row r="772">
      <c r="A772" s="38">
        <v>512.0</v>
      </c>
      <c r="B772" s="38"/>
      <c r="C772" s="38"/>
      <c r="D772" s="38"/>
      <c r="E772" s="38" t="s">
        <v>1936</v>
      </c>
      <c r="F772" s="41" t="s">
        <v>1937</v>
      </c>
      <c r="G772" s="43"/>
      <c r="H772" s="45"/>
      <c r="I772" s="38"/>
      <c r="J772" s="38">
        <f>4.2*1000</f>
        <v>4200</v>
      </c>
      <c r="K772" s="46">
        <v>0.001388888888888889</v>
      </c>
      <c r="L772" s="47" t="s">
        <v>1048</v>
      </c>
      <c r="M772" s="46"/>
      <c r="N772" s="46"/>
      <c r="O772" s="38"/>
      <c r="P772" s="38"/>
      <c r="Q772" s="12" t="str">
        <f t="shared" si="38"/>
        <v/>
      </c>
      <c r="R772" s="50"/>
      <c r="S772" s="50"/>
      <c r="T772" s="50"/>
      <c r="U772" s="53"/>
      <c r="V772" s="54"/>
      <c r="W772" s="56"/>
      <c r="X772" s="119"/>
      <c r="Y772" s="113"/>
      <c r="Z772" s="113"/>
    </row>
    <row r="773">
      <c r="A773" s="38">
        <v>513.0</v>
      </c>
      <c r="B773" s="38"/>
      <c r="C773" s="38"/>
      <c r="D773" s="38"/>
      <c r="E773" s="38" t="s">
        <v>1938</v>
      </c>
      <c r="F773" s="41" t="s">
        <v>1939</v>
      </c>
      <c r="G773" s="43"/>
      <c r="H773" s="45"/>
      <c r="I773" s="38"/>
      <c r="J773" s="38">
        <f>366</f>
        <v>366</v>
      </c>
      <c r="K773" s="46">
        <v>0.0021874999999999998</v>
      </c>
      <c r="L773" s="47" t="s">
        <v>1048</v>
      </c>
      <c r="M773" s="46"/>
      <c r="N773" s="46"/>
      <c r="O773" s="38"/>
      <c r="P773" s="38"/>
      <c r="Q773" s="12" t="str">
        <f t="shared" si="38"/>
        <v/>
      </c>
      <c r="R773" s="50"/>
      <c r="S773" s="50"/>
      <c r="T773" s="50"/>
      <c r="U773" s="53"/>
      <c r="V773" s="54"/>
      <c r="W773" s="56"/>
      <c r="X773" s="119"/>
      <c r="Y773" s="113"/>
      <c r="Z773" s="113"/>
    </row>
    <row r="774">
      <c r="A774" s="38">
        <v>514.0</v>
      </c>
      <c r="B774" s="38"/>
      <c r="C774" s="38"/>
      <c r="D774" s="38"/>
      <c r="E774" s="38" t="s">
        <v>1940</v>
      </c>
      <c r="F774" s="41" t="s">
        <v>1941</v>
      </c>
      <c r="G774" s="43"/>
      <c r="H774" s="45"/>
      <c r="I774" s="38"/>
      <c r="J774" s="38">
        <f>277</f>
        <v>277</v>
      </c>
      <c r="K774" s="46">
        <v>0.0024189814814814816</v>
      </c>
      <c r="L774" s="47" t="s">
        <v>1048</v>
      </c>
      <c r="M774" s="46"/>
      <c r="N774" s="46"/>
      <c r="O774" s="38"/>
      <c r="P774" s="38"/>
      <c r="Q774" s="12" t="str">
        <f t="shared" si="38"/>
        <v/>
      </c>
      <c r="R774" s="50"/>
      <c r="S774" s="50"/>
      <c r="T774" s="50"/>
      <c r="U774" s="53"/>
      <c r="V774" s="54"/>
      <c r="W774" s="56"/>
      <c r="X774" s="119"/>
      <c r="Y774" s="113"/>
      <c r="Z774" s="113"/>
    </row>
    <row r="775">
      <c r="A775" s="38">
        <v>515.0</v>
      </c>
      <c r="B775" s="38"/>
      <c r="C775" s="38"/>
      <c r="D775" s="38"/>
      <c r="E775" s="38" t="s">
        <v>1942</v>
      </c>
      <c r="F775" s="41" t="s">
        <v>1943</v>
      </c>
      <c r="G775" s="43"/>
      <c r="H775" s="45"/>
      <c r="I775" s="38"/>
      <c r="J775" s="38">
        <f>667</f>
        <v>667</v>
      </c>
      <c r="K775" s="46">
        <v>0.0015277777777777779</v>
      </c>
      <c r="L775" s="47" t="s">
        <v>1048</v>
      </c>
      <c r="M775" s="46"/>
      <c r="N775" s="46"/>
      <c r="O775" s="38"/>
      <c r="P775" s="38"/>
      <c r="Q775" s="12" t="str">
        <f t="shared" si="38"/>
        <v/>
      </c>
      <c r="R775" s="50"/>
      <c r="S775" s="50"/>
      <c r="T775" s="50"/>
      <c r="U775" s="53"/>
      <c r="V775" s="54"/>
      <c r="W775" s="56"/>
      <c r="X775" s="119"/>
      <c r="Y775" s="113"/>
      <c r="Z775" s="113"/>
    </row>
    <row r="776">
      <c r="A776" s="38">
        <v>516.0</v>
      </c>
      <c r="B776" s="38"/>
      <c r="C776" s="38"/>
      <c r="D776" s="38"/>
      <c r="E776" s="38" t="s">
        <v>1944</v>
      </c>
      <c r="F776" s="41" t="s">
        <v>1945</v>
      </c>
      <c r="G776" s="43"/>
      <c r="H776" s="45"/>
      <c r="I776" s="38"/>
      <c r="J776" s="38">
        <f>434</f>
        <v>434</v>
      </c>
      <c r="K776" s="46">
        <v>0.0013425925925925925</v>
      </c>
      <c r="L776" s="47" t="s">
        <v>1048</v>
      </c>
      <c r="M776" s="46"/>
      <c r="N776" s="46"/>
      <c r="O776" s="38"/>
      <c r="P776" s="38"/>
      <c r="Q776" s="12" t="str">
        <f t="shared" si="38"/>
        <v/>
      </c>
      <c r="R776" s="50"/>
      <c r="S776" s="50"/>
      <c r="T776" s="50"/>
      <c r="U776" s="53"/>
      <c r="V776" s="54"/>
      <c r="W776" s="56"/>
      <c r="X776" s="119"/>
      <c r="Y776" s="113"/>
      <c r="Z776" s="113"/>
    </row>
    <row r="777">
      <c r="A777" s="38">
        <v>517.0</v>
      </c>
      <c r="B777" s="38"/>
      <c r="C777" s="38"/>
      <c r="D777" s="38"/>
      <c r="E777" s="38" t="s">
        <v>1946</v>
      </c>
      <c r="F777" s="41" t="s">
        <v>1947</v>
      </c>
      <c r="G777" s="43"/>
      <c r="H777" s="45"/>
      <c r="I777" s="38"/>
      <c r="J777" s="38">
        <f>556</f>
        <v>556</v>
      </c>
      <c r="K777" s="46">
        <v>0.0020370370370370373</v>
      </c>
      <c r="L777" s="47" t="s">
        <v>1048</v>
      </c>
      <c r="M777" s="46"/>
      <c r="N777" s="46"/>
      <c r="O777" s="38"/>
      <c r="P777" s="38"/>
      <c r="Q777" s="12" t="str">
        <f t="shared" si="38"/>
        <v/>
      </c>
      <c r="R777" s="50"/>
      <c r="S777" s="50"/>
      <c r="T777" s="50"/>
      <c r="U777" s="53"/>
      <c r="V777" s="54"/>
      <c r="W777" s="56"/>
      <c r="X777" s="119"/>
      <c r="Y777" s="113"/>
      <c r="Z777" s="113"/>
    </row>
    <row r="778">
      <c r="A778" s="38">
        <v>518.0</v>
      </c>
      <c r="B778" s="38"/>
      <c r="C778" s="38"/>
      <c r="D778" s="38"/>
      <c r="E778" s="38" t="s">
        <v>1948</v>
      </c>
      <c r="F778" s="41" t="s">
        <v>1949</v>
      </c>
      <c r="G778" s="43"/>
      <c r="H778" s="45"/>
      <c r="I778" s="38"/>
      <c r="J778" s="38">
        <f>449</f>
        <v>449</v>
      </c>
      <c r="K778" s="46">
        <v>0.0035648148148148154</v>
      </c>
      <c r="L778" s="47" t="s">
        <v>1048</v>
      </c>
      <c r="M778" s="46"/>
      <c r="N778" s="46"/>
      <c r="O778" s="38"/>
      <c r="P778" s="38"/>
      <c r="Q778" s="12" t="str">
        <f t="shared" si="38"/>
        <v/>
      </c>
      <c r="R778" s="50"/>
      <c r="S778" s="50"/>
      <c r="T778" s="50"/>
      <c r="U778" s="53"/>
      <c r="V778" s="54"/>
      <c r="W778" s="56"/>
      <c r="X778" s="119"/>
      <c r="Y778" s="113"/>
      <c r="Z778" s="113"/>
    </row>
    <row r="779">
      <c r="A779" s="38">
        <v>519.0</v>
      </c>
      <c r="B779" s="38"/>
      <c r="C779" s="38"/>
      <c r="D779" s="38"/>
      <c r="E779" s="38" t="s">
        <v>1950</v>
      </c>
      <c r="F779" s="41" t="s">
        <v>1951</v>
      </c>
      <c r="G779" s="43"/>
      <c r="H779" s="45"/>
      <c r="I779" s="38"/>
      <c r="J779" s="38">
        <f>813</f>
        <v>813</v>
      </c>
      <c r="K779" s="46">
        <v>0.003136574074074074</v>
      </c>
      <c r="L779" s="47" t="s">
        <v>1048</v>
      </c>
      <c r="M779" s="46"/>
      <c r="N779" s="46"/>
      <c r="O779" s="38"/>
      <c r="P779" s="38"/>
      <c r="Q779" s="12" t="str">
        <f t="shared" si="38"/>
        <v/>
      </c>
      <c r="R779" s="50"/>
      <c r="S779" s="50"/>
      <c r="T779" s="50"/>
      <c r="U779" s="53"/>
      <c r="V779" s="54"/>
      <c r="W779" s="56"/>
      <c r="X779" s="119"/>
      <c r="Y779" s="113"/>
      <c r="Z779" s="113"/>
    </row>
    <row r="780">
      <c r="A780" s="38">
        <v>520.0</v>
      </c>
      <c r="B780" s="38"/>
      <c r="C780" s="38"/>
      <c r="D780" s="38"/>
      <c r="E780" s="38" t="s">
        <v>1952</v>
      </c>
      <c r="F780" s="41" t="s">
        <v>1953</v>
      </c>
      <c r="G780" s="43"/>
      <c r="H780" s="45"/>
      <c r="I780" s="38"/>
      <c r="J780" s="38">
        <f>1.4*1000</f>
        <v>1400</v>
      </c>
      <c r="K780" s="46">
        <v>0.0034606481481481485</v>
      </c>
      <c r="L780" s="47" t="s">
        <v>1048</v>
      </c>
      <c r="M780" s="46"/>
      <c r="N780" s="46"/>
      <c r="O780" s="38"/>
      <c r="P780" s="38"/>
      <c r="Q780" s="12" t="str">
        <f t="shared" si="38"/>
        <v/>
      </c>
      <c r="R780" s="50"/>
      <c r="S780" s="50"/>
      <c r="T780" s="50"/>
      <c r="U780" s="53"/>
      <c r="V780" s="54"/>
      <c r="W780" s="56"/>
      <c r="X780" s="119"/>
      <c r="Y780" s="113"/>
      <c r="Z780" s="113"/>
    </row>
    <row r="781">
      <c r="A781" s="38">
        <v>521.0</v>
      </c>
      <c r="B781" s="38"/>
      <c r="C781" s="38"/>
      <c r="D781" s="38"/>
      <c r="E781" s="38" t="s">
        <v>1954</v>
      </c>
      <c r="F781" s="41" t="s">
        <v>1955</v>
      </c>
      <c r="G781" s="43"/>
      <c r="H781" s="45"/>
      <c r="I781" s="38"/>
      <c r="J781" s="38">
        <f>343</f>
        <v>343</v>
      </c>
      <c r="K781" s="46">
        <v>7.175925925925927E-4</v>
      </c>
      <c r="L781" s="47" t="s">
        <v>1048</v>
      </c>
      <c r="M781" s="46"/>
      <c r="N781" s="46"/>
      <c r="O781" s="38"/>
      <c r="P781" s="38"/>
      <c r="Q781" s="12" t="str">
        <f t="shared" si="38"/>
        <v/>
      </c>
      <c r="R781" s="50"/>
      <c r="S781" s="50"/>
      <c r="T781" s="50"/>
      <c r="U781" s="53"/>
      <c r="V781" s="54"/>
      <c r="W781" s="56"/>
      <c r="X781" s="119"/>
      <c r="Y781" s="113"/>
      <c r="Z781" s="113"/>
    </row>
    <row r="782">
      <c r="A782" s="38">
        <v>522.0</v>
      </c>
      <c r="B782" s="38"/>
      <c r="C782" s="38"/>
      <c r="D782" s="38"/>
      <c r="E782" s="38" t="s">
        <v>1956</v>
      </c>
      <c r="F782" s="41" t="s">
        <v>1957</v>
      </c>
      <c r="G782" s="43"/>
      <c r="H782" s="45"/>
      <c r="I782" s="38"/>
      <c r="J782" s="38">
        <f>736</f>
        <v>736</v>
      </c>
      <c r="K782" s="46">
        <v>0.0024189814814814816</v>
      </c>
      <c r="L782" s="47" t="s">
        <v>1048</v>
      </c>
      <c r="M782" s="46"/>
      <c r="N782" s="46"/>
      <c r="O782" s="38"/>
      <c r="P782" s="38"/>
      <c r="Q782" s="12" t="str">
        <f t="shared" si="38"/>
        <v/>
      </c>
      <c r="R782" s="50"/>
      <c r="S782" s="50"/>
      <c r="T782" s="50"/>
      <c r="U782" s="53"/>
      <c r="V782" s="54"/>
      <c r="W782" s="56"/>
      <c r="X782" s="119"/>
      <c r="Y782" s="113"/>
      <c r="Z782" s="113"/>
    </row>
    <row r="783">
      <c r="A783" s="38">
        <v>523.0</v>
      </c>
      <c r="B783" s="38"/>
      <c r="C783" s="38"/>
      <c r="D783" s="38"/>
      <c r="E783" s="38" t="s">
        <v>1958</v>
      </c>
      <c r="F783" s="41" t="s">
        <v>1959</v>
      </c>
      <c r="G783" s="43"/>
      <c r="H783" s="45"/>
      <c r="I783" s="38"/>
      <c r="J783" s="38">
        <f>2.3*1000</f>
        <v>2300</v>
      </c>
      <c r="K783" s="46">
        <v>0.0024189814814814816</v>
      </c>
      <c r="L783" s="47" t="s">
        <v>1048</v>
      </c>
      <c r="M783" s="46"/>
      <c r="N783" s="46"/>
      <c r="O783" s="38"/>
      <c r="P783" s="38"/>
      <c r="Q783" s="12" t="str">
        <f t="shared" si="38"/>
        <v/>
      </c>
      <c r="R783" s="50"/>
      <c r="S783" s="50"/>
      <c r="T783" s="50"/>
      <c r="U783" s="53"/>
      <c r="V783" s="54"/>
      <c r="W783" s="56"/>
      <c r="X783" s="119"/>
      <c r="Y783" s="113"/>
      <c r="Z783" s="113"/>
    </row>
    <row r="784">
      <c r="A784" s="38">
        <v>524.0</v>
      </c>
      <c r="B784" s="38"/>
      <c r="C784" s="38"/>
      <c r="D784" s="38"/>
      <c r="E784" s="38" t="s">
        <v>1960</v>
      </c>
      <c r="F784" s="41" t="s">
        <v>1961</v>
      </c>
      <c r="G784" s="43"/>
      <c r="H784" s="45"/>
      <c r="I784" s="38"/>
      <c r="J784" s="38">
        <f>4.8*1000</f>
        <v>4800</v>
      </c>
      <c r="K784" s="46">
        <v>0.03180555555555555</v>
      </c>
      <c r="L784" s="47" t="s">
        <v>1048</v>
      </c>
      <c r="M784" s="46"/>
      <c r="N784" s="46"/>
      <c r="O784" s="38"/>
      <c r="P784" s="38"/>
      <c r="Q784" s="12" t="str">
        <f t="shared" si="38"/>
        <v/>
      </c>
      <c r="R784" s="50"/>
      <c r="S784" s="50"/>
      <c r="T784" s="50"/>
      <c r="U784" s="53"/>
      <c r="V784" s="54"/>
      <c r="W784" s="56"/>
      <c r="X784" s="119"/>
      <c r="Y784" s="113"/>
      <c r="Z784" s="113"/>
    </row>
    <row r="785">
      <c r="A785" s="38">
        <v>525.0</v>
      </c>
      <c r="B785" s="38"/>
      <c r="C785" s="38"/>
      <c r="D785" s="38"/>
      <c r="E785" s="38" t="s">
        <v>1962</v>
      </c>
      <c r="F785" s="41" t="s">
        <v>1963</v>
      </c>
      <c r="G785" s="43"/>
      <c r="H785" s="45"/>
      <c r="I785" s="38"/>
      <c r="J785" s="38">
        <f>2*1000</f>
        <v>2000</v>
      </c>
      <c r="K785" s="46">
        <v>0.019733796296296298</v>
      </c>
      <c r="L785" s="47" t="s">
        <v>1048</v>
      </c>
      <c r="M785" s="46"/>
      <c r="N785" s="46"/>
      <c r="O785" s="38"/>
      <c r="P785" s="38"/>
      <c r="Q785" s="12" t="str">
        <f t="shared" si="38"/>
        <v/>
      </c>
      <c r="R785" s="50"/>
      <c r="S785" s="50"/>
      <c r="T785" s="50"/>
      <c r="U785" s="53"/>
      <c r="V785" s="54"/>
      <c r="W785" s="56"/>
      <c r="X785" s="119"/>
      <c r="Y785" s="113"/>
      <c r="Z785" s="113"/>
    </row>
    <row r="786">
      <c r="A786" s="38">
        <v>526.0</v>
      </c>
      <c r="B786" s="38"/>
      <c r="C786" s="38"/>
      <c r="D786" s="38"/>
      <c r="E786" s="38" t="s">
        <v>1964</v>
      </c>
      <c r="F786" s="41" t="s">
        <v>1965</v>
      </c>
      <c r="G786" s="43"/>
      <c r="H786" s="45"/>
      <c r="I786" s="38"/>
      <c r="J786" s="38">
        <f>1.9*1000</f>
        <v>1900</v>
      </c>
      <c r="K786" s="46">
        <v>0.005162037037037037</v>
      </c>
      <c r="L786" s="47" t="s">
        <v>1048</v>
      </c>
      <c r="M786" s="46"/>
      <c r="N786" s="46"/>
      <c r="O786" s="38"/>
      <c r="P786" s="38"/>
      <c r="Q786" s="12" t="str">
        <f t="shared" si="38"/>
        <v/>
      </c>
      <c r="R786" s="50"/>
      <c r="S786" s="50"/>
      <c r="T786" s="50"/>
      <c r="U786" s="53"/>
      <c r="V786" s="54"/>
      <c r="W786" s="56"/>
      <c r="X786" s="119"/>
      <c r="Y786" s="113"/>
      <c r="Z786" s="113"/>
    </row>
    <row r="787">
      <c r="A787" s="38">
        <v>527.0</v>
      </c>
      <c r="B787" s="38"/>
      <c r="C787" s="38"/>
      <c r="D787" s="38"/>
      <c r="E787" s="38" t="s">
        <v>1966</v>
      </c>
      <c r="F787" s="41" t="s">
        <v>1967</v>
      </c>
      <c r="G787" s="43"/>
      <c r="H787" s="45"/>
      <c r="I787" s="38"/>
      <c r="J787" s="38">
        <f>1.4*1000</f>
        <v>1400</v>
      </c>
      <c r="K787" s="46">
        <v>0.01707175925925926</v>
      </c>
      <c r="L787" s="47" t="s">
        <v>1048</v>
      </c>
      <c r="M787" s="46"/>
      <c r="N787" s="46"/>
      <c r="O787" s="38"/>
      <c r="P787" s="38"/>
      <c r="Q787" s="12" t="str">
        <f t="shared" si="38"/>
        <v/>
      </c>
      <c r="R787" s="50"/>
      <c r="S787" s="50"/>
      <c r="T787" s="50"/>
      <c r="U787" s="53"/>
      <c r="V787" s="54"/>
      <c r="W787" s="56"/>
      <c r="X787" s="119"/>
      <c r="Y787" s="113"/>
      <c r="Z787" s="113"/>
    </row>
    <row r="788">
      <c r="A788" s="38">
        <v>528.0</v>
      </c>
      <c r="B788" s="38"/>
      <c r="C788" s="38"/>
      <c r="D788" s="38"/>
      <c r="E788" s="38" t="s">
        <v>1968</v>
      </c>
      <c r="F788" s="41" t="s">
        <v>1969</v>
      </c>
      <c r="G788" s="43"/>
      <c r="H788" s="45"/>
      <c r="I788" s="38"/>
      <c r="J788" s="38">
        <f>1*1000</f>
        <v>1000</v>
      </c>
      <c r="K788" s="46">
        <v>0.01596064814814815</v>
      </c>
      <c r="L788" s="47" t="s">
        <v>1048</v>
      </c>
      <c r="M788" s="46"/>
      <c r="N788" s="46"/>
      <c r="O788" s="38"/>
      <c r="P788" s="38"/>
      <c r="Q788" s="12" t="str">
        <f t="shared" si="38"/>
        <v/>
      </c>
      <c r="R788" s="50"/>
      <c r="S788" s="50"/>
      <c r="T788" s="50"/>
      <c r="U788" s="53"/>
      <c r="V788" s="54"/>
      <c r="W788" s="56"/>
      <c r="X788" s="119"/>
      <c r="Y788" s="113"/>
      <c r="Z788" s="113"/>
    </row>
    <row r="789">
      <c r="A789" s="38">
        <v>529.0</v>
      </c>
      <c r="B789" s="38"/>
      <c r="C789" s="38"/>
      <c r="D789" s="38"/>
      <c r="E789" s="38" t="s">
        <v>1970</v>
      </c>
      <c r="F789" s="41" t="s">
        <v>1971</v>
      </c>
      <c r="G789" s="43"/>
      <c r="H789" s="45"/>
      <c r="I789" s="38"/>
      <c r="J789" s="38">
        <f>4.9*1000</f>
        <v>4900</v>
      </c>
      <c r="K789" s="46">
        <v>0.018032407407407407</v>
      </c>
      <c r="L789" s="47" t="s">
        <v>1048</v>
      </c>
      <c r="M789" s="46"/>
      <c r="N789" s="46"/>
      <c r="O789" s="38"/>
      <c r="P789" s="38"/>
      <c r="Q789" s="12" t="str">
        <f t="shared" si="38"/>
        <v/>
      </c>
      <c r="R789" s="50"/>
      <c r="S789" s="50"/>
      <c r="T789" s="50"/>
      <c r="U789" s="53"/>
      <c r="V789" s="54"/>
      <c r="W789" s="56"/>
      <c r="X789" s="119"/>
      <c r="Y789" s="113"/>
      <c r="Z789" s="113"/>
    </row>
    <row r="790">
      <c r="A790" s="38">
        <v>530.0</v>
      </c>
      <c r="B790" s="38"/>
      <c r="C790" s="38"/>
      <c r="D790" s="38"/>
      <c r="E790" s="38" t="s">
        <v>1972</v>
      </c>
      <c r="F790" s="41" t="s">
        <v>1973</v>
      </c>
      <c r="G790" s="43"/>
      <c r="H790" s="45"/>
      <c r="I790" s="38"/>
      <c r="J790" s="38">
        <f>5.2*1000</f>
        <v>5200</v>
      </c>
      <c r="K790" s="46">
        <v>0.018055555555555557</v>
      </c>
      <c r="L790" s="47" t="s">
        <v>1048</v>
      </c>
      <c r="M790" s="46"/>
      <c r="N790" s="46"/>
      <c r="O790" s="38"/>
      <c r="P790" s="38"/>
      <c r="Q790" s="12" t="str">
        <f t="shared" si="38"/>
        <v/>
      </c>
      <c r="R790" s="50"/>
      <c r="S790" s="50"/>
      <c r="T790" s="50"/>
      <c r="U790" s="53"/>
      <c r="V790" s="54"/>
      <c r="W790" s="56"/>
      <c r="X790" s="119"/>
      <c r="Y790" s="113"/>
      <c r="Z790" s="113"/>
    </row>
    <row r="791">
      <c r="A791" s="38">
        <v>531.0</v>
      </c>
      <c r="B791" s="38"/>
      <c r="C791" s="38"/>
      <c r="D791" s="38"/>
      <c r="E791" s="38" t="s">
        <v>1974</v>
      </c>
      <c r="F791" s="41" t="s">
        <v>1975</v>
      </c>
      <c r="G791" s="43"/>
      <c r="H791" s="45"/>
      <c r="I791" s="38"/>
      <c r="J791" s="38">
        <f>9.2*1000</f>
        <v>9200</v>
      </c>
      <c r="K791" s="46">
        <v>0.018171296296296297</v>
      </c>
      <c r="L791" s="47" t="s">
        <v>1048</v>
      </c>
      <c r="M791" s="46"/>
      <c r="N791" s="46"/>
      <c r="O791" s="38"/>
      <c r="P791" s="38"/>
      <c r="Q791" s="12" t="str">
        <f t="shared" si="38"/>
        <v/>
      </c>
      <c r="R791" s="50"/>
      <c r="S791" s="50"/>
      <c r="T791" s="50"/>
      <c r="U791" s="53"/>
      <c r="V791" s="54"/>
      <c r="W791" s="56"/>
      <c r="X791" s="119"/>
      <c r="Y791" s="113"/>
      <c r="Z791" s="113"/>
    </row>
    <row r="792">
      <c r="A792" s="38">
        <v>532.0</v>
      </c>
      <c r="B792" s="38"/>
      <c r="C792" s="38"/>
      <c r="D792" s="38"/>
      <c r="E792" s="38" t="s">
        <v>1976</v>
      </c>
      <c r="F792" s="41" t="s">
        <v>1977</v>
      </c>
      <c r="G792" s="43"/>
      <c r="H792" s="45"/>
      <c r="I792" s="38"/>
      <c r="J792" s="38">
        <f>25*1000</f>
        <v>25000</v>
      </c>
      <c r="K792" s="46">
        <v>0.020787037037037038</v>
      </c>
      <c r="L792" s="47" t="s">
        <v>1048</v>
      </c>
      <c r="M792" s="46"/>
      <c r="N792" s="46"/>
      <c r="O792" s="38"/>
      <c r="P792" s="38"/>
      <c r="Q792" s="12" t="str">
        <f t="shared" si="38"/>
        <v/>
      </c>
      <c r="R792" s="50"/>
      <c r="S792" s="50"/>
      <c r="T792" s="50"/>
      <c r="U792" s="53"/>
      <c r="V792" s="54"/>
      <c r="W792" s="56"/>
      <c r="X792" s="119"/>
      <c r="Y792" s="113"/>
      <c r="Z792" s="113"/>
    </row>
    <row r="793">
      <c r="A793" s="38">
        <v>533.0</v>
      </c>
      <c r="B793" s="38"/>
      <c r="C793" s="38"/>
      <c r="D793" s="38"/>
      <c r="E793" s="38" t="s">
        <v>1978</v>
      </c>
      <c r="F793" s="41" t="s">
        <v>1979</v>
      </c>
      <c r="G793" s="43"/>
      <c r="H793" s="45"/>
      <c r="I793" s="38"/>
      <c r="J793" s="38">
        <f>7.4*1000</f>
        <v>7400</v>
      </c>
      <c r="K793" s="46">
        <v>0.0023032407407407407</v>
      </c>
      <c r="L793" s="47" t="s">
        <v>1048</v>
      </c>
      <c r="M793" s="46"/>
      <c r="N793" s="46"/>
      <c r="O793" s="38"/>
      <c r="P793" s="38"/>
      <c r="Q793" s="12" t="str">
        <f t="shared" si="38"/>
        <v/>
      </c>
      <c r="R793" s="50"/>
      <c r="S793" s="50"/>
      <c r="T793" s="50"/>
      <c r="U793" s="53"/>
      <c r="V793" s="54"/>
      <c r="W793" s="56"/>
      <c r="X793" s="119"/>
      <c r="Y793" s="113"/>
      <c r="Z793" s="113"/>
    </row>
    <row r="794">
      <c r="A794" s="38">
        <v>534.0</v>
      </c>
      <c r="B794" s="38"/>
      <c r="C794" s="38"/>
      <c r="D794" s="38"/>
      <c r="E794" s="38" t="s">
        <v>1980</v>
      </c>
      <c r="F794" s="41" t="s">
        <v>1981</v>
      </c>
      <c r="G794" s="43"/>
      <c r="H794" s="45"/>
      <c r="I794" s="38"/>
      <c r="J794" s="38">
        <f>716</f>
        <v>716</v>
      </c>
      <c r="K794" s="46">
        <v>0.020243055555555552</v>
      </c>
      <c r="L794" s="47" t="s">
        <v>1048</v>
      </c>
      <c r="M794" s="46"/>
      <c r="N794" s="46"/>
      <c r="O794" s="38"/>
      <c r="P794" s="38"/>
      <c r="Q794" s="12" t="str">
        <f t="shared" si="38"/>
        <v/>
      </c>
      <c r="R794" s="50"/>
      <c r="S794" s="50"/>
      <c r="T794" s="50"/>
      <c r="U794" s="53"/>
      <c r="V794" s="54"/>
      <c r="W794" s="56"/>
      <c r="X794" s="119"/>
      <c r="Y794" s="113"/>
      <c r="Z794" s="113"/>
    </row>
    <row r="795">
      <c r="A795" s="38">
        <v>535.0</v>
      </c>
      <c r="B795" s="38"/>
      <c r="C795" s="38"/>
      <c r="D795" s="38"/>
      <c r="E795" s="38" t="s">
        <v>1982</v>
      </c>
      <c r="F795" s="41" t="s">
        <v>1983</v>
      </c>
      <c r="G795" s="43"/>
      <c r="H795" s="45"/>
      <c r="I795" s="38"/>
      <c r="J795" s="38">
        <f>629</f>
        <v>629</v>
      </c>
      <c r="K795" s="46">
        <v>0.02050925925925926</v>
      </c>
      <c r="L795" s="47" t="s">
        <v>1048</v>
      </c>
      <c r="M795" s="46"/>
      <c r="N795" s="46"/>
      <c r="O795" s="38"/>
      <c r="P795" s="38"/>
      <c r="Q795" s="12" t="str">
        <f t="shared" si="38"/>
        <v/>
      </c>
      <c r="R795" s="50"/>
      <c r="S795" s="50"/>
      <c r="T795" s="50"/>
      <c r="U795" s="53"/>
      <c r="V795" s="54"/>
      <c r="W795" s="56"/>
      <c r="X795" s="119"/>
      <c r="Y795" s="113"/>
      <c r="Z795" s="113"/>
    </row>
    <row r="796">
      <c r="A796" s="38">
        <v>536.0</v>
      </c>
      <c r="B796" s="38"/>
      <c r="C796" s="38"/>
      <c r="D796" s="38"/>
      <c r="E796" s="38" t="s">
        <v>1984</v>
      </c>
      <c r="F796" s="41" t="s">
        <v>1985</v>
      </c>
      <c r="G796" s="43"/>
      <c r="H796" s="45"/>
      <c r="I796" s="38"/>
      <c r="J796" s="38">
        <f>858</f>
        <v>858</v>
      </c>
      <c r="K796" s="46">
        <v>0.022939814814814816</v>
      </c>
      <c r="L796" s="47" t="s">
        <v>1048</v>
      </c>
      <c r="M796" s="46"/>
      <c r="N796" s="46"/>
      <c r="O796" s="38"/>
      <c r="P796" s="38"/>
      <c r="Q796" s="12" t="str">
        <f t="shared" si="38"/>
        <v/>
      </c>
      <c r="R796" s="50"/>
      <c r="S796" s="50"/>
      <c r="T796" s="50"/>
      <c r="U796" s="53"/>
      <c r="V796" s="54"/>
      <c r="W796" s="56"/>
      <c r="X796" s="119"/>
      <c r="Y796" s="113"/>
      <c r="Z796" s="113"/>
    </row>
    <row r="797">
      <c r="A797" s="38">
        <v>537.0</v>
      </c>
      <c r="B797" s="38"/>
      <c r="C797" s="38"/>
      <c r="D797" s="38"/>
      <c r="E797" s="38" t="s">
        <v>1986</v>
      </c>
      <c r="F797" s="41" t="s">
        <v>1987</v>
      </c>
      <c r="G797" s="43"/>
      <c r="H797" s="45"/>
      <c r="I797" s="38"/>
      <c r="J797" s="38">
        <f>1*1000</f>
        <v>1000</v>
      </c>
      <c r="K797" s="46">
        <v>0.02798611111111111</v>
      </c>
      <c r="L797" s="47" t="s">
        <v>1048</v>
      </c>
      <c r="M797" s="46"/>
      <c r="N797" s="46"/>
      <c r="O797" s="38"/>
      <c r="P797" s="38"/>
      <c r="Q797" s="12" t="str">
        <f t="shared" si="38"/>
        <v/>
      </c>
      <c r="R797" s="50"/>
      <c r="S797" s="50"/>
      <c r="T797" s="50"/>
      <c r="U797" s="53"/>
      <c r="V797" s="54"/>
      <c r="W797" s="56"/>
      <c r="X797" s="119"/>
      <c r="Y797" s="113"/>
      <c r="Z797" s="113"/>
    </row>
    <row r="798">
      <c r="A798" s="38">
        <v>538.0</v>
      </c>
      <c r="B798" s="38"/>
      <c r="C798" s="38"/>
      <c r="D798" s="38"/>
      <c r="E798" s="38" t="s">
        <v>1988</v>
      </c>
      <c r="F798" s="41" t="s">
        <v>1989</v>
      </c>
      <c r="G798" s="43"/>
      <c r="H798" s="45"/>
      <c r="I798" s="38"/>
      <c r="J798" s="38">
        <f>2.6*1000</f>
        <v>2600</v>
      </c>
      <c r="K798" s="46">
        <v>0.015011574074074075</v>
      </c>
      <c r="L798" s="47" t="s">
        <v>1048</v>
      </c>
      <c r="M798" s="46"/>
      <c r="N798" s="46"/>
      <c r="O798" s="38"/>
      <c r="P798" s="38"/>
      <c r="Q798" s="12" t="str">
        <f t="shared" si="38"/>
        <v/>
      </c>
      <c r="R798" s="50"/>
      <c r="S798" s="50"/>
      <c r="T798" s="50"/>
      <c r="U798" s="53"/>
      <c r="V798" s="54"/>
      <c r="W798" s="56"/>
      <c r="X798" s="119"/>
      <c r="Y798" s="113"/>
      <c r="Z798" s="113"/>
    </row>
    <row r="799">
      <c r="A799" s="38">
        <v>539.0</v>
      </c>
      <c r="B799" s="38"/>
      <c r="C799" s="38"/>
      <c r="D799" s="38"/>
      <c r="E799" s="38" t="s">
        <v>1990</v>
      </c>
      <c r="F799" s="41" t="s">
        <v>1991</v>
      </c>
      <c r="G799" s="43"/>
      <c r="H799" s="45"/>
      <c r="I799" s="38"/>
      <c r="J799" s="38">
        <f>4.6*1000</f>
        <v>4600</v>
      </c>
      <c r="K799" s="46">
        <v>0.021550925925925928</v>
      </c>
      <c r="L799" s="47" t="s">
        <v>1048</v>
      </c>
      <c r="M799" s="46"/>
      <c r="N799" s="46"/>
      <c r="O799" s="38"/>
      <c r="P799" s="38"/>
      <c r="Q799" s="12" t="str">
        <f t="shared" si="38"/>
        <v/>
      </c>
      <c r="R799" s="50"/>
      <c r="S799" s="50"/>
      <c r="T799" s="50"/>
      <c r="U799" s="53"/>
      <c r="V799" s="54"/>
      <c r="W799" s="56"/>
      <c r="X799" s="119"/>
      <c r="Y799" s="113"/>
      <c r="Z799" s="113"/>
    </row>
    <row r="800">
      <c r="A800" s="38">
        <v>540.0</v>
      </c>
      <c r="B800" s="38"/>
      <c r="C800" s="38"/>
      <c r="D800" s="38"/>
      <c r="E800" s="38" t="s">
        <v>1992</v>
      </c>
      <c r="F800" s="41" t="s">
        <v>1993</v>
      </c>
      <c r="G800" s="43"/>
      <c r="H800" s="45"/>
      <c r="I800" s="38"/>
      <c r="J800" s="38">
        <f>1.9*1000</f>
        <v>1900</v>
      </c>
      <c r="K800" s="46">
        <v>0.021331018518518517</v>
      </c>
      <c r="L800" s="47" t="s">
        <v>1048</v>
      </c>
      <c r="M800" s="46"/>
      <c r="N800" s="46"/>
      <c r="O800" s="38"/>
      <c r="P800" s="38"/>
      <c r="Q800" s="12" t="str">
        <f t="shared" si="38"/>
        <v/>
      </c>
      <c r="R800" s="50"/>
      <c r="S800" s="50"/>
      <c r="T800" s="50"/>
      <c r="U800" s="53"/>
      <c r="V800" s="54"/>
      <c r="W800" s="56"/>
      <c r="X800" s="119"/>
      <c r="Y800" s="113"/>
      <c r="Z800" s="113"/>
    </row>
    <row r="801">
      <c r="A801" s="38">
        <v>541.0</v>
      </c>
      <c r="B801" s="38"/>
      <c r="C801" s="38"/>
      <c r="D801" s="38"/>
      <c r="E801" s="38" t="s">
        <v>1994</v>
      </c>
      <c r="F801" s="41" t="s">
        <v>1995</v>
      </c>
      <c r="G801" s="43"/>
      <c r="H801" s="45"/>
      <c r="I801" s="38"/>
      <c r="J801" s="38">
        <f>5.6*1000</f>
        <v>5600</v>
      </c>
      <c r="K801" s="46">
        <v>0.008449074074074074</v>
      </c>
      <c r="L801" s="47" t="s">
        <v>1048</v>
      </c>
      <c r="M801" s="46"/>
      <c r="N801" s="46"/>
      <c r="O801" s="38"/>
      <c r="P801" s="38"/>
      <c r="Q801" s="12" t="str">
        <f t="shared" si="38"/>
        <v/>
      </c>
      <c r="R801" s="50"/>
      <c r="S801" s="50"/>
      <c r="T801" s="50"/>
      <c r="U801" s="53"/>
      <c r="V801" s="54"/>
      <c r="W801" s="56"/>
      <c r="X801" s="119"/>
      <c r="Y801" s="113"/>
      <c r="Z801" s="113"/>
    </row>
    <row r="802">
      <c r="A802" s="38">
        <v>542.0</v>
      </c>
      <c r="B802" s="38"/>
      <c r="C802" s="38"/>
      <c r="D802" s="38"/>
      <c r="E802" s="38" t="s">
        <v>1996</v>
      </c>
      <c r="F802" s="41" t="s">
        <v>1997</v>
      </c>
      <c r="G802" s="43"/>
      <c r="H802" s="45"/>
      <c r="I802" s="38"/>
      <c r="J802" s="38">
        <f>984</f>
        <v>984</v>
      </c>
      <c r="K802" s="46">
        <v>0.034768518518518525</v>
      </c>
      <c r="L802" s="47" t="s">
        <v>1048</v>
      </c>
      <c r="M802" s="46"/>
      <c r="N802" s="46"/>
      <c r="O802" s="38"/>
      <c r="P802" s="38"/>
      <c r="Q802" s="12" t="str">
        <f t="shared" si="38"/>
        <v/>
      </c>
      <c r="R802" s="50"/>
      <c r="S802" s="50"/>
      <c r="T802" s="50"/>
      <c r="U802" s="53"/>
      <c r="V802" s="54"/>
      <c r="W802" s="56"/>
      <c r="X802" s="119"/>
      <c r="Y802" s="113"/>
      <c r="Z802" s="113"/>
    </row>
    <row r="803">
      <c r="A803" s="38">
        <v>543.0</v>
      </c>
      <c r="B803" s="38"/>
      <c r="C803" s="38"/>
      <c r="D803" s="38"/>
      <c r="E803" s="38" t="s">
        <v>1998</v>
      </c>
      <c r="F803" s="41" t="s">
        <v>1999</v>
      </c>
      <c r="G803" s="43"/>
      <c r="H803" s="45"/>
      <c r="I803" s="38"/>
      <c r="J803" s="38">
        <f>722</f>
        <v>722</v>
      </c>
      <c r="K803" s="46">
        <v>0.015659722222222224</v>
      </c>
      <c r="L803" s="47" t="s">
        <v>1048</v>
      </c>
      <c r="M803" s="46"/>
      <c r="N803" s="46"/>
      <c r="O803" s="38"/>
      <c r="P803" s="38"/>
      <c r="Q803" s="12" t="str">
        <f t="shared" si="38"/>
        <v/>
      </c>
      <c r="R803" s="50"/>
      <c r="S803" s="50"/>
      <c r="T803" s="50"/>
      <c r="U803" s="53"/>
      <c r="V803" s="54"/>
      <c r="W803" s="56"/>
      <c r="X803" s="119"/>
      <c r="Y803" s="113"/>
      <c r="Z803" s="113"/>
    </row>
    <row r="804">
      <c r="A804" s="38">
        <v>544.0</v>
      </c>
      <c r="B804" s="38"/>
      <c r="C804" s="38"/>
      <c r="D804" s="38"/>
      <c r="E804" s="38" t="s">
        <v>2000</v>
      </c>
      <c r="F804" s="41" t="s">
        <v>2001</v>
      </c>
      <c r="G804" s="43"/>
      <c r="H804" s="45"/>
      <c r="I804" s="38"/>
      <c r="J804" s="38">
        <f>4.9*1000</f>
        <v>4900</v>
      </c>
      <c r="K804" s="46">
        <v>0.010231481481481482</v>
      </c>
      <c r="L804" s="47" t="s">
        <v>1048</v>
      </c>
      <c r="M804" s="46"/>
      <c r="N804" s="46"/>
      <c r="O804" s="38"/>
      <c r="P804" s="38"/>
      <c r="Q804" s="12" t="str">
        <f t="shared" si="38"/>
        <v/>
      </c>
      <c r="R804" s="50"/>
      <c r="S804" s="50"/>
      <c r="T804" s="50"/>
      <c r="U804" s="53"/>
      <c r="V804" s="54"/>
      <c r="W804" s="56"/>
      <c r="X804" s="119"/>
      <c r="Y804" s="113"/>
      <c r="Z804" s="113"/>
    </row>
    <row r="805">
      <c r="A805" s="38">
        <v>545.0</v>
      </c>
      <c r="B805" s="38"/>
      <c r="C805" s="38"/>
      <c r="D805" s="38"/>
      <c r="E805" s="38" t="s">
        <v>2002</v>
      </c>
      <c r="F805" s="41" t="s">
        <v>2003</v>
      </c>
      <c r="G805" s="43"/>
      <c r="H805" s="45"/>
      <c r="I805" s="38"/>
      <c r="J805" s="38">
        <f>1*1000</f>
        <v>1000</v>
      </c>
      <c r="K805" s="46">
        <v>0.004236111111111111</v>
      </c>
      <c r="L805" s="47" t="s">
        <v>1048</v>
      </c>
      <c r="M805" s="46"/>
      <c r="N805" s="46"/>
      <c r="O805" s="38"/>
      <c r="P805" s="38"/>
      <c r="Q805" s="12" t="str">
        <f t="shared" si="38"/>
        <v/>
      </c>
      <c r="R805" s="50"/>
      <c r="S805" s="50"/>
      <c r="T805" s="50"/>
      <c r="U805" s="53"/>
      <c r="V805" s="54"/>
      <c r="W805" s="56"/>
      <c r="X805" s="119"/>
      <c r="Y805" s="113"/>
      <c r="Z805" s="113"/>
    </row>
    <row r="806">
      <c r="A806" s="38">
        <v>546.0</v>
      </c>
      <c r="B806" s="38"/>
      <c r="C806" s="38"/>
      <c r="D806" s="38"/>
      <c r="E806" s="38" t="s">
        <v>2004</v>
      </c>
      <c r="F806" s="41" t="s">
        <v>2005</v>
      </c>
      <c r="G806" s="43"/>
      <c r="H806" s="45"/>
      <c r="I806" s="38"/>
      <c r="J806" s="38">
        <f>3.5*1000</f>
        <v>3500</v>
      </c>
      <c r="K806" s="46">
        <v>0.013587962962962963</v>
      </c>
      <c r="L806" s="47" t="s">
        <v>1048</v>
      </c>
      <c r="M806" s="46"/>
      <c r="N806" s="46"/>
      <c r="O806" s="38"/>
      <c r="P806" s="38"/>
      <c r="Q806" s="12" t="str">
        <f t="shared" si="38"/>
        <v/>
      </c>
      <c r="R806" s="50"/>
      <c r="S806" s="50"/>
      <c r="T806" s="50"/>
      <c r="U806" s="53"/>
      <c r="V806" s="54"/>
      <c r="W806" s="56"/>
      <c r="X806" s="119"/>
      <c r="Y806" s="113"/>
      <c r="Z806" s="113"/>
    </row>
    <row r="807">
      <c r="A807" s="38">
        <v>547.0</v>
      </c>
      <c r="B807" s="38"/>
      <c r="C807" s="38"/>
      <c r="D807" s="38"/>
      <c r="E807" s="38" t="s">
        <v>2006</v>
      </c>
      <c r="F807" s="41" t="s">
        <v>2007</v>
      </c>
      <c r="G807" s="43"/>
      <c r="H807" s="45"/>
      <c r="I807" s="38"/>
      <c r="J807" s="38">
        <f>1.9*1000</f>
        <v>1900</v>
      </c>
      <c r="K807" s="46">
        <v>0.00587962962962963</v>
      </c>
      <c r="L807" s="47" t="s">
        <v>1048</v>
      </c>
      <c r="M807" s="46"/>
      <c r="N807" s="46"/>
      <c r="O807" s="38"/>
      <c r="P807" s="38"/>
      <c r="Q807" s="12" t="str">
        <f t="shared" si="38"/>
        <v/>
      </c>
      <c r="R807" s="50"/>
      <c r="S807" s="50"/>
      <c r="T807" s="50"/>
      <c r="U807" s="53"/>
      <c r="V807" s="54"/>
      <c r="W807" s="56"/>
      <c r="X807" s="119"/>
      <c r="Y807" s="113"/>
      <c r="Z807" s="113"/>
    </row>
    <row r="808">
      <c r="A808" s="38">
        <v>548.0</v>
      </c>
      <c r="B808" s="38"/>
      <c r="C808" s="38"/>
      <c r="D808" s="38"/>
      <c r="E808" s="38" t="s">
        <v>2008</v>
      </c>
      <c r="F808" s="41" t="s">
        <v>2009</v>
      </c>
      <c r="G808" s="43"/>
      <c r="H808" s="45"/>
      <c r="I808" s="38"/>
      <c r="J808" s="38">
        <f>1.3*1000</f>
        <v>1300</v>
      </c>
      <c r="K808" s="46">
        <v>0.003946759259259259</v>
      </c>
      <c r="L808" s="47" t="s">
        <v>1048</v>
      </c>
      <c r="M808" s="46"/>
      <c r="N808" s="46"/>
      <c r="O808" s="38"/>
      <c r="P808" s="38"/>
      <c r="Q808" s="12" t="str">
        <f t="shared" si="38"/>
        <v/>
      </c>
      <c r="R808" s="50"/>
      <c r="S808" s="50"/>
      <c r="T808" s="50"/>
      <c r="U808" s="53"/>
      <c r="V808" s="54"/>
      <c r="W808" s="56"/>
      <c r="X808" s="119"/>
      <c r="Y808" s="113"/>
      <c r="Z808" s="113"/>
    </row>
    <row r="809">
      <c r="A809" s="38">
        <v>549.0</v>
      </c>
      <c r="B809" s="38"/>
      <c r="C809" s="38"/>
      <c r="D809" s="38"/>
      <c r="E809" s="38" t="s">
        <v>2010</v>
      </c>
      <c r="F809" s="41" t="s">
        <v>2011</v>
      </c>
      <c r="G809" s="43"/>
      <c r="H809" s="45"/>
      <c r="I809" s="38"/>
      <c r="J809" s="38">
        <f>1.2*1000</f>
        <v>1200</v>
      </c>
      <c r="K809" s="46">
        <v>0.001574074074074074</v>
      </c>
      <c r="L809" s="47" t="s">
        <v>1048</v>
      </c>
      <c r="M809" s="46"/>
      <c r="N809" s="46"/>
      <c r="O809" s="38"/>
      <c r="P809" s="38"/>
      <c r="Q809" s="12" t="str">
        <f t="shared" si="38"/>
        <v/>
      </c>
      <c r="R809" s="50"/>
      <c r="S809" s="50"/>
      <c r="T809" s="50"/>
      <c r="U809" s="53"/>
      <c r="V809" s="54"/>
      <c r="W809" s="56"/>
      <c r="X809" s="119"/>
      <c r="Y809" s="113"/>
      <c r="Z809" s="113"/>
    </row>
    <row r="810">
      <c r="A810" s="38">
        <v>550.0</v>
      </c>
      <c r="B810" s="38"/>
      <c r="C810" s="38"/>
      <c r="D810" s="38"/>
      <c r="E810" s="38" t="s">
        <v>2012</v>
      </c>
      <c r="F810" s="41" t="s">
        <v>2013</v>
      </c>
      <c r="G810" s="43"/>
      <c r="H810" s="45"/>
      <c r="I810" s="38"/>
      <c r="J810" s="38">
        <f>4.9*1000</f>
        <v>4900</v>
      </c>
      <c r="K810" s="46">
        <v>0.014074074074074074</v>
      </c>
      <c r="L810" s="47" t="s">
        <v>1048</v>
      </c>
      <c r="M810" s="46"/>
      <c r="N810" s="46"/>
      <c r="O810" s="38"/>
      <c r="P810" s="38"/>
      <c r="Q810" s="12" t="str">
        <f t="shared" si="38"/>
        <v/>
      </c>
      <c r="R810" s="50"/>
      <c r="S810" s="50"/>
      <c r="T810" s="50"/>
      <c r="U810" s="53"/>
      <c r="V810" s="54"/>
      <c r="W810" s="56"/>
      <c r="X810" s="119"/>
      <c r="Y810" s="113"/>
      <c r="Z810" s="113"/>
    </row>
    <row r="811">
      <c r="A811" s="38">
        <v>551.0</v>
      </c>
      <c r="B811" s="38"/>
      <c r="C811" s="38"/>
      <c r="D811" s="38"/>
      <c r="E811" s="38" t="s">
        <v>2014</v>
      </c>
      <c r="F811" s="41" t="s">
        <v>2015</v>
      </c>
      <c r="G811" s="43"/>
      <c r="H811" s="45"/>
      <c r="I811" s="38"/>
      <c r="J811" s="38">
        <f>62*1000</f>
        <v>62000</v>
      </c>
      <c r="K811" s="46">
        <v>0.039641203703703706</v>
      </c>
      <c r="L811" s="47" t="s">
        <v>1255</v>
      </c>
      <c r="M811" s="46"/>
      <c r="N811" s="46"/>
      <c r="O811" s="38"/>
      <c r="P811" s="38"/>
      <c r="Q811" s="12" t="str">
        <f t="shared" si="38"/>
        <v/>
      </c>
      <c r="R811" s="50"/>
      <c r="S811" s="50"/>
      <c r="T811" s="50"/>
      <c r="U811" s="53"/>
      <c r="V811" s="54"/>
      <c r="W811" s="56"/>
      <c r="X811" s="119"/>
      <c r="Y811" s="113"/>
      <c r="Z811" s="113"/>
    </row>
    <row r="812">
      <c r="A812" s="38">
        <v>552.0</v>
      </c>
      <c r="B812" s="38"/>
      <c r="C812" s="38"/>
      <c r="D812" s="38"/>
      <c r="E812" s="38" t="s">
        <v>2016</v>
      </c>
      <c r="F812" s="41" t="s">
        <v>2017</v>
      </c>
      <c r="G812" s="43"/>
      <c r="H812" s="45"/>
      <c r="I812" s="38"/>
      <c r="J812" s="38">
        <f>7*1000</f>
        <v>7000</v>
      </c>
      <c r="K812" s="46">
        <v>0.0019328703703703704</v>
      </c>
      <c r="L812" s="47" t="s">
        <v>1255</v>
      </c>
      <c r="M812" s="46"/>
      <c r="N812" s="46"/>
      <c r="O812" s="38"/>
      <c r="P812" s="38"/>
      <c r="Q812" s="12" t="str">
        <f t="shared" si="38"/>
        <v/>
      </c>
      <c r="R812" s="50"/>
      <c r="S812" s="50"/>
      <c r="T812" s="50"/>
      <c r="U812" s="53"/>
      <c r="V812" s="54"/>
      <c r="W812" s="56"/>
      <c r="X812" s="119"/>
      <c r="Y812" s="113"/>
      <c r="Z812" s="113"/>
    </row>
    <row r="813">
      <c r="A813" s="38">
        <v>553.0</v>
      </c>
      <c r="B813" s="38"/>
      <c r="C813" s="38"/>
      <c r="D813" s="38"/>
      <c r="E813" s="38" t="s">
        <v>2018</v>
      </c>
      <c r="F813" s="41" t="s">
        <v>2019</v>
      </c>
      <c r="G813" s="43"/>
      <c r="H813" s="45"/>
      <c r="I813" s="38"/>
      <c r="J813" s="38">
        <f>1.7*1000</f>
        <v>1700</v>
      </c>
      <c r="K813" s="46">
        <v>0.01884259259259259</v>
      </c>
      <c r="L813" s="47" t="s">
        <v>1255</v>
      </c>
      <c r="M813" s="46"/>
      <c r="N813" s="46"/>
      <c r="O813" s="38"/>
      <c r="P813" s="38"/>
      <c r="Q813" s="12" t="str">
        <f t="shared" si="38"/>
        <v/>
      </c>
      <c r="R813" s="50"/>
      <c r="S813" s="50"/>
      <c r="T813" s="50"/>
      <c r="U813" s="53"/>
      <c r="V813" s="54"/>
      <c r="W813" s="56"/>
      <c r="X813" s="119"/>
      <c r="Y813" s="113"/>
      <c r="Z813" s="113"/>
    </row>
    <row r="814">
      <c r="A814" s="38">
        <v>554.0</v>
      </c>
      <c r="B814" s="38"/>
      <c r="C814" s="38"/>
      <c r="D814" s="38"/>
      <c r="E814" s="38" t="s">
        <v>2020</v>
      </c>
      <c r="F814" s="41" t="s">
        <v>2021</v>
      </c>
      <c r="G814" s="43"/>
      <c r="H814" s="45"/>
      <c r="I814" s="38"/>
      <c r="J814" s="38">
        <f>2.6*1000</f>
        <v>2600</v>
      </c>
      <c r="K814" s="46">
        <v>0.0241087962962963</v>
      </c>
      <c r="L814" s="47" t="s">
        <v>1255</v>
      </c>
      <c r="M814" s="46"/>
      <c r="N814" s="46"/>
      <c r="O814" s="38"/>
      <c r="P814" s="38"/>
      <c r="Q814" s="12" t="str">
        <f t="shared" si="38"/>
        <v/>
      </c>
      <c r="R814" s="50"/>
      <c r="S814" s="50"/>
      <c r="T814" s="50"/>
      <c r="U814" s="53"/>
      <c r="V814" s="54"/>
      <c r="W814" s="56"/>
      <c r="X814" s="119"/>
      <c r="Y814" s="113"/>
      <c r="Z814" s="113"/>
    </row>
    <row r="815">
      <c r="A815" s="38">
        <v>555.0</v>
      </c>
      <c r="B815" s="38"/>
      <c r="C815" s="38"/>
      <c r="D815" s="38"/>
      <c r="E815" s="38" t="s">
        <v>2022</v>
      </c>
      <c r="F815" s="41" t="s">
        <v>2023</v>
      </c>
      <c r="G815" s="43"/>
      <c r="H815" s="45"/>
      <c r="I815" s="38"/>
      <c r="J815" s="38">
        <f>868</f>
        <v>868</v>
      </c>
      <c r="K815" s="46">
        <v>0.011423611111111112</v>
      </c>
      <c r="L815" s="47" t="s">
        <v>1255</v>
      </c>
      <c r="M815" s="46"/>
      <c r="N815" s="46"/>
      <c r="O815" s="38"/>
      <c r="P815" s="38"/>
      <c r="Q815" s="12" t="str">
        <f t="shared" si="38"/>
        <v/>
      </c>
      <c r="R815" s="50"/>
      <c r="S815" s="50"/>
      <c r="T815" s="50"/>
      <c r="U815" s="53"/>
      <c r="V815" s="54"/>
      <c r="W815" s="56"/>
      <c r="X815" s="119"/>
      <c r="Y815" s="113"/>
      <c r="Z815" s="113"/>
    </row>
    <row r="816">
      <c r="A816" s="38">
        <v>556.0</v>
      </c>
      <c r="B816" s="38"/>
      <c r="C816" s="38"/>
      <c r="D816" s="38"/>
      <c r="E816" s="38" t="s">
        <v>1253</v>
      </c>
      <c r="F816" s="41" t="s">
        <v>1254</v>
      </c>
      <c r="G816" s="43"/>
      <c r="H816" s="45"/>
      <c r="I816" s="38"/>
      <c r="J816" s="38">
        <f>3.7*1000</f>
        <v>3700</v>
      </c>
      <c r="K816" s="46">
        <v>0.06787037037037037</v>
      </c>
      <c r="L816" s="47" t="s">
        <v>1255</v>
      </c>
      <c r="M816" s="46"/>
      <c r="N816" s="46"/>
      <c r="O816" s="38"/>
      <c r="P816" s="38"/>
      <c r="Q816" s="12" t="str">
        <f t="shared" si="38"/>
        <v/>
      </c>
      <c r="R816" s="50"/>
      <c r="S816" s="50"/>
      <c r="T816" s="50"/>
      <c r="U816" s="53"/>
      <c r="V816" s="54"/>
      <c r="W816" s="56"/>
      <c r="X816" s="119"/>
      <c r="Y816" s="113"/>
      <c r="Z816" s="113"/>
    </row>
    <row r="817">
      <c r="A817" s="38">
        <v>557.0</v>
      </c>
      <c r="B817" s="38"/>
      <c r="C817" s="38"/>
      <c r="D817" s="38"/>
      <c r="E817" s="38" t="s">
        <v>2024</v>
      </c>
      <c r="F817" s="41" t="s">
        <v>2025</v>
      </c>
      <c r="G817" s="43"/>
      <c r="H817" s="45"/>
      <c r="I817" s="38"/>
      <c r="J817" s="38">
        <f>6.4*1000</f>
        <v>6400</v>
      </c>
      <c r="K817" s="46">
        <v>0.04168981481481482</v>
      </c>
      <c r="L817" s="47" t="s">
        <v>1255</v>
      </c>
      <c r="M817" s="46"/>
      <c r="N817" s="46"/>
      <c r="O817" s="38"/>
      <c r="P817" s="38"/>
      <c r="Q817" s="12" t="str">
        <f t="shared" si="38"/>
        <v/>
      </c>
      <c r="R817" s="50"/>
      <c r="S817" s="50"/>
      <c r="T817" s="50"/>
      <c r="U817" s="53"/>
      <c r="V817" s="54"/>
      <c r="W817" s="56"/>
      <c r="X817" s="119"/>
      <c r="Y817" s="113"/>
      <c r="Z817" s="113"/>
    </row>
    <row r="818">
      <c r="A818" s="38">
        <v>558.0</v>
      </c>
      <c r="B818" s="38"/>
      <c r="C818" s="38"/>
      <c r="D818" s="38"/>
      <c r="E818" s="38" t="s">
        <v>2026</v>
      </c>
      <c r="F818" s="41" t="s">
        <v>2027</v>
      </c>
      <c r="G818" s="43"/>
      <c r="H818" s="45"/>
      <c r="I818" s="38"/>
      <c r="J818" s="38">
        <f>704</f>
        <v>704</v>
      </c>
      <c r="K818" s="46">
        <v>0.0050347222222222225</v>
      </c>
      <c r="L818" s="47" t="s">
        <v>1255</v>
      </c>
      <c r="M818" s="46"/>
      <c r="N818" s="46"/>
      <c r="O818" s="38"/>
      <c r="P818" s="38"/>
      <c r="Q818" s="12" t="str">
        <f t="shared" si="38"/>
        <v/>
      </c>
      <c r="R818" s="50"/>
      <c r="S818" s="50"/>
      <c r="T818" s="50"/>
      <c r="U818" s="53"/>
      <c r="V818" s="54"/>
      <c r="W818" s="56"/>
      <c r="X818" s="119"/>
      <c r="Y818" s="113"/>
      <c r="Z818" s="113"/>
    </row>
    <row r="819">
      <c r="A819" s="38">
        <v>559.0</v>
      </c>
      <c r="B819" s="38"/>
      <c r="C819" s="38"/>
      <c r="D819" s="38"/>
      <c r="E819" s="38" t="s">
        <v>2028</v>
      </c>
      <c r="F819" s="41" t="s">
        <v>2029</v>
      </c>
      <c r="G819" s="43"/>
      <c r="H819" s="45"/>
      <c r="I819" s="38"/>
      <c r="J819" s="38">
        <f>692</f>
        <v>692</v>
      </c>
      <c r="K819" s="46">
        <v>0.006435185185185186</v>
      </c>
      <c r="L819" s="47" t="s">
        <v>1255</v>
      </c>
      <c r="M819" s="46"/>
      <c r="N819" s="46"/>
      <c r="O819" s="38"/>
      <c r="P819" s="38"/>
      <c r="Q819" s="12" t="str">
        <f t="shared" si="38"/>
        <v/>
      </c>
      <c r="R819" s="50"/>
      <c r="S819" s="50"/>
      <c r="T819" s="50"/>
      <c r="U819" s="53"/>
      <c r="V819" s="54"/>
      <c r="W819" s="56"/>
      <c r="X819" s="119"/>
      <c r="Y819" s="113"/>
      <c r="Z819" s="113"/>
    </row>
    <row r="820">
      <c r="A820" s="38">
        <v>560.0</v>
      </c>
      <c r="B820" s="38"/>
      <c r="C820" s="38"/>
      <c r="D820" s="38"/>
      <c r="E820" s="38" t="s">
        <v>2030</v>
      </c>
      <c r="F820" s="41" t="s">
        <v>2031</v>
      </c>
      <c r="G820" s="43"/>
      <c r="H820" s="45"/>
      <c r="I820" s="38"/>
      <c r="J820" s="38">
        <f>3.6*1000</f>
        <v>3600</v>
      </c>
      <c r="K820" s="46">
        <v>0.04400462962962962</v>
      </c>
      <c r="L820" s="47" t="s">
        <v>1255</v>
      </c>
      <c r="M820" s="46"/>
      <c r="N820" s="46"/>
      <c r="O820" s="38"/>
      <c r="P820" s="38"/>
      <c r="Q820" s="12" t="str">
        <f t="shared" si="38"/>
        <v/>
      </c>
      <c r="R820" s="50"/>
      <c r="S820" s="50"/>
      <c r="T820" s="50"/>
      <c r="U820" s="53"/>
      <c r="V820" s="54"/>
      <c r="W820" s="56"/>
      <c r="X820" s="119"/>
      <c r="Y820" s="113"/>
      <c r="Z820" s="113"/>
    </row>
    <row r="821">
      <c r="A821" s="38">
        <v>561.0</v>
      </c>
      <c r="B821" s="38"/>
      <c r="C821" s="38"/>
      <c r="D821" s="38"/>
      <c r="E821" s="38" t="s">
        <v>2032</v>
      </c>
      <c r="F821" s="41" t="s">
        <v>2033</v>
      </c>
      <c r="G821" s="43"/>
      <c r="H821" s="45"/>
      <c r="I821" s="38"/>
      <c r="J821" s="38">
        <f>3*1000</f>
        <v>3000</v>
      </c>
      <c r="K821" s="46">
        <v>0.011157407407407408</v>
      </c>
      <c r="L821" s="47" t="s">
        <v>1255</v>
      </c>
      <c r="M821" s="46"/>
      <c r="N821" s="46"/>
      <c r="O821" s="38"/>
      <c r="P821" s="38"/>
      <c r="Q821" s="12" t="str">
        <f t="shared" si="38"/>
        <v/>
      </c>
      <c r="R821" s="50"/>
      <c r="S821" s="50"/>
      <c r="T821" s="50"/>
      <c r="U821" s="53"/>
      <c r="V821" s="54"/>
      <c r="W821" s="56"/>
      <c r="X821" s="119"/>
      <c r="Y821" s="113"/>
      <c r="Z821" s="113"/>
    </row>
    <row r="822">
      <c r="A822" s="38">
        <v>562.0</v>
      </c>
      <c r="B822" s="38"/>
      <c r="C822" s="38"/>
      <c r="D822" s="38"/>
      <c r="E822" s="38" t="s">
        <v>2034</v>
      </c>
      <c r="F822" s="41" t="s">
        <v>2035</v>
      </c>
      <c r="G822" s="43"/>
      <c r="H822" s="45"/>
      <c r="I822" s="38"/>
      <c r="J822" s="38">
        <f>953</f>
        <v>953</v>
      </c>
      <c r="K822" s="46">
        <v>0.017037037037037038</v>
      </c>
      <c r="L822" s="47" t="s">
        <v>1255</v>
      </c>
      <c r="M822" s="46"/>
      <c r="N822" s="46"/>
      <c r="O822" s="38"/>
      <c r="P822" s="38"/>
      <c r="Q822" s="12" t="str">
        <f t="shared" si="38"/>
        <v/>
      </c>
      <c r="R822" s="50"/>
      <c r="S822" s="50"/>
      <c r="T822" s="50"/>
      <c r="U822" s="53"/>
      <c r="V822" s="54"/>
      <c r="W822" s="56"/>
      <c r="X822" s="119"/>
      <c r="Y822" s="113"/>
      <c r="Z822" s="113"/>
    </row>
    <row r="823">
      <c r="A823" s="38">
        <v>563.0</v>
      </c>
      <c r="B823" s="38"/>
      <c r="C823" s="38"/>
      <c r="D823" s="38"/>
      <c r="E823" s="38" t="s">
        <v>2036</v>
      </c>
      <c r="F823" s="41" t="s">
        <v>2037</v>
      </c>
      <c r="G823" s="43"/>
      <c r="H823" s="45"/>
      <c r="I823" s="38"/>
      <c r="J823" s="38">
        <f>851</f>
        <v>851</v>
      </c>
      <c r="K823" s="46">
        <v>0.008854166666666666</v>
      </c>
      <c r="L823" s="47" t="s">
        <v>1255</v>
      </c>
      <c r="M823" s="46"/>
      <c r="N823" s="46"/>
      <c r="O823" s="38"/>
      <c r="P823" s="38"/>
      <c r="Q823" s="12" t="str">
        <f t="shared" si="38"/>
        <v/>
      </c>
      <c r="R823" s="50"/>
      <c r="S823" s="50"/>
      <c r="T823" s="50"/>
      <c r="U823" s="53"/>
      <c r="V823" s="54"/>
      <c r="W823" s="56"/>
      <c r="X823" s="119"/>
      <c r="Y823" s="113"/>
      <c r="Z823" s="113"/>
    </row>
    <row r="824">
      <c r="A824" s="38">
        <v>564.0</v>
      </c>
      <c r="B824" s="38"/>
      <c r="C824" s="38"/>
      <c r="D824" s="38"/>
      <c r="E824" s="38" t="s">
        <v>2038</v>
      </c>
      <c r="F824" s="41" t="s">
        <v>2039</v>
      </c>
      <c r="G824" s="43"/>
      <c r="H824" s="45"/>
      <c r="I824" s="38"/>
      <c r="J824" s="38">
        <f>454</f>
        <v>454</v>
      </c>
      <c r="K824" s="46">
        <v>0.007025462962962963</v>
      </c>
      <c r="L824" s="47" t="s">
        <v>1255</v>
      </c>
      <c r="M824" s="46"/>
      <c r="N824" s="46"/>
      <c r="O824" s="38"/>
      <c r="P824" s="38"/>
      <c r="Q824" s="12" t="str">
        <f t="shared" si="38"/>
        <v/>
      </c>
      <c r="R824" s="50"/>
      <c r="S824" s="50"/>
      <c r="T824" s="50"/>
      <c r="U824" s="53"/>
      <c r="V824" s="54"/>
      <c r="W824" s="56"/>
      <c r="X824" s="119"/>
      <c r="Y824" s="113"/>
      <c r="Z824" s="113"/>
    </row>
    <row r="825">
      <c r="A825" s="38">
        <v>565.0</v>
      </c>
      <c r="B825" s="38"/>
      <c r="C825" s="38"/>
      <c r="D825" s="38"/>
      <c r="E825" s="38" t="s">
        <v>2040</v>
      </c>
      <c r="F825" s="41" t="s">
        <v>2041</v>
      </c>
      <c r="G825" s="43"/>
      <c r="H825" s="45"/>
      <c r="I825" s="38"/>
      <c r="J825" s="38">
        <f>979</f>
        <v>979</v>
      </c>
      <c r="K825" s="46">
        <v>0.009849537037037037</v>
      </c>
      <c r="L825" s="47" t="s">
        <v>1255</v>
      </c>
      <c r="M825" s="46"/>
      <c r="N825" s="46"/>
      <c r="O825" s="38"/>
      <c r="P825" s="38"/>
      <c r="Q825" s="12" t="str">
        <f t="shared" si="38"/>
        <v/>
      </c>
      <c r="R825" s="50"/>
      <c r="S825" s="50"/>
      <c r="T825" s="50"/>
      <c r="U825" s="53"/>
      <c r="V825" s="54"/>
      <c r="W825" s="56"/>
      <c r="X825" s="119"/>
      <c r="Y825" s="113"/>
      <c r="Z825" s="113"/>
    </row>
    <row r="826">
      <c r="A826" s="38">
        <v>566.0</v>
      </c>
      <c r="B826" s="38"/>
      <c r="C826" s="38"/>
      <c r="D826" s="38"/>
      <c r="E826" s="38" t="s">
        <v>2042</v>
      </c>
      <c r="F826" s="41" t="s">
        <v>2043</v>
      </c>
      <c r="G826" s="43"/>
      <c r="H826" s="45"/>
      <c r="I826" s="38"/>
      <c r="J826" s="38">
        <f>609</f>
        <v>609</v>
      </c>
      <c r="K826" s="46">
        <v>0.005752314814814814</v>
      </c>
      <c r="L826" s="47" t="s">
        <v>1255</v>
      </c>
      <c r="M826" s="46"/>
      <c r="N826" s="46"/>
      <c r="O826" s="38"/>
      <c r="P826" s="38"/>
      <c r="Q826" s="12" t="str">
        <f t="shared" si="38"/>
        <v/>
      </c>
      <c r="R826" s="50"/>
      <c r="S826" s="50"/>
      <c r="T826" s="50"/>
      <c r="U826" s="53"/>
      <c r="V826" s="54"/>
      <c r="W826" s="56"/>
      <c r="X826" s="119"/>
      <c r="Y826" s="113"/>
      <c r="Z826" s="113"/>
    </row>
    <row r="827">
      <c r="A827" s="38">
        <v>567.0</v>
      </c>
      <c r="B827" s="38"/>
      <c r="C827" s="38"/>
      <c r="D827" s="38"/>
      <c r="E827" s="38" t="s">
        <v>2044</v>
      </c>
      <c r="F827" s="41" t="s">
        <v>2045</v>
      </c>
      <c r="G827" s="43"/>
      <c r="H827" s="45"/>
      <c r="I827" s="38"/>
      <c r="J827" s="38">
        <f>1*1000</f>
        <v>1000</v>
      </c>
      <c r="K827" s="46">
        <v>0.0035069444444444445</v>
      </c>
      <c r="L827" s="47" t="s">
        <v>1255</v>
      </c>
      <c r="M827" s="46"/>
      <c r="N827" s="46"/>
      <c r="O827" s="38"/>
      <c r="P827" s="38"/>
      <c r="Q827" s="12" t="str">
        <f t="shared" si="38"/>
        <v/>
      </c>
      <c r="R827" s="50"/>
      <c r="S827" s="50"/>
      <c r="T827" s="50"/>
      <c r="U827" s="53"/>
      <c r="V827" s="54"/>
      <c r="W827" s="56"/>
      <c r="X827" s="119"/>
      <c r="Y827" s="113"/>
      <c r="Z827" s="113"/>
    </row>
    <row r="828">
      <c r="A828" s="38">
        <v>568.0</v>
      </c>
      <c r="B828" s="38"/>
      <c r="C828" s="38"/>
      <c r="D828" s="38"/>
      <c r="E828" s="38" t="s">
        <v>2046</v>
      </c>
      <c r="F828" s="41" t="s">
        <v>2047</v>
      </c>
      <c r="G828" s="43"/>
      <c r="H828" s="45"/>
      <c r="I828" s="38"/>
      <c r="J828" s="38">
        <f>4.8*1000</f>
        <v>4800</v>
      </c>
      <c r="K828" s="46">
        <v>0.045162037037037035</v>
      </c>
      <c r="L828" s="47" t="s">
        <v>1255</v>
      </c>
      <c r="M828" s="46"/>
      <c r="N828" s="46"/>
      <c r="O828" s="38"/>
      <c r="P828" s="38"/>
      <c r="Q828" s="12" t="str">
        <f t="shared" si="38"/>
        <v/>
      </c>
      <c r="R828" s="50"/>
      <c r="S828" s="50"/>
      <c r="T828" s="50"/>
      <c r="U828" s="53"/>
      <c r="V828" s="54"/>
      <c r="W828" s="56"/>
      <c r="X828" s="119"/>
      <c r="Y828" s="113"/>
      <c r="Z828" s="113"/>
    </row>
    <row r="829">
      <c r="A829" s="38">
        <v>569.0</v>
      </c>
      <c r="B829" s="38"/>
      <c r="C829" s="38"/>
      <c r="D829" s="38"/>
      <c r="E829" s="38" t="s">
        <v>2048</v>
      </c>
      <c r="F829" s="41" t="s">
        <v>2049</v>
      </c>
      <c r="G829" s="43"/>
      <c r="H829" s="45"/>
      <c r="I829" s="38"/>
      <c r="J829" s="38">
        <f>3.4*1000</f>
        <v>3400</v>
      </c>
      <c r="K829" s="46">
        <v>0.015694444444444445</v>
      </c>
      <c r="L829" s="47" t="s">
        <v>1255</v>
      </c>
      <c r="M829" s="46"/>
      <c r="N829" s="46"/>
      <c r="O829" s="38"/>
      <c r="P829" s="38"/>
      <c r="Q829" s="12" t="str">
        <f t="shared" si="38"/>
        <v/>
      </c>
      <c r="R829" s="50"/>
      <c r="S829" s="50"/>
      <c r="T829" s="50"/>
      <c r="U829" s="53"/>
      <c r="V829" s="54"/>
      <c r="W829" s="56"/>
      <c r="X829" s="119"/>
      <c r="Y829" s="113"/>
      <c r="Z829" s="113"/>
    </row>
    <row r="830">
      <c r="A830" s="38">
        <v>570.0</v>
      </c>
      <c r="B830" s="38"/>
      <c r="C830" s="38"/>
      <c r="D830" s="38"/>
      <c r="E830" s="38" t="s">
        <v>2050</v>
      </c>
      <c r="F830" s="41" t="s">
        <v>2051</v>
      </c>
      <c r="G830" s="43"/>
      <c r="H830" s="45"/>
      <c r="I830" s="38"/>
      <c r="J830" s="38">
        <f>962</f>
        <v>962</v>
      </c>
      <c r="K830" s="46">
        <v>0.016747685185185185</v>
      </c>
      <c r="L830" s="47" t="s">
        <v>1255</v>
      </c>
      <c r="M830" s="46"/>
      <c r="N830" s="46"/>
      <c r="O830" s="38"/>
      <c r="P830" s="38"/>
      <c r="Q830" s="12" t="str">
        <f t="shared" si="38"/>
        <v/>
      </c>
      <c r="R830" s="50"/>
      <c r="S830" s="50"/>
      <c r="T830" s="50"/>
      <c r="U830" s="53"/>
      <c r="V830" s="54"/>
      <c r="W830" s="56"/>
      <c r="X830" s="119"/>
      <c r="Y830" s="113"/>
      <c r="Z830" s="113"/>
    </row>
    <row r="831">
      <c r="A831" s="38">
        <v>571.0</v>
      </c>
      <c r="B831" s="38"/>
      <c r="C831" s="38"/>
      <c r="D831" s="38"/>
      <c r="E831" s="38" t="s">
        <v>2052</v>
      </c>
      <c r="F831" s="41" t="s">
        <v>2053</v>
      </c>
      <c r="G831" s="43"/>
      <c r="H831" s="45"/>
      <c r="I831" s="38"/>
      <c r="J831" s="38">
        <f>2.2*1000</f>
        <v>2200</v>
      </c>
      <c r="K831" s="46">
        <v>0.03435185185185185</v>
      </c>
      <c r="L831" s="47" t="s">
        <v>1255</v>
      </c>
      <c r="M831" s="46"/>
      <c r="N831" s="46"/>
      <c r="O831" s="38"/>
      <c r="P831" s="38"/>
      <c r="Q831" s="12" t="str">
        <f t="shared" si="38"/>
        <v/>
      </c>
      <c r="R831" s="50"/>
      <c r="S831" s="50"/>
      <c r="T831" s="50"/>
      <c r="U831" s="53"/>
      <c r="V831" s="54"/>
      <c r="W831" s="56"/>
      <c r="X831" s="119"/>
      <c r="Y831" s="113"/>
      <c r="Z831" s="113"/>
    </row>
    <row r="832">
      <c r="A832" s="38">
        <v>572.0</v>
      </c>
      <c r="B832" s="38"/>
      <c r="C832" s="38"/>
      <c r="D832" s="38"/>
      <c r="E832" s="38" t="s">
        <v>2054</v>
      </c>
      <c r="F832" s="41" t="s">
        <v>2055</v>
      </c>
      <c r="G832" s="43"/>
      <c r="H832" s="45"/>
      <c r="I832" s="38"/>
      <c r="J832" s="38">
        <f>641</f>
        <v>641</v>
      </c>
      <c r="K832" s="46">
        <v>0.006469907407407407</v>
      </c>
      <c r="L832" s="47" t="s">
        <v>1255</v>
      </c>
      <c r="M832" s="46"/>
      <c r="N832" s="46"/>
      <c r="O832" s="38"/>
      <c r="P832" s="38"/>
      <c r="Q832" s="12" t="str">
        <f t="shared" si="38"/>
        <v/>
      </c>
      <c r="R832" s="50"/>
      <c r="S832" s="50"/>
      <c r="T832" s="50"/>
      <c r="U832" s="53"/>
      <c r="V832" s="54"/>
      <c r="W832" s="56"/>
      <c r="X832" s="119"/>
      <c r="Y832" s="113"/>
      <c r="Z832" s="113"/>
    </row>
    <row r="833">
      <c r="A833" s="38">
        <v>573.0</v>
      </c>
      <c r="B833" s="38"/>
      <c r="C833" s="38"/>
      <c r="D833" s="38"/>
      <c r="E833" s="38" t="s">
        <v>2056</v>
      </c>
      <c r="F833" s="41" t="s">
        <v>2057</v>
      </c>
      <c r="G833" s="43"/>
      <c r="H833" s="45"/>
      <c r="I833" s="38"/>
      <c r="J833" s="38">
        <f>1.1*1000</f>
        <v>1100</v>
      </c>
      <c r="K833" s="46">
        <v>0.0025</v>
      </c>
      <c r="L833" s="47" t="s">
        <v>1255</v>
      </c>
      <c r="M833" s="46"/>
      <c r="N833" s="46"/>
      <c r="O833" s="38"/>
      <c r="P833" s="38"/>
      <c r="Q833" s="12" t="str">
        <f t="shared" si="38"/>
        <v/>
      </c>
      <c r="R833" s="50"/>
      <c r="S833" s="50"/>
      <c r="T833" s="50"/>
      <c r="U833" s="53"/>
      <c r="V833" s="54"/>
      <c r="W833" s="56"/>
      <c r="X833" s="119"/>
      <c r="Y833" s="113"/>
      <c r="Z833" s="113"/>
    </row>
    <row r="834">
      <c r="A834" s="38">
        <v>574.0</v>
      </c>
      <c r="B834" s="38"/>
      <c r="C834" s="38"/>
      <c r="D834" s="38"/>
      <c r="E834" s="38" t="s">
        <v>2058</v>
      </c>
      <c r="F834" s="41" t="s">
        <v>2059</v>
      </c>
      <c r="G834" s="43"/>
      <c r="H834" s="45"/>
      <c r="I834" s="38"/>
      <c r="J834" s="38">
        <f>14*1000</f>
        <v>14000</v>
      </c>
      <c r="K834" s="46">
        <v>0.028460648148148148</v>
      </c>
      <c r="L834" s="47" t="s">
        <v>1528</v>
      </c>
      <c r="M834" s="46"/>
      <c r="N834" s="46"/>
      <c r="O834" s="38"/>
      <c r="P834" s="38"/>
      <c r="Q834" s="12" t="str">
        <f t="shared" si="38"/>
        <v/>
      </c>
      <c r="R834" s="50"/>
      <c r="S834" s="50"/>
      <c r="T834" s="50"/>
      <c r="U834" s="53"/>
      <c r="V834" s="54"/>
      <c r="W834" s="56"/>
      <c r="X834" s="119"/>
      <c r="Y834" s="113"/>
      <c r="Z834" s="113"/>
    </row>
    <row r="835">
      <c r="A835" s="38">
        <v>575.0</v>
      </c>
      <c r="B835" s="38"/>
      <c r="C835" s="38"/>
      <c r="D835" s="38"/>
      <c r="E835" s="38" t="s">
        <v>2060</v>
      </c>
      <c r="F835" s="41" t="s">
        <v>2061</v>
      </c>
      <c r="G835" s="43"/>
      <c r="H835" s="45"/>
      <c r="I835" s="38"/>
      <c r="J835" s="38">
        <f>2.7*1000</f>
        <v>2700</v>
      </c>
      <c r="K835" s="46">
        <v>0.013287037037037036</v>
      </c>
      <c r="L835" s="47" t="s">
        <v>1528</v>
      </c>
      <c r="M835" s="46"/>
      <c r="N835" s="46"/>
      <c r="O835" s="38"/>
      <c r="P835" s="38"/>
      <c r="Q835" s="12" t="str">
        <f t="shared" si="38"/>
        <v/>
      </c>
      <c r="R835" s="50"/>
      <c r="S835" s="50"/>
      <c r="T835" s="50"/>
      <c r="U835" s="53"/>
      <c r="V835" s="54"/>
      <c r="W835" s="56"/>
      <c r="X835" s="119"/>
      <c r="Y835" s="113"/>
      <c r="Z835" s="113"/>
    </row>
    <row r="836">
      <c r="A836" s="38">
        <v>576.0</v>
      </c>
      <c r="B836" s="38"/>
      <c r="C836" s="38"/>
      <c r="D836" s="38"/>
      <c r="E836" s="38" t="s">
        <v>2062</v>
      </c>
      <c r="F836" s="41" t="s">
        <v>2063</v>
      </c>
      <c r="G836" s="43"/>
      <c r="H836" s="45"/>
      <c r="I836" s="38"/>
      <c r="J836" s="38">
        <f>2.4*1000</f>
        <v>2400</v>
      </c>
      <c r="K836" s="46">
        <v>0.021909722222222223</v>
      </c>
      <c r="L836" s="47" t="s">
        <v>1528</v>
      </c>
      <c r="M836" s="46"/>
      <c r="N836" s="46"/>
      <c r="O836" s="38"/>
      <c r="P836" s="38"/>
      <c r="Q836" s="12" t="str">
        <f t="shared" si="38"/>
        <v/>
      </c>
      <c r="R836" s="50"/>
      <c r="S836" s="50"/>
      <c r="T836" s="50"/>
      <c r="U836" s="53"/>
      <c r="V836" s="54"/>
      <c r="W836" s="56"/>
      <c r="X836" s="119"/>
      <c r="Y836" s="113"/>
      <c r="Z836" s="113"/>
    </row>
    <row r="837">
      <c r="A837" s="38">
        <v>577.0</v>
      </c>
      <c r="B837" s="38"/>
      <c r="C837" s="38"/>
      <c r="D837" s="38"/>
      <c r="E837" s="38" t="s">
        <v>2064</v>
      </c>
      <c r="F837" s="41" t="s">
        <v>2065</v>
      </c>
      <c r="G837" s="43"/>
      <c r="H837" s="45"/>
      <c r="I837" s="38"/>
      <c r="J837" s="38">
        <f>1.3*1000</f>
        <v>1300</v>
      </c>
      <c r="K837" s="46">
        <v>0.0024537037037037036</v>
      </c>
      <c r="L837" s="47" t="s">
        <v>1528</v>
      </c>
      <c r="M837" s="46"/>
      <c r="N837" s="46"/>
      <c r="O837" s="38"/>
      <c r="P837" s="38"/>
      <c r="Q837" s="12" t="str">
        <f t="shared" si="38"/>
        <v/>
      </c>
      <c r="R837" s="50"/>
      <c r="S837" s="50"/>
      <c r="T837" s="50"/>
      <c r="U837" s="53"/>
      <c r="V837" s="54"/>
      <c r="W837" s="56"/>
      <c r="X837" s="119"/>
      <c r="Y837" s="113"/>
      <c r="Z837" s="113"/>
    </row>
    <row r="838">
      <c r="A838" s="38">
        <v>578.0</v>
      </c>
      <c r="B838" s="38"/>
      <c r="C838" s="38"/>
      <c r="D838" s="38"/>
      <c r="E838" s="38" t="s">
        <v>2066</v>
      </c>
      <c r="F838" s="41" t="s">
        <v>2067</v>
      </c>
      <c r="G838" s="43"/>
      <c r="H838" s="45"/>
      <c r="I838" s="38"/>
      <c r="J838" s="38">
        <f>6.5*1000</f>
        <v>6500</v>
      </c>
      <c r="K838" s="46">
        <v>0.02798611111111111</v>
      </c>
      <c r="L838" s="47" t="s">
        <v>1528</v>
      </c>
      <c r="M838" s="46"/>
      <c r="N838" s="46"/>
      <c r="O838" s="38"/>
      <c r="P838" s="38"/>
      <c r="Q838" s="12" t="str">
        <f t="shared" si="38"/>
        <v/>
      </c>
      <c r="R838" s="50"/>
      <c r="S838" s="50"/>
      <c r="T838" s="50"/>
      <c r="U838" s="53"/>
      <c r="V838" s="54"/>
      <c r="W838" s="56"/>
      <c r="X838" s="119"/>
      <c r="Y838" s="113"/>
      <c r="Z838" s="113"/>
    </row>
    <row r="839">
      <c r="A839" s="38">
        <v>579.0</v>
      </c>
      <c r="B839" s="38"/>
      <c r="C839" s="38"/>
      <c r="D839" s="38"/>
      <c r="E839" s="38" t="s">
        <v>2068</v>
      </c>
      <c r="F839" s="41" t="s">
        <v>2069</v>
      </c>
      <c r="G839" s="43"/>
      <c r="H839" s="45"/>
      <c r="I839" s="38"/>
      <c r="J839" s="38">
        <f>7.9*1000</f>
        <v>7900</v>
      </c>
      <c r="K839" s="46">
        <v>0.045439814814814815</v>
      </c>
      <c r="L839" s="47" t="s">
        <v>1528</v>
      </c>
      <c r="M839" s="46"/>
      <c r="N839" s="46"/>
      <c r="O839" s="38"/>
      <c r="P839" s="38"/>
      <c r="Q839" s="12" t="str">
        <f t="shared" si="38"/>
        <v/>
      </c>
      <c r="R839" s="50"/>
      <c r="S839" s="50"/>
      <c r="T839" s="50"/>
      <c r="U839" s="53"/>
      <c r="V839" s="54"/>
      <c r="W839" s="56"/>
      <c r="X839" s="119"/>
      <c r="Y839" s="113"/>
      <c r="Z839" s="113"/>
    </row>
    <row r="840">
      <c r="A840" s="38">
        <v>580.0</v>
      </c>
      <c r="B840" s="38"/>
      <c r="C840" s="38"/>
      <c r="D840" s="38"/>
      <c r="E840" s="38" t="s">
        <v>2070</v>
      </c>
      <c r="F840" s="41" t="s">
        <v>2071</v>
      </c>
      <c r="G840" s="43"/>
      <c r="H840" s="45"/>
      <c r="I840" s="38"/>
      <c r="J840" s="38">
        <f>520</f>
        <v>520</v>
      </c>
      <c r="K840" s="46">
        <v>0.0013541666666666667</v>
      </c>
      <c r="L840" s="47" t="s">
        <v>1528</v>
      </c>
      <c r="M840" s="46"/>
      <c r="N840" s="46"/>
      <c r="O840" s="38"/>
      <c r="P840" s="38"/>
      <c r="Q840" s="12" t="str">
        <f t="shared" si="38"/>
        <v/>
      </c>
      <c r="R840" s="50"/>
      <c r="S840" s="50"/>
      <c r="T840" s="50"/>
      <c r="U840" s="53"/>
      <c r="V840" s="54"/>
      <c r="W840" s="56"/>
      <c r="X840" s="119"/>
      <c r="Y840" s="113"/>
      <c r="Z840" s="113"/>
    </row>
    <row r="841">
      <c r="A841" s="38">
        <v>581.0</v>
      </c>
      <c r="B841" s="38"/>
      <c r="C841" s="38"/>
      <c r="D841" s="38"/>
      <c r="E841" s="38" t="s">
        <v>2072</v>
      </c>
      <c r="F841" s="41" t="s">
        <v>2073</v>
      </c>
      <c r="G841" s="43"/>
      <c r="H841" s="45"/>
      <c r="I841" s="38"/>
      <c r="J841" s="38">
        <f>658</f>
        <v>658</v>
      </c>
      <c r="K841" s="46">
        <v>0.0038657407407407408</v>
      </c>
      <c r="L841" s="47" t="s">
        <v>1528</v>
      </c>
      <c r="M841" s="46"/>
      <c r="N841" s="46"/>
      <c r="O841" s="38"/>
      <c r="P841" s="38"/>
      <c r="Q841" s="12" t="str">
        <f t="shared" si="38"/>
        <v/>
      </c>
      <c r="R841" s="50"/>
      <c r="S841" s="50"/>
      <c r="T841" s="50"/>
      <c r="U841" s="53"/>
      <c r="V841" s="54"/>
      <c r="W841" s="56"/>
      <c r="X841" s="119"/>
      <c r="Y841" s="113"/>
      <c r="Z841" s="113"/>
    </row>
    <row r="842">
      <c r="A842" s="38">
        <v>582.0</v>
      </c>
      <c r="B842" s="38"/>
      <c r="C842" s="38"/>
      <c r="D842" s="38"/>
      <c r="E842" s="38" t="s">
        <v>2074</v>
      </c>
      <c r="F842" s="41" t="s">
        <v>2075</v>
      </c>
      <c r="G842" s="43"/>
      <c r="H842" s="45"/>
      <c r="I842" s="38"/>
      <c r="J842" s="38">
        <f>457</f>
        <v>457</v>
      </c>
      <c r="K842" s="46">
        <v>0.002685185185185185</v>
      </c>
      <c r="L842" s="47" t="s">
        <v>1528</v>
      </c>
      <c r="M842" s="46"/>
      <c r="N842" s="46"/>
      <c r="O842" s="38"/>
      <c r="P842" s="38"/>
      <c r="Q842" s="12" t="str">
        <f t="shared" si="38"/>
        <v/>
      </c>
      <c r="R842" s="50"/>
      <c r="S842" s="50"/>
      <c r="T842" s="50"/>
      <c r="U842" s="53"/>
      <c r="V842" s="54"/>
      <c r="W842" s="56"/>
      <c r="X842" s="119"/>
      <c r="Y842" s="113"/>
      <c r="Z842" s="113"/>
    </row>
    <row r="843">
      <c r="A843" s="38">
        <v>583.0</v>
      </c>
      <c r="B843" s="38"/>
      <c r="C843" s="38"/>
      <c r="D843" s="38"/>
      <c r="E843" s="38" t="s">
        <v>2076</v>
      </c>
      <c r="F843" s="41" t="s">
        <v>2077</v>
      </c>
      <c r="G843" s="43"/>
      <c r="H843" s="45"/>
      <c r="I843" s="38"/>
      <c r="J843" s="38">
        <f>689</f>
        <v>689</v>
      </c>
      <c r="K843" s="46">
        <v>0.0014583333333333334</v>
      </c>
      <c r="L843" s="47" t="s">
        <v>1528</v>
      </c>
      <c r="M843" s="46"/>
      <c r="N843" s="46"/>
      <c r="O843" s="38"/>
      <c r="P843" s="38"/>
      <c r="Q843" s="12" t="str">
        <f t="shared" si="38"/>
        <v/>
      </c>
      <c r="R843" s="50"/>
      <c r="S843" s="50"/>
      <c r="T843" s="50"/>
      <c r="U843" s="53"/>
      <c r="V843" s="54"/>
      <c r="W843" s="56"/>
      <c r="X843" s="119"/>
      <c r="Y843" s="113"/>
      <c r="Z843" s="113"/>
    </row>
    <row r="844">
      <c r="A844" s="38">
        <v>584.0</v>
      </c>
      <c r="B844" s="38"/>
      <c r="C844" s="38"/>
      <c r="D844" s="38"/>
      <c r="E844" s="38" t="s">
        <v>2078</v>
      </c>
      <c r="F844" s="41" t="s">
        <v>2079</v>
      </c>
      <c r="G844" s="43"/>
      <c r="H844" s="45"/>
      <c r="I844" s="38"/>
      <c r="J844" s="38">
        <f>422</f>
        <v>422</v>
      </c>
      <c r="K844" s="46">
        <v>0.002627314814814815</v>
      </c>
      <c r="L844" s="47" t="s">
        <v>1528</v>
      </c>
      <c r="M844" s="46"/>
      <c r="N844" s="46"/>
      <c r="O844" s="38"/>
      <c r="P844" s="38"/>
      <c r="Q844" s="12" t="str">
        <f t="shared" si="38"/>
        <v/>
      </c>
      <c r="R844" s="50"/>
      <c r="S844" s="50"/>
      <c r="T844" s="50"/>
      <c r="U844" s="53"/>
      <c r="V844" s="54"/>
      <c r="W844" s="56"/>
      <c r="X844" s="119"/>
      <c r="Y844" s="113"/>
      <c r="Z844" s="113"/>
    </row>
    <row r="845">
      <c r="A845" s="38">
        <v>585.0</v>
      </c>
      <c r="B845" s="38"/>
      <c r="C845" s="38"/>
      <c r="D845" s="38"/>
      <c r="E845" s="38" t="s">
        <v>2080</v>
      </c>
      <c r="F845" s="41" t="s">
        <v>2081</v>
      </c>
      <c r="G845" s="43"/>
      <c r="H845" s="45"/>
      <c r="I845" s="38"/>
      <c r="J845" s="38">
        <f>393</f>
        <v>393</v>
      </c>
      <c r="K845" s="46">
        <v>0.0020486111111111113</v>
      </c>
      <c r="L845" s="47" t="s">
        <v>1528</v>
      </c>
      <c r="M845" s="46"/>
      <c r="N845" s="46"/>
      <c r="O845" s="38"/>
      <c r="P845" s="38"/>
      <c r="Q845" s="12" t="str">
        <f t="shared" si="38"/>
        <v/>
      </c>
      <c r="R845" s="50"/>
      <c r="S845" s="50"/>
      <c r="T845" s="50"/>
      <c r="U845" s="53"/>
      <c r="V845" s="54"/>
      <c r="W845" s="56"/>
      <c r="X845" s="119"/>
      <c r="Y845" s="113"/>
      <c r="Z845" s="113"/>
    </row>
    <row r="846">
      <c r="A846" s="38">
        <v>586.0</v>
      </c>
      <c r="B846" s="38"/>
      <c r="C846" s="38"/>
      <c r="D846" s="38"/>
      <c r="E846" s="38" t="s">
        <v>2082</v>
      </c>
      <c r="F846" s="41" t="s">
        <v>2083</v>
      </c>
      <c r="G846" s="43"/>
      <c r="H846" s="45"/>
      <c r="I846" s="38"/>
      <c r="J846" s="38">
        <f>397</f>
        <v>397</v>
      </c>
      <c r="K846" s="46">
        <v>0.002013888888888889</v>
      </c>
      <c r="L846" s="47" t="s">
        <v>1528</v>
      </c>
      <c r="M846" s="46"/>
      <c r="N846" s="46"/>
      <c r="O846" s="38"/>
      <c r="P846" s="38"/>
      <c r="Q846" s="12" t="str">
        <f t="shared" si="38"/>
        <v/>
      </c>
      <c r="R846" s="50"/>
      <c r="S846" s="50"/>
      <c r="T846" s="50"/>
      <c r="U846" s="53"/>
      <c r="V846" s="54"/>
      <c r="W846" s="56"/>
      <c r="X846" s="119"/>
      <c r="Y846" s="113"/>
      <c r="Z846" s="113"/>
    </row>
    <row r="847">
      <c r="A847" s="38">
        <v>587.0</v>
      </c>
      <c r="B847" s="38"/>
      <c r="C847" s="38"/>
      <c r="D847" s="38"/>
      <c r="E847" s="38" t="s">
        <v>2084</v>
      </c>
      <c r="F847" s="41" t="s">
        <v>2085</v>
      </c>
      <c r="G847" s="43"/>
      <c r="H847" s="45"/>
      <c r="I847" s="38"/>
      <c r="J847" s="38">
        <f>1*1000</f>
        <v>1000</v>
      </c>
      <c r="K847" s="46">
        <v>0.0016666666666666668</v>
      </c>
      <c r="L847" s="47" t="s">
        <v>1528</v>
      </c>
      <c r="M847" s="46"/>
      <c r="N847" s="46"/>
      <c r="O847" s="38"/>
      <c r="P847" s="38"/>
      <c r="Q847" s="12" t="str">
        <f t="shared" si="38"/>
        <v/>
      </c>
      <c r="R847" s="50"/>
      <c r="S847" s="50"/>
      <c r="T847" s="50"/>
      <c r="U847" s="53"/>
      <c r="V847" s="54"/>
      <c r="W847" s="56"/>
      <c r="X847" s="119"/>
      <c r="Y847" s="113"/>
      <c r="Z847" s="113"/>
    </row>
    <row r="848">
      <c r="A848" s="38">
        <v>588.0</v>
      </c>
      <c r="B848" s="38"/>
      <c r="C848" s="38"/>
      <c r="D848" s="38"/>
      <c r="E848" s="38" t="s">
        <v>2086</v>
      </c>
      <c r="F848" s="41" t="s">
        <v>2087</v>
      </c>
      <c r="G848" s="43"/>
      <c r="H848" s="45"/>
      <c r="I848" s="38"/>
      <c r="J848" s="38">
        <f>506</f>
        <v>506</v>
      </c>
      <c r="K848" s="46">
        <v>0.002916666666666667</v>
      </c>
      <c r="L848" s="47" t="s">
        <v>1528</v>
      </c>
      <c r="M848" s="46"/>
      <c r="N848" s="46"/>
      <c r="O848" s="38"/>
      <c r="P848" s="38"/>
      <c r="Q848" s="12" t="str">
        <f t="shared" si="38"/>
        <v/>
      </c>
      <c r="R848" s="50"/>
      <c r="S848" s="50"/>
      <c r="T848" s="50"/>
      <c r="U848" s="53"/>
      <c r="V848" s="54"/>
      <c r="W848" s="56"/>
      <c r="X848" s="119"/>
      <c r="Y848" s="113"/>
      <c r="Z848" s="113"/>
    </row>
    <row r="849">
      <c r="A849" s="38">
        <v>589.0</v>
      </c>
      <c r="B849" s="38"/>
      <c r="C849" s="38"/>
      <c r="D849" s="38"/>
      <c r="E849" s="38" t="s">
        <v>1521</v>
      </c>
      <c r="F849" s="41" t="s">
        <v>1522</v>
      </c>
      <c r="G849" s="43"/>
      <c r="H849" s="45"/>
      <c r="I849" s="38"/>
      <c r="J849" s="38">
        <f>25*1000</f>
        <v>25000</v>
      </c>
      <c r="K849" s="46">
        <v>0.06903935185185185</v>
      </c>
      <c r="L849" s="47" t="s">
        <v>1528</v>
      </c>
      <c r="M849" s="46"/>
      <c r="N849" s="46"/>
      <c r="O849" s="38"/>
      <c r="P849" s="38"/>
      <c r="Q849" s="12" t="str">
        <f t="shared" si="38"/>
        <v/>
      </c>
      <c r="R849" s="50"/>
      <c r="S849" s="50"/>
      <c r="T849" s="50"/>
      <c r="U849" s="53"/>
      <c r="V849" s="54"/>
      <c r="W849" s="56"/>
      <c r="X849" s="119"/>
      <c r="Y849" s="113"/>
      <c r="Z849" s="113"/>
    </row>
    <row r="850">
      <c r="A850" s="38">
        <v>590.0</v>
      </c>
      <c r="B850" s="38"/>
      <c r="C850" s="38"/>
      <c r="D850" s="38"/>
      <c r="E850" s="38" t="s">
        <v>2088</v>
      </c>
      <c r="F850" s="41" t="s">
        <v>2089</v>
      </c>
      <c r="G850" s="43"/>
      <c r="H850" s="45"/>
      <c r="I850" s="38"/>
      <c r="J850" s="38">
        <f>922</f>
        <v>922</v>
      </c>
      <c r="K850" s="46">
        <v>0.0037962962962962963</v>
      </c>
      <c r="L850" s="47" t="s">
        <v>1528</v>
      </c>
      <c r="M850" s="46"/>
      <c r="N850" s="46"/>
      <c r="O850" s="38"/>
      <c r="P850" s="38"/>
      <c r="Q850" s="12" t="str">
        <f t="shared" si="38"/>
        <v/>
      </c>
      <c r="R850" s="50"/>
      <c r="S850" s="50"/>
      <c r="T850" s="50"/>
      <c r="U850" s="53"/>
      <c r="V850" s="54"/>
      <c r="W850" s="56"/>
      <c r="X850" s="119"/>
      <c r="Y850" s="113"/>
      <c r="Z850" s="113"/>
    </row>
    <row r="851">
      <c r="A851" s="38">
        <v>591.0</v>
      </c>
      <c r="B851" s="38"/>
      <c r="C851" s="38"/>
      <c r="D851" s="38"/>
      <c r="E851" s="38" t="s">
        <v>2090</v>
      </c>
      <c r="F851" s="41" t="s">
        <v>2091</v>
      </c>
      <c r="G851" s="43"/>
      <c r="H851" s="45"/>
      <c r="I851" s="38"/>
      <c r="J851" s="38">
        <f>931</f>
        <v>931</v>
      </c>
      <c r="K851" s="46">
        <v>0.0037152777777777774</v>
      </c>
      <c r="L851" s="47" t="s">
        <v>2092</v>
      </c>
      <c r="M851" s="46"/>
      <c r="N851" s="46"/>
      <c r="O851" s="38"/>
      <c r="P851" s="38"/>
      <c r="Q851" s="12" t="str">
        <f t="shared" si="38"/>
        <v/>
      </c>
      <c r="R851" s="50"/>
      <c r="S851" s="50"/>
      <c r="T851" s="50"/>
      <c r="U851" s="53"/>
      <c r="V851" s="54"/>
      <c r="W851" s="56"/>
      <c r="X851" s="119"/>
      <c r="Y851" s="113"/>
      <c r="Z851" s="113"/>
    </row>
    <row r="852">
      <c r="A852" s="38">
        <v>592.0</v>
      </c>
      <c r="B852" s="38"/>
      <c r="C852" s="38"/>
      <c r="D852" s="38"/>
      <c r="E852" s="38" t="s">
        <v>2093</v>
      </c>
      <c r="F852" s="41" t="s">
        <v>2094</v>
      </c>
      <c r="G852" s="43"/>
      <c r="H852" s="45"/>
      <c r="I852" s="38"/>
      <c r="J852" s="38">
        <f>799</f>
        <v>799</v>
      </c>
      <c r="K852" s="46">
        <v>0.002777777777777778</v>
      </c>
      <c r="L852" s="47" t="s">
        <v>2092</v>
      </c>
      <c r="M852" s="46"/>
      <c r="N852" s="46"/>
      <c r="O852" s="38"/>
      <c r="P852" s="38"/>
      <c r="Q852" s="12" t="str">
        <f t="shared" si="38"/>
        <v/>
      </c>
      <c r="R852" s="50"/>
      <c r="S852" s="50"/>
      <c r="T852" s="50"/>
      <c r="U852" s="53"/>
      <c r="V852" s="54"/>
      <c r="W852" s="56"/>
      <c r="X852" s="119"/>
      <c r="Y852" s="113"/>
      <c r="Z852" s="113"/>
    </row>
    <row r="853">
      <c r="A853" s="38">
        <v>593.0</v>
      </c>
      <c r="B853" s="38"/>
      <c r="C853" s="38"/>
      <c r="D853" s="38"/>
      <c r="E853" s="38" t="s">
        <v>2096</v>
      </c>
      <c r="F853" s="41" t="s">
        <v>2097</v>
      </c>
      <c r="G853" s="43"/>
      <c r="H853" s="45"/>
      <c r="I853" s="38"/>
      <c r="J853" s="38">
        <f>783</f>
        <v>783</v>
      </c>
      <c r="K853" s="46">
        <v>0.0037268518518518514</v>
      </c>
      <c r="L853" s="47" t="s">
        <v>2092</v>
      </c>
      <c r="M853" s="46"/>
      <c r="N853" s="46"/>
      <c r="O853" s="38"/>
      <c r="P853" s="38"/>
      <c r="Q853" s="12" t="str">
        <f t="shared" si="38"/>
        <v/>
      </c>
      <c r="R853" s="50"/>
      <c r="S853" s="50"/>
      <c r="T853" s="50"/>
      <c r="U853" s="53"/>
      <c r="V853" s="54"/>
      <c r="W853" s="56"/>
      <c r="X853" s="119"/>
      <c r="Y853" s="113"/>
      <c r="Z853" s="113"/>
    </row>
    <row r="854">
      <c r="A854" s="38">
        <v>594.0</v>
      </c>
      <c r="B854" s="38"/>
      <c r="C854" s="38"/>
      <c r="D854" s="38"/>
      <c r="E854" s="38" t="s">
        <v>2098</v>
      </c>
      <c r="F854" s="41" t="s">
        <v>2099</v>
      </c>
      <c r="G854" s="43"/>
      <c r="H854" s="45"/>
      <c r="I854" s="38"/>
      <c r="J854" s="38">
        <f>1*1000</f>
        <v>1000</v>
      </c>
      <c r="K854" s="46">
        <v>0.010891203703703703</v>
      </c>
      <c r="L854" s="47" t="s">
        <v>2092</v>
      </c>
      <c r="M854" s="46"/>
      <c r="N854" s="46"/>
      <c r="O854" s="38"/>
      <c r="P854" s="38"/>
      <c r="Q854" s="12" t="str">
        <f t="shared" si="38"/>
        <v/>
      </c>
      <c r="R854" s="50"/>
      <c r="S854" s="50"/>
      <c r="T854" s="50"/>
      <c r="U854" s="53"/>
      <c r="V854" s="54"/>
      <c r="W854" s="56"/>
      <c r="X854" s="119"/>
      <c r="Y854" s="113"/>
      <c r="Z854" s="113"/>
    </row>
    <row r="855">
      <c r="A855" s="38">
        <v>595.0</v>
      </c>
      <c r="B855" s="38"/>
      <c r="C855" s="38"/>
      <c r="D855" s="38"/>
      <c r="E855" s="38" t="s">
        <v>2100</v>
      </c>
      <c r="F855" s="41" t="s">
        <v>2101</v>
      </c>
      <c r="G855" s="43"/>
      <c r="H855" s="45"/>
      <c r="I855" s="38"/>
      <c r="J855" s="38">
        <f>13*1000</f>
        <v>13000</v>
      </c>
      <c r="K855" s="46">
        <v>0.012939814814814814</v>
      </c>
      <c r="L855" s="47" t="s">
        <v>2092</v>
      </c>
      <c r="M855" s="46"/>
      <c r="N855" s="46"/>
      <c r="O855" s="38"/>
      <c r="P855" s="38"/>
      <c r="Q855" s="12" t="str">
        <f t="shared" si="38"/>
        <v/>
      </c>
      <c r="R855" s="50"/>
      <c r="S855" s="50"/>
      <c r="T855" s="50"/>
      <c r="U855" s="53"/>
      <c r="V855" s="54"/>
      <c r="W855" s="56"/>
      <c r="X855" s="119"/>
      <c r="Y855" s="113"/>
      <c r="Z855" s="113"/>
    </row>
    <row r="856">
      <c r="A856" s="38">
        <v>596.0</v>
      </c>
      <c r="B856" s="38"/>
      <c r="C856" s="38"/>
      <c r="D856" s="38"/>
      <c r="E856" s="38" t="s">
        <v>2102</v>
      </c>
      <c r="F856" s="41" t="s">
        <v>2103</v>
      </c>
      <c r="G856" s="43"/>
      <c r="H856" s="45"/>
      <c r="I856" s="38"/>
      <c r="J856" s="38">
        <f>20*1000</f>
        <v>20000</v>
      </c>
      <c r="K856" s="46">
        <v>0.02989583333333333</v>
      </c>
      <c r="L856" s="47" t="s">
        <v>2092</v>
      </c>
      <c r="M856" s="46"/>
      <c r="N856" s="46"/>
      <c r="O856" s="38"/>
      <c r="P856" s="38"/>
      <c r="Q856" s="12" t="str">
        <f t="shared" si="38"/>
        <v/>
      </c>
      <c r="R856" s="50"/>
      <c r="S856" s="50"/>
      <c r="T856" s="50"/>
      <c r="U856" s="53"/>
      <c r="V856" s="54"/>
      <c r="W856" s="56"/>
      <c r="X856" s="119"/>
      <c r="Y856" s="113"/>
      <c r="Z856" s="113"/>
    </row>
    <row r="857">
      <c r="A857" s="38">
        <v>597.0</v>
      </c>
      <c r="B857" s="38"/>
      <c r="C857" s="38"/>
      <c r="D857" s="38"/>
      <c r="E857" s="38" t="s">
        <v>2104</v>
      </c>
      <c r="F857" s="41" t="s">
        <v>2105</v>
      </c>
      <c r="G857" s="43"/>
      <c r="H857" s="45"/>
      <c r="I857" s="38"/>
      <c r="J857" s="38">
        <f>5.6*1000</f>
        <v>5600</v>
      </c>
      <c r="K857" s="46">
        <v>0.01734953703703704</v>
      </c>
      <c r="L857" s="47" t="s">
        <v>2092</v>
      </c>
      <c r="M857" s="46"/>
      <c r="N857" s="46"/>
      <c r="O857" s="38"/>
      <c r="P857" s="38"/>
      <c r="Q857" s="12" t="str">
        <f t="shared" si="38"/>
        <v/>
      </c>
      <c r="R857" s="50"/>
      <c r="S857" s="50"/>
      <c r="T857" s="50"/>
      <c r="U857" s="53"/>
      <c r="V857" s="54"/>
      <c r="W857" s="56"/>
      <c r="X857" s="119"/>
      <c r="Y857" s="113"/>
      <c r="Z857" s="113"/>
    </row>
    <row r="858">
      <c r="A858" s="38">
        <v>598.0</v>
      </c>
      <c r="B858" s="38"/>
      <c r="C858" s="38"/>
      <c r="D858" s="38"/>
      <c r="E858" s="38" t="s">
        <v>2107</v>
      </c>
      <c r="F858" s="41" t="s">
        <v>2108</v>
      </c>
      <c r="G858" s="43"/>
      <c r="H858" s="45"/>
      <c r="I858" s="38"/>
      <c r="J858" s="38">
        <f>909</f>
        <v>909</v>
      </c>
      <c r="K858" s="46">
        <v>0.004930555555555555</v>
      </c>
      <c r="L858" s="47" t="s">
        <v>2092</v>
      </c>
      <c r="M858" s="46"/>
      <c r="N858" s="46"/>
      <c r="O858" s="38"/>
      <c r="P858" s="38"/>
      <c r="Q858" s="12" t="str">
        <f t="shared" si="38"/>
        <v/>
      </c>
      <c r="R858" s="50"/>
      <c r="S858" s="50"/>
      <c r="T858" s="50"/>
      <c r="U858" s="53"/>
      <c r="V858" s="54"/>
      <c r="W858" s="56"/>
      <c r="X858" s="119"/>
      <c r="Y858" s="113"/>
      <c r="Z858" s="113"/>
    </row>
    <row r="859">
      <c r="A859" s="38">
        <v>599.0</v>
      </c>
      <c r="B859" s="38"/>
      <c r="C859" s="38"/>
      <c r="D859" s="38"/>
      <c r="E859" s="38" t="s">
        <v>2110</v>
      </c>
      <c r="F859" s="41" t="s">
        <v>2111</v>
      </c>
      <c r="G859" s="43"/>
      <c r="H859" s="45"/>
      <c r="I859" s="38"/>
      <c r="J859" s="38">
        <f>366</f>
        <v>366</v>
      </c>
      <c r="K859" s="46">
        <v>0.003969907407407407</v>
      </c>
      <c r="L859" s="47" t="s">
        <v>2092</v>
      </c>
      <c r="M859" s="46"/>
      <c r="N859" s="46"/>
      <c r="O859" s="38"/>
      <c r="P859" s="38"/>
      <c r="Q859" s="12" t="str">
        <f t="shared" si="38"/>
        <v/>
      </c>
      <c r="R859" s="50"/>
      <c r="S859" s="50"/>
      <c r="T859" s="50"/>
      <c r="U859" s="53"/>
      <c r="V859" s="54"/>
      <c r="W859" s="56"/>
      <c r="X859" s="119"/>
      <c r="Y859" s="113"/>
      <c r="Z859" s="113"/>
    </row>
    <row r="860">
      <c r="A860" s="38">
        <v>600.0</v>
      </c>
      <c r="B860" s="38"/>
      <c r="C860" s="38"/>
      <c r="D860" s="38"/>
      <c r="E860" s="38" t="s">
        <v>2112</v>
      </c>
      <c r="F860" s="41" t="s">
        <v>2113</v>
      </c>
      <c r="G860" s="43"/>
      <c r="H860" s="45"/>
      <c r="I860" s="38"/>
      <c r="J860" s="38">
        <f>559</f>
        <v>559</v>
      </c>
      <c r="K860" s="46">
        <v>0.0018287037037037037</v>
      </c>
      <c r="L860" s="47" t="s">
        <v>2092</v>
      </c>
      <c r="M860" s="46"/>
      <c r="N860" s="46"/>
      <c r="O860" s="38"/>
      <c r="P860" s="38"/>
      <c r="Q860" s="12" t="str">
        <f t="shared" si="38"/>
        <v/>
      </c>
      <c r="R860" s="50"/>
      <c r="S860" s="50"/>
      <c r="T860" s="50"/>
      <c r="U860" s="53"/>
      <c r="V860" s="54"/>
      <c r="W860" s="56"/>
      <c r="X860" s="119"/>
      <c r="Y860" s="113"/>
      <c r="Z860" s="113"/>
    </row>
    <row r="861">
      <c r="A861" s="38">
        <v>601.0</v>
      </c>
      <c r="B861" s="38"/>
      <c r="C861" s="38"/>
      <c r="D861" s="38"/>
      <c r="E861" s="38" t="s">
        <v>2114</v>
      </c>
      <c r="F861" s="41" t="s">
        <v>2115</v>
      </c>
      <c r="G861" s="43"/>
      <c r="H861" s="45"/>
      <c r="I861" s="38"/>
      <c r="J861" s="38">
        <f>511</f>
        <v>511</v>
      </c>
      <c r="K861" s="46">
        <v>0.0017824074074074072</v>
      </c>
      <c r="L861" s="47" t="s">
        <v>2092</v>
      </c>
      <c r="M861" s="46"/>
      <c r="N861" s="46"/>
      <c r="O861" s="38"/>
      <c r="P861" s="38"/>
      <c r="Q861" s="12" t="str">
        <f t="shared" si="38"/>
        <v/>
      </c>
      <c r="R861" s="50"/>
      <c r="S861" s="50"/>
      <c r="T861" s="50"/>
      <c r="U861" s="53"/>
      <c r="V861" s="54"/>
      <c r="W861" s="56"/>
      <c r="X861" s="119"/>
      <c r="Y861" s="113"/>
      <c r="Z861" s="113"/>
    </row>
    <row r="862">
      <c r="A862" s="38">
        <v>602.0</v>
      </c>
      <c r="B862" s="38"/>
      <c r="C862" s="38"/>
      <c r="D862" s="38"/>
      <c r="E862" s="38" t="s">
        <v>2116</v>
      </c>
      <c r="F862" s="41" t="s">
        <v>2117</v>
      </c>
      <c r="G862" s="43"/>
      <c r="H862" s="45"/>
      <c r="I862" s="38"/>
      <c r="J862" s="38">
        <f t="shared" ref="J862:J863" si="46">1*1000</f>
        <v>1000</v>
      </c>
      <c r="K862" s="46">
        <v>0.005648148148148148</v>
      </c>
      <c r="L862" s="47" t="s">
        <v>2092</v>
      </c>
      <c r="M862" s="46"/>
      <c r="N862" s="46"/>
      <c r="O862" s="38"/>
      <c r="P862" s="38"/>
      <c r="Q862" s="12" t="str">
        <f t="shared" si="38"/>
        <v/>
      </c>
      <c r="R862" s="50"/>
      <c r="S862" s="50"/>
      <c r="T862" s="50"/>
      <c r="U862" s="53"/>
      <c r="V862" s="54"/>
      <c r="W862" s="56"/>
      <c r="X862" s="119"/>
      <c r="Y862" s="113"/>
      <c r="Z862" s="113"/>
    </row>
    <row r="863">
      <c r="A863" s="38">
        <v>603.0</v>
      </c>
      <c r="B863" s="38"/>
      <c r="C863" s="38"/>
      <c r="D863" s="38"/>
      <c r="E863" s="38" t="s">
        <v>2118</v>
      </c>
      <c r="F863" s="41" t="s">
        <v>2119</v>
      </c>
      <c r="G863" s="43"/>
      <c r="H863" s="45"/>
      <c r="I863" s="38"/>
      <c r="J863" s="38">
        <f t="shared" si="46"/>
        <v>1000</v>
      </c>
      <c r="K863" s="46">
        <v>0.001979166666666667</v>
      </c>
      <c r="L863" s="47" t="s">
        <v>2092</v>
      </c>
      <c r="M863" s="46"/>
      <c r="N863" s="46"/>
      <c r="O863" s="38"/>
      <c r="P863" s="38"/>
      <c r="Q863" s="12" t="str">
        <f t="shared" si="38"/>
        <v/>
      </c>
      <c r="R863" s="50"/>
      <c r="S863" s="50"/>
      <c r="T863" s="50"/>
      <c r="U863" s="53"/>
      <c r="V863" s="54"/>
      <c r="W863" s="56"/>
      <c r="X863" s="119"/>
      <c r="Y863" s="113"/>
      <c r="Z863" s="113"/>
    </row>
    <row r="864">
      <c r="A864" s="38">
        <v>604.0</v>
      </c>
      <c r="B864" s="38"/>
      <c r="C864" s="38"/>
      <c r="D864" s="38"/>
      <c r="E864" s="38" t="s">
        <v>2120</v>
      </c>
      <c r="F864" s="41" t="s">
        <v>2121</v>
      </c>
      <c r="G864" s="43"/>
      <c r="H864" s="45"/>
      <c r="I864" s="38"/>
      <c r="J864" s="38">
        <f>1.7*1000</f>
        <v>1700</v>
      </c>
      <c r="K864" s="46">
        <v>0.003935185185185186</v>
      </c>
      <c r="L864" s="47" t="s">
        <v>2092</v>
      </c>
      <c r="M864" s="46"/>
      <c r="N864" s="46"/>
      <c r="O864" s="38"/>
      <c r="P864" s="38"/>
      <c r="Q864" s="12" t="str">
        <f t="shared" si="38"/>
        <v/>
      </c>
      <c r="R864" s="50"/>
      <c r="S864" s="50"/>
      <c r="T864" s="50"/>
      <c r="U864" s="53"/>
      <c r="V864" s="54"/>
      <c r="W864" s="56"/>
      <c r="X864" s="119"/>
      <c r="Y864" s="113"/>
      <c r="Z864" s="113"/>
    </row>
    <row r="865">
      <c r="A865" s="38">
        <v>605.0</v>
      </c>
      <c r="B865" s="38"/>
      <c r="C865" s="38"/>
      <c r="D865" s="38"/>
      <c r="E865" s="38" t="s">
        <v>2122</v>
      </c>
      <c r="F865" s="41" t="s">
        <v>2123</v>
      </c>
      <c r="G865" s="43"/>
      <c r="H865" s="45"/>
      <c r="I865" s="38"/>
      <c r="J865" s="38">
        <f>429</f>
        <v>429</v>
      </c>
      <c r="K865" s="46">
        <v>0.001597222222222222</v>
      </c>
      <c r="L865" s="47" t="s">
        <v>2092</v>
      </c>
      <c r="M865" s="46"/>
      <c r="N865" s="46"/>
      <c r="O865" s="38"/>
      <c r="P865" s="38"/>
      <c r="Q865" s="12" t="str">
        <f t="shared" si="38"/>
        <v/>
      </c>
      <c r="R865" s="50"/>
      <c r="S865" s="50"/>
      <c r="T865" s="50"/>
      <c r="U865" s="53"/>
      <c r="V865" s="54"/>
      <c r="W865" s="56"/>
      <c r="X865" s="119"/>
      <c r="Y865" s="113"/>
      <c r="Z865" s="113"/>
    </row>
    <row r="866">
      <c r="A866" s="38">
        <v>606.0</v>
      </c>
      <c r="B866" s="38"/>
      <c r="C866" s="38"/>
      <c r="D866" s="38"/>
      <c r="E866" s="38" t="s">
        <v>2124</v>
      </c>
      <c r="F866" s="41" t="s">
        <v>2125</v>
      </c>
      <c r="G866" s="43"/>
      <c r="H866" s="45"/>
      <c r="I866" s="38"/>
      <c r="J866" s="38">
        <f>2.1*1000</f>
        <v>2100</v>
      </c>
      <c r="K866" s="46">
        <v>0.001979166666666667</v>
      </c>
      <c r="L866" s="47" t="s">
        <v>2092</v>
      </c>
      <c r="M866" s="46"/>
      <c r="N866" s="46"/>
      <c r="O866" s="38"/>
      <c r="P866" s="38"/>
      <c r="Q866" s="12" t="str">
        <f t="shared" si="38"/>
        <v/>
      </c>
      <c r="R866" s="50"/>
      <c r="S866" s="50"/>
      <c r="T866" s="50"/>
      <c r="U866" s="53"/>
      <c r="V866" s="54"/>
      <c r="W866" s="56"/>
      <c r="X866" s="119"/>
      <c r="Y866" s="113"/>
      <c r="Z866" s="113"/>
    </row>
    <row r="867">
      <c r="A867" s="38">
        <v>607.0</v>
      </c>
      <c r="B867" s="38"/>
      <c r="C867" s="38"/>
      <c r="D867" s="38"/>
      <c r="E867" s="38" t="s">
        <v>2126</v>
      </c>
      <c r="F867" s="41" t="s">
        <v>2127</v>
      </c>
      <c r="G867" s="43"/>
      <c r="H867" s="45"/>
      <c r="I867" s="38"/>
      <c r="J867" s="38">
        <f>468</f>
        <v>468</v>
      </c>
      <c r="K867" s="46">
        <v>8.796296296296296E-4</v>
      </c>
      <c r="L867" s="47" t="s">
        <v>2092</v>
      </c>
      <c r="M867" s="46"/>
      <c r="N867" s="46"/>
      <c r="O867" s="38"/>
      <c r="P867" s="38"/>
      <c r="Q867" s="12" t="str">
        <f t="shared" si="38"/>
        <v/>
      </c>
      <c r="R867" s="50"/>
      <c r="S867" s="50"/>
      <c r="T867" s="50"/>
      <c r="U867" s="53"/>
      <c r="V867" s="54"/>
      <c r="W867" s="56"/>
      <c r="X867" s="119"/>
      <c r="Y867" s="113"/>
      <c r="Z867" s="113"/>
    </row>
    <row r="868">
      <c r="A868" s="38">
        <v>608.0</v>
      </c>
      <c r="B868" s="38"/>
      <c r="C868" s="38"/>
      <c r="D868" s="38"/>
      <c r="E868" s="38" t="s">
        <v>2128</v>
      </c>
      <c r="F868" s="41" t="s">
        <v>2129</v>
      </c>
      <c r="G868" s="43"/>
      <c r="H868" s="45"/>
      <c r="I868" s="38"/>
      <c r="J868" s="38">
        <f>833</f>
        <v>833</v>
      </c>
      <c r="K868" s="46">
        <v>0.001990740740740741</v>
      </c>
      <c r="L868" s="47" t="s">
        <v>2092</v>
      </c>
      <c r="M868" s="46"/>
      <c r="N868" s="46"/>
      <c r="O868" s="38"/>
      <c r="P868" s="38"/>
      <c r="Q868" s="12" t="str">
        <f t="shared" si="38"/>
        <v/>
      </c>
      <c r="R868" s="50"/>
      <c r="S868" s="50"/>
      <c r="T868" s="50"/>
      <c r="U868" s="53"/>
      <c r="V868" s="54"/>
      <c r="W868" s="56"/>
      <c r="X868" s="119"/>
      <c r="Y868" s="113"/>
      <c r="Z868" s="113"/>
    </row>
    <row r="869">
      <c r="A869" s="38">
        <v>609.0</v>
      </c>
      <c r="B869" s="38"/>
      <c r="C869" s="38"/>
      <c r="D869" s="38"/>
      <c r="E869" s="38" t="s">
        <v>2130</v>
      </c>
      <c r="F869" s="41" t="s">
        <v>2131</v>
      </c>
      <c r="G869" s="43"/>
      <c r="H869" s="45"/>
      <c r="I869" s="38"/>
      <c r="J869" s="38">
        <f>32*1000</f>
        <v>32000</v>
      </c>
      <c r="K869" s="46">
        <v>0.03890046296296296</v>
      </c>
      <c r="L869" s="47" t="s">
        <v>2092</v>
      </c>
      <c r="M869" s="46"/>
      <c r="N869" s="46"/>
      <c r="O869" s="38"/>
      <c r="P869" s="38"/>
      <c r="Q869" s="12" t="str">
        <f t="shared" si="38"/>
        <v/>
      </c>
      <c r="R869" s="50"/>
      <c r="S869" s="50"/>
      <c r="T869" s="50"/>
      <c r="U869" s="53"/>
      <c r="V869" s="54"/>
      <c r="W869" s="56"/>
      <c r="X869" s="119"/>
      <c r="Y869" s="113"/>
      <c r="Z869" s="113"/>
    </row>
    <row r="870">
      <c r="A870" s="38">
        <v>610.0</v>
      </c>
      <c r="B870" s="38"/>
      <c r="C870" s="38"/>
      <c r="D870" s="38"/>
      <c r="E870" s="38" t="s">
        <v>2132</v>
      </c>
      <c r="F870" s="41" t="s">
        <v>2133</v>
      </c>
      <c r="G870" s="43"/>
      <c r="H870" s="45"/>
      <c r="I870" s="38"/>
      <c r="J870" s="38">
        <f>14*1000</f>
        <v>14000</v>
      </c>
      <c r="K870" s="46">
        <v>0.011423611111111112</v>
      </c>
      <c r="L870" s="47" t="s">
        <v>2092</v>
      </c>
      <c r="M870" s="46"/>
      <c r="N870" s="46"/>
      <c r="O870" s="38"/>
      <c r="P870" s="38"/>
      <c r="Q870" s="12" t="str">
        <f t="shared" si="38"/>
        <v/>
      </c>
      <c r="R870" s="50"/>
      <c r="S870" s="50"/>
      <c r="T870" s="50"/>
      <c r="U870" s="53"/>
      <c r="V870" s="54"/>
      <c r="W870" s="56"/>
      <c r="X870" s="119"/>
      <c r="Y870" s="113"/>
      <c r="Z870" s="113"/>
    </row>
    <row r="871">
      <c r="A871" s="38">
        <v>611.0</v>
      </c>
      <c r="B871" s="38"/>
      <c r="C871" s="38"/>
      <c r="D871" s="38"/>
      <c r="E871" s="38" t="s">
        <v>2134</v>
      </c>
      <c r="F871" s="41" t="s">
        <v>2135</v>
      </c>
      <c r="G871" s="43"/>
      <c r="H871" s="45"/>
      <c r="I871" s="38"/>
      <c r="J871" s="38">
        <f>617</f>
        <v>617</v>
      </c>
      <c r="K871" s="46">
        <v>0.005648148148148148</v>
      </c>
      <c r="L871" s="47" t="s">
        <v>2092</v>
      </c>
      <c r="M871" s="46"/>
      <c r="N871" s="46"/>
      <c r="O871" s="38"/>
      <c r="P871" s="38"/>
      <c r="Q871" s="12" t="str">
        <f t="shared" si="38"/>
        <v/>
      </c>
      <c r="R871" s="50"/>
      <c r="S871" s="50"/>
      <c r="T871" s="50"/>
      <c r="U871" s="53"/>
      <c r="V871" s="54"/>
      <c r="W871" s="56"/>
      <c r="X871" s="119"/>
      <c r="Y871" s="113"/>
      <c r="Z871" s="113"/>
    </row>
    <row r="872">
      <c r="A872" s="38">
        <v>612.0</v>
      </c>
      <c r="B872" s="38"/>
      <c r="C872" s="38"/>
      <c r="D872" s="38"/>
      <c r="E872" s="38" t="s">
        <v>2136</v>
      </c>
      <c r="F872" s="41" t="s">
        <v>2137</v>
      </c>
      <c r="G872" s="43"/>
      <c r="H872" s="45"/>
      <c r="I872" s="38"/>
      <c r="J872" s="38">
        <f>8.2*1000</f>
        <v>8200</v>
      </c>
      <c r="K872" s="46">
        <v>0.04362268518518519</v>
      </c>
      <c r="L872" s="47" t="s">
        <v>2092</v>
      </c>
      <c r="M872" s="46"/>
      <c r="N872" s="46"/>
      <c r="O872" s="38"/>
      <c r="P872" s="38"/>
      <c r="Q872" s="12" t="str">
        <f t="shared" si="38"/>
        <v/>
      </c>
      <c r="R872" s="50"/>
      <c r="S872" s="50"/>
      <c r="T872" s="50"/>
      <c r="U872" s="53"/>
      <c r="V872" s="54"/>
      <c r="W872" s="56"/>
      <c r="X872" s="119"/>
      <c r="Y872" s="113"/>
      <c r="Z872" s="113"/>
    </row>
    <row r="873">
      <c r="A873" s="38">
        <v>613.0</v>
      </c>
      <c r="B873" s="38"/>
      <c r="C873" s="38"/>
      <c r="D873" s="38"/>
      <c r="E873" s="38" t="s">
        <v>2138</v>
      </c>
      <c r="F873" s="41" t="s">
        <v>2139</v>
      </c>
      <c r="G873" s="43"/>
      <c r="H873" s="45"/>
      <c r="I873" s="38"/>
      <c r="J873" s="38">
        <f>878</f>
        <v>878</v>
      </c>
      <c r="K873" s="46">
        <v>0.0032870370370370367</v>
      </c>
      <c r="L873" s="47" t="s">
        <v>2092</v>
      </c>
      <c r="M873" s="46"/>
      <c r="N873" s="46"/>
      <c r="O873" s="38"/>
      <c r="P873" s="38"/>
      <c r="Q873" s="12" t="str">
        <f t="shared" si="38"/>
        <v/>
      </c>
      <c r="R873" s="50"/>
      <c r="S873" s="50"/>
      <c r="T873" s="50"/>
      <c r="U873" s="53"/>
      <c r="V873" s="54"/>
      <c r="W873" s="56"/>
      <c r="X873" s="119"/>
      <c r="Y873" s="113"/>
      <c r="Z873" s="113"/>
    </row>
    <row r="874">
      <c r="A874" s="38">
        <v>614.0</v>
      </c>
      <c r="B874" s="38"/>
      <c r="C874" s="38"/>
      <c r="D874" s="38"/>
      <c r="E874" s="38" t="s">
        <v>2140</v>
      </c>
      <c r="F874" s="41" t="s">
        <v>2141</v>
      </c>
      <c r="G874" s="43"/>
      <c r="H874" s="45"/>
      <c r="I874" s="38"/>
      <c r="J874" s="38">
        <f>2.7*1000</f>
        <v>2700</v>
      </c>
      <c r="K874" s="46">
        <v>0.003483796296296296</v>
      </c>
      <c r="L874" s="47" t="s">
        <v>2092</v>
      </c>
      <c r="M874" s="46"/>
      <c r="N874" s="46"/>
      <c r="O874" s="38"/>
      <c r="P874" s="38"/>
      <c r="Q874" s="12" t="str">
        <f t="shared" si="38"/>
        <v/>
      </c>
      <c r="R874" s="50"/>
      <c r="S874" s="50"/>
      <c r="T874" s="50"/>
      <c r="U874" s="53"/>
      <c r="V874" s="54"/>
      <c r="W874" s="56"/>
      <c r="X874" s="119"/>
      <c r="Y874" s="113"/>
      <c r="Z874" s="113"/>
    </row>
    <row r="875">
      <c r="A875" s="38">
        <v>615.0</v>
      </c>
      <c r="B875" s="38"/>
      <c r="C875" s="38"/>
      <c r="D875" s="38"/>
      <c r="E875" s="38" t="s">
        <v>2142</v>
      </c>
      <c r="F875" s="41" t="s">
        <v>2143</v>
      </c>
      <c r="G875" s="43"/>
      <c r="H875" s="45"/>
      <c r="I875" s="38"/>
      <c r="J875" s="38">
        <f>4.3*1000</f>
        <v>4300</v>
      </c>
      <c r="K875" s="46">
        <v>0.05004629629629629</v>
      </c>
      <c r="L875" s="47" t="s">
        <v>2092</v>
      </c>
      <c r="M875" s="46"/>
      <c r="N875" s="46"/>
      <c r="O875" s="38"/>
      <c r="P875" s="38"/>
      <c r="Q875" s="12" t="str">
        <f t="shared" si="38"/>
        <v/>
      </c>
      <c r="R875" s="50"/>
      <c r="S875" s="50"/>
      <c r="T875" s="50"/>
      <c r="U875" s="53"/>
      <c r="V875" s="54"/>
      <c r="W875" s="56"/>
      <c r="X875" s="119"/>
      <c r="Y875" s="113"/>
      <c r="Z875" s="113"/>
    </row>
    <row r="876">
      <c r="A876" s="38">
        <v>616.0</v>
      </c>
      <c r="B876" s="38"/>
      <c r="C876" s="38"/>
      <c r="D876" s="38"/>
      <c r="E876" s="38" t="s">
        <v>2144</v>
      </c>
      <c r="F876" s="41" t="s">
        <v>2145</v>
      </c>
      <c r="G876" s="43"/>
      <c r="H876" s="45"/>
      <c r="I876" s="38"/>
      <c r="J876" s="38">
        <f>8.9*1000</f>
        <v>8900</v>
      </c>
      <c r="K876" s="46">
        <v>0.03881944444444444</v>
      </c>
      <c r="L876" s="47" t="s">
        <v>1260</v>
      </c>
      <c r="M876" s="46"/>
      <c r="N876" s="46"/>
      <c r="O876" s="38"/>
      <c r="P876" s="38"/>
      <c r="Q876" s="12" t="str">
        <f t="shared" si="38"/>
        <v/>
      </c>
      <c r="R876" s="50"/>
      <c r="S876" s="50"/>
      <c r="T876" s="50"/>
      <c r="U876" s="53"/>
      <c r="V876" s="54"/>
      <c r="W876" s="56"/>
      <c r="X876" s="119"/>
      <c r="Y876" s="113"/>
      <c r="Z876" s="113"/>
    </row>
    <row r="877">
      <c r="A877" s="38">
        <v>617.0</v>
      </c>
      <c r="B877" s="38"/>
      <c r="C877" s="38"/>
      <c r="D877" s="38"/>
      <c r="E877" s="38" t="s">
        <v>2146</v>
      </c>
      <c r="F877" s="41" t="s">
        <v>2147</v>
      </c>
      <c r="G877" s="43"/>
      <c r="H877" s="45"/>
      <c r="I877" s="38"/>
      <c r="J877" s="38">
        <f>72*1000</f>
        <v>72000</v>
      </c>
      <c r="K877" s="46">
        <v>0.11864583333333334</v>
      </c>
      <c r="L877" s="47" t="s">
        <v>1260</v>
      </c>
      <c r="M877" s="46"/>
      <c r="N877" s="46"/>
      <c r="O877" s="38"/>
      <c r="P877" s="38"/>
      <c r="Q877" s="12" t="str">
        <f t="shared" si="38"/>
        <v/>
      </c>
      <c r="R877" s="50"/>
      <c r="S877" s="50"/>
      <c r="T877" s="50"/>
      <c r="U877" s="53"/>
      <c r="V877" s="54"/>
      <c r="W877" s="56"/>
      <c r="X877" s="119"/>
      <c r="Y877" s="113"/>
      <c r="Z877" s="113"/>
    </row>
    <row r="878">
      <c r="A878" s="38">
        <v>618.0</v>
      </c>
      <c r="B878" s="38"/>
      <c r="C878" s="38"/>
      <c r="D878" s="38"/>
      <c r="E878" s="38" t="s">
        <v>2148</v>
      </c>
      <c r="F878" s="41" t="s">
        <v>2149</v>
      </c>
      <c r="G878" s="43"/>
      <c r="H878" s="45"/>
      <c r="I878" s="38"/>
      <c r="J878" s="38">
        <f>12*1000</f>
        <v>12000</v>
      </c>
      <c r="K878" s="46">
        <v>0.03270833333333333</v>
      </c>
      <c r="L878" s="47" t="s">
        <v>1260</v>
      </c>
      <c r="M878" s="46"/>
      <c r="N878" s="46"/>
      <c r="O878" s="38"/>
      <c r="P878" s="38"/>
      <c r="Q878" s="12" t="str">
        <f t="shared" si="38"/>
        <v/>
      </c>
      <c r="R878" s="50"/>
      <c r="S878" s="50"/>
      <c r="T878" s="50"/>
      <c r="U878" s="53"/>
      <c r="V878" s="54"/>
      <c r="W878" s="56"/>
      <c r="X878" s="119"/>
      <c r="Y878" s="113"/>
      <c r="Z878" s="113"/>
    </row>
    <row r="879">
      <c r="A879" s="38">
        <v>619.0</v>
      </c>
      <c r="B879" s="38"/>
      <c r="C879" s="38"/>
      <c r="D879" s="38"/>
      <c r="E879" s="38" t="s">
        <v>2150</v>
      </c>
      <c r="F879" s="41" t="s">
        <v>2151</v>
      </c>
      <c r="G879" s="43"/>
      <c r="H879" s="45"/>
      <c r="I879" s="38"/>
      <c r="J879" s="38">
        <f>657</f>
        <v>657</v>
      </c>
      <c r="K879" s="46">
        <v>0.0037847222222222223</v>
      </c>
      <c r="L879" s="47" t="s">
        <v>1260</v>
      </c>
      <c r="M879" s="46"/>
      <c r="N879" s="46"/>
      <c r="O879" s="38"/>
      <c r="P879" s="38"/>
      <c r="Q879" s="12" t="str">
        <f t="shared" si="38"/>
        <v/>
      </c>
      <c r="R879" s="50"/>
      <c r="S879" s="50"/>
      <c r="T879" s="50"/>
      <c r="U879" s="53"/>
      <c r="V879" s="54"/>
      <c r="W879" s="56"/>
      <c r="X879" s="119"/>
      <c r="Y879" s="113"/>
      <c r="Z879" s="113"/>
    </row>
    <row r="880">
      <c r="A880" s="38">
        <v>620.0</v>
      </c>
      <c r="B880" s="38"/>
      <c r="C880" s="38"/>
      <c r="D880" s="38"/>
      <c r="E880" s="38" t="s">
        <v>2152</v>
      </c>
      <c r="F880" s="41" t="s">
        <v>2153</v>
      </c>
      <c r="G880" s="43"/>
      <c r="H880" s="45"/>
      <c r="I880" s="38"/>
      <c r="J880" s="38">
        <f>624</f>
        <v>624</v>
      </c>
      <c r="K880" s="46">
        <v>6.25E-4</v>
      </c>
      <c r="L880" s="47" t="s">
        <v>1260</v>
      </c>
      <c r="M880" s="46"/>
      <c r="N880" s="46"/>
      <c r="O880" s="38"/>
      <c r="P880" s="38"/>
      <c r="Q880" s="12" t="str">
        <f t="shared" si="38"/>
        <v/>
      </c>
      <c r="R880" s="50"/>
      <c r="S880" s="50"/>
      <c r="T880" s="50"/>
      <c r="U880" s="53"/>
      <c r="V880" s="54"/>
      <c r="W880" s="56"/>
      <c r="X880" s="119"/>
      <c r="Y880" s="113"/>
      <c r="Z880" s="113"/>
    </row>
    <row r="881">
      <c r="A881" s="38">
        <v>621.0</v>
      </c>
      <c r="B881" s="38"/>
      <c r="C881" s="38"/>
      <c r="D881" s="38"/>
      <c r="E881" s="38" t="s">
        <v>2154</v>
      </c>
      <c r="F881" s="41" t="s">
        <v>2155</v>
      </c>
      <c r="G881" s="43"/>
      <c r="H881" s="45"/>
      <c r="I881" s="38"/>
      <c r="J881" s="38">
        <f>461</f>
        <v>461</v>
      </c>
      <c r="K881" s="46">
        <v>0.0013078703703703705</v>
      </c>
      <c r="L881" s="47" t="s">
        <v>1260</v>
      </c>
      <c r="M881" s="46"/>
      <c r="N881" s="46"/>
      <c r="O881" s="38"/>
      <c r="P881" s="38"/>
      <c r="Q881" s="12" t="str">
        <f t="shared" si="38"/>
        <v/>
      </c>
      <c r="R881" s="50"/>
      <c r="S881" s="50"/>
      <c r="T881" s="50"/>
      <c r="U881" s="53"/>
      <c r="V881" s="54"/>
      <c r="W881" s="56"/>
      <c r="X881" s="119"/>
      <c r="Y881" s="113"/>
      <c r="Z881" s="113"/>
    </row>
    <row r="882">
      <c r="A882" s="38">
        <v>622.0</v>
      </c>
      <c r="B882" s="38"/>
      <c r="C882" s="38"/>
      <c r="D882" s="38"/>
      <c r="E882" s="38" t="s">
        <v>2156</v>
      </c>
      <c r="F882" s="41" t="s">
        <v>2157</v>
      </c>
      <c r="G882" s="43"/>
      <c r="H882" s="45"/>
      <c r="I882" s="38"/>
      <c r="J882" s="38">
        <f>369</f>
        <v>369</v>
      </c>
      <c r="K882" s="46">
        <v>0.002546296296296296</v>
      </c>
      <c r="L882" s="47" t="s">
        <v>1260</v>
      </c>
      <c r="M882" s="46"/>
      <c r="N882" s="46"/>
      <c r="O882" s="38"/>
      <c r="P882" s="38"/>
      <c r="Q882" s="12" t="str">
        <f t="shared" si="38"/>
        <v/>
      </c>
      <c r="R882" s="50"/>
      <c r="S882" s="50"/>
      <c r="T882" s="50"/>
      <c r="U882" s="53"/>
      <c r="V882" s="54"/>
      <c r="W882" s="56"/>
      <c r="X882" s="119"/>
      <c r="Y882" s="113"/>
      <c r="Z882" s="113"/>
    </row>
    <row r="883">
      <c r="A883" s="38">
        <v>623.0</v>
      </c>
      <c r="B883" s="38"/>
      <c r="C883" s="38"/>
      <c r="D883" s="38"/>
      <c r="E883" s="38" t="s">
        <v>2158</v>
      </c>
      <c r="F883" s="41" t="s">
        <v>2159</v>
      </c>
      <c r="G883" s="43"/>
      <c r="H883" s="45"/>
      <c r="I883" s="38"/>
      <c r="J883" s="38">
        <f>554</f>
        <v>554</v>
      </c>
      <c r="K883" s="46">
        <v>0.0053125</v>
      </c>
      <c r="L883" s="47" t="s">
        <v>1260</v>
      </c>
      <c r="M883" s="46"/>
      <c r="N883" s="46"/>
      <c r="O883" s="38"/>
      <c r="P883" s="38"/>
      <c r="Q883" s="12" t="str">
        <f t="shared" si="38"/>
        <v/>
      </c>
      <c r="R883" s="50"/>
      <c r="S883" s="50"/>
      <c r="T883" s="50"/>
      <c r="U883" s="53"/>
      <c r="V883" s="54"/>
      <c r="W883" s="56"/>
      <c r="X883" s="119"/>
      <c r="Y883" s="113"/>
      <c r="Z883" s="113"/>
    </row>
    <row r="884">
      <c r="A884" s="38">
        <v>624.0</v>
      </c>
      <c r="B884" s="38"/>
      <c r="C884" s="38"/>
      <c r="D884" s="38"/>
      <c r="E884" s="38" t="s">
        <v>1256</v>
      </c>
      <c r="F884" s="41" t="s">
        <v>1257</v>
      </c>
      <c r="G884" s="43"/>
      <c r="H884" s="45"/>
      <c r="I884" s="38"/>
      <c r="J884" s="38">
        <f>8.5*1000</f>
        <v>8500</v>
      </c>
      <c r="K884" s="46">
        <v>0.05704861111111111</v>
      </c>
      <c r="L884" s="47" t="s">
        <v>1260</v>
      </c>
      <c r="M884" s="46"/>
      <c r="N884" s="46"/>
      <c r="O884" s="38"/>
      <c r="P884" s="38"/>
      <c r="Q884" s="12" t="str">
        <f t="shared" si="38"/>
        <v/>
      </c>
      <c r="R884" s="50"/>
      <c r="S884" s="50"/>
      <c r="T884" s="50"/>
      <c r="U884" s="53"/>
      <c r="V884" s="54"/>
      <c r="W884" s="56"/>
      <c r="X884" s="119"/>
      <c r="Y884" s="113"/>
      <c r="Z884" s="113"/>
    </row>
    <row r="885">
      <c r="A885" s="38">
        <v>625.0</v>
      </c>
      <c r="B885" s="38"/>
      <c r="C885" s="38"/>
      <c r="D885" s="38"/>
      <c r="E885" s="38" t="s">
        <v>2160</v>
      </c>
      <c r="F885" s="41" t="s">
        <v>2161</v>
      </c>
      <c r="G885" s="43"/>
      <c r="H885" s="45"/>
      <c r="I885" s="38"/>
      <c r="J885" s="38">
        <f>686</f>
        <v>686</v>
      </c>
      <c r="K885" s="46">
        <v>8.333333333333334E-4</v>
      </c>
      <c r="L885" s="47" t="s">
        <v>1260</v>
      </c>
      <c r="M885" s="46"/>
      <c r="N885" s="46"/>
      <c r="O885" s="38"/>
      <c r="P885" s="38"/>
      <c r="Q885" s="12" t="str">
        <f t="shared" si="38"/>
        <v/>
      </c>
      <c r="R885" s="50"/>
      <c r="S885" s="50"/>
      <c r="T885" s="50"/>
      <c r="U885" s="53"/>
      <c r="V885" s="54"/>
      <c r="W885" s="56"/>
      <c r="X885" s="119"/>
      <c r="Y885" s="113"/>
      <c r="Z885" s="113"/>
    </row>
    <row r="886">
      <c r="A886" s="38">
        <v>626.0</v>
      </c>
      <c r="B886" s="38"/>
      <c r="C886" s="38"/>
      <c r="D886" s="38"/>
      <c r="E886" s="38" t="s">
        <v>2162</v>
      </c>
      <c r="F886" s="41" t="s">
        <v>2163</v>
      </c>
      <c r="G886" s="43"/>
      <c r="H886" s="45"/>
      <c r="I886" s="38"/>
      <c r="J886" s="38">
        <f>7.1*1000</f>
        <v>7100</v>
      </c>
      <c r="K886" s="46">
        <v>0.04221064814814815</v>
      </c>
      <c r="L886" s="47" t="s">
        <v>1260</v>
      </c>
      <c r="M886" s="46"/>
      <c r="N886" s="46"/>
      <c r="O886" s="38"/>
      <c r="P886" s="38"/>
      <c r="Q886" s="12" t="str">
        <f t="shared" si="38"/>
        <v/>
      </c>
      <c r="R886" s="50"/>
      <c r="S886" s="50"/>
      <c r="T886" s="50"/>
      <c r="U886" s="53"/>
      <c r="V886" s="54"/>
      <c r="W886" s="56"/>
      <c r="X886" s="119"/>
      <c r="Y886" s="113"/>
      <c r="Z886" s="113"/>
    </row>
    <row r="887">
      <c r="A887" s="38">
        <v>627.0</v>
      </c>
      <c r="B887" s="38"/>
      <c r="C887" s="38"/>
      <c r="D887" s="38"/>
      <c r="E887" s="38" t="s">
        <v>2164</v>
      </c>
      <c r="F887" s="41" t="s">
        <v>2165</v>
      </c>
      <c r="G887" s="43"/>
      <c r="H887" s="45"/>
      <c r="I887" s="38"/>
      <c r="J887" s="38">
        <f>265</f>
        <v>265</v>
      </c>
      <c r="K887" s="46">
        <v>0.0012847222222222223</v>
      </c>
      <c r="L887" s="47" t="s">
        <v>1260</v>
      </c>
      <c r="M887" s="46"/>
      <c r="N887" s="46"/>
      <c r="O887" s="38"/>
      <c r="P887" s="38"/>
      <c r="Q887" s="12" t="str">
        <f t="shared" si="38"/>
        <v/>
      </c>
      <c r="R887" s="50"/>
      <c r="S887" s="50"/>
      <c r="T887" s="50"/>
      <c r="U887" s="53"/>
      <c r="V887" s="54"/>
      <c r="W887" s="56"/>
      <c r="X887" s="119"/>
      <c r="Y887" s="113"/>
      <c r="Z887" s="113"/>
    </row>
    <row r="888">
      <c r="A888" s="38">
        <v>628.0</v>
      </c>
      <c r="B888" s="38"/>
      <c r="C888" s="38"/>
      <c r="D888" s="38"/>
      <c r="E888" s="38" t="s">
        <v>2166</v>
      </c>
      <c r="F888" s="41" t="s">
        <v>2167</v>
      </c>
      <c r="G888" s="43"/>
      <c r="H888" s="45"/>
      <c r="I888" s="38"/>
      <c r="J888" s="38">
        <f>476</f>
        <v>476</v>
      </c>
      <c r="K888" s="46">
        <v>0.0021064814814814813</v>
      </c>
      <c r="L888" s="47" t="s">
        <v>1260</v>
      </c>
      <c r="M888" s="46"/>
      <c r="N888" s="46"/>
      <c r="O888" s="38"/>
      <c r="P888" s="38"/>
      <c r="Q888" s="12" t="str">
        <f t="shared" si="38"/>
        <v/>
      </c>
      <c r="R888" s="50"/>
      <c r="S888" s="50"/>
      <c r="T888" s="50"/>
      <c r="U888" s="53"/>
      <c r="V888" s="54"/>
      <c r="W888" s="56"/>
      <c r="X888" s="119"/>
      <c r="Y888" s="113"/>
      <c r="Z888" s="113"/>
    </row>
    <row r="889">
      <c r="A889" s="38">
        <v>629.0</v>
      </c>
      <c r="B889" s="38"/>
      <c r="C889" s="38"/>
      <c r="D889" s="38"/>
      <c r="E889" s="38" t="s">
        <v>2168</v>
      </c>
      <c r="F889" s="41" t="s">
        <v>2169</v>
      </c>
      <c r="G889" s="43"/>
      <c r="H889" s="45"/>
      <c r="I889" s="38"/>
      <c r="J889" s="38">
        <f>359</f>
        <v>359</v>
      </c>
      <c r="K889" s="46">
        <v>0.002511574074074074</v>
      </c>
      <c r="L889" s="47" t="s">
        <v>1260</v>
      </c>
      <c r="M889" s="46"/>
      <c r="N889" s="46"/>
      <c r="O889" s="38"/>
      <c r="P889" s="38"/>
      <c r="Q889" s="12" t="str">
        <f t="shared" si="38"/>
        <v/>
      </c>
      <c r="R889" s="50"/>
      <c r="S889" s="50"/>
      <c r="T889" s="50"/>
      <c r="U889" s="53"/>
      <c r="V889" s="54"/>
      <c r="W889" s="56"/>
      <c r="X889" s="119"/>
      <c r="Y889" s="113"/>
      <c r="Z889" s="113"/>
    </row>
    <row r="890">
      <c r="A890" s="38">
        <v>630.0</v>
      </c>
      <c r="B890" s="38"/>
      <c r="C890" s="38"/>
      <c r="D890" s="38"/>
      <c r="E890" s="38" t="s">
        <v>2170</v>
      </c>
      <c r="F890" s="41" t="s">
        <v>2171</v>
      </c>
      <c r="G890" s="43"/>
      <c r="H890" s="45"/>
      <c r="I890" s="38"/>
      <c r="J890" s="38">
        <f>522</f>
        <v>522</v>
      </c>
      <c r="K890" s="46">
        <v>0.0018750000000000001</v>
      </c>
      <c r="L890" s="47" t="s">
        <v>1260</v>
      </c>
      <c r="M890" s="46"/>
      <c r="N890" s="46"/>
      <c r="O890" s="38"/>
      <c r="P890" s="38"/>
      <c r="Q890" s="12" t="str">
        <f t="shared" si="38"/>
        <v/>
      </c>
      <c r="R890" s="50"/>
      <c r="S890" s="50"/>
      <c r="T890" s="50"/>
      <c r="U890" s="53"/>
      <c r="V890" s="54"/>
      <c r="W890" s="56"/>
      <c r="X890" s="119"/>
      <c r="Y890" s="113"/>
      <c r="Z890" s="113"/>
    </row>
    <row r="891">
      <c r="A891" s="38">
        <v>631.0</v>
      </c>
      <c r="B891" s="38"/>
      <c r="C891" s="38"/>
      <c r="D891" s="38"/>
      <c r="E891" s="38" t="s">
        <v>2172</v>
      </c>
      <c r="F891" s="41" t="s">
        <v>2173</v>
      </c>
      <c r="G891" s="43"/>
      <c r="H891" s="45"/>
      <c r="I891" s="38"/>
      <c r="J891" s="38">
        <f>403</f>
        <v>403</v>
      </c>
      <c r="K891" s="46">
        <v>0.0011805555555555556</v>
      </c>
      <c r="L891" s="47" t="s">
        <v>1260</v>
      </c>
      <c r="M891" s="46"/>
      <c r="N891" s="46"/>
      <c r="O891" s="38"/>
      <c r="P891" s="38"/>
      <c r="Q891" s="12" t="str">
        <f t="shared" si="38"/>
        <v/>
      </c>
      <c r="R891" s="50"/>
      <c r="S891" s="50"/>
      <c r="T891" s="50"/>
      <c r="U891" s="53"/>
      <c r="V891" s="54"/>
      <c r="W891" s="56"/>
      <c r="X891" s="119"/>
      <c r="Y891" s="113"/>
      <c r="Z891" s="113"/>
    </row>
    <row r="892">
      <c r="A892" s="38">
        <v>632.0</v>
      </c>
      <c r="B892" s="38"/>
      <c r="C892" s="38"/>
      <c r="D892" s="38"/>
      <c r="E892" s="38" t="s">
        <v>2174</v>
      </c>
      <c r="F892" s="41" t="s">
        <v>2175</v>
      </c>
      <c r="G892" s="43"/>
      <c r="H892" s="45"/>
      <c r="I892" s="38"/>
      <c r="J892" s="38">
        <f>499</f>
        <v>499</v>
      </c>
      <c r="K892" s="46">
        <v>0.001400462962962963</v>
      </c>
      <c r="L892" s="47" t="s">
        <v>1260</v>
      </c>
      <c r="M892" s="46"/>
      <c r="N892" s="46"/>
      <c r="O892" s="38"/>
      <c r="P892" s="38"/>
      <c r="Q892" s="12" t="str">
        <f t="shared" si="38"/>
        <v/>
      </c>
      <c r="R892" s="50"/>
      <c r="S892" s="50"/>
      <c r="T892" s="50"/>
      <c r="U892" s="53"/>
      <c r="V892" s="54"/>
      <c r="W892" s="56"/>
      <c r="X892" s="119"/>
      <c r="Y892" s="113"/>
      <c r="Z892" s="113"/>
    </row>
    <row r="893">
      <c r="A893" s="38">
        <v>633.0</v>
      </c>
      <c r="B893" s="38"/>
      <c r="C893" s="38"/>
      <c r="D893" s="38"/>
      <c r="E893" s="38" t="s">
        <v>2176</v>
      </c>
      <c r="F893" s="41" t="s">
        <v>2177</v>
      </c>
      <c r="G893" s="43"/>
      <c r="H893" s="45"/>
      <c r="I893" s="38"/>
      <c r="J893" s="38">
        <f>390</f>
        <v>390</v>
      </c>
      <c r="K893" s="46">
        <v>0.0016666666666666668</v>
      </c>
      <c r="L893" s="47" t="s">
        <v>1260</v>
      </c>
      <c r="M893" s="46"/>
      <c r="N893" s="46"/>
      <c r="O893" s="38"/>
      <c r="P893" s="38"/>
      <c r="Q893" s="12" t="str">
        <f t="shared" si="38"/>
        <v/>
      </c>
      <c r="R893" s="50"/>
      <c r="S893" s="50"/>
      <c r="T893" s="50"/>
      <c r="U893" s="53"/>
      <c r="V893" s="54"/>
      <c r="W893" s="56"/>
      <c r="X893" s="119"/>
      <c r="Y893" s="113"/>
      <c r="Z893" s="113"/>
    </row>
    <row r="894">
      <c r="A894" s="38">
        <v>634.0</v>
      </c>
      <c r="B894" s="38"/>
      <c r="C894" s="38"/>
      <c r="D894" s="38"/>
      <c r="E894" s="38" t="s">
        <v>2178</v>
      </c>
      <c r="F894" s="41" t="s">
        <v>2179</v>
      </c>
      <c r="G894" s="43"/>
      <c r="H894" s="45"/>
      <c r="I894" s="38"/>
      <c r="J894" s="38">
        <f>275</f>
        <v>275</v>
      </c>
      <c r="K894" s="46">
        <v>0.0011458333333333333</v>
      </c>
      <c r="L894" s="47" t="s">
        <v>1260</v>
      </c>
      <c r="M894" s="46"/>
      <c r="N894" s="46"/>
      <c r="O894" s="38"/>
      <c r="P894" s="38"/>
      <c r="Q894" s="12" t="str">
        <f t="shared" si="38"/>
        <v/>
      </c>
      <c r="R894" s="50"/>
      <c r="S894" s="50"/>
      <c r="T894" s="50"/>
      <c r="U894" s="53"/>
      <c r="V894" s="54"/>
      <c r="W894" s="56"/>
      <c r="X894" s="119"/>
      <c r="Y894" s="113"/>
      <c r="Z894" s="113"/>
    </row>
    <row r="895">
      <c r="A895" s="38">
        <v>635.0</v>
      </c>
      <c r="B895" s="38"/>
      <c r="C895" s="38"/>
      <c r="D895" s="38"/>
      <c r="E895" s="38" t="s">
        <v>2181</v>
      </c>
      <c r="F895" s="41" t="s">
        <v>2182</v>
      </c>
      <c r="G895" s="43"/>
      <c r="H895" s="45"/>
      <c r="I895" s="38"/>
      <c r="J895" s="38">
        <f>822</f>
        <v>822</v>
      </c>
      <c r="K895" s="46">
        <v>0.0018055555555555557</v>
      </c>
      <c r="L895" s="47" t="s">
        <v>1260</v>
      </c>
      <c r="M895" s="46"/>
      <c r="N895" s="46"/>
      <c r="O895" s="38"/>
      <c r="P895" s="38"/>
      <c r="Q895" s="12" t="str">
        <f t="shared" si="38"/>
        <v/>
      </c>
      <c r="R895" s="50"/>
      <c r="S895" s="50"/>
      <c r="T895" s="50"/>
      <c r="U895" s="53"/>
      <c r="V895" s="54"/>
      <c r="W895" s="56"/>
      <c r="X895" s="119"/>
      <c r="Y895" s="113"/>
      <c r="Z895" s="113"/>
    </row>
    <row r="896">
      <c r="A896" s="38">
        <v>636.0</v>
      </c>
      <c r="B896" s="38"/>
      <c r="C896" s="38"/>
      <c r="D896" s="38"/>
      <c r="E896" s="38" t="s">
        <v>2183</v>
      </c>
      <c r="F896" s="41" t="s">
        <v>2184</v>
      </c>
      <c r="G896" s="43"/>
      <c r="H896" s="45"/>
      <c r="I896" s="38"/>
      <c r="J896" s="38">
        <f>2.2*1000</f>
        <v>2200</v>
      </c>
      <c r="K896" s="46">
        <v>0.02255787037037037</v>
      </c>
      <c r="L896" s="47" t="s">
        <v>1260</v>
      </c>
      <c r="M896" s="46"/>
      <c r="N896" s="46"/>
      <c r="O896" s="38"/>
      <c r="P896" s="38"/>
      <c r="Q896" s="12" t="str">
        <f t="shared" si="38"/>
        <v/>
      </c>
      <c r="R896" s="50"/>
      <c r="S896" s="50"/>
      <c r="T896" s="50"/>
      <c r="U896" s="53"/>
      <c r="V896" s="54"/>
      <c r="W896" s="56"/>
      <c r="X896" s="119"/>
      <c r="Y896" s="113"/>
      <c r="Z896" s="113"/>
    </row>
    <row r="897">
      <c r="A897" s="38">
        <v>637.0</v>
      </c>
      <c r="B897" s="38"/>
      <c r="C897" s="38"/>
      <c r="D897" s="38"/>
      <c r="E897" s="38" t="s">
        <v>2185</v>
      </c>
      <c r="F897" s="41" t="s">
        <v>2186</v>
      </c>
      <c r="G897" s="43"/>
      <c r="H897" s="45"/>
      <c r="I897" s="38"/>
      <c r="J897" s="38">
        <f>1.3*1000</f>
        <v>1300</v>
      </c>
      <c r="K897" s="46">
        <v>0.004212962962962963</v>
      </c>
      <c r="L897" s="47" t="s">
        <v>1260</v>
      </c>
      <c r="M897" s="46"/>
      <c r="N897" s="46"/>
      <c r="O897" s="38"/>
      <c r="P897" s="38"/>
      <c r="Q897" s="12" t="str">
        <f t="shared" si="38"/>
        <v/>
      </c>
      <c r="R897" s="50"/>
      <c r="S897" s="50"/>
      <c r="T897" s="50"/>
      <c r="U897" s="53"/>
      <c r="V897" s="54"/>
      <c r="W897" s="56"/>
      <c r="X897" s="119"/>
      <c r="Y897" s="113"/>
      <c r="Z897" s="113"/>
    </row>
    <row r="898">
      <c r="A898" s="38">
        <v>638.0</v>
      </c>
      <c r="B898" s="38"/>
      <c r="C898" s="38"/>
      <c r="D898" s="38"/>
      <c r="E898" s="38" t="s">
        <v>2187</v>
      </c>
      <c r="F898" s="41" t="s">
        <v>2188</v>
      </c>
      <c r="G898" s="43"/>
      <c r="H898" s="45"/>
      <c r="I898" s="38"/>
      <c r="J898" s="38">
        <f>481</f>
        <v>481</v>
      </c>
      <c r="K898" s="46">
        <v>0.005277777777777777</v>
      </c>
      <c r="L898" s="47" t="s">
        <v>1260</v>
      </c>
      <c r="M898" s="46"/>
      <c r="N898" s="46"/>
      <c r="O898" s="38"/>
      <c r="P898" s="38"/>
      <c r="Q898" s="12" t="str">
        <f t="shared" si="38"/>
        <v/>
      </c>
      <c r="R898" s="50"/>
      <c r="S898" s="50"/>
      <c r="T898" s="50"/>
      <c r="U898" s="53"/>
      <c r="V898" s="54"/>
      <c r="W898" s="56"/>
      <c r="X898" s="119"/>
      <c r="Y898" s="113"/>
      <c r="Z898" s="113"/>
    </row>
    <row r="899">
      <c r="A899" s="38">
        <v>639.0</v>
      </c>
      <c r="B899" s="38"/>
      <c r="C899" s="38"/>
      <c r="D899" s="38"/>
      <c r="E899" s="38" t="s">
        <v>2189</v>
      </c>
      <c r="F899" s="41" t="s">
        <v>2190</v>
      </c>
      <c r="G899" s="43"/>
      <c r="H899" s="45"/>
      <c r="I899" s="38"/>
      <c r="J899" s="38">
        <f>411</f>
        <v>411</v>
      </c>
      <c r="K899" s="46">
        <v>5.324074074074074E-4</v>
      </c>
      <c r="L899" s="47" t="s">
        <v>1260</v>
      </c>
      <c r="M899" s="46"/>
      <c r="N899" s="46"/>
      <c r="O899" s="38"/>
      <c r="P899" s="38"/>
      <c r="Q899" s="12" t="str">
        <f t="shared" si="38"/>
        <v/>
      </c>
      <c r="R899" s="50"/>
      <c r="S899" s="50"/>
      <c r="T899" s="50"/>
      <c r="U899" s="53"/>
      <c r="V899" s="54"/>
      <c r="W899" s="56"/>
      <c r="X899" s="119"/>
      <c r="Y899" s="113"/>
      <c r="Z899" s="113"/>
    </row>
    <row r="900">
      <c r="A900" s="38">
        <v>640.0</v>
      </c>
      <c r="B900" s="38"/>
      <c r="C900" s="38"/>
      <c r="D900" s="38"/>
      <c r="E900" s="38" t="s">
        <v>2191</v>
      </c>
      <c r="F900" s="41" t="s">
        <v>2192</v>
      </c>
      <c r="G900" s="43"/>
      <c r="H900" s="45"/>
      <c r="I900" s="38"/>
      <c r="J900" s="38">
        <f>301</f>
        <v>301</v>
      </c>
      <c r="K900" s="46">
        <v>0.0011226851851851851</v>
      </c>
      <c r="L900" s="47" t="s">
        <v>1260</v>
      </c>
      <c r="M900" s="46"/>
      <c r="N900" s="46"/>
      <c r="O900" s="38"/>
      <c r="P900" s="38"/>
      <c r="Q900" s="12" t="str">
        <f t="shared" si="38"/>
        <v/>
      </c>
      <c r="R900" s="50"/>
      <c r="S900" s="50"/>
      <c r="T900" s="50"/>
      <c r="U900" s="53"/>
      <c r="V900" s="54"/>
      <c r="W900" s="56"/>
      <c r="X900" s="119"/>
      <c r="Y900" s="113"/>
      <c r="Z900" s="113"/>
    </row>
    <row r="901">
      <c r="A901" s="38">
        <v>641.0</v>
      </c>
      <c r="B901" s="38"/>
      <c r="C901" s="38"/>
      <c r="D901" s="38"/>
      <c r="E901" s="38" t="s">
        <v>2193</v>
      </c>
      <c r="F901" s="41" t="s">
        <v>2194</v>
      </c>
      <c r="G901" s="43"/>
      <c r="H901" s="45"/>
      <c r="I901" s="38"/>
      <c r="J901" s="38">
        <f>343</f>
        <v>343</v>
      </c>
      <c r="K901" s="46">
        <v>0.001736111111111111</v>
      </c>
      <c r="L901" s="47" t="s">
        <v>1260</v>
      </c>
      <c r="M901" s="46"/>
      <c r="N901" s="46"/>
      <c r="O901" s="38"/>
      <c r="P901" s="38"/>
      <c r="Q901" s="12" t="str">
        <f t="shared" si="38"/>
        <v/>
      </c>
      <c r="R901" s="50"/>
      <c r="S901" s="50"/>
      <c r="T901" s="50"/>
      <c r="U901" s="53"/>
      <c r="V901" s="54"/>
      <c r="W901" s="56"/>
      <c r="X901" s="119"/>
      <c r="Y901" s="113"/>
      <c r="Z901" s="113"/>
    </row>
    <row r="902">
      <c r="A902" s="38">
        <v>642.0</v>
      </c>
      <c r="B902" s="38"/>
      <c r="C902" s="38"/>
      <c r="D902" s="38"/>
      <c r="E902" s="38" t="s">
        <v>2195</v>
      </c>
      <c r="F902" s="41" t="s">
        <v>2196</v>
      </c>
      <c r="G902" s="43"/>
      <c r="H902" s="45"/>
      <c r="I902" s="38"/>
      <c r="J902" s="38">
        <f>816</f>
        <v>816</v>
      </c>
      <c r="K902" s="46">
        <v>8.796296296296296E-4</v>
      </c>
      <c r="L902" s="47" t="s">
        <v>1260</v>
      </c>
      <c r="M902" s="46"/>
      <c r="N902" s="46"/>
      <c r="O902" s="38"/>
      <c r="P902" s="38"/>
      <c r="Q902" s="12" t="str">
        <f t="shared" si="38"/>
        <v/>
      </c>
      <c r="R902" s="50"/>
      <c r="S902" s="50"/>
      <c r="T902" s="50"/>
      <c r="U902" s="53"/>
      <c r="V902" s="54"/>
      <c r="W902" s="56"/>
      <c r="X902" s="119"/>
      <c r="Y902" s="113"/>
      <c r="Z902" s="113"/>
    </row>
    <row r="903">
      <c r="A903" s="38">
        <v>643.0</v>
      </c>
      <c r="B903" s="38"/>
      <c r="C903" s="39"/>
      <c r="D903" s="38"/>
      <c r="E903" s="38" t="s">
        <v>2197</v>
      </c>
      <c r="F903" s="41" t="s">
        <v>2198</v>
      </c>
      <c r="G903" s="43"/>
      <c r="H903" s="45"/>
      <c r="I903" s="38"/>
      <c r="J903" s="38">
        <f>443</f>
        <v>443</v>
      </c>
      <c r="K903" s="46">
        <v>0.0021643518518518518</v>
      </c>
      <c r="L903" s="47" t="s">
        <v>1260</v>
      </c>
      <c r="M903" s="46"/>
      <c r="N903" s="46"/>
      <c r="O903" s="38"/>
      <c r="P903" s="38"/>
      <c r="Q903" s="12" t="str">
        <f t="shared" si="38"/>
        <v/>
      </c>
      <c r="R903" s="50"/>
      <c r="S903" s="50"/>
      <c r="T903" s="50"/>
      <c r="U903" s="53"/>
      <c r="V903" s="54"/>
      <c r="W903" s="56"/>
      <c r="X903" s="119"/>
      <c r="Y903" s="113"/>
      <c r="Z903" s="113"/>
    </row>
    <row r="904">
      <c r="A904" s="38">
        <v>644.0</v>
      </c>
      <c r="B904" s="38"/>
      <c r="C904" s="38"/>
      <c r="D904" s="38"/>
      <c r="E904" s="38" t="s">
        <v>2199</v>
      </c>
      <c r="F904" s="41" t="s">
        <v>2200</v>
      </c>
      <c r="G904" s="43"/>
      <c r="H904" s="45"/>
      <c r="I904" s="38"/>
      <c r="J904" s="38">
        <f>467</f>
        <v>467</v>
      </c>
      <c r="K904" s="46">
        <v>0.0012268518518518518</v>
      </c>
      <c r="L904" s="47" t="s">
        <v>1260</v>
      </c>
      <c r="M904" s="46"/>
      <c r="N904" s="46"/>
      <c r="O904" s="38"/>
      <c r="P904" s="38"/>
      <c r="Q904" s="12" t="str">
        <f t="shared" si="38"/>
        <v/>
      </c>
      <c r="R904" s="50"/>
      <c r="S904" s="50"/>
      <c r="T904" s="50"/>
      <c r="U904" s="53"/>
      <c r="V904" s="54"/>
      <c r="W904" s="56"/>
      <c r="X904" s="119"/>
      <c r="Y904" s="113"/>
      <c r="Z904" s="113"/>
    </row>
    <row r="905">
      <c r="A905" s="38">
        <v>645.0</v>
      </c>
      <c r="B905" s="38"/>
      <c r="C905" s="38"/>
      <c r="D905" s="38"/>
      <c r="E905" s="38" t="s">
        <v>2201</v>
      </c>
      <c r="F905" s="41" t="s">
        <v>2202</v>
      </c>
      <c r="G905" s="43"/>
      <c r="H905" s="45"/>
      <c r="I905" s="38"/>
      <c r="J905" s="38">
        <f>360</f>
        <v>360</v>
      </c>
      <c r="K905" s="46">
        <v>0.002546296296296296</v>
      </c>
      <c r="L905" s="47" t="s">
        <v>1260</v>
      </c>
      <c r="M905" s="46"/>
      <c r="N905" s="46"/>
      <c r="O905" s="38"/>
      <c r="P905" s="38"/>
      <c r="Q905" s="12" t="str">
        <f t="shared" si="38"/>
        <v/>
      </c>
      <c r="R905" s="50"/>
      <c r="S905" s="50"/>
      <c r="T905" s="50"/>
      <c r="U905" s="53"/>
      <c r="V905" s="54"/>
      <c r="W905" s="56"/>
      <c r="X905" s="119"/>
      <c r="Y905" s="113"/>
      <c r="Z905" s="113"/>
    </row>
    <row r="906">
      <c r="A906" s="38">
        <v>646.0</v>
      </c>
      <c r="B906" s="38"/>
      <c r="C906" s="38"/>
      <c r="D906" s="38"/>
      <c r="E906" s="38" t="s">
        <v>2203</v>
      </c>
      <c r="F906" s="41" t="s">
        <v>2204</v>
      </c>
      <c r="G906" s="43"/>
      <c r="H906" s="45"/>
      <c r="I906" s="38"/>
      <c r="J906" s="38">
        <f>771</f>
        <v>771</v>
      </c>
      <c r="K906" s="46">
        <v>0.004247685185185185</v>
      </c>
      <c r="L906" s="47" t="s">
        <v>1260</v>
      </c>
      <c r="M906" s="46"/>
      <c r="N906" s="46"/>
      <c r="O906" s="38"/>
      <c r="P906" s="38"/>
      <c r="Q906" s="12" t="str">
        <f t="shared" si="38"/>
        <v/>
      </c>
      <c r="R906" s="50"/>
      <c r="S906" s="50"/>
      <c r="T906" s="50"/>
      <c r="U906" s="53"/>
      <c r="V906" s="54"/>
      <c r="W906" s="56"/>
      <c r="X906" s="119"/>
      <c r="Y906" s="113"/>
      <c r="Z906" s="113"/>
    </row>
    <row r="907">
      <c r="A907" s="38">
        <v>647.0</v>
      </c>
      <c r="B907" s="38"/>
      <c r="C907" s="38"/>
      <c r="D907" s="38"/>
      <c r="E907" s="38" t="s">
        <v>2205</v>
      </c>
      <c r="F907" s="41" t="s">
        <v>2206</v>
      </c>
      <c r="G907" s="43"/>
      <c r="H907" s="45"/>
      <c r="I907" s="38"/>
      <c r="J907" s="38">
        <f>546</f>
        <v>546</v>
      </c>
      <c r="K907" s="46">
        <v>0.0021064814814814813</v>
      </c>
      <c r="L907" s="47" t="s">
        <v>1260</v>
      </c>
      <c r="M907" s="46"/>
      <c r="N907" s="46"/>
      <c r="O907" s="38"/>
      <c r="P907" s="38"/>
      <c r="Q907" s="12" t="str">
        <f t="shared" si="38"/>
        <v/>
      </c>
      <c r="R907" s="50"/>
      <c r="S907" s="50"/>
      <c r="T907" s="50"/>
      <c r="U907" s="53"/>
      <c r="V907" s="54"/>
      <c r="W907" s="56"/>
      <c r="X907" s="119"/>
      <c r="Y907" s="113"/>
      <c r="Z907" s="113"/>
    </row>
    <row r="908">
      <c r="A908" s="38">
        <v>648.0</v>
      </c>
      <c r="B908" s="38"/>
      <c r="C908" s="38"/>
      <c r="D908" s="38"/>
      <c r="E908" s="38" t="s">
        <v>2207</v>
      </c>
      <c r="F908" s="41" t="s">
        <v>2208</v>
      </c>
      <c r="G908" s="43"/>
      <c r="H908" s="45"/>
      <c r="I908" s="38"/>
      <c r="J908" s="38">
        <f>2.5*1000</f>
        <v>2500</v>
      </c>
      <c r="K908" s="46">
        <v>0.0035532407407407405</v>
      </c>
      <c r="L908" s="47" t="s">
        <v>1260</v>
      </c>
      <c r="M908" s="46"/>
      <c r="N908" s="46"/>
      <c r="O908" s="38"/>
      <c r="P908" s="38"/>
      <c r="Q908" s="12" t="str">
        <f t="shared" si="38"/>
        <v/>
      </c>
      <c r="R908" s="50"/>
      <c r="S908" s="50"/>
      <c r="T908" s="50"/>
      <c r="U908" s="53"/>
      <c r="V908" s="54"/>
      <c r="W908" s="56"/>
      <c r="X908" s="119"/>
      <c r="Y908" s="113"/>
      <c r="Z908" s="113"/>
    </row>
    <row r="909">
      <c r="A909" s="38">
        <v>649.0</v>
      </c>
      <c r="B909" s="38"/>
      <c r="C909" s="38"/>
      <c r="D909" s="38"/>
      <c r="E909" s="38" t="s">
        <v>2209</v>
      </c>
      <c r="F909" s="41" t="s">
        <v>2210</v>
      </c>
      <c r="G909" s="43"/>
      <c r="H909" s="45"/>
      <c r="I909" s="38"/>
      <c r="J909" s="38">
        <f>570</f>
        <v>570</v>
      </c>
      <c r="K909" s="46">
        <v>0.0013773148148148147</v>
      </c>
      <c r="L909" s="47" t="s">
        <v>1260</v>
      </c>
      <c r="M909" s="46"/>
      <c r="N909" s="46"/>
      <c r="O909" s="38"/>
      <c r="P909" s="38"/>
      <c r="Q909" s="12" t="str">
        <f t="shared" si="38"/>
        <v/>
      </c>
      <c r="R909" s="50"/>
      <c r="S909" s="50"/>
      <c r="T909" s="50"/>
      <c r="U909" s="53"/>
      <c r="V909" s="54"/>
      <c r="W909" s="56"/>
      <c r="X909" s="119"/>
      <c r="Y909" s="113"/>
      <c r="Z909" s="113"/>
    </row>
    <row r="910">
      <c r="A910" s="38">
        <v>650.0</v>
      </c>
      <c r="B910" s="38"/>
      <c r="C910" s="38"/>
      <c r="D910" s="38"/>
      <c r="E910" s="38" t="s">
        <v>2211</v>
      </c>
      <c r="F910" s="41" t="s">
        <v>2212</v>
      </c>
      <c r="G910" s="43"/>
      <c r="H910" s="45"/>
      <c r="I910" s="38"/>
      <c r="J910" s="38">
        <f>2.6*1000</f>
        <v>2600</v>
      </c>
      <c r="K910" s="46">
        <v>0.0019212962962962962</v>
      </c>
      <c r="L910" s="47" t="s">
        <v>1260</v>
      </c>
      <c r="M910" s="46"/>
      <c r="N910" s="46"/>
      <c r="O910" s="38"/>
      <c r="P910" s="38"/>
      <c r="Q910" s="12" t="str">
        <f t="shared" si="38"/>
        <v/>
      </c>
      <c r="R910" s="50"/>
      <c r="S910" s="50"/>
      <c r="T910" s="50"/>
      <c r="U910" s="53"/>
      <c r="V910" s="54"/>
      <c r="W910" s="56"/>
      <c r="X910" s="119"/>
      <c r="Y910" s="113"/>
      <c r="Z910" s="113"/>
    </row>
    <row r="911">
      <c r="A911" s="38">
        <v>651.0</v>
      </c>
      <c r="B911" s="38"/>
      <c r="C911" s="38"/>
      <c r="D911" s="38"/>
      <c r="E911" s="38" t="s">
        <v>2213</v>
      </c>
      <c r="F911" s="41" t="s">
        <v>2214</v>
      </c>
      <c r="G911" s="43"/>
      <c r="H911" s="45"/>
      <c r="I911" s="38"/>
      <c r="J911" s="38">
        <f>173</f>
        <v>173</v>
      </c>
      <c r="K911" s="46">
        <v>8.101851851851852E-4</v>
      </c>
      <c r="L911" s="47" t="s">
        <v>1260</v>
      </c>
      <c r="M911" s="46"/>
      <c r="N911" s="46"/>
      <c r="O911" s="38"/>
      <c r="P911" s="38"/>
      <c r="Q911" s="12" t="str">
        <f t="shared" si="38"/>
        <v/>
      </c>
      <c r="R911" s="50"/>
      <c r="S911" s="50"/>
      <c r="T911" s="50"/>
      <c r="U911" s="53"/>
      <c r="V911" s="54"/>
      <c r="W911" s="56"/>
      <c r="X911" s="119"/>
      <c r="Y911" s="113"/>
      <c r="Z911" s="113"/>
    </row>
    <row r="912">
      <c r="A912" s="38">
        <v>652.0</v>
      </c>
      <c r="B912" s="38"/>
      <c r="C912" s="38"/>
      <c r="D912" s="38"/>
      <c r="E912" s="38" t="s">
        <v>2215</v>
      </c>
      <c r="F912" s="41" t="s">
        <v>2216</v>
      </c>
      <c r="G912" s="43"/>
      <c r="H912" s="45"/>
      <c r="I912" s="38"/>
      <c r="J912" s="38">
        <f>789</f>
        <v>789</v>
      </c>
      <c r="K912" s="46">
        <v>0.004108796296296297</v>
      </c>
      <c r="L912" s="47" t="s">
        <v>1260</v>
      </c>
      <c r="M912" s="46"/>
      <c r="N912" s="46"/>
      <c r="O912" s="38"/>
      <c r="P912" s="38"/>
      <c r="Q912" s="12" t="str">
        <f t="shared" si="38"/>
        <v/>
      </c>
      <c r="R912" s="50"/>
      <c r="S912" s="50"/>
      <c r="T912" s="50"/>
      <c r="U912" s="53"/>
      <c r="V912" s="54"/>
      <c r="W912" s="56"/>
      <c r="X912" s="119"/>
      <c r="Y912" s="113"/>
      <c r="Z912" s="113"/>
    </row>
    <row r="913">
      <c r="A913" s="38">
        <v>653.0</v>
      </c>
      <c r="B913" s="38"/>
      <c r="C913" s="38"/>
      <c r="D913" s="38"/>
      <c r="E913" s="38" t="s">
        <v>2217</v>
      </c>
      <c r="F913" s="41" t="s">
        <v>2218</v>
      </c>
      <c r="G913" s="43"/>
      <c r="H913" s="45"/>
      <c r="I913" s="38"/>
      <c r="J913" s="38">
        <f>15*1000</f>
        <v>15000</v>
      </c>
      <c r="K913" s="46">
        <v>0.09204861111111111</v>
      </c>
      <c r="L913" s="47" t="s">
        <v>1260</v>
      </c>
      <c r="M913" s="46"/>
      <c r="N913" s="46"/>
      <c r="O913" s="38"/>
      <c r="P913" s="38"/>
      <c r="Q913" s="12" t="str">
        <f t="shared" si="38"/>
        <v/>
      </c>
      <c r="R913" s="50"/>
      <c r="S913" s="50"/>
      <c r="T913" s="50"/>
      <c r="U913" s="53"/>
      <c r="V913" s="54"/>
      <c r="W913" s="56"/>
      <c r="X913" s="119"/>
      <c r="Y913" s="113"/>
      <c r="Z913" s="113"/>
    </row>
    <row r="914">
      <c r="A914" s="38">
        <v>654.0</v>
      </c>
      <c r="B914" s="38"/>
      <c r="C914" s="38"/>
      <c r="D914" s="38"/>
      <c r="E914" s="38" t="s">
        <v>2219</v>
      </c>
      <c r="F914" s="41" t="s">
        <v>2220</v>
      </c>
      <c r="G914" s="43"/>
      <c r="H914" s="45"/>
      <c r="I914" s="38"/>
      <c r="J914" s="38">
        <f>1.6*1000</f>
        <v>1600</v>
      </c>
      <c r="K914" s="46">
        <v>0.0018171296296296297</v>
      </c>
      <c r="L914" s="47" t="s">
        <v>1260</v>
      </c>
      <c r="M914" s="46"/>
      <c r="N914" s="46"/>
      <c r="O914" s="38"/>
      <c r="P914" s="38"/>
      <c r="Q914" s="12" t="str">
        <f t="shared" si="38"/>
        <v/>
      </c>
      <c r="R914" s="50"/>
      <c r="S914" s="50"/>
      <c r="T914" s="50"/>
      <c r="U914" s="53"/>
      <c r="V914" s="54"/>
      <c r="W914" s="56"/>
      <c r="X914" s="119"/>
      <c r="Y914" s="113"/>
      <c r="Z914" s="113"/>
    </row>
    <row r="915">
      <c r="A915" s="38">
        <v>655.0</v>
      </c>
      <c r="B915" s="38"/>
      <c r="C915" s="38"/>
      <c r="D915" s="38"/>
      <c r="E915" s="38" t="s">
        <v>2222</v>
      </c>
      <c r="F915" s="41" t="s">
        <v>2223</v>
      </c>
      <c r="G915" s="43"/>
      <c r="H915" s="45"/>
      <c r="I915" s="38"/>
      <c r="J915" s="38">
        <f>1.2*1000</f>
        <v>1200</v>
      </c>
      <c r="K915" s="46">
        <v>0.0012152777777777778</v>
      </c>
      <c r="L915" s="47" t="s">
        <v>2224</v>
      </c>
      <c r="M915" s="46"/>
      <c r="N915" s="46"/>
      <c r="O915" s="38"/>
      <c r="P915" s="38"/>
      <c r="Q915" s="12" t="str">
        <f t="shared" si="38"/>
        <v/>
      </c>
      <c r="R915" s="50"/>
      <c r="S915" s="50"/>
      <c r="T915" s="50"/>
      <c r="U915" s="53"/>
      <c r="V915" s="54"/>
      <c r="W915" s="56"/>
      <c r="X915" s="119"/>
      <c r="Y915" s="113"/>
      <c r="Z915" s="113"/>
    </row>
    <row r="916">
      <c r="A916" s="38">
        <v>656.0</v>
      </c>
      <c r="B916" s="38"/>
      <c r="C916" s="38"/>
      <c r="D916" s="38"/>
      <c r="E916" s="38" t="s">
        <v>2225</v>
      </c>
      <c r="F916" s="41" t="s">
        <v>2226</v>
      </c>
      <c r="G916" s="43"/>
      <c r="H916" s="45"/>
      <c r="I916" s="38"/>
      <c r="J916" s="38">
        <f>2.3*1000</f>
        <v>2300</v>
      </c>
      <c r="K916" s="46">
        <v>0.0037962962962962963</v>
      </c>
      <c r="L916" s="47" t="s">
        <v>2224</v>
      </c>
      <c r="M916" s="46"/>
      <c r="N916" s="46"/>
      <c r="O916" s="38"/>
      <c r="P916" s="38"/>
      <c r="Q916" s="12" t="str">
        <f t="shared" si="38"/>
        <v/>
      </c>
      <c r="R916" s="50"/>
      <c r="S916" s="50"/>
      <c r="T916" s="50"/>
      <c r="U916" s="53"/>
      <c r="V916" s="54"/>
      <c r="W916" s="56"/>
      <c r="X916" s="119"/>
      <c r="Y916" s="113"/>
      <c r="Z916" s="113"/>
    </row>
    <row r="917">
      <c r="A917" s="38">
        <v>657.0</v>
      </c>
      <c r="B917" s="38"/>
      <c r="C917" s="38"/>
      <c r="D917" s="38"/>
      <c r="E917" s="38" t="s">
        <v>2227</v>
      </c>
      <c r="F917" s="41" t="s">
        <v>2228</v>
      </c>
      <c r="G917" s="43"/>
      <c r="H917" s="45"/>
      <c r="I917" s="38"/>
      <c r="J917" s="38">
        <f>2.6*1000</f>
        <v>2600</v>
      </c>
      <c r="K917" s="46">
        <v>0.012916666666666667</v>
      </c>
      <c r="L917" s="47" t="s">
        <v>2224</v>
      </c>
      <c r="M917" s="46"/>
      <c r="N917" s="46"/>
      <c r="O917" s="38"/>
      <c r="P917" s="38"/>
      <c r="Q917" s="12" t="str">
        <f t="shared" si="38"/>
        <v/>
      </c>
      <c r="R917" s="50"/>
      <c r="S917" s="50"/>
      <c r="T917" s="50"/>
      <c r="U917" s="53"/>
      <c r="V917" s="54"/>
      <c r="W917" s="56"/>
      <c r="X917" s="119"/>
      <c r="Y917" s="113"/>
      <c r="Z917" s="113"/>
    </row>
    <row r="918">
      <c r="A918" s="38">
        <v>658.0</v>
      </c>
      <c r="B918" s="38"/>
      <c r="C918" s="38"/>
      <c r="D918" s="38"/>
      <c r="E918" s="38" t="s">
        <v>2229</v>
      </c>
      <c r="F918" s="41" t="s">
        <v>2230</v>
      </c>
      <c r="G918" s="43"/>
      <c r="H918" s="45"/>
      <c r="I918" s="38"/>
      <c r="J918" s="38">
        <f>5.8*1000</f>
        <v>5800</v>
      </c>
      <c r="K918" s="46">
        <v>0.00400462962962963</v>
      </c>
      <c r="L918" s="47" t="s">
        <v>2224</v>
      </c>
      <c r="M918" s="46"/>
      <c r="N918" s="46"/>
      <c r="O918" s="38"/>
      <c r="P918" s="38"/>
      <c r="Q918" s="12" t="str">
        <f t="shared" si="38"/>
        <v/>
      </c>
      <c r="R918" s="50"/>
      <c r="S918" s="50"/>
      <c r="T918" s="50"/>
      <c r="U918" s="53"/>
      <c r="V918" s="54"/>
      <c r="W918" s="56"/>
      <c r="X918" s="119"/>
      <c r="Y918" s="113"/>
      <c r="Z918" s="113"/>
    </row>
    <row r="919">
      <c r="A919" s="38">
        <v>659.0</v>
      </c>
      <c r="B919" s="38"/>
      <c r="C919" s="38"/>
      <c r="D919" s="38"/>
      <c r="E919" s="38" t="s">
        <v>2231</v>
      </c>
      <c r="F919" s="41" t="s">
        <v>2232</v>
      </c>
      <c r="G919" s="43"/>
      <c r="H919" s="45"/>
      <c r="I919" s="38"/>
      <c r="J919" s="38">
        <f>1.4*1000</f>
        <v>1400</v>
      </c>
      <c r="K919" s="46">
        <v>0.0018634259259259261</v>
      </c>
      <c r="L919" s="47" t="s">
        <v>2224</v>
      </c>
      <c r="M919" s="46"/>
      <c r="N919" s="46"/>
      <c r="O919" s="38"/>
      <c r="P919" s="38"/>
      <c r="Q919" s="12" t="str">
        <f t="shared" si="38"/>
        <v/>
      </c>
      <c r="R919" s="50"/>
      <c r="S919" s="50"/>
      <c r="T919" s="50"/>
      <c r="U919" s="53"/>
      <c r="V919" s="54"/>
      <c r="W919" s="56"/>
      <c r="X919" s="119"/>
      <c r="Y919" s="113"/>
      <c r="Z919" s="113"/>
    </row>
    <row r="920">
      <c r="A920" s="38">
        <v>660.0</v>
      </c>
      <c r="B920" s="38"/>
      <c r="C920" s="38"/>
      <c r="D920" s="38"/>
      <c r="E920" s="38" t="s">
        <v>2233</v>
      </c>
      <c r="F920" s="41" t="s">
        <v>2234</v>
      </c>
      <c r="G920" s="43"/>
      <c r="H920" s="45"/>
      <c r="I920" s="38"/>
      <c r="J920" s="38">
        <f>773</f>
        <v>773</v>
      </c>
      <c r="K920" s="46">
        <v>0.0015624999999999999</v>
      </c>
      <c r="L920" s="47" t="s">
        <v>2224</v>
      </c>
      <c r="M920" s="46"/>
      <c r="N920" s="46"/>
      <c r="O920" s="38"/>
      <c r="P920" s="38"/>
      <c r="Q920" s="12" t="str">
        <f t="shared" si="38"/>
        <v/>
      </c>
      <c r="R920" s="50"/>
      <c r="S920" s="50"/>
      <c r="T920" s="50"/>
      <c r="U920" s="53"/>
      <c r="V920" s="54"/>
      <c r="W920" s="56"/>
      <c r="X920" s="119"/>
      <c r="Y920" s="113"/>
      <c r="Z920" s="113"/>
    </row>
    <row r="921">
      <c r="A921" s="38">
        <v>661.0</v>
      </c>
      <c r="B921" s="38"/>
      <c r="C921" s="38"/>
      <c r="D921" s="38"/>
      <c r="E921" s="38" t="s">
        <v>2235</v>
      </c>
      <c r="F921" s="41" t="s">
        <v>2236</v>
      </c>
      <c r="G921" s="43"/>
      <c r="H921" s="45"/>
      <c r="I921" s="38"/>
      <c r="J921" s="38">
        <f>1*1000</f>
        <v>1000</v>
      </c>
      <c r="K921" s="46">
        <v>0.008032407407407407</v>
      </c>
      <c r="L921" s="47" t="s">
        <v>2224</v>
      </c>
      <c r="M921" s="46"/>
      <c r="N921" s="46"/>
      <c r="O921" s="38"/>
      <c r="P921" s="38"/>
      <c r="Q921" s="12" t="str">
        <f t="shared" si="38"/>
        <v/>
      </c>
      <c r="R921" s="50"/>
      <c r="S921" s="50"/>
      <c r="T921" s="50"/>
      <c r="U921" s="53"/>
      <c r="V921" s="54"/>
      <c r="W921" s="56"/>
      <c r="X921" s="119"/>
      <c r="Y921" s="113"/>
      <c r="Z921" s="113"/>
    </row>
    <row r="922">
      <c r="A922" s="38">
        <v>662.0</v>
      </c>
      <c r="B922" s="38"/>
      <c r="C922" s="38"/>
      <c r="D922" s="38"/>
      <c r="E922" s="38" t="s">
        <v>2237</v>
      </c>
      <c r="F922" s="41" t="s">
        <v>2238</v>
      </c>
      <c r="G922" s="43"/>
      <c r="H922" s="45"/>
      <c r="I922" s="38"/>
      <c r="J922" s="38">
        <f>536</f>
        <v>536</v>
      </c>
      <c r="K922" s="46">
        <v>0.001099537037037037</v>
      </c>
      <c r="L922" s="47" t="s">
        <v>2224</v>
      </c>
      <c r="M922" s="46"/>
      <c r="N922" s="46"/>
      <c r="O922" s="38"/>
      <c r="P922" s="38"/>
      <c r="Q922" s="12" t="str">
        <f t="shared" si="38"/>
        <v/>
      </c>
      <c r="R922" s="50"/>
      <c r="S922" s="50"/>
      <c r="T922" s="50"/>
      <c r="U922" s="53"/>
      <c r="V922" s="54"/>
      <c r="W922" s="56"/>
      <c r="X922" s="119"/>
      <c r="Y922" s="113"/>
      <c r="Z922" s="113"/>
    </row>
    <row r="923">
      <c r="A923" s="38">
        <v>663.0</v>
      </c>
      <c r="B923" s="38"/>
      <c r="C923" s="7"/>
      <c r="D923" s="38"/>
      <c r="E923" s="38" t="s">
        <v>2239</v>
      </c>
      <c r="F923" s="41" t="s">
        <v>2240</v>
      </c>
      <c r="G923" s="43"/>
      <c r="H923" s="45"/>
      <c r="I923" s="38"/>
      <c r="J923" s="38">
        <f>912</f>
        <v>912</v>
      </c>
      <c r="K923" s="128">
        <v>0.0019444444444444442</v>
      </c>
      <c r="L923" s="47" t="s">
        <v>2224</v>
      </c>
      <c r="M923" s="128"/>
      <c r="N923" s="128"/>
      <c r="O923" s="38"/>
      <c r="P923" s="38"/>
      <c r="Q923" s="12" t="str">
        <f t="shared" si="38"/>
        <v/>
      </c>
      <c r="R923" s="50"/>
      <c r="S923" s="50"/>
      <c r="T923" s="50"/>
      <c r="U923" s="53"/>
      <c r="V923" s="54"/>
      <c r="W923" s="56"/>
      <c r="X923" s="119"/>
      <c r="Y923" s="113"/>
      <c r="Z923" s="113"/>
    </row>
    <row r="924">
      <c r="A924" s="38">
        <v>664.0</v>
      </c>
      <c r="B924" s="38"/>
      <c r="C924" s="7"/>
      <c r="D924" s="38"/>
      <c r="E924" s="38" t="s">
        <v>2241</v>
      </c>
      <c r="F924" s="41" t="s">
        <v>2242</v>
      </c>
      <c r="G924" s="43"/>
      <c r="H924" s="45"/>
      <c r="I924" s="38"/>
      <c r="J924" s="38">
        <f>4.1*1000</f>
        <v>4100</v>
      </c>
      <c r="K924" s="128">
        <v>0.043020833333333335</v>
      </c>
      <c r="L924" s="47" t="s">
        <v>2224</v>
      </c>
      <c r="M924" s="128"/>
      <c r="N924" s="128"/>
      <c r="O924" s="38"/>
      <c r="P924" s="38"/>
      <c r="Q924" s="12" t="str">
        <f t="shared" si="38"/>
        <v/>
      </c>
      <c r="R924" s="50"/>
      <c r="S924" s="50"/>
      <c r="T924" s="50"/>
      <c r="U924" s="53"/>
      <c r="V924" s="54"/>
      <c r="W924" s="56"/>
      <c r="X924" s="119"/>
      <c r="Y924" s="113"/>
      <c r="Z924" s="113"/>
    </row>
    <row r="925">
      <c r="A925" s="38">
        <v>665.0</v>
      </c>
      <c r="B925" s="38"/>
      <c r="C925" s="7"/>
      <c r="D925" s="38"/>
      <c r="E925" s="38" t="s">
        <v>2243</v>
      </c>
      <c r="F925" s="41" t="s">
        <v>2244</v>
      </c>
      <c r="G925" s="43"/>
      <c r="H925" s="45"/>
      <c r="I925" s="38"/>
      <c r="J925" s="38">
        <f>728</f>
        <v>728</v>
      </c>
      <c r="K925" s="128">
        <v>0.001574074074074074</v>
      </c>
      <c r="L925" s="47" t="s">
        <v>2224</v>
      </c>
      <c r="M925" s="128"/>
      <c r="N925" s="128"/>
      <c r="O925" s="38"/>
      <c r="P925" s="38"/>
      <c r="Q925" s="12" t="str">
        <f t="shared" si="38"/>
        <v/>
      </c>
      <c r="R925" s="50"/>
      <c r="S925" s="50"/>
      <c r="T925" s="50"/>
      <c r="U925" s="53"/>
      <c r="V925" s="54"/>
      <c r="W925" s="56"/>
      <c r="X925" s="119"/>
      <c r="Y925" s="113"/>
      <c r="Z925" s="113"/>
    </row>
    <row r="926">
      <c r="A926" s="38">
        <v>666.0</v>
      </c>
      <c r="B926" s="38"/>
      <c r="C926" s="7"/>
      <c r="D926" s="38"/>
      <c r="E926" s="38" t="s">
        <v>2245</v>
      </c>
      <c r="F926" s="41" t="s">
        <v>2246</v>
      </c>
      <c r="G926" s="43"/>
      <c r="H926" s="45"/>
      <c r="I926" s="38"/>
      <c r="J926" s="38">
        <f>2.7*1000</f>
        <v>2700</v>
      </c>
      <c r="K926" s="128">
        <v>0.0024074074074074076</v>
      </c>
      <c r="L926" s="47" t="s">
        <v>2224</v>
      </c>
      <c r="M926" s="128"/>
      <c r="N926" s="128"/>
      <c r="O926" s="38"/>
      <c r="P926" s="38"/>
      <c r="Q926" s="12" t="str">
        <f t="shared" si="38"/>
        <v/>
      </c>
      <c r="R926" s="50"/>
      <c r="S926" s="50"/>
      <c r="T926" s="50"/>
      <c r="U926" s="53"/>
      <c r="V926" s="54"/>
      <c r="W926" s="56"/>
      <c r="X926" s="119"/>
      <c r="Y926" s="113"/>
      <c r="Z926" s="113"/>
    </row>
    <row r="927">
      <c r="A927" s="38">
        <v>667.0</v>
      </c>
      <c r="B927" s="38"/>
      <c r="C927" s="7"/>
      <c r="D927" s="38"/>
      <c r="E927" s="38" t="s">
        <v>2247</v>
      </c>
      <c r="F927" s="41" t="s">
        <v>2248</v>
      </c>
      <c r="G927" s="43"/>
      <c r="H927" s="45"/>
      <c r="I927" s="38"/>
      <c r="J927" s="38">
        <f>2.4*1000</f>
        <v>2400</v>
      </c>
      <c r="K927" s="128">
        <v>0.0021180555555555553</v>
      </c>
      <c r="L927" s="47" t="s">
        <v>2224</v>
      </c>
      <c r="M927" s="128"/>
      <c r="N927" s="128"/>
      <c r="O927" s="38"/>
      <c r="P927" s="38"/>
      <c r="Q927" s="12" t="str">
        <f t="shared" si="38"/>
        <v/>
      </c>
      <c r="R927" s="50"/>
      <c r="S927" s="50"/>
      <c r="T927" s="50"/>
      <c r="U927" s="53"/>
      <c r="V927" s="54"/>
      <c r="W927" s="56"/>
      <c r="X927" s="119"/>
      <c r="Y927" s="113"/>
      <c r="Z927" s="113"/>
    </row>
    <row r="928">
      <c r="A928" s="38">
        <v>668.0</v>
      </c>
      <c r="B928" s="38"/>
      <c r="C928" s="7"/>
      <c r="D928" s="38"/>
      <c r="E928" s="38" t="s">
        <v>2249</v>
      </c>
      <c r="F928" s="41" t="s">
        <v>2250</v>
      </c>
      <c r="G928" s="43"/>
      <c r="H928" s="45"/>
      <c r="I928" s="38"/>
      <c r="J928" s="38">
        <f>2.8*1000</f>
        <v>2800</v>
      </c>
      <c r="K928" s="128">
        <v>0.006944444444444444</v>
      </c>
      <c r="L928" s="47" t="s">
        <v>2224</v>
      </c>
      <c r="M928" s="128"/>
      <c r="N928" s="128"/>
      <c r="O928" s="38"/>
      <c r="P928" s="38"/>
      <c r="Q928" s="12" t="str">
        <f t="shared" si="38"/>
        <v/>
      </c>
      <c r="R928" s="50"/>
      <c r="S928" s="50"/>
      <c r="T928" s="50"/>
      <c r="U928" s="53"/>
      <c r="V928" s="54"/>
      <c r="W928" s="56"/>
      <c r="X928" s="119"/>
      <c r="Y928" s="113"/>
      <c r="Z928" s="113"/>
    </row>
    <row r="929">
      <c r="A929" s="38">
        <v>669.0</v>
      </c>
      <c r="B929" s="38"/>
      <c r="C929" s="7"/>
      <c r="D929" s="38"/>
      <c r="E929" s="38" t="s">
        <v>2251</v>
      </c>
      <c r="F929" s="41" t="s">
        <v>2252</v>
      </c>
      <c r="G929" s="43"/>
      <c r="H929" s="45"/>
      <c r="I929" s="38"/>
      <c r="J929" s="38">
        <f>14*1000</f>
        <v>14000</v>
      </c>
      <c r="K929" s="128">
        <v>0.05643518518518518</v>
      </c>
      <c r="L929" s="47" t="s">
        <v>2253</v>
      </c>
      <c r="M929" s="128"/>
      <c r="N929" s="128"/>
      <c r="O929" s="38"/>
      <c r="P929" s="38"/>
      <c r="Q929" s="12" t="str">
        <f t="shared" si="38"/>
        <v/>
      </c>
      <c r="R929" s="50"/>
      <c r="S929" s="50"/>
      <c r="T929" s="50"/>
      <c r="U929" s="53"/>
      <c r="V929" s="54"/>
      <c r="W929" s="56"/>
      <c r="X929" s="119"/>
      <c r="Y929" s="113"/>
      <c r="Z929" s="113"/>
    </row>
    <row r="930">
      <c r="A930" s="38">
        <v>670.0</v>
      </c>
      <c r="B930" s="38"/>
      <c r="C930" s="7"/>
      <c r="D930" s="38"/>
      <c r="E930" s="38" t="s">
        <v>2254</v>
      </c>
      <c r="F930" s="41" t="s">
        <v>2255</v>
      </c>
      <c r="G930" s="43"/>
      <c r="H930" s="45"/>
      <c r="I930" s="38"/>
      <c r="J930" s="38">
        <f>15*1000</f>
        <v>15000</v>
      </c>
      <c r="K930" s="128">
        <v>0.06305555555555555</v>
      </c>
      <c r="L930" s="47" t="s">
        <v>2253</v>
      </c>
      <c r="M930" s="128"/>
      <c r="N930" s="128"/>
      <c r="O930" s="38"/>
      <c r="P930" s="38"/>
      <c r="Q930" s="12" t="str">
        <f t="shared" si="38"/>
        <v/>
      </c>
      <c r="R930" s="50"/>
      <c r="S930" s="50"/>
      <c r="T930" s="50"/>
      <c r="U930" s="53"/>
      <c r="V930" s="54"/>
      <c r="W930" s="56"/>
      <c r="X930" s="119"/>
      <c r="Y930" s="113"/>
      <c r="Z930" s="113"/>
    </row>
    <row r="931">
      <c r="A931" s="38">
        <v>671.0</v>
      </c>
      <c r="B931" s="38"/>
      <c r="C931" s="7"/>
      <c r="D931" s="38"/>
      <c r="E931" s="38" t="s">
        <v>2256</v>
      </c>
      <c r="F931" s="41" t="s">
        <v>2257</v>
      </c>
      <c r="G931" s="43"/>
      <c r="H931" s="45"/>
      <c r="I931" s="38"/>
      <c r="J931" s="38">
        <f>6.8*1000</f>
        <v>6800</v>
      </c>
      <c r="K931" s="128">
        <v>0.05990740740740741</v>
      </c>
      <c r="L931" s="47" t="s">
        <v>2253</v>
      </c>
      <c r="M931" s="128"/>
      <c r="N931" s="128"/>
      <c r="O931" s="38"/>
      <c r="P931" s="38"/>
      <c r="Q931" s="12" t="str">
        <f t="shared" si="38"/>
        <v/>
      </c>
      <c r="R931" s="50"/>
      <c r="S931" s="50"/>
      <c r="T931" s="50"/>
      <c r="U931" s="53"/>
      <c r="V931" s="54"/>
      <c r="W931" s="56"/>
      <c r="X931" s="119"/>
      <c r="Y931" s="113"/>
      <c r="Z931" s="113"/>
    </row>
    <row r="932">
      <c r="A932" s="38">
        <v>672.0</v>
      </c>
      <c r="B932" s="38"/>
      <c r="C932" s="7"/>
      <c r="D932" s="38"/>
      <c r="E932" s="38" t="s">
        <v>2258</v>
      </c>
      <c r="F932" s="41" t="s">
        <v>2259</v>
      </c>
      <c r="G932" s="43"/>
      <c r="H932" s="45"/>
      <c r="I932" s="38"/>
      <c r="J932" s="38">
        <f>27*1000</f>
        <v>27000</v>
      </c>
      <c r="K932" s="128">
        <v>0.024826388888888887</v>
      </c>
      <c r="L932" s="47" t="s">
        <v>2253</v>
      </c>
      <c r="M932" s="128"/>
      <c r="N932" s="128"/>
      <c r="O932" s="38"/>
      <c r="P932" s="38"/>
      <c r="Q932" s="12" t="str">
        <f t="shared" si="38"/>
        <v/>
      </c>
      <c r="R932" s="50"/>
      <c r="S932" s="50"/>
      <c r="T932" s="50"/>
      <c r="U932" s="53"/>
      <c r="V932" s="54"/>
      <c r="W932" s="56"/>
      <c r="X932" s="119"/>
      <c r="Y932" s="113"/>
      <c r="Z932" s="113"/>
    </row>
    <row r="933">
      <c r="A933" s="38">
        <v>673.0</v>
      </c>
      <c r="B933" s="38"/>
      <c r="C933" s="7"/>
      <c r="D933" s="38"/>
      <c r="E933" s="38" t="s">
        <v>2260</v>
      </c>
      <c r="F933" s="41" t="s">
        <v>2261</v>
      </c>
      <c r="G933" s="43"/>
      <c r="H933" s="45"/>
      <c r="I933" s="38"/>
      <c r="J933" s="38">
        <f>10*1000</f>
        <v>10000</v>
      </c>
      <c r="K933" s="128">
        <v>0.028564814814814817</v>
      </c>
      <c r="L933" s="47" t="s">
        <v>2262</v>
      </c>
      <c r="M933" s="128"/>
      <c r="N933" s="128"/>
      <c r="O933" s="38"/>
      <c r="P933" s="38"/>
      <c r="Q933" s="12" t="str">
        <f t="shared" si="38"/>
        <v/>
      </c>
      <c r="R933" s="50"/>
      <c r="S933" s="50"/>
      <c r="T933" s="50"/>
      <c r="U933" s="53"/>
      <c r="V933" s="54"/>
      <c r="W933" s="56"/>
      <c r="X933" s="119"/>
      <c r="Y933" s="113"/>
      <c r="Z933" s="113"/>
    </row>
    <row r="934">
      <c r="A934" s="38">
        <v>674.0</v>
      </c>
      <c r="B934" s="38"/>
      <c r="C934" s="7"/>
      <c r="D934" s="38"/>
      <c r="E934" s="38" t="s">
        <v>2263</v>
      </c>
      <c r="F934" s="41" t="s">
        <v>2264</v>
      </c>
      <c r="G934" s="43"/>
      <c r="H934" s="45"/>
      <c r="I934" s="38"/>
      <c r="J934" s="38">
        <f>1.8*1000</f>
        <v>1800</v>
      </c>
      <c r="K934" s="128">
        <v>0.003958333333333334</v>
      </c>
      <c r="L934" s="47" t="s">
        <v>2262</v>
      </c>
      <c r="M934" s="128"/>
      <c r="N934" s="128"/>
      <c r="O934" s="38"/>
      <c r="P934" s="38"/>
      <c r="Q934" s="12" t="str">
        <f t="shared" si="38"/>
        <v/>
      </c>
      <c r="R934" s="50"/>
      <c r="S934" s="50"/>
      <c r="T934" s="50"/>
      <c r="U934" s="53"/>
      <c r="V934" s="54"/>
      <c r="W934" s="56"/>
      <c r="X934" s="119"/>
      <c r="Y934" s="113"/>
      <c r="Z934" s="113"/>
    </row>
    <row r="935">
      <c r="A935" s="38">
        <v>675.0</v>
      </c>
      <c r="B935" s="38"/>
      <c r="C935" s="7"/>
      <c r="D935" s="38"/>
      <c r="E935" s="38" t="s">
        <v>2265</v>
      </c>
      <c r="F935" s="41" t="s">
        <v>2266</v>
      </c>
      <c r="G935" s="43"/>
      <c r="H935" s="45"/>
      <c r="I935" s="38"/>
      <c r="J935" s="38">
        <f>2.3*1000</f>
        <v>2300</v>
      </c>
      <c r="K935" s="128">
        <v>0.0630787037037037</v>
      </c>
      <c r="L935" s="47" t="s">
        <v>2262</v>
      </c>
      <c r="M935" s="128"/>
      <c r="N935" s="128"/>
      <c r="O935" s="38"/>
      <c r="P935" s="38"/>
      <c r="Q935" s="12" t="str">
        <f t="shared" si="38"/>
        <v/>
      </c>
      <c r="R935" s="50"/>
      <c r="S935" s="50"/>
      <c r="T935" s="50"/>
      <c r="U935" s="53"/>
      <c r="V935" s="54"/>
      <c r="W935" s="56"/>
      <c r="X935" s="119"/>
      <c r="Y935" s="113"/>
      <c r="Z935" s="113"/>
    </row>
    <row r="936">
      <c r="A936" s="38">
        <v>676.0</v>
      </c>
      <c r="B936" s="38"/>
      <c r="C936" s="7"/>
      <c r="D936" s="38"/>
      <c r="E936" s="38" t="s">
        <v>2267</v>
      </c>
      <c r="F936" s="41" t="s">
        <v>2268</v>
      </c>
      <c r="G936" s="43"/>
      <c r="H936" s="45"/>
      <c r="I936" s="38"/>
      <c r="J936" s="38">
        <f>1.2*1000</f>
        <v>1200</v>
      </c>
      <c r="K936" s="128">
        <v>0.06527777777777778</v>
      </c>
      <c r="L936" s="47" t="s">
        <v>2262</v>
      </c>
      <c r="M936" s="128"/>
      <c r="N936" s="128"/>
      <c r="O936" s="38"/>
      <c r="P936" s="38"/>
      <c r="Q936" s="12" t="str">
        <f t="shared" si="38"/>
        <v/>
      </c>
      <c r="R936" s="50"/>
      <c r="S936" s="50"/>
      <c r="T936" s="50"/>
      <c r="U936" s="53"/>
      <c r="V936" s="54"/>
      <c r="W936" s="56"/>
      <c r="X936" s="119"/>
      <c r="Y936" s="113"/>
      <c r="Z936" s="113"/>
    </row>
    <row r="937">
      <c r="A937" s="38">
        <v>677.0</v>
      </c>
      <c r="B937" s="38"/>
      <c r="C937" s="7"/>
      <c r="D937" s="38"/>
      <c r="E937" s="38" t="s">
        <v>2269</v>
      </c>
      <c r="F937" s="41" t="s">
        <v>2270</v>
      </c>
      <c r="G937" s="43"/>
      <c r="H937" s="45"/>
      <c r="I937" s="38"/>
      <c r="J937" s="38">
        <f>3.7*1000</f>
        <v>3700</v>
      </c>
      <c r="K937" s="128">
        <v>0.03770833333333333</v>
      </c>
      <c r="L937" s="47" t="s">
        <v>2262</v>
      </c>
      <c r="M937" s="128"/>
      <c r="N937" s="128"/>
      <c r="O937" s="38"/>
      <c r="P937" s="38"/>
      <c r="Q937" s="12" t="str">
        <f t="shared" si="38"/>
        <v/>
      </c>
      <c r="R937" s="50"/>
      <c r="S937" s="50"/>
      <c r="T937" s="50"/>
      <c r="U937" s="53"/>
      <c r="V937" s="54"/>
      <c r="W937" s="56"/>
      <c r="X937" s="119"/>
      <c r="Y937" s="113"/>
      <c r="Z937" s="113"/>
    </row>
    <row r="938">
      <c r="A938" s="38">
        <v>678.0</v>
      </c>
      <c r="B938" s="38"/>
      <c r="C938" s="7"/>
      <c r="D938" s="38"/>
      <c r="E938" s="38" t="s">
        <v>2271</v>
      </c>
      <c r="F938" s="41" t="s">
        <v>2272</v>
      </c>
      <c r="G938" s="43"/>
      <c r="H938" s="45"/>
      <c r="I938" s="38"/>
      <c r="J938" s="38">
        <f>6.7*1000</f>
        <v>6700</v>
      </c>
      <c r="K938" s="128">
        <v>0.027349537037037037</v>
      </c>
      <c r="L938" s="47" t="s">
        <v>2262</v>
      </c>
      <c r="M938" s="128"/>
      <c r="N938" s="128"/>
      <c r="O938" s="38"/>
      <c r="P938" s="38"/>
      <c r="Q938" s="12" t="str">
        <f t="shared" si="38"/>
        <v/>
      </c>
      <c r="R938" s="50"/>
      <c r="S938" s="50"/>
      <c r="T938" s="50"/>
      <c r="U938" s="53"/>
      <c r="V938" s="54"/>
      <c r="W938" s="56"/>
      <c r="X938" s="119"/>
      <c r="Y938" s="113"/>
      <c r="Z938" s="113"/>
    </row>
    <row r="939">
      <c r="A939" s="38">
        <v>679.0</v>
      </c>
      <c r="B939" s="38"/>
      <c r="C939" s="7"/>
      <c r="D939" s="38"/>
      <c r="E939" s="38" t="s">
        <v>2273</v>
      </c>
      <c r="F939" s="41" t="s">
        <v>2274</v>
      </c>
      <c r="G939" s="43"/>
      <c r="H939" s="45"/>
      <c r="I939" s="38"/>
      <c r="J939" s="38">
        <f>3.7*1000</f>
        <v>3700</v>
      </c>
      <c r="K939" s="128">
        <v>0.028599537037037034</v>
      </c>
      <c r="L939" s="47" t="s">
        <v>2262</v>
      </c>
      <c r="M939" s="128"/>
      <c r="N939" s="128"/>
      <c r="O939" s="38"/>
      <c r="P939" s="38"/>
      <c r="Q939" s="12" t="str">
        <f t="shared" si="38"/>
        <v/>
      </c>
      <c r="R939" s="50"/>
      <c r="S939" s="50"/>
      <c r="T939" s="50"/>
      <c r="U939" s="53"/>
      <c r="V939" s="54"/>
      <c r="W939" s="56"/>
      <c r="X939" s="119"/>
      <c r="Y939" s="113"/>
      <c r="Z939" s="113"/>
    </row>
    <row r="940">
      <c r="A940" s="38">
        <v>680.0</v>
      </c>
      <c r="B940" s="38"/>
      <c r="C940" s="7"/>
      <c r="D940" s="38"/>
      <c r="E940" s="38" t="s">
        <v>2275</v>
      </c>
      <c r="F940" s="41" t="s">
        <v>2276</v>
      </c>
      <c r="G940" s="43"/>
      <c r="H940" s="45"/>
      <c r="I940" s="38"/>
      <c r="J940" s="38">
        <f>6.5*1000</f>
        <v>6500</v>
      </c>
      <c r="K940" s="128">
        <v>0.022685185185185183</v>
      </c>
      <c r="L940" s="47" t="s">
        <v>2262</v>
      </c>
      <c r="M940" s="128"/>
      <c r="N940" s="128"/>
      <c r="O940" s="38"/>
      <c r="P940" s="38"/>
      <c r="Q940" s="12" t="str">
        <f t="shared" si="38"/>
        <v/>
      </c>
      <c r="R940" s="50"/>
      <c r="S940" s="50"/>
      <c r="T940" s="50"/>
      <c r="U940" s="53"/>
      <c r="V940" s="54"/>
      <c r="W940" s="56"/>
      <c r="X940" s="119"/>
      <c r="Y940" s="113"/>
      <c r="Z940" s="113"/>
    </row>
    <row r="941">
      <c r="A941" s="38">
        <v>681.0</v>
      </c>
      <c r="B941" s="38"/>
      <c r="C941" s="7"/>
      <c r="D941" s="38"/>
      <c r="E941" s="38" t="s">
        <v>2277</v>
      </c>
      <c r="F941" s="41" t="s">
        <v>2278</v>
      </c>
      <c r="G941" s="43"/>
      <c r="H941" s="45"/>
      <c r="I941" s="38"/>
      <c r="J941" s="38">
        <f>2.9*1000</f>
        <v>2900</v>
      </c>
      <c r="K941" s="128">
        <v>0.02888888888888889</v>
      </c>
      <c r="L941" s="47" t="s">
        <v>2262</v>
      </c>
      <c r="M941" s="128"/>
      <c r="N941" s="128"/>
      <c r="O941" s="38"/>
      <c r="P941" s="38"/>
      <c r="Q941" s="12" t="str">
        <f t="shared" si="38"/>
        <v/>
      </c>
      <c r="R941" s="50"/>
      <c r="S941" s="50"/>
      <c r="T941" s="50"/>
      <c r="U941" s="53"/>
      <c r="V941" s="54"/>
      <c r="W941" s="56"/>
      <c r="X941" s="119"/>
      <c r="Y941" s="113"/>
      <c r="Z941" s="113"/>
    </row>
    <row r="942">
      <c r="A942" s="38">
        <v>682.0</v>
      </c>
      <c r="B942" s="38"/>
      <c r="C942" s="7"/>
      <c r="D942" s="38"/>
      <c r="E942" s="38" t="s">
        <v>2279</v>
      </c>
      <c r="F942" s="41" t="s">
        <v>2280</v>
      </c>
      <c r="G942" s="43"/>
      <c r="H942" s="45"/>
      <c r="I942" s="38"/>
      <c r="J942" s="38">
        <f>2.1*1000</f>
        <v>2100</v>
      </c>
      <c r="K942" s="128">
        <v>0.026261574074074076</v>
      </c>
      <c r="L942" s="47" t="s">
        <v>2262</v>
      </c>
      <c r="M942" s="128"/>
      <c r="N942" s="128"/>
      <c r="O942" s="38"/>
      <c r="P942" s="38"/>
      <c r="Q942" s="12" t="str">
        <f t="shared" si="38"/>
        <v/>
      </c>
      <c r="R942" s="50"/>
      <c r="S942" s="50"/>
      <c r="T942" s="50"/>
      <c r="U942" s="53"/>
      <c r="V942" s="54"/>
      <c r="W942" s="56"/>
      <c r="X942" s="119"/>
      <c r="Y942" s="113"/>
      <c r="Z942" s="113"/>
    </row>
    <row r="943">
      <c r="A943" s="38">
        <v>683.0</v>
      </c>
      <c r="B943" s="38"/>
      <c r="C943" s="7"/>
      <c r="D943" s="38"/>
      <c r="E943" s="38" t="s">
        <v>2281</v>
      </c>
      <c r="F943" s="41" t="s">
        <v>2282</v>
      </c>
      <c r="G943" s="43"/>
      <c r="H943" s="45"/>
      <c r="I943" s="38"/>
      <c r="J943" s="38">
        <f>3*1000</f>
        <v>3000</v>
      </c>
      <c r="K943" s="128">
        <v>0.015324074074074073</v>
      </c>
      <c r="L943" s="47" t="s">
        <v>2262</v>
      </c>
      <c r="M943" s="128"/>
      <c r="N943" s="128"/>
      <c r="O943" s="38"/>
      <c r="P943" s="38"/>
      <c r="Q943" s="12" t="str">
        <f t="shared" si="38"/>
        <v/>
      </c>
      <c r="R943" s="50"/>
      <c r="S943" s="50"/>
      <c r="T943" s="50"/>
      <c r="U943" s="53"/>
      <c r="V943" s="54"/>
      <c r="W943" s="56"/>
      <c r="X943" s="119"/>
      <c r="Y943" s="113"/>
      <c r="Z943" s="113"/>
    </row>
    <row r="944">
      <c r="A944" s="38">
        <v>684.0</v>
      </c>
      <c r="B944" s="38"/>
      <c r="C944" s="7"/>
      <c r="D944" s="38"/>
      <c r="E944" s="38" t="s">
        <v>2283</v>
      </c>
      <c r="F944" s="41" t="s">
        <v>2284</v>
      </c>
      <c r="G944" s="43"/>
      <c r="H944" s="45"/>
      <c r="I944" s="38"/>
      <c r="J944" s="38">
        <f>5.4*1000</f>
        <v>5400</v>
      </c>
      <c r="K944" s="128">
        <v>0.01958333333333333</v>
      </c>
      <c r="L944" s="47" t="s">
        <v>2262</v>
      </c>
      <c r="M944" s="128"/>
      <c r="N944" s="128"/>
      <c r="O944" s="38"/>
      <c r="P944" s="38"/>
      <c r="Q944" s="12" t="str">
        <f t="shared" si="38"/>
        <v/>
      </c>
      <c r="R944" s="50"/>
      <c r="S944" s="50"/>
      <c r="T944" s="50"/>
      <c r="U944" s="53"/>
      <c r="V944" s="54"/>
      <c r="W944" s="56"/>
      <c r="X944" s="119"/>
      <c r="Y944" s="113"/>
      <c r="Z944" s="113"/>
    </row>
    <row r="945">
      <c r="A945" s="38">
        <v>685.0</v>
      </c>
      <c r="B945" s="38"/>
      <c r="C945" s="7"/>
      <c r="D945" s="38"/>
      <c r="E945" s="38" t="s">
        <v>2285</v>
      </c>
      <c r="F945" s="41" t="s">
        <v>2286</v>
      </c>
      <c r="G945" s="43"/>
      <c r="H945" s="45"/>
      <c r="I945" s="38"/>
      <c r="J945" s="38">
        <f>3.3*1000</f>
        <v>3300</v>
      </c>
      <c r="K945" s="128">
        <v>0.01633101851851852</v>
      </c>
      <c r="L945" s="47" t="s">
        <v>2262</v>
      </c>
      <c r="M945" s="128"/>
      <c r="N945" s="128"/>
      <c r="O945" s="38"/>
      <c r="P945" s="38"/>
      <c r="Q945" s="12" t="str">
        <f t="shared" si="38"/>
        <v/>
      </c>
      <c r="R945" s="50"/>
      <c r="S945" s="50"/>
      <c r="T945" s="50"/>
      <c r="U945" s="53"/>
      <c r="V945" s="54"/>
      <c r="W945" s="56"/>
      <c r="X945" s="119"/>
      <c r="Y945" s="113"/>
      <c r="Z945" s="113"/>
    </row>
    <row r="946">
      <c r="A946" s="38">
        <v>686.0</v>
      </c>
      <c r="B946" s="38"/>
      <c r="C946" s="7"/>
      <c r="D946" s="38"/>
      <c r="E946" s="38" t="s">
        <v>2287</v>
      </c>
      <c r="F946" s="41" t="s">
        <v>2288</v>
      </c>
      <c r="G946" s="43"/>
      <c r="H946" s="45"/>
      <c r="I946" s="38"/>
      <c r="J946" s="38">
        <f>2.6*1000</f>
        <v>2600</v>
      </c>
      <c r="K946" s="128">
        <v>0.021944444444444447</v>
      </c>
      <c r="L946" s="47" t="s">
        <v>2262</v>
      </c>
      <c r="M946" s="128"/>
      <c r="N946" s="128"/>
      <c r="O946" s="38"/>
      <c r="P946" s="38"/>
      <c r="Q946" s="12" t="str">
        <f t="shared" si="38"/>
        <v/>
      </c>
      <c r="R946" s="50"/>
      <c r="S946" s="50"/>
      <c r="T946" s="50"/>
      <c r="U946" s="53"/>
      <c r="V946" s="54"/>
      <c r="W946" s="56"/>
      <c r="X946" s="119"/>
      <c r="Y946" s="113"/>
      <c r="Z946" s="113"/>
    </row>
    <row r="947">
      <c r="A947" s="38">
        <v>687.0</v>
      </c>
      <c r="B947" s="38"/>
      <c r="C947" s="7"/>
      <c r="D947" s="38"/>
      <c r="E947" s="38" t="s">
        <v>2289</v>
      </c>
      <c r="F947" s="41" t="s">
        <v>2290</v>
      </c>
      <c r="G947" s="43"/>
      <c r="H947" s="45"/>
      <c r="I947" s="38"/>
      <c r="J947" s="38">
        <f>5.8*1000</f>
        <v>5800</v>
      </c>
      <c r="K947" s="128">
        <v>0.006122685185185185</v>
      </c>
      <c r="L947" s="47" t="s">
        <v>2262</v>
      </c>
      <c r="M947" s="128"/>
      <c r="N947" s="128"/>
      <c r="O947" s="38"/>
      <c r="P947" s="38"/>
      <c r="Q947" s="12" t="str">
        <f t="shared" si="38"/>
        <v/>
      </c>
      <c r="R947" s="50"/>
      <c r="S947" s="50"/>
      <c r="T947" s="50"/>
      <c r="U947" s="53"/>
      <c r="V947" s="54"/>
      <c r="W947" s="56"/>
      <c r="X947" s="119"/>
      <c r="Y947" s="113"/>
      <c r="Z947" s="113"/>
    </row>
    <row r="948">
      <c r="A948" s="38">
        <v>688.0</v>
      </c>
      <c r="B948" s="38"/>
      <c r="C948" s="7"/>
      <c r="D948" s="38"/>
      <c r="E948" s="38" t="s">
        <v>2291</v>
      </c>
      <c r="F948" s="41" t="s">
        <v>2292</v>
      </c>
      <c r="G948" s="43"/>
      <c r="H948" s="45"/>
      <c r="I948" s="38"/>
      <c r="J948" s="38">
        <f>12*1000</f>
        <v>12000</v>
      </c>
      <c r="K948" s="128">
        <v>0.007905092592592592</v>
      </c>
      <c r="L948" s="47" t="s">
        <v>2262</v>
      </c>
      <c r="M948" s="128"/>
      <c r="N948" s="128"/>
      <c r="O948" s="38"/>
      <c r="P948" s="38"/>
      <c r="Q948" s="12" t="str">
        <f t="shared" si="38"/>
        <v/>
      </c>
      <c r="R948" s="50"/>
      <c r="S948" s="50"/>
      <c r="T948" s="50"/>
      <c r="U948" s="53"/>
      <c r="V948" s="54"/>
      <c r="W948" s="56"/>
      <c r="X948" s="119"/>
      <c r="Y948" s="113"/>
      <c r="Z948" s="113"/>
    </row>
    <row r="949">
      <c r="A949" s="38">
        <v>689.0</v>
      </c>
      <c r="B949" s="38"/>
      <c r="C949" s="7"/>
      <c r="D949" s="38"/>
      <c r="E949" s="38" t="s">
        <v>2293</v>
      </c>
      <c r="F949" s="41" t="s">
        <v>2294</v>
      </c>
      <c r="G949" s="43"/>
      <c r="H949" s="45"/>
      <c r="I949" s="38"/>
      <c r="J949" s="38">
        <f>4.8*1000</f>
        <v>4800</v>
      </c>
      <c r="K949" s="128">
        <v>0.0031134259259259257</v>
      </c>
      <c r="L949" s="47" t="s">
        <v>2262</v>
      </c>
      <c r="M949" s="128"/>
      <c r="N949" s="128"/>
      <c r="O949" s="38"/>
      <c r="P949" s="38"/>
      <c r="Q949" s="12" t="str">
        <f t="shared" si="38"/>
        <v/>
      </c>
      <c r="R949" s="50"/>
      <c r="S949" s="50"/>
      <c r="T949" s="50"/>
      <c r="U949" s="53"/>
      <c r="V949" s="54"/>
      <c r="W949" s="56"/>
      <c r="X949" s="119"/>
      <c r="Y949" s="113"/>
      <c r="Z949" s="113"/>
    </row>
    <row r="950">
      <c r="A950" s="38">
        <v>690.0</v>
      </c>
      <c r="B950" s="38"/>
      <c r="C950" s="7"/>
      <c r="D950" s="38"/>
      <c r="E950" s="38" t="s">
        <v>2295</v>
      </c>
      <c r="F950" s="41" t="s">
        <v>2296</v>
      </c>
      <c r="G950" s="43"/>
      <c r="H950" s="45"/>
      <c r="I950" s="38"/>
      <c r="J950" s="38">
        <f>9.1*1000</f>
        <v>9100</v>
      </c>
      <c r="K950" s="128">
        <v>0.03210648148148148</v>
      </c>
      <c r="L950" s="47" t="s">
        <v>2262</v>
      </c>
      <c r="M950" s="128"/>
      <c r="N950" s="128"/>
      <c r="O950" s="38"/>
      <c r="P950" s="38"/>
      <c r="Q950" s="12" t="str">
        <f t="shared" si="38"/>
        <v/>
      </c>
      <c r="R950" s="50"/>
      <c r="S950" s="50"/>
      <c r="T950" s="50"/>
      <c r="U950" s="53"/>
      <c r="V950" s="54"/>
      <c r="W950" s="56"/>
      <c r="X950" s="119"/>
      <c r="Y950" s="113"/>
      <c r="Z950" s="113"/>
    </row>
    <row r="951">
      <c r="A951" s="38">
        <v>691.0</v>
      </c>
      <c r="B951" s="38"/>
      <c r="C951" s="7"/>
      <c r="D951" s="38"/>
      <c r="E951" s="38" t="s">
        <v>2297</v>
      </c>
      <c r="F951" s="41" t="s">
        <v>2298</v>
      </c>
      <c r="G951" s="43"/>
      <c r="H951" s="45"/>
      <c r="I951" s="38"/>
      <c r="J951" s="38">
        <f>24*1000</f>
        <v>24000</v>
      </c>
      <c r="K951" s="128">
        <v>0.044583333333333336</v>
      </c>
      <c r="L951" s="47" t="s">
        <v>2262</v>
      </c>
      <c r="M951" s="128"/>
      <c r="N951" s="128"/>
      <c r="O951" s="38"/>
      <c r="P951" s="38"/>
      <c r="Q951" s="12" t="str">
        <f t="shared" si="38"/>
        <v/>
      </c>
      <c r="R951" s="50"/>
      <c r="S951" s="50"/>
      <c r="T951" s="50"/>
      <c r="U951" s="53"/>
      <c r="V951" s="54"/>
      <c r="W951" s="56"/>
      <c r="X951" s="119"/>
      <c r="Y951" s="113"/>
      <c r="Z951" s="113"/>
    </row>
    <row r="952">
      <c r="A952" s="38">
        <v>692.0</v>
      </c>
      <c r="B952" s="38"/>
      <c r="C952" s="7"/>
      <c r="D952" s="38"/>
      <c r="E952" s="38" t="s">
        <v>2299</v>
      </c>
      <c r="F952" s="41" t="s">
        <v>2300</v>
      </c>
      <c r="G952" s="43"/>
      <c r="H952" s="45"/>
      <c r="I952" s="38"/>
      <c r="J952" s="38">
        <f>4.9*1000</f>
        <v>4900</v>
      </c>
      <c r="K952" s="128">
        <v>0.028055555555555556</v>
      </c>
      <c r="L952" s="47" t="s">
        <v>2262</v>
      </c>
      <c r="M952" s="128"/>
      <c r="N952" s="128"/>
      <c r="O952" s="38"/>
      <c r="P952" s="38"/>
      <c r="Q952" s="12" t="str">
        <f t="shared" si="38"/>
        <v/>
      </c>
      <c r="R952" s="50"/>
      <c r="S952" s="50"/>
      <c r="T952" s="50"/>
      <c r="U952" s="53"/>
      <c r="V952" s="54"/>
      <c r="W952" s="56"/>
      <c r="X952" s="119"/>
      <c r="Y952" s="113"/>
      <c r="Z952" s="113"/>
    </row>
    <row r="953">
      <c r="A953" s="38">
        <v>693.0</v>
      </c>
      <c r="B953" s="38"/>
      <c r="C953" s="7"/>
      <c r="D953" s="38"/>
      <c r="E953" s="38" t="s">
        <v>2301</v>
      </c>
      <c r="F953" s="41" t="s">
        <v>2302</v>
      </c>
      <c r="G953" s="43"/>
      <c r="H953" s="45"/>
      <c r="I953" s="38"/>
      <c r="J953" s="38">
        <f>5.3*1000</f>
        <v>5300</v>
      </c>
      <c r="K953" s="128">
        <v>0.014733796296296295</v>
      </c>
      <c r="L953" s="47" t="s">
        <v>2262</v>
      </c>
      <c r="M953" s="128"/>
      <c r="N953" s="128"/>
      <c r="O953" s="38"/>
      <c r="P953" s="38"/>
      <c r="Q953" s="12" t="str">
        <f t="shared" si="38"/>
        <v/>
      </c>
      <c r="R953" s="50"/>
      <c r="S953" s="50"/>
      <c r="T953" s="50"/>
      <c r="U953" s="53"/>
      <c r="V953" s="54"/>
      <c r="W953" s="56"/>
      <c r="X953" s="119"/>
      <c r="Y953" s="113"/>
      <c r="Z953" s="113"/>
    </row>
    <row r="954">
      <c r="A954" s="38">
        <v>694.0</v>
      </c>
      <c r="B954" s="38"/>
      <c r="C954" s="7"/>
      <c r="D954" s="38"/>
      <c r="E954" s="38" t="s">
        <v>2303</v>
      </c>
      <c r="F954" s="41" t="s">
        <v>2304</v>
      </c>
      <c r="G954" s="43"/>
      <c r="H954" s="45"/>
      <c r="I954" s="38"/>
      <c r="J954" s="38">
        <f>18*1000</f>
        <v>18000</v>
      </c>
      <c r="K954" s="128">
        <v>0.033402777777777774</v>
      </c>
      <c r="L954" s="47" t="s">
        <v>1170</v>
      </c>
      <c r="M954" s="128"/>
      <c r="N954" s="128"/>
      <c r="O954" s="38"/>
      <c r="P954" s="38"/>
      <c r="Q954" s="12" t="str">
        <f t="shared" si="38"/>
        <v/>
      </c>
      <c r="R954" s="50"/>
      <c r="S954" s="50"/>
      <c r="T954" s="50"/>
      <c r="U954" s="53"/>
      <c r="V954" s="54"/>
      <c r="W954" s="56"/>
      <c r="X954" s="119"/>
      <c r="Y954" s="113"/>
      <c r="Z954" s="113"/>
    </row>
    <row r="955">
      <c r="A955" s="38">
        <v>695.0</v>
      </c>
      <c r="B955" s="38"/>
      <c r="C955" s="7"/>
      <c r="D955" s="38"/>
      <c r="E955" s="38" t="s">
        <v>2305</v>
      </c>
      <c r="F955" s="41" t="s">
        <v>2306</v>
      </c>
      <c r="G955" s="43"/>
      <c r="H955" s="45"/>
      <c r="I955" s="38"/>
      <c r="J955" s="38">
        <f>9.1*1000</f>
        <v>9100</v>
      </c>
      <c r="K955" s="128">
        <v>0.04234953703703703</v>
      </c>
      <c r="L955" s="47" t="s">
        <v>1170</v>
      </c>
      <c r="M955" s="128"/>
      <c r="N955" s="128"/>
      <c r="O955" s="38"/>
      <c r="P955" s="38"/>
      <c r="Q955" s="12" t="str">
        <f t="shared" si="38"/>
        <v/>
      </c>
      <c r="R955" s="50"/>
      <c r="S955" s="50"/>
      <c r="T955" s="50"/>
      <c r="U955" s="53"/>
      <c r="V955" s="54"/>
      <c r="W955" s="56"/>
      <c r="X955" s="119"/>
      <c r="Y955" s="113"/>
      <c r="Z955" s="113"/>
    </row>
    <row r="956">
      <c r="A956" s="38">
        <v>696.0</v>
      </c>
      <c r="B956" s="38"/>
      <c r="C956" s="7"/>
      <c r="D956" s="38"/>
      <c r="E956" s="38" t="s">
        <v>2307</v>
      </c>
      <c r="F956" s="41" t="s">
        <v>2308</v>
      </c>
      <c r="G956" s="43"/>
      <c r="H956" s="45"/>
      <c r="I956" s="38"/>
      <c r="J956" s="38">
        <f>10*1000</f>
        <v>10000</v>
      </c>
      <c r="K956" s="128">
        <v>0.021979166666666664</v>
      </c>
      <c r="L956" s="47" t="s">
        <v>1170</v>
      </c>
      <c r="M956" s="128"/>
      <c r="N956" s="128"/>
      <c r="O956" s="38"/>
      <c r="P956" s="38"/>
      <c r="Q956" s="12" t="str">
        <f t="shared" si="38"/>
        <v/>
      </c>
      <c r="R956" s="50"/>
      <c r="S956" s="50"/>
      <c r="T956" s="50"/>
      <c r="U956" s="53"/>
      <c r="V956" s="54"/>
      <c r="W956" s="56"/>
      <c r="X956" s="119"/>
      <c r="Y956" s="113"/>
      <c r="Z956" s="113"/>
    </row>
    <row r="957">
      <c r="A957" s="38">
        <v>697.0</v>
      </c>
      <c r="B957" s="38"/>
      <c r="C957" s="7"/>
      <c r="D957" s="38"/>
      <c r="E957" s="38" t="s">
        <v>2309</v>
      </c>
      <c r="F957" s="41" t="s">
        <v>2310</v>
      </c>
      <c r="G957" s="43"/>
      <c r="H957" s="45"/>
      <c r="I957" s="38"/>
      <c r="J957" s="38">
        <f>3.7*1000</f>
        <v>3700</v>
      </c>
      <c r="K957" s="128">
        <v>0.0017824074074074072</v>
      </c>
      <c r="L957" s="47" t="s">
        <v>1170</v>
      </c>
      <c r="M957" s="128"/>
      <c r="N957" s="128"/>
      <c r="O957" s="38"/>
      <c r="P957" s="38"/>
      <c r="Q957" s="12" t="str">
        <f t="shared" si="38"/>
        <v/>
      </c>
      <c r="R957" s="50"/>
      <c r="S957" s="50"/>
      <c r="T957" s="50"/>
      <c r="U957" s="53"/>
      <c r="V957" s="54"/>
      <c r="W957" s="56"/>
      <c r="X957" s="119"/>
      <c r="Y957" s="113"/>
      <c r="Z957" s="113"/>
    </row>
    <row r="958">
      <c r="A958" s="38">
        <v>698.0</v>
      </c>
      <c r="B958" s="38"/>
      <c r="C958" s="7"/>
      <c r="D958" s="38"/>
      <c r="E958" s="38" t="s">
        <v>2311</v>
      </c>
      <c r="F958" s="41" t="s">
        <v>2312</v>
      </c>
      <c r="G958" s="43"/>
      <c r="H958" s="45"/>
      <c r="I958" s="38"/>
      <c r="J958" s="38">
        <f t="shared" ref="J958:J959" si="47">16*1000</f>
        <v>16000</v>
      </c>
      <c r="K958" s="128">
        <v>0.038483796296296294</v>
      </c>
      <c r="L958" s="47" t="s">
        <v>1170</v>
      </c>
      <c r="M958" s="128"/>
      <c r="N958" s="128"/>
      <c r="O958" s="38"/>
      <c r="P958" s="38"/>
      <c r="Q958" s="12" t="str">
        <f t="shared" si="38"/>
        <v/>
      </c>
      <c r="R958" s="50"/>
      <c r="S958" s="50"/>
      <c r="T958" s="50"/>
      <c r="U958" s="53"/>
      <c r="V958" s="54"/>
      <c r="W958" s="56"/>
      <c r="X958" s="119"/>
      <c r="Y958" s="113"/>
      <c r="Z958" s="113"/>
    </row>
    <row r="959">
      <c r="A959" s="38">
        <v>699.0</v>
      </c>
      <c r="B959" s="38"/>
      <c r="C959" s="7"/>
      <c r="D959" s="38"/>
      <c r="E959" s="38" t="s">
        <v>2313</v>
      </c>
      <c r="F959" s="41" t="s">
        <v>2314</v>
      </c>
      <c r="G959" s="43"/>
      <c r="H959" s="45"/>
      <c r="I959" s="38"/>
      <c r="J959" s="38">
        <f t="shared" si="47"/>
        <v>16000</v>
      </c>
      <c r="K959" s="128">
        <v>0.035312500000000004</v>
      </c>
      <c r="L959" s="47" t="s">
        <v>1170</v>
      </c>
      <c r="M959" s="128"/>
      <c r="N959" s="128"/>
      <c r="O959" s="38"/>
      <c r="P959" s="38"/>
      <c r="Q959" s="12" t="str">
        <f t="shared" si="38"/>
        <v/>
      </c>
      <c r="R959" s="50"/>
      <c r="S959" s="50"/>
      <c r="T959" s="50"/>
      <c r="U959" s="53"/>
      <c r="V959" s="54"/>
      <c r="W959" s="56"/>
      <c r="X959" s="119"/>
      <c r="Y959" s="113"/>
      <c r="Z959" s="113"/>
    </row>
    <row r="960">
      <c r="A960" s="38">
        <v>700.0</v>
      </c>
      <c r="B960" s="63" t="s">
        <v>619</v>
      </c>
      <c r="C960" s="51"/>
      <c r="D960" s="39" t="s">
        <v>55</v>
      </c>
      <c r="E960" s="38" t="s">
        <v>1167</v>
      </c>
      <c r="F960" s="41" t="s">
        <v>1168</v>
      </c>
      <c r="G960" s="155"/>
      <c r="H960" s="156"/>
      <c r="I960" s="113"/>
      <c r="J960" s="113">
        <f>12*1000</f>
        <v>12000</v>
      </c>
      <c r="K960" s="145">
        <v>0.027951388888888887</v>
      </c>
      <c r="L960" s="146" t="s">
        <v>1170</v>
      </c>
      <c r="M960" s="113"/>
      <c r="N960" s="113"/>
      <c r="O960" s="113"/>
      <c r="P960" s="113"/>
      <c r="Q960" s="12" t="str">
        <f t="shared" si="38"/>
        <v/>
      </c>
      <c r="R960" s="42"/>
      <c r="S960" s="42"/>
      <c r="T960" s="42"/>
      <c r="U960" s="51"/>
      <c r="V960" s="52"/>
      <c r="W960" s="55"/>
      <c r="X960" s="57"/>
      <c r="Y960" s="106"/>
      <c r="Z960" s="106"/>
      <c r="AA960" s="106"/>
      <c r="AB960" s="106"/>
    </row>
    <row r="961">
      <c r="A961" s="140">
        <v>700.01</v>
      </c>
      <c r="B961" s="157" t="s">
        <v>619</v>
      </c>
      <c r="C961" s="51"/>
      <c r="D961" s="39" t="s">
        <v>55</v>
      </c>
      <c r="E961" s="141"/>
      <c r="F961" s="141"/>
      <c r="G961" s="140" t="s">
        <v>1175</v>
      </c>
      <c r="H961" s="140" t="s">
        <v>1176</v>
      </c>
      <c r="I961" s="141"/>
      <c r="J961" s="141"/>
      <c r="K961" s="141"/>
      <c r="L961" s="141"/>
      <c r="M961" s="142">
        <v>1.9675925925925926E-4</v>
      </c>
      <c r="N961" s="142">
        <v>0.0038425925925925928</v>
      </c>
      <c r="O961" s="141"/>
      <c r="P961" s="153">
        <v>43024.0</v>
      </c>
      <c r="Q961" s="141"/>
      <c r="R961" s="139" t="s">
        <v>61</v>
      </c>
      <c r="S961" s="139" t="s">
        <v>61</v>
      </c>
      <c r="T961" s="139" t="s">
        <v>61</v>
      </c>
      <c r="U961" s="141"/>
      <c r="V961" s="141"/>
      <c r="W961" s="81" t="s">
        <v>62</v>
      </c>
      <c r="X961" s="141"/>
      <c r="Y961" s="141"/>
      <c r="Z961" s="141"/>
      <c r="AA961" s="141"/>
      <c r="AB961" s="141"/>
      <c r="AC961" s="141"/>
      <c r="AD961" s="141"/>
      <c r="AE961" s="141"/>
      <c r="AF961" s="141"/>
      <c r="AG961" s="141"/>
      <c r="AH961" s="141"/>
      <c r="AI961" s="141"/>
      <c r="AJ961" s="141"/>
      <c r="AK961" s="141"/>
    </row>
    <row r="962">
      <c r="A962" s="140">
        <v>700.02</v>
      </c>
      <c r="B962" s="157" t="s">
        <v>619</v>
      </c>
      <c r="C962" s="51"/>
      <c r="D962" s="39" t="s">
        <v>55</v>
      </c>
      <c r="E962" s="141"/>
      <c r="F962" s="141"/>
      <c r="G962" s="140" t="s">
        <v>1179</v>
      </c>
      <c r="H962" s="140" t="s">
        <v>1180</v>
      </c>
      <c r="I962" s="141"/>
      <c r="J962" s="141"/>
      <c r="K962" s="141"/>
      <c r="L962" s="141"/>
      <c r="M962" s="142">
        <v>0.0038657407407407408</v>
      </c>
      <c r="N962" s="142">
        <v>0.0060416666666666665</v>
      </c>
      <c r="O962" s="141"/>
      <c r="P962" s="153">
        <v>43024.0</v>
      </c>
      <c r="Q962" s="141"/>
      <c r="R962" s="139" t="s">
        <v>61</v>
      </c>
      <c r="S962" s="139" t="s">
        <v>61</v>
      </c>
      <c r="T962" s="139" t="s">
        <v>61</v>
      </c>
      <c r="U962" s="141"/>
      <c r="V962" s="141"/>
      <c r="W962" s="81" t="s">
        <v>62</v>
      </c>
      <c r="X962" s="141"/>
      <c r="Y962" s="141"/>
      <c r="Z962" s="141"/>
      <c r="AA962" s="141"/>
      <c r="AB962" s="141"/>
      <c r="AC962" s="141"/>
      <c r="AD962" s="141"/>
      <c r="AE962" s="141"/>
      <c r="AF962" s="141"/>
      <c r="AG962" s="141"/>
      <c r="AH962" s="141"/>
      <c r="AI962" s="141"/>
      <c r="AJ962" s="141"/>
      <c r="AK962" s="141"/>
    </row>
    <row r="963">
      <c r="A963" s="140">
        <v>700.03</v>
      </c>
      <c r="B963" s="157" t="s">
        <v>619</v>
      </c>
      <c r="C963" s="51"/>
      <c r="D963" s="39" t="s">
        <v>55</v>
      </c>
      <c r="E963" s="141"/>
      <c r="F963" s="141"/>
      <c r="G963" s="140" t="s">
        <v>1181</v>
      </c>
      <c r="H963" s="140" t="s">
        <v>1183</v>
      </c>
      <c r="I963" s="141"/>
      <c r="J963" s="141"/>
      <c r="K963" s="141"/>
      <c r="L963" s="141"/>
      <c r="M963" s="142">
        <v>0.006053240740740741</v>
      </c>
      <c r="N963" s="142">
        <v>0.019270833333333334</v>
      </c>
      <c r="O963" s="141"/>
      <c r="P963" s="153">
        <v>43024.0</v>
      </c>
      <c r="Q963" s="141"/>
      <c r="R963" s="139" t="s">
        <v>61</v>
      </c>
      <c r="S963" s="139" t="s">
        <v>61</v>
      </c>
      <c r="T963" s="139" t="s">
        <v>61</v>
      </c>
      <c r="U963" s="141"/>
      <c r="V963" s="141"/>
      <c r="W963" s="81" t="s">
        <v>62</v>
      </c>
      <c r="X963" s="141"/>
      <c r="Y963" s="141"/>
      <c r="Z963" s="141"/>
      <c r="AA963" s="141"/>
      <c r="AB963" s="141"/>
      <c r="AC963" s="141"/>
      <c r="AD963" s="141"/>
      <c r="AE963" s="141"/>
      <c r="AF963" s="141"/>
      <c r="AG963" s="141"/>
      <c r="AH963" s="141"/>
      <c r="AI963" s="141"/>
      <c r="AJ963" s="141"/>
      <c r="AK963" s="141"/>
    </row>
    <row r="964">
      <c r="A964" s="140">
        <v>700.04</v>
      </c>
      <c r="B964" s="157" t="s">
        <v>619</v>
      </c>
      <c r="C964" s="51"/>
      <c r="D964" s="39" t="s">
        <v>55</v>
      </c>
      <c r="E964" s="141"/>
      <c r="F964" s="141"/>
      <c r="G964" s="140" t="s">
        <v>1185</v>
      </c>
      <c r="H964" s="140" t="s">
        <v>1186</v>
      </c>
      <c r="I964" s="141"/>
      <c r="J964" s="141"/>
      <c r="K964" s="141"/>
      <c r="L964" s="141"/>
      <c r="M964" s="142">
        <v>0.019270833333333334</v>
      </c>
      <c r="N964" s="142">
        <v>0.027349537037037037</v>
      </c>
      <c r="O964" s="141"/>
      <c r="P964" s="153">
        <v>43024.0</v>
      </c>
      <c r="Q964" s="141"/>
      <c r="R964" s="139" t="s">
        <v>61</v>
      </c>
      <c r="S964" s="139" t="s">
        <v>61</v>
      </c>
      <c r="T964" s="139" t="s">
        <v>61</v>
      </c>
      <c r="U964" s="141"/>
      <c r="V964" s="141"/>
      <c r="W964" s="81" t="s">
        <v>62</v>
      </c>
      <c r="X964" s="141"/>
      <c r="Y964" s="141"/>
      <c r="Z964" s="141"/>
      <c r="AA964" s="141"/>
      <c r="AB964" s="141"/>
      <c r="AC964" s="141"/>
      <c r="AD964" s="141"/>
      <c r="AE964" s="141"/>
      <c r="AF964" s="141"/>
      <c r="AG964" s="141"/>
      <c r="AH964" s="141"/>
      <c r="AI964" s="141"/>
      <c r="AJ964" s="141"/>
      <c r="AK964" s="141"/>
    </row>
    <row r="965">
      <c r="A965" s="38">
        <v>701.0</v>
      </c>
      <c r="B965" s="38"/>
      <c r="C965" s="7"/>
      <c r="D965" s="38"/>
      <c r="E965" s="38" t="s">
        <v>2315</v>
      </c>
      <c r="F965" s="41" t="s">
        <v>2316</v>
      </c>
      <c r="G965" s="43"/>
      <c r="H965" s="45"/>
      <c r="I965" s="38"/>
      <c r="J965" s="38">
        <f>895</f>
        <v>895</v>
      </c>
      <c r="K965" s="128">
        <v>0.015902777777777776</v>
      </c>
      <c r="L965" s="47" t="s">
        <v>1093</v>
      </c>
      <c r="M965" s="128"/>
      <c r="N965" s="128"/>
      <c r="O965" s="38"/>
      <c r="P965" s="38"/>
      <c r="Q965" s="12" t="str">
        <f t="shared" ref="Q965:Q1020" si="48">HYPERLINK(IF(INT(A965)-A965=0,"",REPLACE(INDIRECT("MasterList!e"&amp;INT(A965)+1),25,8,"embed/")&amp;"?start="&amp;HOUR(M965)*3600+MINUTE(M965)*60+SECOND(M965)&amp;"&amp;end="&amp;HOUR(N965)*3600+MINUTE(N965)*60+SECOND(N965)&amp;"&amp;autoplay=1"))</f>
        <v/>
      </c>
      <c r="R965" s="50"/>
      <c r="S965" s="50"/>
      <c r="T965" s="50"/>
      <c r="U965" s="53"/>
      <c r="V965" s="54"/>
      <c r="W965" s="56"/>
      <c r="X965" s="119"/>
      <c r="Y965" s="113"/>
      <c r="Z965" s="113"/>
    </row>
    <row r="966">
      <c r="A966" s="38">
        <v>702.0</v>
      </c>
      <c r="B966" s="38"/>
      <c r="C966" s="7"/>
      <c r="D966" s="38"/>
      <c r="E966" s="38" t="s">
        <v>2317</v>
      </c>
      <c r="F966" s="41" t="s">
        <v>2318</v>
      </c>
      <c r="G966" s="43"/>
      <c r="H966" s="45"/>
      <c r="I966" s="38"/>
      <c r="J966" s="38">
        <f>214</f>
        <v>214</v>
      </c>
      <c r="K966" s="128">
        <v>0.030034722222222223</v>
      </c>
      <c r="L966" s="47" t="s">
        <v>1093</v>
      </c>
      <c r="M966" s="128"/>
      <c r="N966" s="128"/>
      <c r="O966" s="38"/>
      <c r="P966" s="38"/>
      <c r="Q966" s="12" t="str">
        <f t="shared" si="48"/>
        <v/>
      </c>
      <c r="R966" s="50"/>
      <c r="S966" s="50"/>
      <c r="T966" s="50"/>
      <c r="U966" s="53"/>
      <c r="V966" s="54"/>
      <c r="W966" s="56"/>
      <c r="X966" s="119"/>
      <c r="Y966" s="113"/>
      <c r="Z966" s="113"/>
    </row>
    <row r="967">
      <c r="A967" s="38">
        <v>703.0</v>
      </c>
      <c r="B967" s="38"/>
      <c r="C967" s="7"/>
      <c r="D967" s="38"/>
      <c r="E967" s="38" t="s">
        <v>2319</v>
      </c>
      <c r="F967" s="41" t="s">
        <v>2320</v>
      </c>
      <c r="G967" s="43"/>
      <c r="H967" s="45"/>
      <c r="I967" s="38"/>
      <c r="J967" s="38">
        <f>1.4*1000</f>
        <v>1400</v>
      </c>
      <c r="K967" s="128">
        <v>0.025208333333333333</v>
      </c>
      <c r="L967" s="47" t="s">
        <v>1093</v>
      </c>
      <c r="M967" s="128"/>
      <c r="N967" s="128"/>
      <c r="O967" s="38"/>
      <c r="P967" s="38"/>
      <c r="Q967" s="12" t="str">
        <f t="shared" si="48"/>
        <v/>
      </c>
      <c r="R967" s="50"/>
      <c r="S967" s="50"/>
      <c r="T967" s="50"/>
      <c r="U967" s="53"/>
      <c r="V967" s="54"/>
      <c r="W967" s="56"/>
      <c r="X967" s="119"/>
      <c r="Y967" s="113"/>
      <c r="Z967" s="113"/>
    </row>
    <row r="968">
      <c r="A968" s="38">
        <v>704.0</v>
      </c>
      <c r="B968" s="38"/>
      <c r="C968" s="7"/>
      <c r="D968" s="38"/>
      <c r="E968" s="38" t="s">
        <v>2321</v>
      </c>
      <c r="F968" s="41" t="s">
        <v>2322</v>
      </c>
      <c r="G968" s="43"/>
      <c r="H968" s="45"/>
      <c r="I968" s="38"/>
      <c r="J968" s="38">
        <f>159</f>
        <v>159</v>
      </c>
      <c r="K968" s="128">
        <v>0.013703703703703704</v>
      </c>
      <c r="L968" s="47" t="s">
        <v>1093</v>
      </c>
      <c r="M968" s="128"/>
      <c r="N968" s="128"/>
      <c r="O968" s="38"/>
      <c r="P968" s="38"/>
      <c r="Q968" s="12" t="str">
        <f t="shared" si="48"/>
        <v/>
      </c>
      <c r="R968" s="50"/>
      <c r="S968" s="50"/>
      <c r="T968" s="50"/>
      <c r="U968" s="53"/>
      <c r="V968" s="54"/>
      <c r="W968" s="56"/>
      <c r="X968" s="119"/>
      <c r="Y968" s="113"/>
      <c r="Z968" s="113"/>
    </row>
    <row r="969">
      <c r="A969" s="38">
        <v>705.0</v>
      </c>
      <c r="B969" s="38"/>
      <c r="C969" s="7"/>
      <c r="D969" s="38"/>
      <c r="E969" s="38" t="s">
        <v>2323</v>
      </c>
      <c r="F969" s="41" t="s">
        <v>2324</v>
      </c>
      <c r="G969" s="43"/>
      <c r="H969" s="45"/>
      <c r="I969" s="38"/>
      <c r="J969" s="38">
        <f>1.7*1000</f>
        <v>1700</v>
      </c>
      <c r="K969" s="128">
        <v>0.021979166666666664</v>
      </c>
      <c r="L969" s="47" t="s">
        <v>1093</v>
      </c>
      <c r="M969" s="128"/>
      <c r="N969" s="128"/>
      <c r="O969" s="38"/>
      <c r="P969" s="38"/>
      <c r="Q969" s="12" t="str">
        <f t="shared" si="48"/>
        <v/>
      </c>
      <c r="R969" s="50"/>
      <c r="S969" s="50"/>
      <c r="T969" s="50"/>
      <c r="U969" s="53"/>
      <c r="V969" s="54"/>
      <c r="W969" s="56"/>
      <c r="X969" s="119"/>
      <c r="Y969" s="113"/>
      <c r="Z969" s="113"/>
    </row>
    <row r="970">
      <c r="A970" s="38">
        <v>706.0</v>
      </c>
      <c r="B970" s="38"/>
      <c r="C970" s="7"/>
      <c r="D970" s="38"/>
      <c r="E970" s="38" t="s">
        <v>2325</v>
      </c>
      <c r="F970" s="41" t="s">
        <v>2326</v>
      </c>
      <c r="G970" s="43"/>
      <c r="H970" s="45"/>
      <c r="I970" s="38"/>
      <c r="J970" s="38">
        <f>395</f>
        <v>395</v>
      </c>
      <c r="K970" s="128">
        <v>0.010601851851851854</v>
      </c>
      <c r="L970" s="47" t="s">
        <v>1093</v>
      </c>
      <c r="M970" s="128"/>
      <c r="N970" s="128"/>
      <c r="O970" s="38"/>
      <c r="P970" s="38"/>
      <c r="Q970" s="12" t="str">
        <f t="shared" si="48"/>
        <v/>
      </c>
      <c r="R970" s="50"/>
      <c r="S970" s="50"/>
      <c r="T970" s="50"/>
      <c r="U970" s="53"/>
      <c r="V970" s="54"/>
      <c r="W970" s="56"/>
      <c r="X970" s="119"/>
      <c r="Y970" s="113"/>
      <c r="Z970" s="113"/>
    </row>
    <row r="971">
      <c r="A971" s="38">
        <v>707.0</v>
      </c>
      <c r="B971" s="38"/>
      <c r="C971" s="7"/>
      <c r="D971" s="38"/>
      <c r="E971" s="38" t="s">
        <v>2327</v>
      </c>
      <c r="F971" s="41" t="s">
        <v>2328</v>
      </c>
      <c r="G971" s="43"/>
      <c r="H971" s="45"/>
      <c r="I971" s="38"/>
      <c r="J971" s="38">
        <f>4.2*1000</f>
        <v>4200</v>
      </c>
      <c r="K971" s="128">
        <v>0.024050925925925924</v>
      </c>
      <c r="L971" s="47" t="s">
        <v>1093</v>
      </c>
      <c r="M971" s="128"/>
      <c r="N971" s="128"/>
      <c r="O971" s="38"/>
      <c r="P971" s="38"/>
      <c r="Q971" s="12" t="str">
        <f t="shared" si="48"/>
        <v/>
      </c>
      <c r="R971" s="50"/>
      <c r="S971" s="50"/>
      <c r="T971" s="50"/>
      <c r="U971" s="53"/>
      <c r="V971" s="54"/>
      <c r="W971" s="56"/>
      <c r="X971" s="119"/>
      <c r="Y971" s="113"/>
      <c r="Z971" s="113"/>
    </row>
    <row r="972">
      <c r="A972" s="38">
        <v>708.0</v>
      </c>
      <c r="B972" s="38"/>
      <c r="C972" s="7"/>
      <c r="D972" s="38"/>
      <c r="E972" s="38" t="s">
        <v>2329</v>
      </c>
      <c r="F972" s="41" t="s">
        <v>2330</v>
      </c>
      <c r="G972" s="43"/>
      <c r="H972" s="45"/>
      <c r="I972" s="38"/>
      <c r="J972" s="38">
        <f>131</f>
        <v>131</v>
      </c>
      <c r="K972" s="128">
        <v>0.008865740740740742</v>
      </c>
      <c r="L972" s="47" t="s">
        <v>1093</v>
      </c>
      <c r="M972" s="128"/>
      <c r="N972" s="128"/>
      <c r="O972" s="38"/>
      <c r="P972" s="38"/>
      <c r="Q972" s="12" t="str">
        <f t="shared" si="48"/>
        <v/>
      </c>
      <c r="R972" s="50"/>
      <c r="S972" s="50"/>
      <c r="T972" s="50"/>
      <c r="U972" s="53"/>
      <c r="V972" s="54"/>
      <c r="W972" s="56"/>
      <c r="X972" s="119"/>
      <c r="Y972" s="113"/>
      <c r="Z972" s="113"/>
    </row>
    <row r="973">
      <c r="A973" s="38">
        <v>709.0</v>
      </c>
      <c r="B973" s="38"/>
      <c r="C973" s="7"/>
      <c r="D973" s="38"/>
      <c r="E973" s="38" t="s">
        <v>2332</v>
      </c>
      <c r="F973" s="41" t="s">
        <v>2333</v>
      </c>
      <c r="G973" s="43"/>
      <c r="H973" s="45"/>
      <c r="I973" s="38"/>
      <c r="J973" s="38">
        <f>420</f>
        <v>420</v>
      </c>
      <c r="K973" s="128">
        <v>0.005</v>
      </c>
      <c r="L973" s="47" t="s">
        <v>1093</v>
      </c>
      <c r="M973" s="128"/>
      <c r="N973" s="128"/>
      <c r="O973" s="38"/>
      <c r="P973" s="38"/>
      <c r="Q973" s="12" t="str">
        <f t="shared" si="48"/>
        <v/>
      </c>
      <c r="R973" s="50"/>
      <c r="S973" s="50"/>
      <c r="T973" s="50"/>
      <c r="U973" s="53"/>
      <c r="V973" s="54"/>
      <c r="W973" s="56"/>
      <c r="X973" s="119"/>
      <c r="Y973" s="113"/>
      <c r="Z973" s="113"/>
    </row>
    <row r="974">
      <c r="A974" s="38">
        <v>710.0</v>
      </c>
      <c r="B974" s="38"/>
      <c r="C974" s="7"/>
      <c r="D974" s="38"/>
      <c r="E974" s="38" t="s">
        <v>2335</v>
      </c>
      <c r="F974" s="41" t="s">
        <v>2336</v>
      </c>
      <c r="G974" s="43"/>
      <c r="H974" s="45"/>
      <c r="I974" s="38"/>
      <c r="J974" s="38">
        <f>1*1000</f>
        <v>1000</v>
      </c>
      <c r="K974" s="128">
        <v>0.020324074074074074</v>
      </c>
      <c r="L974" s="47" t="s">
        <v>1093</v>
      </c>
      <c r="M974" s="128"/>
      <c r="N974" s="128"/>
      <c r="O974" s="38"/>
      <c r="P974" s="38"/>
      <c r="Q974" s="12" t="str">
        <f t="shared" si="48"/>
        <v/>
      </c>
      <c r="R974" s="50"/>
      <c r="S974" s="50"/>
      <c r="T974" s="50"/>
      <c r="U974" s="53"/>
      <c r="V974" s="54"/>
      <c r="W974" s="56"/>
      <c r="X974" s="119"/>
      <c r="Y974" s="113"/>
      <c r="Z974" s="113"/>
    </row>
    <row r="975">
      <c r="A975" s="38">
        <v>711.0</v>
      </c>
      <c r="B975" s="38"/>
      <c r="C975" s="7"/>
      <c r="D975" s="38"/>
      <c r="E975" s="38" t="s">
        <v>2338</v>
      </c>
      <c r="F975" s="41" t="s">
        <v>2339</v>
      </c>
      <c r="G975" s="43"/>
      <c r="H975" s="45"/>
      <c r="I975" s="38"/>
      <c r="J975" s="38">
        <f>508</f>
        <v>508</v>
      </c>
      <c r="K975" s="128">
        <v>0.01940972222222222</v>
      </c>
      <c r="L975" s="47" t="s">
        <v>1093</v>
      </c>
      <c r="M975" s="128"/>
      <c r="N975" s="128"/>
      <c r="O975" s="38"/>
      <c r="P975" s="38"/>
      <c r="Q975" s="12" t="str">
        <f t="shared" si="48"/>
        <v/>
      </c>
      <c r="R975" s="50"/>
      <c r="S975" s="50"/>
      <c r="T975" s="50"/>
      <c r="U975" s="53"/>
      <c r="V975" s="54"/>
      <c r="W975" s="56"/>
      <c r="X975" s="119"/>
      <c r="Y975" s="113"/>
      <c r="Z975" s="113"/>
    </row>
    <row r="976">
      <c r="A976" s="38">
        <v>712.0</v>
      </c>
      <c r="B976" s="38"/>
      <c r="C976" s="7"/>
      <c r="D976" s="38"/>
      <c r="E976" s="38" t="s">
        <v>2340</v>
      </c>
      <c r="F976" s="41" t="s">
        <v>2341</v>
      </c>
      <c r="G976" s="43"/>
      <c r="H976" s="45"/>
      <c r="I976" s="38"/>
      <c r="J976" s="38">
        <f>710</f>
        <v>710</v>
      </c>
      <c r="K976" s="128">
        <v>0.012604166666666666</v>
      </c>
      <c r="L976" s="47" t="s">
        <v>1093</v>
      </c>
      <c r="M976" s="128"/>
      <c r="N976" s="128"/>
      <c r="O976" s="38"/>
      <c r="P976" s="38"/>
      <c r="Q976" s="12" t="str">
        <f t="shared" si="48"/>
        <v/>
      </c>
      <c r="R976" s="50"/>
      <c r="S976" s="50"/>
      <c r="T976" s="50"/>
      <c r="U976" s="53"/>
      <c r="V976" s="54"/>
      <c r="W976" s="56"/>
      <c r="X976" s="119"/>
      <c r="Y976" s="113"/>
      <c r="Z976" s="113"/>
    </row>
    <row r="977">
      <c r="A977" s="38">
        <v>713.0</v>
      </c>
      <c r="B977" s="38"/>
      <c r="C977" s="7"/>
      <c r="D977" s="38"/>
      <c r="E977" s="38" t="s">
        <v>2343</v>
      </c>
      <c r="F977" s="41" t="s">
        <v>2344</v>
      </c>
      <c r="G977" s="43"/>
      <c r="H977" s="45"/>
      <c r="I977" s="38"/>
      <c r="J977" s="38">
        <f>1*1000</f>
        <v>1000</v>
      </c>
      <c r="K977" s="128">
        <v>0.015243055555555557</v>
      </c>
      <c r="L977" s="47" t="s">
        <v>1093</v>
      </c>
      <c r="M977" s="128"/>
      <c r="N977" s="128"/>
      <c r="O977" s="38"/>
      <c r="P977" s="38"/>
      <c r="Q977" s="12" t="str">
        <f t="shared" si="48"/>
        <v/>
      </c>
      <c r="R977" s="50"/>
      <c r="S977" s="50"/>
      <c r="T977" s="50"/>
      <c r="U977" s="53"/>
      <c r="V977" s="54"/>
      <c r="W977" s="56"/>
      <c r="X977" s="119"/>
      <c r="Y977" s="113"/>
      <c r="Z977" s="113"/>
    </row>
    <row r="978">
      <c r="A978" s="38">
        <v>714.0</v>
      </c>
      <c r="B978" s="38"/>
      <c r="C978" s="7"/>
      <c r="D978" s="38"/>
      <c r="E978" s="38" t="s">
        <v>2346</v>
      </c>
      <c r="F978" s="41" t="s">
        <v>2347</v>
      </c>
      <c r="G978" s="43"/>
      <c r="H978" s="45"/>
      <c r="I978" s="38"/>
      <c r="J978" s="38">
        <f>878</f>
        <v>878</v>
      </c>
      <c r="K978" s="128">
        <v>0.01892361111111111</v>
      </c>
      <c r="L978" s="47" t="s">
        <v>1093</v>
      </c>
      <c r="M978" s="128"/>
      <c r="N978" s="128"/>
      <c r="O978" s="38"/>
      <c r="P978" s="38"/>
      <c r="Q978" s="12" t="str">
        <f t="shared" si="48"/>
        <v/>
      </c>
      <c r="R978" s="50"/>
      <c r="S978" s="50"/>
      <c r="T978" s="50"/>
      <c r="U978" s="53"/>
      <c r="V978" s="54"/>
      <c r="W978" s="56"/>
      <c r="X978" s="119"/>
      <c r="Y978" s="113"/>
      <c r="Z978" s="113"/>
    </row>
    <row r="979">
      <c r="A979" s="38">
        <v>715.0</v>
      </c>
      <c r="B979" s="38"/>
      <c r="C979" s="7"/>
      <c r="D979" s="38"/>
      <c r="E979" s="38" t="s">
        <v>2348</v>
      </c>
      <c r="F979" s="41" t="s">
        <v>2349</v>
      </c>
      <c r="G979" s="43"/>
      <c r="H979" s="45"/>
      <c r="I979" s="38"/>
      <c r="J979" s="38">
        <f>1.1*1000</f>
        <v>1100</v>
      </c>
      <c r="K979" s="128">
        <v>0.014074074074074074</v>
      </c>
      <c r="L979" s="47" t="s">
        <v>1093</v>
      </c>
      <c r="M979" s="128"/>
      <c r="N979" s="128"/>
      <c r="O979" s="38"/>
      <c r="P979" s="38"/>
      <c r="Q979" s="12" t="str">
        <f t="shared" si="48"/>
        <v/>
      </c>
      <c r="R979" s="50"/>
      <c r="S979" s="50"/>
      <c r="T979" s="50"/>
      <c r="U979" s="53"/>
      <c r="V979" s="54"/>
      <c r="W979" s="56"/>
      <c r="X979" s="119"/>
      <c r="Y979" s="113"/>
      <c r="Z979" s="113"/>
    </row>
    <row r="980">
      <c r="A980" s="38">
        <v>716.0</v>
      </c>
      <c r="B980" s="38"/>
      <c r="C980" s="7"/>
      <c r="D980" s="38"/>
      <c r="E980" s="38" t="s">
        <v>2350</v>
      </c>
      <c r="F980" s="41" t="s">
        <v>2351</v>
      </c>
      <c r="G980" s="43"/>
      <c r="H980" s="45"/>
      <c r="I980" s="38"/>
      <c r="J980" s="38">
        <f>347</f>
        <v>347</v>
      </c>
      <c r="K980" s="128">
        <v>0.01925925925925926</v>
      </c>
      <c r="L980" s="47" t="s">
        <v>1093</v>
      </c>
      <c r="M980" s="128"/>
      <c r="N980" s="128"/>
      <c r="O980" s="38"/>
      <c r="P980" s="38"/>
      <c r="Q980" s="12" t="str">
        <f t="shared" si="48"/>
        <v/>
      </c>
      <c r="R980" s="50"/>
      <c r="S980" s="50"/>
      <c r="T980" s="50"/>
      <c r="U980" s="53"/>
      <c r="V980" s="54"/>
      <c r="W980" s="56"/>
      <c r="X980" s="119"/>
      <c r="Y980" s="113"/>
      <c r="Z980" s="113"/>
    </row>
    <row r="981">
      <c r="A981" s="38">
        <v>717.0</v>
      </c>
      <c r="B981" s="38"/>
      <c r="C981" s="7"/>
      <c r="D981" s="38"/>
      <c r="E981" s="38" t="s">
        <v>2353</v>
      </c>
      <c r="F981" s="41" t="s">
        <v>2354</v>
      </c>
      <c r="G981" s="43"/>
      <c r="H981" s="45"/>
      <c r="I981" s="38"/>
      <c r="J981" s="38">
        <f>465</f>
        <v>465</v>
      </c>
      <c r="K981" s="128">
        <v>0.014363425925925925</v>
      </c>
      <c r="L981" s="47" t="s">
        <v>1093</v>
      </c>
      <c r="M981" s="128"/>
      <c r="N981" s="128"/>
      <c r="O981" s="38"/>
      <c r="P981" s="38"/>
      <c r="Q981" s="12" t="str">
        <f t="shared" si="48"/>
        <v/>
      </c>
      <c r="R981" s="50"/>
      <c r="S981" s="50"/>
      <c r="T981" s="50"/>
      <c r="U981" s="53"/>
      <c r="V981" s="54"/>
      <c r="W981" s="56"/>
      <c r="X981" s="119"/>
      <c r="Y981" s="113"/>
      <c r="Z981" s="113"/>
    </row>
    <row r="982">
      <c r="A982" s="38">
        <v>718.0</v>
      </c>
      <c r="B982" s="38"/>
      <c r="C982" s="7"/>
      <c r="D982" s="38"/>
      <c r="E982" s="38" t="s">
        <v>2356</v>
      </c>
      <c r="F982" s="41" t="s">
        <v>2357</v>
      </c>
      <c r="G982" s="43"/>
      <c r="H982" s="45"/>
      <c r="I982" s="38"/>
      <c r="J982" s="38">
        <f>1.1*1000</f>
        <v>1100</v>
      </c>
      <c r="K982" s="128">
        <v>0.0031249999999999997</v>
      </c>
      <c r="L982" s="47" t="s">
        <v>1093</v>
      </c>
      <c r="M982" s="128"/>
      <c r="N982" s="128"/>
      <c r="O982" s="38"/>
      <c r="P982" s="38"/>
      <c r="Q982" s="12" t="str">
        <f t="shared" si="48"/>
        <v/>
      </c>
      <c r="R982" s="50"/>
      <c r="S982" s="50"/>
      <c r="T982" s="50"/>
      <c r="U982" s="53"/>
      <c r="V982" s="54"/>
      <c r="W982" s="56"/>
      <c r="X982" s="119"/>
      <c r="Y982" s="113"/>
      <c r="Z982" s="113"/>
    </row>
    <row r="983">
      <c r="A983" s="38">
        <v>719.0</v>
      </c>
      <c r="B983" s="38"/>
      <c r="C983" s="7"/>
      <c r="D983" s="38"/>
      <c r="E983" s="38" t="s">
        <v>2358</v>
      </c>
      <c r="F983" s="41" t="s">
        <v>2359</v>
      </c>
      <c r="G983" s="43"/>
      <c r="H983" s="45"/>
      <c r="I983" s="38"/>
      <c r="J983" s="38">
        <f>690</f>
        <v>690</v>
      </c>
      <c r="K983" s="128">
        <v>0.005821759259259259</v>
      </c>
      <c r="L983" s="47" t="s">
        <v>1093</v>
      </c>
      <c r="M983" s="128"/>
      <c r="N983" s="128"/>
      <c r="O983" s="38"/>
      <c r="P983" s="38"/>
      <c r="Q983" s="12" t="str">
        <f t="shared" si="48"/>
        <v/>
      </c>
      <c r="R983" s="50"/>
      <c r="S983" s="50"/>
      <c r="T983" s="50"/>
      <c r="U983" s="53"/>
      <c r="V983" s="54"/>
      <c r="W983" s="56"/>
      <c r="X983" s="119"/>
      <c r="Y983" s="113"/>
      <c r="Z983" s="113"/>
    </row>
    <row r="984">
      <c r="A984" s="38">
        <v>720.0</v>
      </c>
      <c r="B984" s="38"/>
      <c r="C984" s="7"/>
      <c r="D984" s="38"/>
      <c r="E984" s="38" t="s">
        <v>2360</v>
      </c>
      <c r="F984" s="41" t="s">
        <v>2361</v>
      </c>
      <c r="G984" s="43"/>
      <c r="H984" s="45"/>
      <c r="I984" s="38"/>
      <c r="J984" s="38">
        <f>734</f>
        <v>734</v>
      </c>
      <c r="K984" s="128">
        <v>0.02378472222222222</v>
      </c>
      <c r="L984" s="47" t="s">
        <v>1093</v>
      </c>
      <c r="M984" s="128"/>
      <c r="N984" s="128"/>
      <c r="O984" s="38"/>
      <c r="P984" s="38"/>
      <c r="Q984" s="12" t="str">
        <f t="shared" si="48"/>
        <v/>
      </c>
      <c r="R984" s="50"/>
      <c r="S984" s="50"/>
      <c r="T984" s="50"/>
      <c r="U984" s="53"/>
      <c r="V984" s="54"/>
      <c r="W984" s="56"/>
      <c r="X984" s="119"/>
      <c r="Y984" s="113"/>
      <c r="Z984" s="113"/>
    </row>
    <row r="985">
      <c r="A985" s="38">
        <v>721.0</v>
      </c>
      <c r="B985" s="38"/>
      <c r="C985" s="7"/>
      <c r="D985" s="38"/>
      <c r="E985" s="38" t="s">
        <v>2362</v>
      </c>
      <c r="F985" s="41" t="s">
        <v>2363</v>
      </c>
      <c r="G985" s="43"/>
      <c r="H985" s="45"/>
      <c r="I985" s="38"/>
      <c r="J985" s="38">
        <f>2.4*1000</f>
        <v>2400</v>
      </c>
      <c r="K985" s="128">
        <v>0.02550925925925926</v>
      </c>
      <c r="L985" s="47" t="s">
        <v>1093</v>
      </c>
      <c r="M985" s="128"/>
      <c r="N985" s="128"/>
      <c r="O985" s="38"/>
      <c r="P985" s="38"/>
      <c r="Q985" s="12" t="str">
        <f t="shared" si="48"/>
        <v/>
      </c>
      <c r="R985" s="50"/>
      <c r="S985" s="50"/>
      <c r="T985" s="50"/>
      <c r="U985" s="53"/>
      <c r="V985" s="54"/>
      <c r="W985" s="56"/>
      <c r="X985" s="119"/>
      <c r="Y985" s="113"/>
      <c r="Z985" s="113"/>
    </row>
    <row r="986">
      <c r="A986" s="38">
        <v>722.0</v>
      </c>
      <c r="B986" s="38"/>
      <c r="C986" s="7"/>
      <c r="D986" s="38"/>
      <c r="E986" s="38" t="s">
        <v>2364</v>
      </c>
      <c r="F986" s="41" t="s">
        <v>2365</v>
      </c>
      <c r="G986" s="43"/>
      <c r="H986" s="45"/>
      <c r="I986" s="38"/>
      <c r="J986" s="38">
        <f>698</f>
        <v>698</v>
      </c>
      <c r="K986" s="128">
        <v>0.0166087962962963</v>
      </c>
      <c r="L986" s="47" t="s">
        <v>1093</v>
      </c>
      <c r="M986" s="128"/>
      <c r="N986" s="128"/>
      <c r="O986" s="38"/>
      <c r="P986" s="38"/>
      <c r="Q986" s="12" t="str">
        <f t="shared" si="48"/>
        <v/>
      </c>
      <c r="R986" s="50"/>
      <c r="S986" s="50"/>
      <c r="T986" s="50"/>
      <c r="U986" s="53"/>
      <c r="V986" s="54"/>
      <c r="W986" s="56"/>
      <c r="X986" s="119"/>
      <c r="Y986" s="113"/>
      <c r="Z986" s="113"/>
    </row>
    <row r="987">
      <c r="A987" s="38">
        <v>723.0</v>
      </c>
      <c r="B987" s="38"/>
      <c r="C987" s="7"/>
      <c r="D987" s="38"/>
      <c r="E987" s="38" t="s">
        <v>2366</v>
      </c>
      <c r="F987" s="41" t="s">
        <v>2367</v>
      </c>
      <c r="G987" s="43"/>
      <c r="H987" s="45"/>
      <c r="I987" s="38"/>
      <c r="J987" s="38">
        <f>587</f>
        <v>587</v>
      </c>
      <c r="K987" s="128">
        <v>0.013506944444444445</v>
      </c>
      <c r="L987" s="47" t="s">
        <v>1093</v>
      </c>
      <c r="M987" s="128"/>
      <c r="N987" s="128"/>
      <c r="O987" s="38"/>
      <c r="P987" s="38"/>
      <c r="Q987" s="12" t="str">
        <f t="shared" si="48"/>
        <v/>
      </c>
      <c r="R987" s="50"/>
      <c r="S987" s="50"/>
      <c r="T987" s="50"/>
      <c r="U987" s="53"/>
      <c r="V987" s="54"/>
      <c r="W987" s="56"/>
      <c r="X987" s="119"/>
      <c r="Y987" s="113"/>
      <c r="Z987" s="113"/>
    </row>
    <row r="988">
      <c r="A988" s="38">
        <v>724.0</v>
      </c>
      <c r="B988" s="38"/>
      <c r="C988" s="7"/>
      <c r="D988" s="38"/>
      <c r="E988" s="38" t="s">
        <v>2368</v>
      </c>
      <c r="F988" s="41" t="s">
        <v>2369</v>
      </c>
      <c r="G988" s="43"/>
      <c r="H988" s="45"/>
      <c r="I988" s="38"/>
      <c r="J988" s="38">
        <f>304</f>
        <v>304</v>
      </c>
      <c r="K988" s="128">
        <v>0.022141203703703705</v>
      </c>
      <c r="L988" s="47" t="s">
        <v>1093</v>
      </c>
      <c r="M988" s="128"/>
      <c r="N988" s="128"/>
      <c r="O988" s="38"/>
      <c r="P988" s="38"/>
      <c r="Q988" s="12" t="str">
        <f t="shared" si="48"/>
        <v/>
      </c>
      <c r="R988" s="50"/>
      <c r="S988" s="50"/>
      <c r="T988" s="50"/>
      <c r="U988" s="53"/>
      <c r="V988" s="54"/>
      <c r="W988" s="56"/>
      <c r="X988" s="119"/>
      <c r="Y988" s="113"/>
      <c r="Z988" s="113"/>
    </row>
    <row r="989">
      <c r="A989" s="38">
        <v>725.0</v>
      </c>
      <c r="B989" s="38"/>
      <c r="C989" s="7"/>
      <c r="D989" s="38"/>
      <c r="E989" s="38" t="s">
        <v>2370</v>
      </c>
      <c r="F989" s="41" t="s">
        <v>2371</v>
      </c>
      <c r="G989" s="43"/>
      <c r="H989" s="45"/>
      <c r="I989" s="38"/>
      <c r="J989" s="38">
        <f>361</f>
        <v>361</v>
      </c>
      <c r="K989" s="128">
        <v>0.02568287037037037</v>
      </c>
      <c r="L989" s="47" t="s">
        <v>1093</v>
      </c>
      <c r="M989" s="128"/>
      <c r="N989" s="128"/>
      <c r="O989" s="38"/>
      <c r="P989" s="38"/>
      <c r="Q989" s="12" t="str">
        <f t="shared" si="48"/>
        <v/>
      </c>
      <c r="R989" s="50"/>
      <c r="S989" s="50"/>
      <c r="T989" s="50"/>
      <c r="U989" s="53"/>
      <c r="V989" s="54"/>
      <c r="W989" s="56"/>
      <c r="X989" s="119"/>
      <c r="Y989" s="113"/>
      <c r="Z989" s="113"/>
    </row>
    <row r="990">
      <c r="A990" s="38">
        <v>726.0</v>
      </c>
      <c r="B990" s="38"/>
      <c r="C990" s="7"/>
      <c r="D990" s="38"/>
      <c r="E990" s="38" t="s">
        <v>2372</v>
      </c>
      <c r="F990" s="41" t="s">
        <v>2373</v>
      </c>
      <c r="G990" s="43"/>
      <c r="H990" s="45"/>
      <c r="I990" s="38"/>
      <c r="J990" s="38">
        <f>2.2*1000</f>
        <v>2200</v>
      </c>
      <c r="K990" s="128">
        <v>0.01972222222222222</v>
      </c>
      <c r="L990" s="47" t="s">
        <v>1093</v>
      </c>
      <c r="M990" s="128"/>
      <c r="N990" s="128"/>
      <c r="O990" s="38"/>
      <c r="P990" s="38"/>
      <c r="Q990" s="12" t="str">
        <f t="shared" si="48"/>
        <v/>
      </c>
      <c r="R990" s="50"/>
      <c r="S990" s="50"/>
      <c r="T990" s="50"/>
      <c r="U990" s="53"/>
      <c r="V990" s="54"/>
      <c r="W990" s="56"/>
      <c r="X990" s="119"/>
      <c r="Y990" s="113"/>
      <c r="Z990" s="113"/>
    </row>
    <row r="991">
      <c r="A991" s="38">
        <v>727.0</v>
      </c>
      <c r="B991" s="38"/>
      <c r="C991" s="7"/>
      <c r="D991" s="38"/>
      <c r="E991" s="38" t="s">
        <v>2374</v>
      </c>
      <c r="F991" s="41" t="s">
        <v>2375</v>
      </c>
      <c r="G991" s="43"/>
      <c r="H991" s="45"/>
      <c r="I991" s="38"/>
      <c r="J991" s="38">
        <f>1.6*1000</f>
        <v>1600</v>
      </c>
      <c r="K991" s="128">
        <v>0.033888888888888885</v>
      </c>
      <c r="L991" s="47" t="s">
        <v>1093</v>
      </c>
      <c r="M991" s="128"/>
      <c r="N991" s="128"/>
      <c r="O991" s="38"/>
      <c r="P991" s="38"/>
      <c r="Q991" s="12" t="str">
        <f t="shared" si="48"/>
        <v/>
      </c>
      <c r="R991" s="50"/>
      <c r="S991" s="50"/>
      <c r="T991" s="50"/>
      <c r="U991" s="53"/>
      <c r="V991" s="54"/>
      <c r="W991" s="56"/>
      <c r="X991" s="119"/>
      <c r="Y991" s="113"/>
      <c r="Z991" s="113"/>
    </row>
    <row r="992">
      <c r="A992" s="38">
        <v>728.0</v>
      </c>
      <c r="B992" s="38"/>
      <c r="C992" s="7"/>
      <c r="D992" s="38"/>
      <c r="E992" s="38" t="s">
        <v>2376</v>
      </c>
      <c r="F992" s="41" t="s">
        <v>2377</v>
      </c>
      <c r="G992" s="43"/>
      <c r="H992" s="45"/>
      <c r="I992" s="38"/>
      <c r="J992" s="38">
        <f>245</f>
        <v>245</v>
      </c>
      <c r="K992" s="128">
        <v>0.02344907407407407</v>
      </c>
      <c r="L992" s="47" t="s">
        <v>1093</v>
      </c>
      <c r="M992" s="128"/>
      <c r="N992" s="128"/>
      <c r="O992" s="38"/>
      <c r="P992" s="38"/>
      <c r="Q992" s="12" t="str">
        <f t="shared" si="48"/>
        <v/>
      </c>
      <c r="R992" s="50"/>
      <c r="S992" s="50"/>
      <c r="T992" s="50"/>
      <c r="U992" s="53"/>
      <c r="V992" s="54"/>
      <c r="W992" s="56"/>
      <c r="X992" s="119"/>
      <c r="Y992" s="113"/>
      <c r="Z992" s="113"/>
    </row>
    <row r="993">
      <c r="A993" s="38">
        <v>729.0</v>
      </c>
      <c r="B993" s="38"/>
      <c r="C993" s="7"/>
      <c r="D993" s="38"/>
      <c r="E993" s="38" t="s">
        <v>2378</v>
      </c>
      <c r="F993" s="41" t="s">
        <v>2379</v>
      </c>
      <c r="G993" s="43"/>
      <c r="H993" s="45"/>
      <c r="I993" s="38"/>
      <c r="J993" s="38">
        <f>479</f>
        <v>479</v>
      </c>
      <c r="K993" s="128">
        <v>0.029953703703703705</v>
      </c>
      <c r="L993" s="47" t="s">
        <v>1093</v>
      </c>
      <c r="M993" s="128"/>
      <c r="N993" s="128"/>
      <c r="O993" s="38"/>
      <c r="P993" s="38"/>
      <c r="Q993" s="12" t="str">
        <f t="shared" si="48"/>
        <v/>
      </c>
      <c r="R993" s="50"/>
      <c r="S993" s="50"/>
      <c r="T993" s="50"/>
      <c r="U993" s="53"/>
      <c r="V993" s="54"/>
      <c r="W993" s="56"/>
      <c r="X993" s="119"/>
      <c r="Y993" s="113"/>
      <c r="Z993" s="113"/>
    </row>
    <row r="994">
      <c r="A994" s="38">
        <v>730.0</v>
      </c>
      <c r="B994" s="38"/>
      <c r="C994" s="7"/>
      <c r="D994" s="38"/>
      <c r="E994" s="38" t="s">
        <v>2380</v>
      </c>
      <c r="F994" s="41" t="s">
        <v>2381</v>
      </c>
      <c r="G994" s="43"/>
      <c r="H994" s="45"/>
      <c r="I994" s="38"/>
      <c r="J994" s="38">
        <f>217</f>
        <v>217</v>
      </c>
      <c r="K994" s="128">
        <v>0.012881944444444446</v>
      </c>
      <c r="L994" s="47" t="s">
        <v>1093</v>
      </c>
      <c r="M994" s="128"/>
      <c r="N994" s="128"/>
      <c r="O994" s="38"/>
      <c r="P994" s="38"/>
      <c r="Q994" s="12" t="str">
        <f t="shared" si="48"/>
        <v/>
      </c>
      <c r="R994" s="50"/>
      <c r="S994" s="50"/>
      <c r="T994" s="50"/>
      <c r="U994" s="53"/>
      <c r="V994" s="54"/>
      <c r="W994" s="56"/>
      <c r="X994" s="119"/>
      <c r="Y994" s="113"/>
      <c r="Z994" s="113"/>
    </row>
    <row r="995">
      <c r="A995" s="38">
        <v>731.0</v>
      </c>
      <c r="B995" s="38"/>
      <c r="C995" s="7"/>
      <c r="D995" s="38"/>
      <c r="E995" s="38" t="s">
        <v>2382</v>
      </c>
      <c r="F995" s="41" t="s">
        <v>2383</v>
      </c>
      <c r="G995" s="43"/>
      <c r="H995" s="45"/>
      <c r="I995" s="38"/>
      <c r="J995" s="38">
        <f>5.5*1000</f>
        <v>5500</v>
      </c>
      <c r="K995" s="128">
        <v>0.018912037037037036</v>
      </c>
      <c r="L995" s="47" t="s">
        <v>1093</v>
      </c>
      <c r="M995" s="128"/>
      <c r="N995" s="128"/>
      <c r="O995" s="38"/>
      <c r="P995" s="38"/>
      <c r="Q995" s="12" t="str">
        <f t="shared" si="48"/>
        <v/>
      </c>
      <c r="R995" s="50"/>
      <c r="S995" s="50"/>
      <c r="T995" s="50"/>
      <c r="U995" s="53"/>
      <c r="V995" s="54"/>
      <c r="W995" s="56"/>
      <c r="X995" s="119"/>
      <c r="Y995" s="113"/>
      <c r="Z995" s="113"/>
    </row>
    <row r="996">
      <c r="A996" s="38">
        <v>732.0</v>
      </c>
      <c r="B996" s="38"/>
      <c r="C996" s="7"/>
      <c r="D996" s="38"/>
      <c r="E996" s="38" t="s">
        <v>2384</v>
      </c>
      <c r="F996" s="41" t="s">
        <v>2385</v>
      </c>
      <c r="G996" s="43"/>
      <c r="H996" s="45"/>
      <c r="I996" s="38"/>
      <c r="J996" s="38">
        <f>335</f>
        <v>335</v>
      </c>
      <c r="K996" s="128">
        <v>0.023877314814814813</v>
      </c>
      <c r="L996" s="47" t="s">
        <v>1093</v>
      </c>
      <c r="M996" s="128"/>
      <c r="N996" s="128"/>
      <c r="O996" s="38"/>
      <c r="P996" s="38"/>
      <c r="Q996" s="12" t="str">
        <f t="shared" si="48"/>
        <v/>
      </c>
      <c r="R996" s="50"/>
      <c r="S996" s="50"/>
      <c r="T996" s="50"/>
      <c r="U996" s="53"/>
      <c r="V996" s="54"/>
      <c r="W996" s="56"/>
      <c r="X996" s="119"/>
      <c r="Y996" s="113"/>
      <c r="Z996" s="113"/>
    </row>
    <row r="997">
      <c r="A997" s="38">
        <v>733.0</v>
      </c>
      <c r="B997" s="38"/>
      <c r="C997" s="7"/>
      <c r="D997" s="38"/>
      <c r="E997" s="38" t="s">
        <v>2386</v>
      </c>
      <c r="F997" s="41" t="s">
        <v>2387</v>
      </c>
      <c r="G997" s="43"/>
      <c r="H997" s="45"/>
      <c r="I997" s="38"/>
      <c r="J997" s="38">
        <f>4.4*1000</f>
        <v>4400</v>
      </c>
      <c r="K997" s="128">
        <v>0.017638888888888888</v>
      </c>
      <c r="L997" s="47" t="s">
        <v>1093</v>
      </c>
      <c r="M997" s="128"/>
      <c r="N997" s="128"/>
      <c r="O997" s="38"/>
      <c r="P997" s="38"/>
      <c r="Q997" s="12" t="str">
        <f t="shared" si="48"/>
        <v/>
      </c>
      <c r="R997" s="50"/>
      <c r="S997" s="50"/>
      <c r="T997" s="50"/>
      <c r="U997" s="53"/>
      <c r="V997" s="54"/>
      <c r="W997" s="56"/>
      <c r="X997" s="119"/>
      <c r="Y997" s="113"/>
      <c r="Z997" s="113"/>
    </row>
    <row r="998">
      <c r="A998" s="38">
        <v>734.0</v>
      </c>
      <c r="B998" s="38"/>
      <c r="C998" s="7"/>
      <c r="D998" s="38"/>
      <c r="E998" s="38" t="s">
        <v>2388</v>
      </c>
      <c r="F998" s="41" t="s">
        <v>2389</v>
      </c>
      <c r="G998" s="43"/>
      <c r="H998" s="45"/>
      <c r="I998" s="38"/>
      <c r="J998" s="38">
        <f>1.3*1000</f>
        <v>1300</v>
      </c>
      <c r="K998" s="128">
        <v>0.012222222222222223</v>
      </c>
      <c r="L998" s="47" t="s">
        <v>1093</v>
      </c>
      <c r="M998" s="128"/>
      <c r="N998" s="128"/>
      <c r="O998" s="38"/>
      <c r="P998" s="38"/>
      <c r="Q998" s="12" t="str">
        <f t="shared" si="48"/>
        <v/>
      </c>
      <c r="R998" s="50"/>
      <c r="S998" s="50"/>
      <c r="T998" s="50"/>
      <c r="U998" s="53"/>
      <c r="V998" s="54"/>
      <c r="W998" s="56"/>
      <c r="X998" s="119"/>
      <c r="Y998" s="113"/>
      <c r="Z998" s="113"/>
    </row>
    <row r="999">
      <c r="A999" s="38">
        <v>735.0</v>
      </c>
      <c r="B999" s="38"/>
      <c r="C999" s="7"/>
      <c r="D999" s="38"/>
      <c r="E999" s="38" t="s">
        <v>2390</v>
      </c>
      <c r="F999" s="41" t="s">
        <v>2391</v>
      </c>
      <c r="G999" s="43"/>
      <c r="H999" s="45"/>
      <c r="I999" s="38"/>
      <c r="J999" s="38">
        <f>684</f>
        <v>684</v>
      </c>
      <c r="K999" s="128">
        <v>0.003009259259259259</v>
      </c>
      <c r="L999" s="47" t="s">
        <v>1093</v>
      </c>
      <c r="M999" s="128"/>
      <c r="N999" s="128"/>
      <c r="O999" s="38"/>
      <c r="P999" s="38"/>
      <c r="Q999" s="12" t="str">
        <f t="shared" si="48"/>
        <v/>
      </c>
      <c r="R999" s="50"/>
      <c r="S999" s="50"/>
      <c r="T999" s="50"/>
      <c r="U999" s="53"/>
      <c r="V999" s="54"/>
      <c r="W999" s="56"/>
      <c r="X999" s="119"/>
      <c r="Y999" s="113"/>
      <c r="Z999" s="113"/>
    </row>
    <row r="1000">
      <c r="A1000" s="38">
        <v>736.0</v>
      </c>
      <c r="B1000" s="38"/>
      <c r="C1000" s="7"/>
      <c r="D1000" s="38"/>
      <c r="E1000" s="38" t="s">
        <v>2392</v>
      </c>
      <c r="F1000" s="41" t="s">
        <v>2393</v>
      </c>
      <c r="G1000" s="43"/>
      <c r="H1000" s="45"/>
      <c r="I1000" s="38"/>
      <c r="J1000" s="38">
        <f>570</f>
        <v>570</v>
      </c>
      <c r="K1000" s="128">
        <v>0.0052893518518518515</v>
      </c>
      <c r="L1000" s="47" t="s">
        <v>1093</v>
      </c>
      <c r="M1000" s="128"/>
      <c r="N1000" s="128"/>
      <c r="O1000" s="38"/>
      <c r="P1000" s="38"/>
      <c r="Q1000" s="12" t="str">
        <f t="shared" si="48"/>
        <v/>
      </c>
      <c r="R1000" s="50"/>
      <c r="S1000" s="50"/>
      <c r="T1000" s="50"/>
      <c r="U1000" s="53"/>
      <c r="V1000" s="54"/>
      <c r="W1000" s="56"/>
      <c r="X1000" s="119"/>
      <c r="Y1000" s="113"/>
      <c r="Z1000" s="113"/>
    </row>
    <row r="1001">
      <c r="A1001" s="38">
        <v>737.0</v>
      </c>
      <c r="B1001" s="38"/>
      <c r="C1001" s="7"/>
      <c r="D1001" s="38"/>
      <c r="E1001" s="38" t="s">
        <v>2394</v>
      </c>
      <c r="F1001" s="41" t="s">
        <v>2395</v>
      </c>
      <c r="G1001" s="43"/>
      <c r="H1001" s="45"/>
      <c r="I1001" s="38"/>
      <c r="J1001" s="38">
        <f>431</f>
        <v>431</v>
      </c>
      <c r="K1001" s="128">
        <v>0.005347222222222222</v>
      </c>
      <c r="L1001" s="47" t="s">
        <v>1093</v>
      </c>
      <c r="M1001" s="128"/>
      <c r="N1001" s="128"/>
      <c r="O1001" s="38"/>
      <c r="P1001" s="38"/>
      <c r="Q1001" s="12" t="str">
        <f t="shared" si="48"/>
        <v/>
      </c>
      <c r="R1001" s="50"/>
      <c r="S1001" s="50"/>
      <c r="T1001" s="50"/>
      <c r="U1001" s="53"/>
      <c r="V1001" s="54"/>
      <c r="W1001" s="56"/>
      <c r="X1001" s="119"/>
      <c r="Y1001" s="113"/>
      <c r="Z1001" s="113"/>
    </row>
    <row r="1002">
      <c r="A1002" s="38">
        <v>738.0</v>
      </c>
      <c r="B1002" s="38"/>
      <c r="C1002" s="7"/>
      <c r="D1002" s="38"/>
      <c r="E1002" s="38" t="s">
        <v>2396</v>
      </c>
      <c r="F1002" s="41" t="s">
        <v>2397</v>
      </c>
      <c r="G1002" s="43"/>
      <c r="H1002" s="45"/>
      <c r="I1002" s="38"/>
      <c r="J1002" s="38">
        <f>1.3*1000</f>
        <v>1300</v>
      </c>
      <c r="K1002" s="128">
        <v>0.0228125</v>
      </c>
      <c r="L1002" s="47" t="s">
        <v>1093</v>
      </c>
      <c r="M1002" s="128"/>
      <c r="N1002" s="128"/>
      <c r="O1002" s="38"/>
      <c r="P1002" s="38"/>
      <c r="Q1002" s="12" t="str">
        <f t="shared" si="48"/>
        <v/>
      </c>
      <c r="R1002" s="50"/>
      <c r="S1002" s="50"/>
      <c r="T1002" s="50"/>
      <c r="U1002" s="53"/>
      <c r="V1002" s="54"/>
      <c r="W1002" s="56"/>
      <c r="X1002" s="119"/>
      <c r="Y1002" s="113"/>
      <c r="Z1002" s="113"/>
    </row>
    <row r="1003">
      <c r="A1003" s="38">
        <v>739.0</v>
      </c>
      <c r="B1003" s="38"/>
      <c r="C1003" s="7"/>
      <c r="D1003" s="38"/>
      <c r="E1003" s="38" t="s">
        <v>1553</v>
      </c>
      <c r="F1003" s="41" t="s">
        <v>1554</v>
      </c>
      <c r="G1003" s="43"/>
      <c r="H1003" s="45"/>
      <c r="I1003" s="38"/>
      <c r="J1003" s="38">
        <f>14*1000</f>
        <v>14000</v>
      </c>
      <c r="K1003" s="128">
        <v>0.03953703703703703</v>
      </c>
      <c r="L1003" s="47" t="s">
        <v>1093</v>
      </c>
      <c r="M1003" s="128"/>
      <c r="N1003" s="128"/>
      <c r="O1003" s="38"/>
      <c r="P1003" s="38"/>
      <c r="Q1003" s="12" t="str">
        <f t="shared" si="48"/>
        <v/>
      </c>
      <c r="R1003" s="50"/>
      <c r="S1003" s="50"/>
      <c r="T1003" s="50"/>
      <c r="U1003" s="53"/>
      <c r="V1003" s="54"/>
      <c r="W1003" s="56"/>
      <c r="X1003" s="119"/>
      <c r="Y1003" s="113"/>
      <c r="Z1003" s="113"/>
    </row>
    <row r="1004">
      <c r="A1004" s="38">
        <v>740.0</v>
      </c>
      <c r="B1004" s="63" t="s">
        <v>619</v>
      </c>
      <c r="C1004" s="51"/>
      <c r="D1004" s="39" t="s">
        <v>55</v>
      </c>
      <c r="E1004" s="38" t="s">
        <v>1091</v>
      </c>
      <c r="F1004" s="41" t="s">
        <v>1092</v>
      </c>
      <c r="G1004" s="43"/>
      <c r="H1004" s="45"/>
      <c r="I1004" s="38"/>
      <c r="J1004" s="38">
        <f>8.1*1000</f>
        <v>8100</v>
      </c>
      <c r="K1004" s="46">
        <v>0.07232638888888888</v>
      </c>
      <c r="L1004" s="47" t="s">
        <v>1093</v>
      </c>
      <c r="M1004" s="38"/>
      <c r="N1004" s="38"/>
      <c r="O1004" s="38"/>
      <c r="P1004" s="138">
        <v>43020.0</v>
      </c>
      <c r="Q1004" s="12" t="str">
        <f t="shared" si="48"/>
        <v/>
      </c>
      <c r="R1004" s="42"/>
      <c r="S1004" s="42"/>
      <c r="T1004" s="42"/>
      <c r="U1004" s="51"/>
      <c r="V1004" s="52"/>
      <c r="W1004" s="55"/>
      <c r="X1004" s="57"/>
      <c r="Y1004" s="106"/>
      <c r="Z1004" s="106"/>
      <c r="AA1004" s="106"/>
      <c r="AB1004" s="106"/>
    </row>
    <row r="1005">
      <c r="A1005" s="140">
        <v>740.01</v>
      </c>
      <c r="B1005" s="63" t="s">
        <v>619</v>
      </c>
      <c r="C1005" s="51"/>
      <c r="D1005" s="39" t="s">
        <v>55</v>
      </c>
      <c r="E1005" s="136"/>
      <c r="F1005" s="136"/>
      <c r="G1005" s="140" t="s">
        <v>1096</v>
      </c>
      <c r="H1005" s="140" t="s">
        <v>1097</v>
      </c>
      <c r="I1005" s="141"/>
      <c r="J1005" s="141"/>
      <c r="K1005" s="141"/>
      <c r="L1005" s="141"/>
      <c r="M1005" s="142">
        <v>0.0024421296296296296</v>
      </c>
      <c r="N1005" s="142">
        <v>0.003912037037037037</v>
      </c>
      <c r="O1005" s="143">
        <f t="shared" ref="O1005:O1020" si="49">N1005-M1005</f>
        <v>0.001469907407</v>
      </c>
      <c r="P1005" s="144">
        <v>43020.0</v>
      </c>
      <c r="Q1005" s="61" t="str">
        <f t="shared" si="48"/>
        <v>https://www.youtube.com/embed/VFJFvcNogFU?start=211&amp;end=338&amp;autoplay=1</v>
      </c>
      <c r="R1005" s="139" t="s">
        <v>61</v>
      </c>
      <c r="S1005" s="139" t="s">
        <v>61</v>
      </c>
      <c r="T1005" s="139" t="s">
        <v>61</v>
      </c>
      <c r="U1005" s="136"/>
      <c r="V1005" s="136"/>
      <c r="W1005" s="135" t="s">
        <v>62</v>
      </c>
      <c r="X1005" s="136"/>
      <c r="Y1005" s="136"/>
      <c r="Z1005" s="136"/>
      <c r="AA1005" s="136"/>
      <c r="AB1005" s="136"/>
      <c r="AC1005" s="136"/>
      <c r="AD1005" s="136"/>
      <c r="AE1005" s="136"/>
      <c r="AF1005" s="136"/>
      <c r="AG1005" s="136"/>
      <c r="AH1005" s="136"/>
      <c r="AI1005" s="136"/>
      <c r="AJ1005" s="136"/>
      <c r="AK1005" s="136"/>
    </row>
    <row r="1006">
      <c r="A1006" s="112">
        <v>740.02</v>
      </c>
      <c r="B1006" s="63" t="s">
        <v>619</v>
      </c>
      <c r="C1006" s="51"/>
      <c r="D1006" s="39" t="s">
        <v>55</v>
      </c>
      <c r="E1006" s="38"/>
      <c r="F1006" s="136"/>
      <c r="G1006" s="140" t="s">
        <v>1102</v>
      </c>
      <c r="H1006" s="140" t="s">
        <v>1103</v>
      </c>
      <c r="I1006" s="141"/>
      <c r="J1006" s="141"/>
      <c r="K1006" s="145"/>
      <c r="L1006" s="146"/>
      <c r="M1006" s="147">
        <v>0.003923611111111111</v>
      </c>
      <c r="N1006" s="147">
        <v>0.005486111111111111</v>
      </c>
      <c r="O1006" s="143">
        <f t="shared" si="49"/>
        <v>0.0015625</v>
      </c>
      <c r="P1006" s="144">
        <v>43020.0</v>
      </c>
      <c r="Q1006" s="61" t="str">
        <f t="shared" si="48"/>
        <v>https://www.youtube.com/embed/VFJFvcNogFU?start=339&amp;end=474&amp;autoplay=1</v>
      </c>
      <c r="R1006" s="139" t="s">
        <v>61</v>
      </c>
      <c r="S1006" s="139" t="s">
        <v>61</v>
      </c>
      <c r="T1006" s="139" t="s">
        <v>61</v>
      </c>
      <c r="U1006" s="51"/>
      <c r="V1006" s="52"/>
      <c r="W1006" s="135" t="s">
        <v>62</v>
      </c>
      <c r="X1006" s="57"/>
      <c r="Y1006" s="113"/>
      <c r="Z1006" s="113"/>
      <c r="AA1006" s="113"/>
      <c r="AB1006" s="113"/>
      <c r="AC1006" s="136"/>
      <c r="AD1006" s="136"/>
      <c r="AE1006" s="136"/>
      <c r="AF1006" s="136"/>
      <c r="AG1006" s="136"/>
      <c r="AH1006" s="136"/>
      <c r="AI1006" s="136"/>
      <c r="AJ1006" s="136"/>
      <c r="AK1006" s="136"/>
    </row>
    <row r="1007">
      <c r="A1007" s="112">
        <v>740.03</v>
      </c>
      <c r="B1007" s="63" t="s">
        <v>619</v>
      </c>
      <c r="C1007" s="51"/>
      <c r="D1007" s="39" t="s">
        <v>55</v>
      </c>
      <c r="E1007" s="38"/>
      <c r="F1007" s="136"/>
      <c r="G1007" s="140" t="s">
        <v>1106</v>
      </c>
      <c r="H1007" s="140" t="s">
        <v>1107</v>
      </c>
      <c r="I1007" s="141"/>
      <c r="J1007" s="141"/>
      <c r="K1007" s="145"/>
      <c r="L1007" s="146"/>
      <c r="M1007" s="147">
        <v>0.005497685185185185</v>
      </c>
      <c r="N1007" s="147">
        <v>0.008125</v>
      </c>
      <c r="O1007" s="143">
        <f t="shared" si="49"/>
        <v>0.002627314815</v>
      </c>
      <c r="P1007" s="144">
        <v>43020.0</v>
      </c>
      <c r="Q1007" s="61" t="str">
        <f t="shared" si="48"/>
        <v>https://www.youtube.com/embed/VFJFvcNogFU?start=475&amp;end=702&amp;autoplay=1</v>
      </c>
      <c r="R1007" s="139" t="s">
        <v>61</v>
      </c>
      <c r="S1007" s="139" t="s">
        <v>61</v>
      </c>
      <c r="T1007" s="139" t="s">
        <v>61</v>
      </c>
      <c r="U1007" s="51"/>
      <c r="V1007" s="52"/>
      <c r="W1007" s="81" t="s">
        <v>62</v>
      </c>
      <c r="X1007" s="57"/>
      <c r="Y1007" s="113"/>
      <c r="Z1007" s="113"/>
      <c r="AA1007" s="113"/>
      <c r="AB1007" s="113"/>
      <c r="AC1007" s="136"/>
      <c r="AD1007" s="136"/>
      <c r="AE1007" s="136"/>
      <c r="AF1007" s="136"/>
      <c r="AG1007" s="136"/>
      <c r="AH1007" s="136"/>
      <c r="AI1007" s="136"/>
      <c r="AJ1007" s="136"/>
      <c r="AK1007" s="136"/>
    </row>
    <row r="1008">
      <c r="A1008" s="112">
        <v>740.04</v>
      </c>
      <c r="B1008" s="63" t="s">
        <v>619</v>
      </c>
      <c r="C1008" s="51"/>
      <c r="D1008" s="39" t="s">
        <v>55</v>
      </c>
      <c r="E1008" s="38"/>
      <c r="F1008" s="41"/>
      <c r="G1008" s="148" t="s">
        <v>1108</v>
      </c>
      <c r="H1008" s="149" t="s">
        <v>1111</v>
      </c>
      <c r="I1008" s="113"/>
      <c r="J1008" s="113"/>
      <c r="K1008" s="145"/>
      <c r="L1008" s="146"/>
      <c r="M1008" s="147">
        <v>0.008136574074074074</v>
      </c>
      <c r="N1008" s="147">
        <v>0.009097222222222222</v>
      </c>
      <c r="O1008" s="143">
        <f t="shared" si="49"/>
        <v>0.0009606481481</v>
      </c>
      <c r="P1008" s="144">
        <v>43020.0</v>
      </c>
      <c r="Q1008" s="61" t="str">
        <f t="shared" si="48"/>
        <v>https://www.youtube.com/embed/VFJFvcNogFU?start=703&amp;end=786&amp;autoplay=1</v>
      </c>
      <c r="R1008" s="139" t="s">
        <v>61</v>
      </c>
      <c r="S1008" s="139" t="s">
        <v>61</v>
      </c>
      <c r="T1008" s="139" t="s">
        <v>61</v>
      </c>
      <c r="U1008" s="51"/>
      <c r="V1008" s="52"/>
      <c r="W1008" s="81" t="s">
        <v>62</v>
      </c>
      <c r="X1008" s="57"/>
      <c r="Y1008" s="113"/>
      <c r="Z1008" s="113"/>
      <c r="AA1008" s="113"/>
      <c r="AB1008" s="113"/>
      <c r="AC1008" s="136"/>
      <c r="AD1008" s="136"/>
      <c r="AE1008" s="136"/>
      <c r="AF1008" s="136"/>
      <c r="AG1008" s="136"/>
      <c r="AH1008" s="136"/>
      <c r="AI1008" s="136"/>
      <c r="AJ1008" s="136"/>
      <c r="AK1008" s="136"/>
    </row>
    <row r="1009">
      <c r="A1009" s="112">
        <v>740.05</v>
      </c>
      <c r="B1009" s="63" t="s">
        <v>619</v>
      </c>
      <c r="C1009" s="51"/>
      <c r="D1009" s="39" t="s">
        <v>55</v>
      </c>
      <c r="E1009" s="38"/>
      <c r="F1009" s="41"/>
      <c r="G1009" s="148" t="s">
        <v>1112</v>
      </c>
      <c r="H1009" s="149" t="s">
        <v>1113</v>
      </c>
      <c r="I1009" s="113"/>
      <c r="J1009" s="113"/>
      <c r="K1009" s="145"/>
      <c r="L1009" s="146"/>
      <c r="M1009" s="147">
        <v>0.009097222222222222</v>
      </c>
      <c r="N1009" s="147">
        <v>0.010185185185185186</v>
      </c>
      <c r="O1009" s="143">
        <f t="shared" si="49"/>
        <v>0.001087962963</v>
      </c>
      <c r="P1009" s="144">
        <v>43020.0</v>
      </c>
      <c r="Q1009" s="61" t="str">
        <f t="shared" si="48"/>
        <v>https://www.youtube.com/embed/VFJFvcNogFU?start=786&amp;end=880&amp;autoplay=1</v>
      </c>
      <c r="R1009" s="139" t="s">
        <v>61</v>
      </c>
      <c r="S1009" s="139" t="s">
        <v>61</v>
      </c>
      <c r="T1009" s="139" t="s">
        <v>61</v>
      </c>
      <c r="U1009" s="51"/>
      <c r="V1009" s="52"/>
      <c r="W1009" s="81" t="s">
        <v>62</v>
      </c>
      <c r="X1009" s="57"/>
      <c r="Y1009" s="113"/>
      <c r="Z1009" s="113"/>
      <c r="AA1009" s="113"/>
      <c r="AB1009" s="113"/>
      <c r="AC1009" s="136"/>
      <c r="AD1009" s="136"/>
      <c r="AE1009" s="136"/>
      <c r="AF1009" s="136"/>
      <c r="AG1009" s="136"/>
      <c r="AH1009" s="136"/>
      <c r="AI1009" s="136"/>
      <c r="AJ1009" s="136"/>
      <c r="AK1009" s="136"/>
    </row>
    <row r="1010">
      <c r="A1010" s="112">
        <v>740.06</v>
      </c>
      <c r="B1010" s="63" t="s">
        <v>619</v>
      </c>
      <c r="C1010" s="51"/>
      <c r="D1010" s="39" t="s">
        <v>55</v>
      </c>
      <c r="E1010" s="38"/>
      <c r="F1010" s="41"/>
      <c r="G1010" s="148" t="s">
        <v>1116</v>
      </c>
      <c r="H1010" s="149" t="s">
        <v>1117</v>
      </c>
      <c r="I1010" s="113"/>
      <c r="J1010" s="113"/>
      <c r="K1010" s="145"/>
      <c r="L1010" s="146"/>
      <c r="M1010" s="147">
        <v>0.010578703703703703</v>
      </c>
      <c r="N1010" s="147">
        <v>0.016898148148148148</v>
      </c>
      <c r="O1010" s="143">
        <f t="shared" si="49"/>
        <v>0.006319444444</v>
      </c>
      <c r="P1010" s="144">
        <v>43020.0</v>
      </c>
      <c r="Q1010" s="61" t="str">
        <f t="shared" si="48"/>
        <v>https://www.youtube.com/embed/VFJFvcNogFU?start=914&amp;end=1460&amp;autoplay=1</v>
      </c>
      <c r="R1010" s="139" t="s">
        <v>61</v>
      </c>
      <c r="S1010" s="139" t="s">
        <v>61</v>
      </c>
      <c r="T1010" s="139" t="s">
        <v>61</v>
      </c>
      <c r="U1010" s="51"/>
      <c r="V1010" s="52"/>
      <c r="W1010" s="81" t="s">
        <v>62</v>
      </c>
      <c r="X1010" s="57"/>
      <c r="Y1010" s="113"/>
      <c r="Z1010" s="113"/>
      <c r="AA1010" s="113"/>
      <c r="AB1010" s="113"/>
      <c r="AC1010" s="136"/>
      <c r="AD1010" s="136"/>
      <c r="AE1010" s="136"/>
      <c r="AF1010" s="136"/>
      <c r="AG1010" s="136"/>
      <c r="AH1010" s="136"/>
      <c r="AI1010" s="136"/>
      <c r="AJ1010" s="136"/>
      <c r="AK1010" s="136"/>
    </row>
    <row r="1011">
      <c r="A1011" s="112">
        <v>740.07</v>
      </c>
      <c r="B1011" s="63" t="s">
        <v>619</v>
      </c>
      <c r="C1011" s="51"/>
      <c r="D1011" s="39" t="s">
        <v>55</v>
      </c>
      <c r="E1011" s="113"/>
      <c r="F1011" s="113"/>
      <c r="G1011" s="112" t="s">
        <v>1118</v>
      </c>
      <c r="H1011" s="112" t="s">
        <v>1119</v>
      </c>
      <c r="I1011" s="113"/>
      <c r="J1011" s="113"/>
      <c r="K1011" s="113"/>
      <c r="L1011" s="113"/>
      <c r="M1011" s="147">
        <v>0.017141203703703704</v>
      </c>
      <c r="N1011" s="147">
        <v>0.01826388888888889</v>
      </c>
      <c r="O1011" s="143">
        <f t="shared" si="49"/>
        <v>0.001122685185</v>
      </c>
      <c r="P1011" s="144">
        <v>43020.0</v>
      </c>
      <c r="Q1011" s="61" t="str">
        <f t="shared" si="48"/>
        <v>https://www.youtube.com/embed/VFJFvcNogFU?start=1481&amp;end=1578&amp;autoplay=1</v>
      </c>
      <c r="R1011" s="139" t="s">
        <v>61</v>
      </c>
      <c r="S1011" s="139" t="s">
        <v>61</v>
      </c>
      <c r="T1011" s="139" t="s">
        <v>61</v>
      </c>
      <c r="U1011" s="150"/>
      <c r="V1011" s="151"/>
      <c r="W1011" s="81" t="s">
        <v>62</v>
      </c>
      <c r="X1011" s="119"/>
      <c r="Y1011" s="113"/>
      <c r="Z1011" s="113"/>
      <c r="AA1011" s="136"/>
      <c r="AB1011" s="136"/>
      <c r="AC1011" s="136"/>
      <c r="AD1011" s="136"/>
      <c r="AE1011" s="136"/>
      <c r="AF1011" s="136"/>
      <c r="AG1011" s="136"/>
      <c r="AH1011" s="136"/>
      <c r="AI1011" s="136"/>
      <c r="AJ1011" s="136"/>
      <c r="AK1011" s="136"/>
    </row>
    <row r="1012">
      <c r="A1012" s="112">
        <v>740.08</v>
      </c>
      <c r="B1012" s="63" t="s">
        <v>619</v>
      </c>
      <c r="C1012" s="51"/>
      <c r="D1012" s="39" t="s">
        <v>55</v>
      </c>
      <c r="E1012" s="113"/>
      <c r="F1012" s="113"/>
      <c r="G1012" s="112" t="s">
        <v>1124</v>
      </c>
      <c r="H1012" s="112" t="s">
        <v>1125</v>
      </c>
      <c r="I1012" s="113"/>
      <c r="J1012" s="113"/>
      <c r="K1012" s="113"/>
      <c r="L1012" s="113"/>
      <c r="M1012" s="147">
        <v>0.018275462962962962</v>
      </c>
      <c r="N1012" s="147">
        <v>0.02074074074074074</v>
      </c>
      <c r="O1012" s="143">
        <f t="shared" si="49"/>
        <v>0.002465277778</v>
      </c>
      <c r="P1012" s="144">
        <v>43020.0</v>
      </c>
      <c r="Q1012" s="61" t="str">
        <f t="shared" si="48"/>
        <v>https://www.youtube.com/embed/VFJFvcNogFU?start=1579&amp;end=1792&amp;autoplay=1</v>
      </c>
      <c r="R1012" s="139" t="s">
        <v>61</v>
      </c>
      <c r="S1012" s="139" t="s">
        <v>61</v>
      </c>
      <c r="T1012" s="139" t="s">
        <v>61</v>
      </c>
      <c r="U1012" s="150"/>
      <c r="V1012" s="151"/>
      <c r="W1012" s="81" t="s">
        <v>62</v>
      </c>
      <c r="X1012" s="119"/>
      <c r="Y1012" s="113"/>
      <c r="Z1012" s="113"/>
      <c r="AA1012" s="136"/>
      <c r="AB1012" s="136"/>
      <c r="AC1012" s="136"/>
      <c r="AD1012" s="136"/>
      <c r="AE1012" s="136"/>
      <c r="AF1012" s="136"/>
      <c r="AG1012" s="136"/>
      <c r="AH1012" s="136"/>
      <c r="AI1012" s="136"/>
      <c r="AJ1012" s="136"/>
      <c r="AK1012" s="136"/>
    </row>
    <row r="1013">
      <c r="A1013" s="112">
        <v>740.09</v>
      </c>
      <c r="B1013" s="63" t="s">
        <v>619</v>
      </c>
      <c r="C1013" s="51"/>
      <c r="D1013" s="39" t="s">
        <v>55</v>
      </c>
      <c r="E1013" s="113"/>
      <c r="F1013" s="136"/>
      <c r="G1013" s="140" t="s">
        <v>1126</v>
      </c>
      <c r="H1013" s="140" t="s">
        <v>1127</v>
      </c>
      <c r="I1013" s="141"/>
      <c r="J1013" s="141"/>
      <c r="K1013" s="113"/>
      <c r="L1013" s="113"/>
      <c r="M1013" s="147">
        <v>0.020752314814814814</v>
      </c>
      <c r="N1013" s="147">
        <v>0.02306712962962963</v>
      </c>
      <c r="O1013" s="143">
        <f t="shared" si="49"/>
        <v>0.002314814815</v>
      </c>
      <c r="P1013" s="144">
        <v>43020.0</v>
      </c>
      <c r="Q1013" s="61" t="str">
        <f t="shared" si="48"/>
        <v>https://www.youtube.com/embed/VFJFvcNogFU?start=1793&amp;end=1993&amp;autoplay=1</v>
      </c>
      <c r="R1013" s="139" t="s">
        <v>61</v>
      </c>
      <c r="S1013" s="139" t="s">
        <v>61</v>
      </c>
      <c r="T1013" s="139" t="s">
        <v>61</v>
      </c>
      <c r="U1013" s="150"/>
      <c r="V1013" s="151"/>
      <c r="W1013" s="81" t="s">
        <v>62</v>
      </c>
      <c r="X1013" s="119"/>
      <c r="Y1013" s="113"/>
      <c r="Z1013" s="113"/>
      <c r="AA1013" s="136"/>
      <c r="AB1013" s="136"/>
      <c r="AC1013" s="136"/>
      <c r="AD1013" s="136"/>
      <c r="AE1013" s="136"/>
      <c r="AF1013" s="136"/>
      <c r="AG1013" s="136"/>
      <c r="AH1013" s="136"/>
      <c r="AI1013" s="136"/>
      <c r="AJ1013" s="136"/>
      <c r="AK1013" s="136"/>
    </row>
    <row r="1014">
      <c r="A1014" s="120">
        <v>740.1</v>
      </c>
      <c r="B1014" s="63" t="s">
        <v>619</v>
      </c>
      <c r="C1014" s="51"/>
      <c r="D1014" s="39" t="s">
        <v>55</v>
      </c>
      <c r="E1014" s="38"/>
      <c r="F1014" s="136"/>
      <c r="G1014" s="140" t="s">
        <v>1130</v>
      </c>
      <c r="H1014" s="140" t="s">
        <v>1131</v>
      </c>
      <c r="I1014" s="141"/>
      <c r="J1014" s="141"/>
      <c r="K1014" s="145"/>
      <c r="L1014" s="146"/>
      <c r="M1014" s="147">
        <v>0.023078703703703702</v>
      </c>
      <c r="N1014" s="147">
        <v>0.026956018518518518</v>
      </c>
      <c r="O1014" s="143">
        <f t="shared" si="49"/>
        <v>0.003877314815</v>
      </c>
      <c r="P1014" s="144">
        <v>43020.0</v>
      </c>
      <c r="Q1014" s="61" t="str">
        <f t="shared" si="48"/>
        <v>https://www.youtube.com/embed/VFJFvcNogFU?start=1994&amp;end=2329&amp;autoplay=1</v>
      </c>
      <c r="R1014" s="139" t="s">
        <v>61</v>
      </c>
      <c r="S1014" s="139" t="s">
        <v>61</v>
      </c>
      <c r="T1014" s="139" t="s">
        <v>61</v>
      </c>
      <c r="U1014" s="51"/>
      <c r="V1014" s="52"/>
      <c r="W1014" s="81" t="s">
        <v>62</v>
      </c>
      <c r="X1014" s="57"/>
      <c r="Y1014" s="113"/>
      <c r="Z1014" s="113"/>
      <c r="AA1014" s="113"/>
      <c r="AB1014" s="113"/>
      <c r="AC1014" s="136"/>
      <c r="AD1014" s="136"/>
      <c r="AE1014" s="136"/>
      <c r="AF1014" s="136"/>
      <c r="AG1014" s="136"/>
      <c r="AH1014" s="136"/>
      <c r="AI1014" s="136"/>
      <c r="AJ1014" s="136"/>
      <c r="AK1014" s="136"/>
    </row>
    <row r="1015">
      <c r="A1015" s="112">
        <v>740.11</v>
      </c>
      <c r="B1015" s="63" t="s">
        <v>619</v>
      </c>
      <c r="C1015" s="51"/>
      <c r="D1015" s="39" t="s">
        <v>55</v>
      </c>
      <c r="E1015" s="38"/>
      <c r="F1015" s="41"/>
      <c r="G1015" s="148" t="s">
        <v>1132</v>
      </c>
      <c r="H1015" s="149" t="s">
        <v>1134</v>
      </c>
      <c r="I1015" s="113"/>
      <c r="J1015" s="113"/>
      <c r="K1015" s="145"/>
      <c r="L1015" s="146"/>
      <c r="M1015" s="147">
        <v>0.02696759259259259</v>
      </c>
      <c r="N1015" s="147">
        <v>0.02829861111111111</v>
      </c>
      <c r="O1015" s="143">
        <f t="shared" si="49"/>
        <v>0.001331018519</v>
      </c>
      <c r="P1015" s="144">
        <v>43020.0</v>
      </c>
      <c r="Q1015" s="61" t="str">
        <f t="shared" si="48"/>
        <v>https://www.youtube.com/embed/VFJFvcNogFU?start=2330&amp;end=2445&amp;autoplay=1</v>
      </c>
      <c r="R1015" s="139" t="s">
        <v>61</v>
      </c>
      <c r="S1015" s="139" t="s">
        <v>61</v>
      </c>
      <c r="T1015" s="139" t="s">
        <v>61</v>
      </c>
      <c r="U1015" s="51"/>
      <c r="V1015" s="52"/>
      <c r="W1015" s="81" t="s">
        <v>62</v>
      </c>
      <c r="X1015" s="57"/>
      <c r="Y1015" s="113"/>
      <c r="Z1015" s="113"/>
      <c r="AA1015" s="113"/>
      <c r="AB1015" s="113"/>
      <c r="AC1015" s="136"/>
      <c r="AD1015" s="136"/>
      <c r="AE1015" s="136"/>
      <c r="AF1015" s="136"/>
      <c r="AG1015" s="136"/>
      <c r="AH1015" s="136"/>
      <c r="AI1015" s="136"/>
      <c r="AJ1015" s="136"/>
      <c r="AK1015" s="136"/>
    </row>
    <row r="1016">
      <c r="A1016" s="112">
        <v>740.12</v>
      </c>
      <c r="B1016" s="63" t="s">
        <v>619</v>
      </c>
      <c r="C1016" s="51"/>
      <c r="D1016" s="39" t="s">
        <v>55</v>
      </c>
      <c r="E1016" s="38"/>
      <c r="F1016" s="41"/>
      <c r="G1016" s="148" t="s">
        <v>1136</v>
      </c>
      <c r="H1016" s="149" t="s">
        <v>1137</v>
      </c>
      <c r="I1016" s="113"/>
      <c r="J1016" s="113"/>
      <c r="K1016" s="145"/>
      <c r="L1016" s="146"/>
      <c r="M1016" s="147">
        <v>0.028310185185185185</v>
      </c>
      <c r="N1016" s="147">
        <v>0.030439814814814815</v>
      </c>
      <c r="O1016" s="143">
        <f t="shared" si="49"/>
        <v>0.00212962963</v>
      </c>
      <c r="P1016" s="144">
        <v>43020.0</v>
      </c>
      <c r="Q1016" s="61" t="str">
        <f t="shared" si="48"/>
        <v>https://www.youtube.com/embed/VFJFvcNogFU?start=2446&amp;end=2630&amp;autoplay=1</v>
      </c>
      <c r="R1016" s="63" t="s">
        <v>1053</v>
      </c>
      <c r="S1016" s="63" t="s">
        <v>61</v>
      </c>
      <c r="T1016" s="63" t="s">
        <v>61</v>
      </c>
      <c r="U1016" s="51"/>
      <c r="V1016" s="52"/>
      <c r="W1016" s="81" t="s">
        <v>76</v>
      </c>
      <c r="X1016" s="57"/>
      <c r="Y1016" s="113"/>
      <c r="Z1016" s="113"/>
      <c r="AA1016" s="113"/>
      <c r="AB1016" s="113"/>
      <c r="AC1016" s="136"/>
      <c r="AD1016" s="136"/>
      <c r="AE1016" s="136"/>
      <c r="AF1016" s="136"/>
      <c r="AG1016" s="136"/>
      <c r="AH1016" s="136"/>
      <c r="AI1016" s="136"/>
      <c r="AJ1016" s="136"/>
      <c r="AK1016" s="136"/>
    </row>
    <row r="1017">
      <c r="A1017" s="112">
        <v>740.13</v>
      </c>
      <c r="B1017" s="63" t="s">
        <v>619</v>
      </c>
      <c r="C1017" s="51"/>
      <c r="D1017" s="39" t="s">
        <v>55</v>
      </c>
      <c r="E1017" s="38"/>
      <c r="F1017" s="41"/>
      <c r="G1017" s="148" t="s">
        <v>1140</v>
      </c>
      <c r="H1017" s="149" t="s">
        <v>1141</v>
      </c>
      <c r="I1017" s="113"/>
      <c r="J1017" s="113"/>
      <c r="K1017" s="145"/>
      <c r="L1017" s="146"/>
      <c r="M1017" s="147">
        <v>0.03045138888888889</v>
      </c>
      <c r="N1017" s="147">
        <v>0.03295138888888889</v>
      </c>
      <c r="O1017" s="143">
        <f t="shared" si="49"/>
        <v>0.0025</v>
      </c>
      <c r="P1017" s="144">
        <v>43020.0</v>
      </c>
      <c r="Q1017" s="61" t="str">
        <f t="shared" si="48"/>
        <v>https://www.youtube.com/embed/VFJFvcNogFU?start=2631&amp;end=2847&amp;autoplay=1</v>
      </c>
      <c r="R1017" s="63" t="s">
        <v>1053</v>
      </c>
      <c r="S1017" s="63" t="s">
        <v>61</v>
      </c>
      <c r="T1017" s="63" t="s">
        <v>61</v>
      </c>
      <c r="U1017" s="51"/>
      <c r="V1017" s="52"/>
      <c r="W1017" s="81" t="s">
        <v>76</v>
      </c>
      <c r="X1017" s="57"/>
      <c r="Y1017" s="113"/>
      <c r="Z1017" s="113"/>
      <c r="AA1017" s="113"/>
      <c r="AB1017" s="113"/>
      <c r="AC1017" s="136"/>
      <c r="AD1017" s="136"/>
      <c r="AE1017" s="136"/>
      <c r="AF1017" s="136"/>
      <c r="AG1017" s="136"/>
      <c r="AH1017" s="136"/>
      <c r="AI1017" s="136"/>
      <c r="AJ1017" s="136"/>
      <c r="AK1017" s="136"/>
    </row>
    <row r="1018">
      <c r="A1018" s="112">
        <v>740.14</v>
      </c>
      <c r="B1018" s="63" t="s">
        <v>619</v>
      </c>
      <c r="C1018" s="51"/>
      <c r="D1018" s="39" t="s">
        <v>55</v>
      </c>
      <c r="E1018" s="38"/>
      <c r="F1018" s="41"/>
      <c r="G1018" s="148" t="s">
        <v>1144</v>
      </c>
      <c r="H1018" s="149" t="s">
        <v>1145</v>
      </c>
      <c r="I1018" s="113"/>
      <c r="J1018" s="113"/>
      <c r="K1018" s="145"/>
      <c r="L1018" s="146"/>
      <c r="M1018" s="147">
        <v>0.03298611111111111</v>
      </c>
      <c r="N1018" s="147">
        <v>0.03577546296296296</v>
      </c>
      <c r="O1018" s="143">
        <f t="shared" si="49"/>
        <v>0.002789351852</v>
      </c>
      <c r="P1018" s="144">
        <v>43020.0</v>
      </c>
      <c r="Q1018" s="61" t="str">
        <f t="shared" si="48"/>
        <v>https://www.youtube.com/embed/VFJFvcNogFU?start=2850&amp;end=3091&amp;autoplay=1</v>
      </c>
      <c r="R1018" s="139" t="s">
        <v>61</v>
      </c>
      <c r="S1018" s="139" t="s">
        <v>61</v>
      </c>
      <c r="T1018" s="139" t="s">
        <v>61</v>
      </c>
      <c r="U1018" s="51"/>
      <c r="V1018" s="52"/>
      <c r="W1018" s="81" t="s">
        <v>62</v>
      </c>
      <c r="X1018" s="57"/>
      <c r="Y1018" s="113"/>
      <c r="Z1018" s="113"/>
      <c r="AA1018" s="113"/>
      <c r="AB1018" s="113"/>
      <c r="AC1018" s="136"/>
      <c r="AD1018" s="136"/>
      <c r="AE1018" s="136"/>
      <c r="AF1018" s="136"/>
      <c r="AG1018" s="136"/>
      <c r="AH1018" s="136"/>
      <c r="AI1018" s="136"/>
      <c r="AJ1018" s="136"/>
      <c r="AK1018" s="136"/>
    </row>
    <row r="1019">
      <c r="A1019" s="112">
        <v>740.15</v>
      </c>
      <c r="B1019" s="63" t="s">
        <v>619</v>
      </c>
      <c r="C1019" s="51"/>
      <c r="D1019" s="39" t="s">
        <v>55</v>
      </c>
      <c r="E1019" s="38"/>
      <c r="F1019" s="41"/>
      <c r="G1019" s="148" t="s">
        <v>1148</v>
      </c>
      <c r="H1019" s="149" t="s">
        <v>1149</v>
      </c>
      <c r="I1019" s="113"/>
      <c r="J1019" s="113"/>
      <c r="K1019" s="145"/>
      <c r="L1019" s="146"/>
      <c r="M1019" s="147">
        <v>0.035798611111111114</v>
      </c>
      <c r="N1019" s="147">
        <v>0.03930555555555556</v>
      </c>
      <c r="O1019" s="143">
        <f t="shared" si="49"/>
        <v>0.003506944444</v>
      </c>
      <c r="P1019" s="144">
        <v>43020.0</v>
      </c>
      <c r="Q1019" s="61" t="str">
        <f t="shared" si="48"/>
        <v>https://www.youtube.com/embed/VFJFvcNogFU?start=3093&amp;end=3396&amp;autoplay=1</v>
      </c>
      <c r="R1019" s="139" t="s">
        <v>61</v>
      </c>
      <c r="S1019" s="139" t="s">
        <v>61</v>
      </c>
      <c r="T1019" s="139" t="s">
        <v>61</v>
      </c>
      <c r="U1019" s="51"/>
      <c r="V1019" s="52"/>
      <c r="W1019" s="81" t="s">
        <v>62</v>
      </c>
      <c r="X1019" s="57"/>
      <c r="Y1019" s="113"/>
      <c r="Z1019" s="113"/>
      <c r="AA1019" s="113"/>
      <c r="AB1019" s="113"/>
      <c r="AC1019" s="136"/>
      <c r="AD1019" s="136"/>
      <c r="AE1019" s="136"/>
      <c r="AF1019" s="136"/>
      <c r="AG1019" s="136"/>
      <c r="AH1019" s="136"/>
      <c r="AI1019" s="136"/>
      <c r="AJ1019" s="136"/>
      <c r="AK1019" s="136"/>
    </row>
    <row r="1020">
      <c r="A1020" s="112">
        <v>740.16</v>
      </c>
      <c r="B1020" s="63" t="s">
        <v>619</v>
      </c>
      <c r="C1020" s="51"/>
      <c r="D1020" s="39" t="s">
        <v>55</v>
      </c>
      <c r="E1020" s="38"/>
      <c r="F1020" s="41"/>
      <c r="G1020" s="148" t="s">
        <v>1150</v>
      </c>
      <c r="H1020" s="149" t="s">
        <v>1151</v>
      </c>
      <c r="I1020" s="113"/>
      <c r="J1020" s="113"/>
      <c r="K1020" s="145"/>
      <c r="L1020" s="146"/>
      <c r="M1020" s="147">
        <v>0.039328703703703706</v>
      </c>
      <c r="N1020" s="147">
        <v>0.04598379629629629</v>
      </c>
      <c r="O1020" s="143">
        <f t="shared" si="49"/>
        <v>0.006655092593</v>
      </c>
      <c r="P1020" s="144">
        <v>43020.0</v>
      </c>
      <c r="Q1020" s="61" t="str">
        <f t="shared" si="48"/>
        <v>https://www.youtube.com/embed/VFJFvcNogFU?start=3398&amp;end=3973&amp;autoplay=1</v>
      </c>
      <c r="R1020" s="139" t="s">
        <v>61</v>
      </c>
      <c r="S1020" s="139" t="s">
        <v>61</v>
      </c>
      <c r="T1020" s="139" t="s">
        <v>61</v>
      </c>
      <c r="U1020" s="51"/>
      <c r="V1020" s="52"/>
      <c r="W1020" s="81" t="s">
        <v>62</v>
      </c>
      <c r="X1020" s="57"/>
      <c r="Y1020" s="113"/>
      <c r="Z1020" s="113"/>
      <c r="AA1020" s="113"/>
      <c r="AB1020" s="113"/>
      <c r="AC1020" s="136"/>
      <c r="AD1020" s="136"/>
      <c r="AE1020" s="136"/>
      <c r="AF1020" s="136"/>
      <c r="AG1020" s="136"/>
      <c r="AH1020" s="136"/>
      <c r="AI1020" s="136"/>
      <c r="AJ1020" s="136"/>
      <c r="AK1020" s="136"/>
    </row>
    <row r="1021">
      <c r="A1021" s="112">
        <v>740.17</v>
      </c>
      <c r="B1021" s="63" t="s">
        <v>619</v>
      </c>
      <c r="C1021" s="51"/>
      <c r="D1021" s="39" t="s">
        <v>55</v>
      </c>
      <c r="E1021" s="38"/>
      <c r="F1021" s="41"/>
      <c r="G1021" s="148" t="s">
        <v>1154</v>
      </c>
      <c r="H1021" s="149" t="s">
        <v>1155</v>
      </c>
      <c r="I1021" s="113"/>
      <c r="J1021" s="113"/>
      <c r="K1021" s="145"/>
      <c r="L1021" s="146"/>
      <c r="M1021" s="147">
        <v>0.04599537037037037</v>
      </c>
      <c r="N1021" s="147">
        <v>0.049039351851851855</v>
      </c>
      <c r="O1021" s="113"/>
      <c r="P1021" s="152">
        <v>43021.0</v>
      </c>
      <c r="Q1021" s="12"/>
      <c r="R1021" s="139" t="s">
        <v>61</v>
      </c>
      <c r="S1021" s="139" t="s">
        <v>61</v>
      </c>
      <c r="T1021" s="139" t="s">
        <v>61</v>
      </c>
      <c r="U1021" s="51"/>
      <c r="V1021" s="52"/>
      <c r="W1021" s="81" t="s">
        <v>62</v>
      </c>
      <c r="X1021" s="57"/>
      <c r="Y1021" s="106"/>
      <c r="Z1021" s="106"/>
      <c r="AA1021" s="106"/>
      <c r="AB1021" s="106"/>
    </row>
    <row r="1022">
      <c r="A1022" s="112">
        <v>740.18</v>
      </c>
      <c r="B1022" s="63" t="s">
        <v>619</v>
      </c>
      <c r="C1022" s="51"/>
      <c r="D1022" s="39" t="s">
        <v>55</v>
      </c>
      <c r="E1022" s="38"/>
      <c r="F1022" s="41"/>
      <c r="G1022" s="148" t="s">
        <v>1158</v>
      </c>
      <c r="H1022" s="149" t="s">
        <v>1159</v>
      </c>
      <c r="I1022" s="113"/>
      <c r="J1022" s="113"/>
      <c r="K1022" s="145"/>
      <c r="L1022" s="146"/>
      <c r="M1022" s="147">
        <v>0.04905092592592593</v>
      </c>
      <c r="N1022" s="147">
        <v>0.06225694444444444</v>
      </c>
      <c r="O1022" s="113"/>
      <c r="P1022" s="152">
        <v>43023.0</v>
      </c>
      <c r="Q1022" s="12"/>
      <c r="R1022" s="139" t="s">
        <v>61</v>
      </c>
      <c r="S1022" s="139" t="s">
        <v>61</v>
      </c>
      <c r="T1022" s="139" t="s">
        <v>61</v>
      </c>
      <c r="U1022" s="51"/>
      <c r="V1022" s="52"/>
      <c r="W1022" s="81" t="s">
        <v>62</v>
      </c>
      <c r="X1022" s="57"/>
      <c r="Y1022" s="106"/>
      <c r="Z1022" s="106"/>
      <c r="AA1022" s="106"/>
      <c r="AB1022" s="106"/>
    </row>
    <row r="1023">
      <c r="A1023" s="140">
        <v>740.19</v>
      </c>
      <c r="B1023" s="63" t="s">
        <v>619</v>
      </c>
      <c r="C1023" s="51"/>
      <c r="D1023" s="39" t="s">
        <v>55</v>
      </c>
      <c r="G1023" s="140" t="s">
        <v>1160</v>
      </c>
      <c r="H1023" s="140" t="s">
        <v>1161</v>
      </c>
      <c r="I1023" s="141"/>
      <c r="J1023" s="141"/>
      <c r="K1023" s="141"/>
      <c r="L1023" s="141"/>
      <c r="M1023" s="142">
        <v>0.06226851851851852</v>
      </c>
      <c r="N1023" s="142">
        <v>0.06702546296296297</v>
      </c>
      <c r="O1023" s="141"/>
      <c r="P1023" s="153">
        <v>43023.0</v>
      </c>
      <c r="Q1023" s="136"/>
      <c r="R1023" s="139" t="s">
        <v>61</v>
      </c>
      <c r="S1023" s="139" t="s">
        <v>61</v>
      </c>
      <c r="T1023" s="139" t="s">
        <v>61</v>
      </c>
      <c r="U1023" s="136"/>
      <c r="V1023" s="136"/>
      <c r="W1023" s="81" t="s">
        <v>62</v>
      </c>
    </row>
    <row r="1024">
      <c r="A1024" s="154">
        <v>740.2</v>
      </c>
      <c r="B1024" s="63" t="s">
        <v>619</v>
      </c>
      <c r="C1024" s="51"/>
      <c r="D1024" s="39" t="s">
        <v>55</v>
      </c>
      <c r="G1024" s="140" t="s">
        <v>1164</v>
      </c>
      <c r="H1024" s="140" t="s">
        <v>1165</v>
      </c>
      <c r="I1024" s="141"/>
      <c r="J1024" s="141"/>
      <c r="K1024" s="141"/>
      <c r="L1024" s="141"/>
      <c r="M1024" s="142">
        <v>0.06703703703703703</v>
      </c>
      <c r="N1024" s="142">
        <v>0.07030092592592592</v>
      </c>
      <c r="O1024" s="141"/>
      <c r="P1024" s="153">
        <v>43023.0</v>
      </c>
      <c r="Q1024" s="136"/>
      <c r="R1024" s="139" t="s">
        <v>61</v>
      </c>
      <c r="S1024" s="139" t="s">
        <v>61</v>
      </c>
      <c r="T1024" s="139" t="s">
        <v>61</v>
      </c>
      <c r="U1024" s="136"/>
      <c r="V1024" s="136"/>
      <c r="W1024" s="81" t="s">
        <v>62</v>
      </c>
    </row>
    <row r="1025">
      <c r="A1025" s="38">
        <v>741.0</v>
      </c>
      <c r="B1025" s="38"/>
      <c r="C1025" s="7"/>
      <c r="D1025" s="38"/>
      <c r="E1025" s="38" t="s">
        <v>2398</v>
      </c>
      <c r="F1025" s="41" t="s">
        <v>1092</v>
      </c>
      <c r="G1025" s="43"/>
      <c r="H1025" s="45"/>
      <c r="I1025" s="38"/>
      <c r="J1025" s="38">
        <f>9.4*1000</f>
        <v>9400</v>
      </c>
      <c r="K1025" s="128">
        <v>0.07052083333333332</v>
      </c>
      <c r="L1025" s="47" t="s">
        <v>1093</v>
      </c>
      <c r="M1025" s="128"/>
      <c r="N1025" s="128"/>
      <c r="O1025" s="38"/>
      <c r="P1025" s="38"/>
      <c r="Q1025" s="12" t="str">
        <f t="shared" ref="Q1025:Q1062" si="50">HYPERLINK(IF(INT(A1025)-A1025=0,"",REPLACE(INDIRECT("MasterList!e"&amp;INT(A1025)+1),25,8,"embed/")&amp;"?start="&amp;HOUR(M1025)*3600+MINUTE(M1025)*60+SECOND(M1025)&amp;"&amp;end="&amp;HOUR(N1025)*3600+MINUTE(N1025)*60+SECOND(N1025)&amp;"&amp;autoplay=1"))</f>
        <v/>
      </c>
      <c r="R1025" s="50"/>
      <c r="S1025" s="50"/>
      <c r="T1025" s="50"/>
      <c r="U1025" s="53"/>
      <c r="V1025" s="54"/>
      <c r="W1025" s="56"/>
      <c r="X1025" s="119"/>
      <c r="Y1025" s="113"/>
      <c r="Z1025" s="113"/>
    </row>
    <row r="1026">
      <c r="A1026" s="38">
        <v>742.0</v>
      </c>
      <c r="B1026" s="38"/>
      <c r="C1026" s="7"/>
      <c r="D1026" s="38"/>
      <c r="E1026" s="38" t="s">
        <v>1568</v>
      </c>
      <c r="F1026" s="41" t="s">
        <v>1569</v>
      </c>
      <c r="G1026" s="43"/>
      <c r="H1026" s="45"/>
      <c r="I1026" s="38"/>
      <c r="J1026" s="38">
        <f>18*1000</f>
        <v>18000</v>
      </c>
      <c r="K1026" s="128">
        <v>0.04446759259259259</v>
      </c>
      <c r="L1026" s="47" t="s">
        <v>1093</v>
      </c>
      <c r="M1026" s="128"/>
      <c r="N1026" s="128"/>
      <c r="O1026" s="38"/>
      <c r="P1026" s="38"/>
      <c r="Q1026" s="12" t="str">
        <f t="shared" si="50"/>
        <v/>
      </c>
      <c r="R1026" s="50"/>
      <c r="S1026" s="50"/>
      <c r="T1026" s="50"/>
      <c r="U1026" s="53"/>
      <c r="V1026" s="54"/>
      <c r="W1026" s="56"/>
      <c r="X1026" s="119"/>
      <c r="Y1026" s="113"/>
      <c r="Z1026" s="113"/>
    </row>
    <row r="1027">
      <c r="A1027" s="38">
        <v>743.0</v>
      </c>
      <c r="B1027" s="38"/>
      <c r="C1027" s="7"/>
      <c r="D1027" s="38"/>
      <c r="E1027" s="38" t="s">
        <v>2400</v>
      </c>
      <c r="F1027" s="41" t="s">
        <v>2401</v>
      </c>
      <c r="G1027" s="43"/>
      <c r="H1027" s="45"/>
      <c r="I1027" s="38"/>
      <c r="J1027" s="38">
        <f>10*1000</f>
        <v>10000</v>
      </c>
      <c r="K1027" s="128">
        <v>0.04547453703703704</v>
      </c>
      <c r="L1027" s="47" t="s">
        <v>1093</v>
      </c>
      <c r="M1027" s="128"/>
      <c r="N1027" s="128"/>
      <c r="O1027" s="38"/>
      <c r="P1027" s="38"/>
      <c r="Q1027" s="12" t="str">
        <f t="shared" si="50"/>
        <v/>
      </c>
      <c r="R1027" s="50"/>
      <c r="S1027" s="50"/>
      <c r="T1027" s="50"/>
      <c r="U1027" s="53"/>
      <c r="V1027" s="54"/>
      <c r="W1027" s="56"/>
      <c r="X1027" s="119"/>
      <c r="Y1027" s="113"/>
      <c r="Z1027" s="113"/>
    </row>
    <row r="1028">
      <c r="A1028" s="38">
        <v>744.0</v>
      </c>
      <c r="B1028" s="38"/>
      <c r="C1028" s="7"/>
      <c r="D1028" s="38"/>
      <c r="E1028" s="38" t="s">
        <v>2402</v>
      </c>
      <c r="F1028" s="41" t="s">
        <v>2403</v>
      </c>
      <c r="G1028" s="43"/>
      <c r="H1028" s="45"/>
      <c r="I1028" s="38"/>
      <c r="J1028" s="38">
        <f>114*1000</f>
        <v>114000</v>
      </c>
      <c r="K1028" s="128">
        <v>0.04265046296296296</v>
      </c>
      <c r="L1028" s="47" t="s">
        <v>2404</v>
      </c>
      <c r="M1028" s="128"/>
      <c r="N1028" s="128"/>
      <c r="O1028" s="38"/>
      <c r="P1028" s="38"/>
      <c r="Q1028" s="12" t="str">
        <f t="shared" si="50"/>
        <v/>
      </c>
      <c r="R1028" s="50"/>
      <c r="S1028" s="50"/>
      <c r="T1028" s="50"/>
      <c r="U1028" s="53"/>
      <c r="V1028" s="54"/>
      <c r="W1028" s="56"/>
      <c r="X1028" s="119"/>
      <c r="Y1028" s="113"/>
      <c r="Z1028" s="113"/>
    </row>
    <row r="1029">
      <c r="A1029" s="38">
        <v>745.0</v>
      </c>
      <c r="B1029" s="38"/>
      <c r="C1029" s="7"/>
      <c r="D1029" s="38"/>
      <c r="E1029" s="38" t="s">
        <v>2405</v>
      </c>
      <c r="F1029" s="41" t="s">
        <v>2406</v>
      </c>
      <c r="G1029" s="43"/>
      <c r="H1029" s="45"/>
      <c r="I1029" s="38"/>
      <c r="J1029" s="38">
        <f>27*1000</f>
        <v>27000</v>
      </c>
      <c r="K1029" s="128">
        <v>0.042083333333333334</v>
      </c>
      <c r="L1029" s="47" t="s">
        <v>2404</v>
      </c>
      <c r="M1029" s="128"/>
      <c r="N1029" s="128"/>
      <c r="O1029" s="38"/>
      <c r="P1029" s="38"/>
      <c r="Q1029" s="12" t="str">
        <f t="shared" si="50"/>
        <v/>
      </c>
      <c r="R1029" s="50"/>
      <c r="S1029" s="50"/>
      <c r="T1029" s="50"/>
      <c r="U1029" s="53"/>
      <c r="V1029" s="54"/>
      <c r="W1029" s="56"/>
      <c r="X1029" s="119"/>
      <c r="Y1029" s="113"/>
      <c r="Z1029" s="113"/>
    </row>
    <row r="1030">
      <c r="A1030" s="38">
        <v>746.0</v>
      </c>
      <c r="B1030" s="38"/>
      <c r="C1030" s="7"/>
      <c r="D1030" s="38"/>
      <c r="E1030" s="38" t="s">
        <v>2407</v>
      </c>
      <c r="F1030" s="41" t="s">
        <v>2408</v>
      </c>
      <c r="G1030" s="43"/>
      <c r="H1030" s="45"/>
      <c r="I1030" s="38"/>
      <c r="J1030" s="38">
        <f>17*1000</f>
        <v>17000</v>
      </c>
      <c r="K1030" s="128">
        <v>0.039560185185185184</v>
      </c>
      <c r="L1030" s="47" t="s">
        <v>2404</v>
      </c>
      <c r="M1030" s="128"/>
      <c r="N1030" s="128"/>
      <c r="O1030" s="38"/>
      <c r="P1030" s="38"/>
      <c r="Q1030" s="12" t="str">
        <f t="shared" si="50"/>
        <v/>
      </c>
      <c r="R1030" s="50"/>
      <c r="S1030" s="50"/>
      <c r="T1030" s="50"/>
      <c r="U1030" s="53"/>
      <c r="V1030" s="54"/>
      <c r="W1030" s="56"/>
      <c r="X1030" s="119"/>
      <c r="Y1030" s="113"/>
      <c r="Z1030" s="113"/>
    </row>
    <row r="1031">
      <c r="A1031" s="38">
        <v>747.0</v>
      </c>
      <c r="B1031" s="38"/>
      <c r="C1031" s="7"/>
      <c r="D1031" s="38"/>
      <c r="E1031" s="38" t="s">
        <v>2409</v>
      </c>
      <c r="F1031" s="41" t="s">
        <v>2410</v>
      </c>
      <c r="G1031" s="43"/>
      <c r="H1031" s="45"/>
      <c r="I1031" s="38"/>
      <c r="J1031" s="38">
        <f>24*1000</f>
        <v>24000</v>
      </c>
      <c r="K1031" s="128">
        <v>0.04546296296296296</v>
      </c>
      <c r="L1031" s="47" t="s">
        <v>2404</v>
      </c>
      <c r="M1031" s="128"/>
      <c r="N1031" s="128"/>
      <c r="O1031" s="38"/>
      <c r="P1031" s="38"/>
      <c r="Q1031" s="12" t="str">
        <f t="shared" si="50"/>
        <v/>
      </c>
      <c r="R1031" s="50"/>
      <c r="S1031" s="50"/>
      <c r="T1031" s="50"/>
      <c r="U1031" s="53"/>
      <c r="V1031" s="54"/>
      <c r="W1031" s="56"/>
      <c r="X1031" s="119"/>
      <c r="Y1031" s="113"/>
      <c r="Z1031" s="113"/>
    </row>
    <row r="1032">
      <c r="A1032" s="38">
        <v>748.0</v>
      </c>
      <c r="B1032" s="38"/>
      <c r="C1032" s="7"/>
      <c r="D1032" s="38"/>
      <c r="E1032" s="38" t="s">
        <v>2411</v>
      </c>
      <c r="F1032" s="41" t="s">
        <v>2412</v>
      </c>
      <c r="G1032" s="43"/>
      <c r="H1032" s="45"/>
      <c r="I1032" s="38"/>
      <c r="J1032" s="38">
        <f>22*1000</f>
        <v>22000</v>
      </c>
      <c r="K1032" s="128">
        <v>0.03255787037037037</v>
      </c>
      <c r="L1032" s="47" t="s">
        <v>2404</v>
      </c>
      <c r="M1032" s="128"/>
      <c r="N1032" s="128"/>
      <c r="O1032" s="38"/>
      <c r="P1032" s="38"/>
      <c r="Q1032" s="12" t="str">
        <f t="shared" si="50"/>
        <v/>
      </c>
      <c r="R1032" s="50"/>
      <c r="S1032" s="50"/>
      <c r="T1032" s="50"/>
      <c r="U1032" s="53"/>
      <c r="V1032" s="54"/>
      <c r="W1032" s="56"/>
      <c r="X1032" s="119"/>
      <c r="Y1032" s="113"/>
      <c r="Z1032" s="113"/>
    </row>
    <row r="1033">
      <c r="A1033" s="38">
        <v>749.0</v>
      </c>
      <c r="B1033" s="38"/>
      <c r="C1033" s="7"/>
      <c r="D1033" s="38"/>
      <c r="E1033" s="38" t="s">
        <v>2413</v>
      </c>
      <c r="F1033" s="41" t="s">
        <v>2414</v>
      </c>
      <c r="G1033" s="43"/>
      <c r="H1033" s="45"/>
      <c r="I1033" s="38"/>
      <c r="J1033" s="38">
        <f>27*1000</f>
        <v>27000</v>
      </c>
      <c r="K1033" s="128">
        <v>0.033379629629629634</v>
      </c>
      <c r="L1033" s="47" t="s">
        <v>1060</v>
      </c>
      <c r="M1033" s="128"/>
      <c r="N1033" s="128"/>
      <c r="O1033" s="38"/>
      <c r="P1033" s="38"/>
      <c r="Q1033" s="12" t="str">
        <f t="shared" si="50"/>
        <v/>
      </c>
      <c r="R1033" s="50"/>
      <c r="S1033" s="50"/>
      <c r="T1033" s="50"/>
      <c r="U1033" s="53"/>
      <c r="V1033" s="54"/>
      <c r="W1033" s="56"/>
      <c r="X1033" s="119"/>
      <c r="Y1033" s="113"/>
      <c r="Z1033" s="113"/>
    </row>
    <row r="1034">
      <c r="A1034" s="38">
        <v>750.0</v>
      </c>
      <c r="B1034" s="63" t="s">
        <v>619</v>
      </c>
      <c r="C1034" s="51"/>
      <c r="D1034" s="39" t="s">
        <v>55</v>
      </c>
      <c r="E1034" s="38" t="s">
        <v>1058</v>
      </c>
      <c r="F1034" s="41" t="s">
        <v>1059</v>
      </c>
      <c r="G1034" s="43"/>
      <c r="H1034" s="45"/>
      <c r="I1034" s="38"/>
      <c r="J1034" s="38">
        <f>14*1000</f>
        <v>14000</v>
      </c>
      <c r="K1034" s="46">
        <v>0.042465277777777775</v>
      </c>
      <c r="L1034" s="47" t="s">
        <v>1060</v>
      </c>
      <c r="M1034" s="38"/>
      <c r="N1034" s="38"/>
      <c r="O1034" s="38">
        <f t="shared" ref="O1034:O1043" si="51">N1034-M1034</f>
        <v>0</v>
      </c>
      <c r="P1034" s="72"/>
      <c r="Q1034" s="12" t="str">
        <f t="shared" si="50"/>
        <v/>
      </c>
      <c r="R1034" s="42"/>
      <c r="S1034" s="42"/>
      <c r="T1034" s="42"/>
      <c r="U1034" s="51"/>
      <c r="V1034" s="52"/>
      <c r="W1034" s="55"/>
      <c r="X1034" s="57"/>
      <c r="Y1034" s="106"/>
      <c r="Z1034" s="106"/>
      <c r="AA1034" s="106"/>
      <c r="AB1034" s="106"/>
    </row>
    <row r="1035">
      <c r="A1035" s="135">
        <v>750.01</v>
      </c>
      <c r="B1035" s="63" t="s">
        <v>619</v>
      </c>
      <c r="C1035" s="51"/>
      <c r="D1035" s="39" t="s">
        <v>55</v>
      </c>
      <c r="F1035" s="135"/>
      <c r="G1035" s="135" t="s">
        <v>1063</v>
      </c>
      <c r="H1035" s="135" t="s">
        <v>1064</v>
      </c>
      <c r="I1035" s="136"/>
      <c r="J1035" s="136"/>
      <c r="K1035" s="136"/>
      <c r="L1035" s="136"/>
      <c r="M1035" s="137">
        <v>0.0014699074074074074</v>
      </c>
      <c r="N1035" s="137">
        <v>0.005983796296296296</v>
      </c>
      <c r="O1035" s="124">
        <f t="shared" si="51"/>
        <v>0.004513888889</v>
      </c>
      <c r="P1035" s="138">
        <v>43019.0</v>
      </c>
      <c r="Q1035" s="61" t="str">
        <f t="shared" si="50"/>
        <v>https://www.youtube.com/embed/dHQ-HMVdPyE?start=127&amp;end=517&amp;autoplay=1</v>
      </c>
      <c r="R1035" s="139" t="s">
        <v>61</v>
      </c>
      <c r="S1035" s="139" t="s">
        <v>61</v>
      </c>
      <c r="T1035" s="139" t="s">
        <v>61</v>
      </c>
      <c r="U1035" s="136"/>
      <c r="V1035" s="136"/>
      <c r="W1035" s="135" t="s">
        <v>62</v>
      </c>
    </row>
    <row r="1036">
      <c r="A1036" s="135">
        <v>750.02</v>
      </c>
      <c r="B1036" s="63" t="s">
        <v>619</v>
      </c>
      <c r="C1036" s="51"/>
      <c r="D1036" s="39" t="s">
        <v>55</v>
      </c>
      <c r="G1036" s="135" t="s">
        <v>1067</v>
      </c>
      <c r="H1036" s="135" t="s">
        <v>1068</v>
      </c>
      <c r="I1036" s="136"/>
      <c r="J1036" s="136"/>
      <c r="K1036" s="136"/>
      <c r="L1036" s="136"/>
      <c r="M1036" s="137">
        <v>0.0059953703703703705</v>
      </c>
      <c r="N1036" s="137">
        <v>0.01074074074074074</v>
      </c>
      <c r="O1036" s="124">
        <f t="shared" si="51"/>
        <v>0.00474537037</v>
      </c>
      <c r="P1036" s="138">
        <v>43019.0</v>
      </c>
      <c r="Q1036" s="61" t="str">
        <f t="shared" si="50"/>
        <v>https://www.youtube.com/embed/dHQ-HMVdPyE?start=518&amp;end=928&amp;autoplay=1</v>
      </c>
      <c r="R1036" s="139" t="s">
        <v>61</v>
      </c>
      <c r="S1036" s="139" t="s">
        <v>61</v>
      </c>
      <c r="T1036" s="139" t="s">
        <v>61</v>
      </c>
      <c r="U1036" s="136"/>
      <c r="V1036" s="136"/>
      <c r="W1036" s="135" t="s">
        <v>62</v>
      </c>
    </row>
    <row r="1037">
      <c r="A1037" s="135">
        <v>750.03</v>
      </c>
      <c r="B1037" s="63" t="s">
        <v>619</v>
      </c>
      <c r="C1037" s="51"/>
      <c r="D1037" s="39" t="s">
        <v>55</v>
      </c>
      <c r="G1037" s="135" t="s">
        <v>1071</v>
      </c>
      <c r="H1037" s="135" t="s">
        <v>1072</v>
      </c>
      <c r="I1037" s="136"/>
      <c r="J1037" s="136"/>
      <c r="K1037" s="136"/>
      <c r="L1037" s="136"/>
      <c r="M1037" s="137">
        <v>0.010752314814814815</v>
      </c>
      <c r="N1037" s="137">
        <v>0.013368055555555555</v>
      </c>
      <c r="O1037" s="124">
        <f t="shared" si="51"/>
        <v>0.002615740741</v>
      </c>
      <c r="P1037" s="138">
        <v>43019.0</v>
      </c>
      <c r="Q1037" s="61" t="str">
        <f t="shared" si="50"/>
        <v>https://www.youtube.com/embed/dHQ-HMVdPyE?start=929&amp;end=1155&amp;autoplay=1</v>
      </c>
      <c r="R1037" s="139" t="s">
        <v>61</v>
      </c>
      <c r="S1037" s="139" t="s">
        <v>61</v>
      </c>
      <c r="T1037" s="139" t="s">
        <v>61</v>
      </c>
      <c r="U1037" s="136"/>
      <c r="V1037" s="136"/>
      <c r="W1037" s="135" t="s">
        <v>62</v>
      </c>
    </row>
    <row r="1038">
      <c r="A1038" s="135">
        <v>750.04</v>
      </c>
      <c r="B1038" s="63" t="s">
        <v>619</v>
      </c>
      <c r="C1038" s="51"/>
      <c r="D1038" s="39" t="s">
        <v>55</v>
      </c>
      <c r="G1038" s="135" t="s">
        <v>1073</v>
      </c>
      <c r="H1038" s="135" t="s">
        <v>1074</v>
      </c>
      <c r="I1038" s="136"/>
      <c r="J1038" s="136"/>
      <c r="K1038" s="136"/>
      <c r="L1038" s="136"/>
      <c r="M1038" s="137">
        <v>0.01337962962962963</v>
      </c>
      <c r="N1038" s="137">
        <v>0.016828703703703703</v>
      </c>
      <c r="O1038" s="124">
        <f t="shared" si="51"/>
        <v>0.003449074074</v>
      </c>
      <c r="P1038" s="138">
        <v>43019.0</v>
      </c>
      <c r="Q1038" s="61" t="str">
        <f t="shared" si="50"/>
        <v>https://www.youtube.com/embed/dHQ-HMVdPyE?start=1156&amp;end=1454&amp;autoplay=1</v>
      </c>
      <c r="R1038" s="139" t="s">
        <v>61</v>
      </c>
      <c r="S1038" s="139" t="s">
        <v>61</v>
      </c>
      <c r="T1038" s="139" t="s">
        <v>61</v>
      </c>
      <c r="U1038" s="136"/>
      <c r="V1038" s="136"/>
      <c r="W1038" s="135" t="s">
        <v>62</v>
      </c>
    </row>
    <row r="1039">
      <c r="A1039" s="135">
        <v>750.05</v>
      </c>
      <c r="B1039" s="63" t="s">
        <v>619</v>
      </c>
      <c r="C1039" s="51"/>
      <c r="D1039" s="39" t="s">
        <v>55</v>
      </c>
      <c r="G1039" s="135" t="s">
        <v>1077</v>
      </c>
      <c r="H1039" s="135" t="s">
        <v>1078</v>
      </c>
      <c r="I1039" s="136"/>
      <c r="J1039" s="136"/>
      <c r="K1039" s="136"/>
      <c r="L1039" s="136"/>
      <c r="M1039" s="137">
        <v>0.016840277777777777</v>
      </c>
      <c r="N1039" s="137">
        <v>0.02091435185185185</v>
      </c>
      <c r="O1039" s="124">
        <f t="shared" si="51"/>
        <v>0.004074074074</v>
      </c>
      <c r="P1039" s="138">
        <v>43019.0</v>
      </c>
      <c r="Q1039" s="61" t="str">
        <f t="shared" si="50"/>
        <v>https://www.youtube.com/embed/dHQ-HMVdPyE?start=1455&amp;end=1807&amp;autoplay=1</v>
      </c>
      <c r="R1039" s="139" t="s">
        <v>61</v>
      </c>
      <c r="S1039" s="139" t="s">
        <v>61</v>
      </c>
      <c r="T1039" s="139" t="s">
        <v>61</v>
      </c>
      <c r="U1039" s="136"/>
      <c r="V1039" s="136"/>
      <c r="W1039" s="135" t="s">
        <v>62</v>
      </c>
    </row>
    <row r="1040">
      <c r="A1040" s="135">
        <v>750.06</v>
      </c>
      <c r="B1040" s="63" t="s">
        <v>619</v>
      </c>
      <c r="C1040" s="51"/>
      <c r="D1040" s="39" t="s">
        <v>55</v>
      </c>
      <c r="G1040" s="135" t="s">
        <v>1079</v>
      </c>
      <c r="H1040" s="135" t="s">
        <v>1080</v>
      </c>
      <c r="I1040" s="136"/>
      <c r="J1040" s="136"/>
      <c r="K1040" s="136"/>
      <c r="L1040" s="136"/>
      <c r="M1040" s="137">
        <v>0.020925925925925924</v>
      </c>
      <c r="N1040" s="137">
        <v>0.022916666666666665</v>
      </c>
      <c r="O1040" s="124">
        <f t="shared" si="51"/>
        <v>0.001990740741</v>
      </c>
      <c r="P1040" s="138">
        <v>43019.0</v>
      </c>
      <c r="Q1040" s="61" t="str">
        <f t="shared" si="50"/>
        <v>https://www.youtube.com/embed/dHQ-HMVdPyE?start=1808&amp;end=1980&amp;autoplay=1</v>
      </c>
      <c r="R1040" s="139" t="s">
        <v>61</v>
      </c>
      <c r="S1040" s="139" t="s">
        <v>61</v>
      </c>
      <c r="T1040" s="139" t="s">
        <v>61</v>
      </c>
      <c r="U1040" s="136"/>
      <c r="V1040" s="136"/>
      <c r="W1040" s="135" t="s">
        <v>62</v>
      </c>
    </row>
    <row r="1041">
      <c r="A1041" s="135">
        <v>750.07</v>
      </c>
      <c r="B1041" s="63" t="s">
        <v>619</v>
      </c>
      <c r="C1041" s="51"/>
      <c r="D1041" s="39" t="s">
        <v>55</v>
      </c>
      <c r="G1041" s="135" t="s">
        <v>1081</v>
      </c>
      <c r="H1041" s="135" t="s">
        <v>1084</v>
      </c>
      <c r="I1041" s="136"/>
      <c r="J1041" s="136"/>
      <c r="K1041" s="136"/>
      <c r="L1041" s="136"/>
      <c r="M1041" s="137">
        <v>0.02295138888888889</v>
      </c>
      <c r="N1041" s="137">
        <v>0.02877314814814815</v>
      </c>
      <c r="O1041" s="124">
        <f t="shared" si="51"/>
        <v>0.005821759259</v>
      </c>
      <c r="P1041" s="138">
        <v>43019.0</v>
      </c>
      <c r="Q1041" s="61" t="str">
        <f t="shared" si="50"/>
        <v>https://www.youtube.com/embed/dHQ-HMVdPyE?start=1983&amp;end=2486&amp;autoplay=1</v>
      </c>
      <c r="R1041" s="139" t="s">
        <v>61</v>
      </c>
      <c r="S1041" s="139" t="s">
        <v>61</v>
      </c>
      <c r="T1041" s="139" t="s">
        <v>61</v>
      </c>
      <c r="U1041" s="136"/>
      <c r="V1041" s="136"/>
      <c r="W1041" s="135" t="s">
        <v>62</v>
      </c>
    </row>
    <row r="1042">
      <c r="A1042" s="135">
        <v>750.08</v>
      </c>
      <c r="B1042" s="63" t="s">
        <v>619</v>
      </c>
      <c r="C1042" s="51"/>
      <c r="D1042" s="39" t="s">
        <v>55</v>
      </c>
      <c r="G1042" s="135" t="s">
        <v>1085</v>
      </c>
      <c r="H1042" s="135" t="s">
        <v>1086</v>
      </c>
      <c r="I1042" s="136"/>
      <c r="J1042" s="136"/>
      <c r="K1042" s="136"/>
      <c r="L1042" s="136"/>
      <c r="M1042" s="137">
        <v>0.02880787037037037</v>
      </c>
      <c r="N1042" s="137">
        <v>0.031203703703703702</v>
      </c>
      <c r="O1042" s="124">
        <f t="shared" si="51"/>
        <v>0.002395833333</v>
      </c>
      <c r="P1042" s="138">
        <v>43019.0</v>
      </c>
      <c r="Q1042" s="61" t="str">
        <f t="shared" si="50"/>
        <v>https://www.youtube.com/embed/dHQ-HMVdPyE?start=2489&amp;end=2696&amp;autoplay=1</v>
      </c>
      <c r="R1042" s="139" t="s">
        <v>61</v>
      </c>
      <c r="S1042" s="139" t="s">
        <v>61</v>
      </c>
      <c r="T1042" s="139" t="s">
        <v>61</v>
      </c>
      <c r="U1042" s="136"/>
      <c r="V1042" s="136"/>
      <c r="W1042" s="135" t="s">
        <v>62</v>
      </c>
    </row>
    <row r="1043">
      <c r="A1043" s="135">
        <v>750.09</v>
      </c>
      <c r="B1043" s="63" t="s">
        <v>619</v>
      </c>
      <c r="C1043" s="51"/>
      <c r="D1043" s="39" t="s">
        <v>55</v>
      </c>
      <c r="G1043" s="135" t="s">
        <v>1087</v>
      </c>
      <c r="H1043" s="135" t="s">
        <v>1088</v>
      </c>
      <c r="I1043" s="136"/>
      <c r="J1043" s="136"/>
      <c r="K1043" s="136"/>
      <c r="L1043" s="136"/>
      <c r="M1043" s="137">
        <v>0.03121527777777778</v>
      </c>
      <c r="N1043" s="137">
        <v>0.04224537037037037</v>
      </c>
      <c r="O1043" s="124">
        <f t="shared" si="51"/>
        <v>0.01103009259</v>
      </c>
      <c r="P1043" s="138">
        <v>43019.0</v>
      </c>
      <c r="Q1043" s="61" t="str">
        <f t="shared" si="50"/>
        <v>https://www.youtube.com/embed/dHQ-HMVdPyE?start=2697&amp;end=3650&amp;autoplay=1</v>
      </c>
      <c r="R1043" s="139" t="s">
        <v>61</v>
      </c>
      <c r="S1043" s="139" t="s">
        <v>61</v>
      </c>
      <c r="T1043" s="139" t="s">
        <v>61</v>
      </c>
      <c r="U1043" s="136"/>
      <c r="V1043" s="136"/>
      <c r="W1043" s="135" t="s">
        <v>62</v>
      </c>
    </row>
    <row r="1044">
      <c r="A1044" s="38">
        <v>751.0</v>
      </c>
      <c r="B1044" s="38"/>
      <c r="C1044" s="7"/>
      <c r="D1044" s="38"/>
      <c r="E1044" s="38" t="s">
        <v>1407</v>
      </c>
      <c r="F1044" s="41" t="s">
        <v>1408</v>
      </c>
      <c r="G1044" s="43"/>
      <c r="H1044" s="45"/>
      <c r="I1044" s="38"/>
      <c r="J1044" s="38">
        <f>6.7*1000</f>
        <v>6700</v>
      </c>
      <c r="K1044" s="128">
        <v>0.08165509259259258</v>
      </c>
      <c r="L1044" s="47" t="s">
        <v>1060</v>
      </c>
      <c r="M1044" s="128"/>
      <c r="N1044" s="128"/>
      <c r="O1044" s="38"/>
      <c r="P1044" s="38"/>
      <c r="Q1044" s="12" t="str">
        <f t="shared" si="50"/>
        <v/>
      </c>
      <c r="R1044" s="50"/>
      <c r="S1044" s="50"/>
      <c r="T1044" s="50"/>
      <c r="U1044" s="53"/>
      <c r="V1044" s="54"/>
      <c r="W1044" s="56"/>
      <c r="X1044" s="119"/>
      <c r="Y1044" s="113"/>
      <c r="Z1044" s="113"/>
    </row>
    <row r="1045">
      <c r="A1045" s="38">
        <v>752.0</v>
      </c>
      <c r="B1045" s="38"/>
      <c r="C1045" s="7"/>
      <c r="D1045" s="38"/>
      <c r="E1045" s="38" t="s">
        <v>2416</v>
      </c>
      <c r="F1045" s="41" t="s">
        <v>2417</v>
      </c>
      <c r="G1045" s="43"/>
      <c r="H1045" s="45"/>
      <c r="I1045" s="38"/>
      <c r="J1045" s="38">
        <f>39*1000</f>
        <v>39000</v>
      </c>
      <c r="K1045" s="128">
        <v>0.02694444444444444</v>
      </c>
      <c r="L1045" s="47" t="s">
        <v>1060</v>
      </c>
      <c r="M1045" s="128"/>
      <c r="N1045" s="128"/>
      <c r="O1045" s="38"/>
      <c r="P1045" s="38"/>
      <c r="Q1045" s="12" t="str">
        <f t="shared" si="50"/>
        <v/>
      </c>
      <c r="R1045" s="50"/>
      <c r="S1045" s="50"/>
      <c r="T1045" s="50"/>
      <c r="U1045" s="53"/>
      <c r="V1045" s="54"/>
      <c r="W1045" s="56"/>
      <c r="X1045" s="119"/>
      <c r="Y1045" s="113"/>
      <c r="Z1045" s="113"/>
    </row>
    <row r="1046">
      <c r="A1046" s="38">
        <v>753.0</v>
      </c>
      <c r="B1046" s="38"/>
      <c r="C1046" s="7"/>
      <c r="D1046" s="38"/>
      <c r="E1046" s="38" t="s">
        <v>2419</v>
      </c>
      <c r="F1046" s="41" t="s">
        <v>2420</v>
      </c>
      <c r="G1046" s="43"/>
      <c r="H1046" s="45"/>
      <c r="I1046" s="38"/>
      <c r="J1046" s="38">
        <f>10*1000</f>
        <v>10000</v>
      </c>
      <c r="K1046" s="128">
        <v>0.0431712962962963</v>
      </c>
      <c r="L1046" s="47" t="s">
        <v>1060</v>
      </c>
      <c r="M1046" s="128"/>
      <c r="N1046" s="128"/>
      <c r="O1046" s="38"/>
      <c r="P1046" s="38"/>
      <c r="Q1046" s="12" t="str">
        <f t="shared" si="50"/>
        <v/>
      </c>
      <c r="R1046" s="50"/>
      <c r="S1046" s="50"/>
      <c r="T1046" s="50"/>
      <c r="U1046" s="53"/>
      <c r="V1046" s="54"/>
      <c r="W1046" s="56"/>
      <c r="X1046" s="119"/>
      <c r="Y1046" s="113"/>
      <c r="Z1046" s="113"/>
    </row>
    <row r="1047">
      <c r="A1047" s="38">
        <v>754.0</v>
      </c>
      <c r="B1047" s="38"/>
      <c r="C1047" s="7"/>
      <c r="D1047" s="38"/>
      <c r="E1047" s="38" t="s">
        <v>2421</v>
      </c>
      <c r="F1047" s="41" t="s">
        <v>2422</v>
      </c>
      <c r="G1047" s="43"/>
      <c r="H1047" s="45"/>
      <c r="I1047" s="38"/>
      <c r="J1047" s="38">
        <f>22*1000</f>
        <v>22000</v>
      </c>
      <c r="K1047" s="128">
        <v>0.05133101851851852</v>
      </c>
      <c r="L1047" s="47" t="s">
        <v>2423</v>
      </c>
      <c r="M1047" s="128"/>
      <c r="N1047" s="128"/>
      <c r="O1047" s="38"/>
      <c r="P1047" s="38"/>
      <c r="Q1047" s="12" t="str">
        <f t="shared" si="50"/>
        <v/>
      </c>
      <c r="R1047" s="50"/>
      <c r="S1047" s="50"/>
      <c r="T1047" s="50"/>
      <c r="U1047" s="53"/>
      <c r="V1047" s="54"/>
      <c r="W1047" s="56"/>
      <c r="X1047" s="119"/>
      <c r="Y1047" s="113"/>
      <c r="Z1047" s="113"/>
    </row>
    <row r="1048">
      <c r="A1048" s="38">
        <v>755.0</v>
      </c>
      <c r="B1048" s="38"/>
      <c r="C1048" s="7"/>
      <c r="D1048" s="38"/>
      <c r="E1048" s="38" t="s">
        <v>2424</v>
      </c>
      <c r="F1048" s="41" t="s">
        <v>2425</v>
      </c>
      <c r="G1048" s="43"/>
      <c r="H1048" s="45"/>
      <c r="I1048" s="38"/>
      <c r="J1048" s="38">
        <f>12*1000</f>
        <v>12000</v>
      </c>
      <c r="K1048" s="128">
        <v>0.06802083333333334</v>
      </c>
      <c r="L1048" s="47" t="s">
        <v>2426</v>
      </c>
      <c r="M1048" s="128"/>
      <c r="N1048" s="128"/>
      <c r="O1048" s="38"/>
      <c r="P1048" s="38"/>
      <c r="Q1048" s="12" t="str">
        <f t="shared" si="50"/>
        <v/>
      </c>
      <c r="R1048" s="50"/>
      <c r="S1048" s="50"/>
      <c r="T1048" s="50"/>
      <c r="U1048" s="53"/>
      <c r="V1048" s="54"/>
      <c r="W1048" s="56"/>
      <c r="X1048" s="119"/>
      <c r="Y1048" s="113"/>
      <c r="Z1048" s="113"/>
    </row>
    <row r="1049">
      <c r="A1049" s="38">
        <v>756.0</v>
      </c>
      <c r="B1049" s="38"/>
      <c r="C1049" s="7"/>
      <c r="D1049" s="38"/>
      <c r="E1049" s="38" t="s">
        <v>2427</v>
      </c>
      <c r="F1049" s="41" t="s">
        <v>2428</v>
      </c>
      <c r="G1049" s="43"/>
      <c r="H1049" s="45"/>
      <c r="I1049" s="38"/>
      <c r="J1049" s="38">
        <f>17*1000</f>
        <v>17000</v>
      </c>
      <c r="K1049" s="128">
        <v>0.033888888888888885</v>
      </c>
      <c r="L1049" s="47" t="s">
        <v>2429</v>
      </c>
      <c r="M1049" s="128"/>
      <c r="N1049" s="128"/>
      <c r="O1049" s="38"/>
      <c r="P1049" s="38"/>
      <c r="Q1049" s="12" t="str">
        <f t="shared" si="50"/>
        <v/>
      </c>
      <c r="R1049" s="50"/>
      <c r="S1049" s="50"/>
      <c r="T1049" s="50"/>
      <c r="U1049" s="53"/>
      <c r="V1049" s="54"/>
      <c r="W1049" s="56"/>
      <c r="X1049" s="119"/>
      <c r="Y1049" s="113"/>
      <c r="Z1049" s="113"/>
    </row>
    <row r="1050">
      <c r="A1050" s="38">
        <v>757.0</v>
      </c>
      <c r="B1050" s="39" t="s">
        <v>274</v>
      </c>
      <c r="C1050" s="7"/>
      <c r="D1050" s="39" t="s">
        <v>55</v>
      </c>
      <c r="E1050" s="38" t="s">
        <v>688</v>
      </c>
      <c r="F1050" s="41" t="s">
        <v>689</v>
      </c>
      <c r="G1050" s="43"/>
      <c r="H1050" s="45"/>
      <c r="I1050" s="38"/>
      <c r="J1050" s="38">
        <f>9.5*1000</f>
        <v>9500</v>
      </c>
      <c r="K1050" s="128">
        <v>0.050972222222222224</v>
      </c>
      <c r="L1050" s="129" t="s">
        <v>692</v>
      </c>
      <c r="M1050" s="128"/>
      <c r="N1050" s="128"/>
      <c r="O1050" s="38"/>
      <c r="P1050" s="130">
        <v>43007.0</v>
      </c>
      <c r="Q1050" s="12" t="str">
        <f t="shared" si="50"/>
        <v/>
      </c>
      <c r="R1050" s="50"/>
      <c r="S1050" s="50"/>
      <c r="T1050" s="50"/>
      <c r="U1050" s="53"/>
      <c r="V1050" s="54"/>
      <c r="W1050" s="85" t="s">
        <v>62</v>
      </c>
      <c r="X1050" s="119"/>
      <c r="Y1050" s="113"/>
      <c r="Z1050" s="113"/>
    </row>
    <row r="1051">
      <c r="A1051" s="39">
        <v>757.01</v>
      </c>
      <c r="B1051" s="39" t="s">
        <v>274</v>
      </c>
      <c r="C1051" s="7"/>
      <c r="D1051" s="39" t="s">
        <v>55</v>
      </c>
      <c r="E1051" s="38"/>
      <c r="F1051" s="109"/>
      <c r="G1051" s="62" t="s">
        <v>694</v>
      </c>
      <c r="H1051" s="58" t="s">
        <v>695</v>
      </c>
      <c r="I1051" s="38"/>
      <c r="J1051" s="38"/>
      <c r="K1051" s="128"/>
      <c r="L1051" s="129"/>
      <c r="M1051" s="128">
        <v>6.134259259259259E-4</v>
      </c>
      <c r="N1051" s="128">
        <v>0.001574074074074074</v>
      </c>
      <c r="O1051" s="46">
        <f t="shared" ref="O1051:O1061" si="52">N1051-M1051</f>
        <v>0.0009606481481</v>
      </c>
      <c r="P1051" s="130">
        <v>43007.0</v>
      </c>
      <c r="Q1051" s="61" t="str">
        <f t="shared" si="50"/>
        <v>https://www.youtube.com/embed/79r5KYH0nBI?start=53&amp;end=136&amp;autoplay=1</v>
      </c>
      <c r="R1051" s="63"/>
      <c r="S1051" s="63"/>
      <c r="T1051" s="63"/>
      <c r="U1051" s="51"/>
      <c r="V1051" s="52"/>
      <c r="W1051" s="81"/>
      <c r="X1051" s="69"/>
      <c r="Y1051" s="39"/>
      <c r="Z1051" s="39"/>
    </row>
    <row r="1052">
      <c r="A1052" s="39">
        <v>757.02</v>
      </c>
      <c r="B1052" s="39" t="s">
        <v>274</v>
      </c>
      <c r="C1052" s="7"/>
      <c r="D1052" s="39" t="s">
        <v>55</v>
      </c>
      <c r="E1052" s="38"/>
      <c r="F1052" s="109"/>
      <c r="G1052" s="62" t="s">
        <v>698</v>
      </c>
      <c r="H1052" s="58" t="s">
        <v>699</v>
      </c>
      <c r="I1052" s="38"/>
      <c r="J1052" s="38"/>
      <c r="K1052" s="128"/>
      <c r="L1052" s="47"/>
      <c r="M1052" s="128">
        <v>0.0028703703703703703</v>
      </c>
      <c r="N1052" s="128">
        <v>0.004629629629629629</v>
      </c>
      <c r="O1052" s="46">
        <f t="shared" si="52"/>
        <v>0.001759259259</v>
      </c>
      <c r="P1052" s="130">
        <v>43007.0</v>
      </c>
      <c r="Q1052" s="61" t="str">
        <f t="shared" si="50"/>
        <v>https://www.youtube.com/embed/79r5KYH0nBI?start=248&amp;end=400&amp;autoplay=1</v>
      </c>
      <c r="R1052" s="67" t="s">
        <v>61</v>
      </c>
      <c r="S1052" s="67" t="s">
        <v>61</v>
      </c>
      <c r="T1052" s="67" t="s">
        <v>61</v>
      </c>
      <c r="U1052" s="53"/>
      <c r="V1052" s="54"/>
      <c r="W1052" s="56"/>
      <c r="X1052" s="69"/>
      <c r="Y1052" s="39"/>
      <c r="Z1052" s="39" t="s">
        <v>702</v>
      </c>
    </row>
    <row r="1053">
      <c r="A1053" s="39">
        <v>757.03</v>
      </c>
      <c r="B1053" s="39" t="s">
        <v>274</v>
      </c>
      <c r="C1053" s="7"/>
      <c r="D1053" s="39" t="s">
        <v>55</v>
      </c>
      <c r="E1053" s="38"/>
      <c r="F1053" s="109"/>
      <c r="G1053" s="62" t="s">
        <v>703</v>
      </c>
      <c r="H1053" s="58" t="s">
        <v>704</v>
      </c>
      <c r="I1053" s="38"/>
      <c r="J1053" s="38"/>
      <c r="K1053" s="128"/>
      <c r="L1053" s="47"/>
      <c r="M1053" s="128">
        <v>0.004722222222222222</v>
      </c>
      <c r="N1053" s="128">
        <v>0.005729166666666666</v>
      </c>
      <c r="O1053" s="46">
        <f t="shared" si="52"/>
        <v>0.001006944444</v>
      </c>
      <c r="P1053" s="130">
        <v>43007.0</v>
      </c>
      <c r="Q1053" s="61" t="str">
        <f t="shared" si="50"/>
        <v>https://www.youtube.com/embed/79r5KYH0nBI?start=408&amp;end=495&amp;autoplay=1</v>
      </c>
      <c r="R1053" s="67" t="s">
        <v>61</v>
      </c>
      <c r="S1053" s="67" t="s">
        <v>61</v>
      </c>
      <c r="T1053" s="67" t="s">
        <v>61</v>
      </c>
      <c r="U1053" s="53"/>
      <c r="V1053" s="54"/>
      <c r="W1053" s="56"/>
      <c r="X1053" s="69"/>
      <c r="Y1053" s="39"/>
      <c r="Z1053" s="39" t="s">
        <v>705</v>
      </c>
    </row>
    <row r="1054">
      <c r="A1054" s="39">
        <v>757.04</v>
      </c>
      <c r="B1054" s="39" t="s">
        <v>274</v>
      </c>
      <c r="C1054" s="7"/>
      <c r="D1054" s="39" t="s">
        <v>55</v>
      </c>
      <c r="E1054" s="38"/>
      <c r="F1054" s="109"/>
      <c r="G1054" s="62" t="s">
        <v>706</v>
      </c>
      <c r="H1054" s="58" t="s">
        <v>707</v>
      </c>
      <c r="I1054" s="38"/>
      <c r="J1054" s="38"/>
      <c r="K1054" s="128"/>
      <c r="L1054" s="47"/>
      <c r="M1054" s="128">
        <v>0.005960648148148148</v>
      </c>
      <c r="N1054" s="128">
        <v>0.009236111111111112</v>
      </c>
      <c r="O1054" s="46">
        <f t="shared" si="52"/>
        <v>0.003275462963</v>
      </c>
      <c r="P1054" s="130">
        <v>43007.0</v>
      </c>
      <c r="Q1054" s="61" t="str">
        <f t="shared" si="50"/>
        <v>https://www.youtube.com/embed/79r5KYH0nBI?start=515&amp;end=798&amp;autoplay=1</v>
      </c>
      <c r="R1054" s="67" t="s">
        <v>61</v>
      </c>
      <c r="S1054" s="67" t="s">
        <v>61</v>
      </c>
      <c r="T1054" s="67" t="s">
        <v>61</v>
      </c>
      <c r="U1054" s="53"/>
      <c r="V1054" s="54"/>
      <c r="W1054" s="56"/>
      <c r="X1054" s="69"/>
      <c r="Y1054" s="39"/>
      <c r="Z1054" s="39" t="s">
        <v>710</v>
      </c>
    </row>
    <row r="1055">
      <c r="A1055" s="39">
        <v>757.05</v>
      </c>
      <c r="B1055" s="39" t="s">
        <v>274</v>
      </c>
      <c r="C1055" s="7"/>
      <c r="D1055" s="39" t="s">
        <v>55</v>
      </c>
      <c r="E1055" s="38"/>
      <c r="F1055" s="58"/>
      <c r="G1055" s="58" t="s">
        <v>711</v>
      </c>
      <c r="H1055" s="58" t="s">
        <v>712</v>
      </c>
      <c r="I1055" s="38"/>
      <c r="J1055" s="38"/>
      <c r="K1055" s="128"/>
      <c r="L1055" s="47"/>
      <c r="M1055" s="128">
        <v>0.009236111111111112</v>
      </c>
      <c r="N1055" s="128">
        <v>0.010416666666666666</v>
      </c>
      <c r="O1055" s="46">
        <f t="shared" si="52"/>
        <v>0.001180555556</v>
      </c>
      <c r="P1055" s="130">
        <v>43007.0</v>
      </c>
      <c r="Q1055" s="61" t="str">
        <f t="shared" si="50"/>
        <v>https://www.youtube.com/embed/79r5KYH0nBI?start=798&amp;end=900&amp;autoplay=1</v>
      </c>
      <c r="R1055" s="67" t="s">
        <v>61</v>
      </c>
      <c r="S1055" s="67" t="s">
        <v>61</v>
      </c>
      <c r="T1055" s="67" t="s">
        <v>61</v>
      </c>
      <c r="U1055" s="53"/>
      <c r="V1055" s="54"/>
      <c r="W1055" s="56"/>
      <c r="X1055" s="69"/>
      <c r="Y1055" s="39"/>
      <c r="Z1055" s="39" t="s">
        <v>713</v>
      </c>
    </row>
    <row r="1056">
      <c r="A1056" s="39">
        <v>757.06</v>
      </c>
      <c r="B1056" s="39" t="s">
        <v>274</v>
      </c>
      <c r="C1056" s="7"/>
      <c r="D1056" s="39" t="s">
        <v>55</v>
      </c>
      <c r="E1056" s="38"/>
      <c r="F1056" s="109"/>
      <c r="G1056" s="58" t="s">
        <v>714</v>
      </c>
      <c r="H1056" s="58" t="s">
        <v>716</v>
      </c>
      <c r="I1056" s="38"/>
      <c r="J1056" s="38"/>
      <c r="K1056" s="128"/>
      <c r="L1056" s="47"/>
      <c r="M1056" s="128">
        <v>0.010914351851851852</v>
      </c>
      <c r="N1056" s="128">
        <v>0.01361111111111111</v>
      </c>
      <c r="O1056" s="46">
        <f t="shared" si="52"/>
        <v>0.002696759259</v>
      </c>
      <c r="P1056" s="130">
        <v>43007.0</v>
      </c>
      <c r="Q1056" s="61" t="str">
        <f t="shared" si="50"/>
        <v>https://www.youtube.com/embed/79r5KYH0nBI?start=943&amp;end=1176&amp;autoplay=1</v>
      </c>
      <c r="R1056" s="67" t="s">
        <v>61</v>
      </c>
      <c r="S1056" s="67" t="s">
        <v>61</v>
      </c>
      <c r="T1056" s="67" t="s">
        <v>61</v>
      </c>
      <c r="U1056" s="53"/>
      <c r="V1056" s="54"/>
      <c r="W1056" s="56"/>
      <c r="X1056" s="69"/>
      <c r="Y1056" s="39"/>
      <c r="Z1056" s="39" t="s">
        <v>718</v>
      </c>
    </row>
    <row r="1057">
      <c r="A1057" s="39">
        <v>757.07</v>
      </c>
      <c r="B1057" s="39" t="s">
        <v>274</v>
      </c>
      <c r="C1057" s="7"/>
      <c r="D1057" s="39" t="s">
        <v>55</v>
      </c>
      <c r="E1057" s="38"/>
      <c r="F1057" s="109"/>
      <c r="G1057" s="62" t="s">
        <v>719</v>
      </c>
      <c r="H1057" s="45"/>
      <c r="I1057" s="38"/>
      <c r="J1057" s="38"/>
      <c r="K1057" s="128"/>
      <c r="L1057" s="47"/>
      <c r="M1057" s="128">
        <v>0.016006944444444445</v>
      </c>
      <c r="N1057" s="128">
        <v>0.019351851851851853</v>
      </c>
      <c r="O1057" s="46">
        <f t="shared" si="52"/>
        <v>0.003344907407</v>
      </c>
      <c r="P1057" s="130">
        <v>43007.0</v>
      </c>
      <c r="Q1057" s="61" t="str">
        <f t="shared" si="50"/>
        <v>https://www.youtube.com/embed/79r5KYH0nBI?start=1383&amp;end=1672&amp;autoplay=1</v>
      </c>
      <c r="R1057" s="67" t="s">
        <v>61</v>
      </c>
      <c r="S1057" s="67" t="s">
        <v>61</v>
      </c>
      <c r="T1057" s="67" t="s">
        <v>61</v>
      </c>
      <c r="U1057" s="53"/>
      <c r="V1057" s="54"/>
      <c r="W1057" s="56"/>
      <c r="X1057" s="69"/>
      <c r="Y1057" s="39"/>
      <c r="Z1057" s="39" t="s">
        <v>718</v>
      </c>
    </row>
    <row r="1058">
      <c r="A1058" s="39">
        <v>757.08</v>
      </c>
      <c r="B1058" s="39" t="s">
        <v>274</v>
      </c>
      <c r="C1058" s="7"/>
      <c r="D1058" s="39" t="s">
        <v>55</v>
      </c>
      <c r="E1058" s="38"/>
      <c r="F1058" s="109"/>
      <c r="G1058" s="62" t="s">
        <v>720</v>
      </c>
      <c r="H1058" s="58" t="s">
        <v>721</v>
      </c>
      <c r="I1058" s="38"/>
      <c r="J1058" s="38"/>
      <c r="K1058" s="128"/>
      <c r="L1058" s="47"/>
      <c r="M1058" s="128">
        <v>0.020196759259259258</v>
      </c>
      <c r="N1058" s="128">
        <v>0.02329861111111111</v>
      </c>
      <c r="O1058" s="46">
        <f t="shared" si="52"/>
        <v>0.003101851852</v>
      </c>
      <c r="P1058" s="130">
        <v>43007.0</v>
      </c>
      <c r="Q1058" s="61" t="str">
        <f t="shared" si="50"/>
        <v>https://www.youtube.com/embed/79r5KYH0nBI?start=1745&amp;end=2013&amp;autoplay=1</v>
      </c>
      <c r="R1058" s="67" t="s">
        <v>61</v>
      </c>
      <c r="S1058" s="67" t="s">
        <v>61</v>
      </c>
      <c r="T1058" s="67" t="s">
        <v>61</v>
      </c>
      <c r="U1058" s="53"/>
      <c r="V1058" s="54"/>
      <c r="W1058" s="56"/>
      <c r="X1058" s="69"/>
      <c r="Y1058" s="39"/>
      <c r="Z1058" s="39" t="s">
        <v>724</v>
      </c>
    </row>
    <row r="1059">
      <c r="A1059" s="39">
        <v>757.09</v>
      </c>
      <c r="B1059" s="39" t="s">
        <v>274</v>
      </c>
      <c r="C1059" s="7"/>
      <c r="D1059" s="39" t="s">
        <v>55</v>
      </c>
      <c r="E1059" s="38"/>
      <c r="F1059" s="109"/>
      <c r="G1059" s="62" t="s">
        <v>725</v>
      </c>
      <c r="H1059" s="58" t="s">
        <v>726</v>
      </c>
      <c r="I1059" s="38"/>
      <c r="J1059" s="38"/>
      <c r="K1059" s="128"/>
      <c r="L1059" s="47"/>
      <c r="M1059" s="128">
        <v>0.024305555555555556</v>
      </c>
      <c r="N1059" s="128">
        <v>0.02638888888888889</v>
      </c>
      <c r="O1059" s="46">
        <f t="shared" si="52"/>
        <v>0.002083333333</v>
      </c>
      <c r="P1059" s="130">
        <v>43007.0</v>
      </c>
      <c r="Q1059" s="61" t="str">
        <f t="shared" si="50"/>
        <v>https://www.youtube.com/embed/79r5KYH0nBI?start=2100&amp;end=2280&amp;autoplay=1</v>
      </c>
      <c r="R1059" s="67" t="s">
        <v>61</v>
      </c>
      <c r="S1059" s="67" t="s">
        <v>61</v>
      </c>
      <c r="T1059" s="67" t="s">
        <v>61</v>
      </c>
      <c r="U1059" s="53"/>
      <c r="V1059" s="54"/>
      <c r="W1059" s="56"/>
      <c r="X1059" s="69"/>
      <c r="Y1059" s="39"/>
      <c r="Z1059" s="39" t="s">
        <v>729</v>
      </c>
    </row>
    <row r="1060">
      <c r="A1060" s="107">
        <v>757.1</v>
      </c>
      <c r="B1060" s="39" t="s">
        <v>274</v>
      </c>
      <c r="C1060" s="7"/>
      <c r="D1060" s="39" t="s">
        <v>55</v>
      </c>
      <c r="E1060" s="38"/>
      <c r="F1060" s="109"/>
      <c r="G1060" s="39" t="s">
        <v>730</v>
      </c>
      <c r="H1060" s="45"/>
      <c r="I1060" s="38"/>
      <c r="J1060" s="38"/>
      <c r="K1060" s="128"/>
      <c r="L1060" s="47"/>
      <c r="M1060" s="128">
        <v>0.026412037037037036</v>
      </c>
      <c r="N1060" s="128">
        <v>0.02908564814814815</v>
      </c>
      <c r="O1060" s="46">
        <f t="shared" si="52"/>
        <v>0.002673611111</v>
      </c>
      <c r="P1060" s="130">
        <v>43007.0</v>
      </c>
      <c r="Q1060" s="61" t="str">
        <f t="shared" si="50"/>
        <v>https://www.youtube.com/embed/79r5KYH0nBI?start=2282&amp;end=2513&amp;autoplay=1</v>
      </c>
      <c r="R1060" s="67" t="s">
        <v>61</v>
      </c>
      <c r="S1060" s="67" t="s">
        <v>61</v>
      </c>
      <c r="T1060" s="67" t="s">
        <v>61</v>
      </c>
      <c r="U1060" s="53"/>
      <c r="V1060" s="54"/>
      <c r="W1060" s="56"/>
      <c r="X1060" s="131"/>
    </row>
    <row r="1061">
      <c r="A1061" s="39">
        <v>757.11</v>
      </c>
      <c r="B1061" s="39" t="s">
        <v>274</v>
      </c>
      <c r="C1061" s="7"/>
      <c r="D1061" s="39" t="s">
        <v>55</v>
      </c>
      <c r="E1061" s="38"/>
      <c r="F1061" s="109"/>
      <c r="G1061" s="39" t="s">
        <v>731</v>
      </c>
      <c r="H1061" s="45"/>
      <c r="I1061" s="38"/>
      <c r="J1061" s="38"/>
      <c r="K1061" s="128"/>
      <c r="L1061" s="47"/>
      <c r="M1061" s="128">
        <v>0.029108796296296296</v>
      </c>
      <c r="N1061" s="128">
        <v>0.031226851851851853</v>
      </c>
      <c r="O1061" s="46">
        <f t="shared" si="52"/>
        <v>0.002118055556</v>
      </c>
      <c r="P1061" s="130">
        <v>43007.0</v>
      </c>
      <c r="Q1061" s="61" t="str">
        <f t="shared" si="50"/>
        <v>https://www.youtube.com/embed/79r5KYH0nBI?start=2515&amp;end=2698&amp;autoplay=1</v>
      </c>
      <c r="R1061" s="67" t="s">
        <v>61</v>
      </c>
      <c r="S1061" s="67" t="s">
        <v>61</v>
      </c>
      <c r="T1061" s="67" t="s">
        <v>61</v>
      </c>
      <c r="U1061" s="53"/>
      <c r="V1061" s="54"/>
      <c r="W1061" s="56"/>
      <c r="X1061" s="131"/>
    </row>
    <row r="1062">
      <c r="A1062" s="107">
        <v>757.12</v>
      </c>
      <c r="B1062" s="39" t="s">
        <v>274</v>
      </c>
      <c r="C1062" s="7"/>
      <c r="D1062" s="39" t="s">
        <v>55</v>
      </c>
      <c r="E1062" s="38"/>
      <c r="F1062" s="109"/>
      <c r="G1062" s="39" t="s">
        <v>734</v>
      </c>
      <c r="H1062" s="58" t="s">
        <v>735</v>
      </c>
      <c r="I1062" s="38"/>
      <c r="J1062" s="38"/>
      <c r="K1062" s="128"/>
      <c r="L1062" s="47"/>
      <c r="M1062" s="128">
        <v>0.03125</v>
      </c>
      <c r="N1062" s="128">
        <v>0.031226851851851853</v>
      </c>
      <c r="O1062" s="105">
        <v>0.03305555555555555</v>
      </c>
      <c r="P1062" s="130">
        <v>43007.0</v>
      </c>
      <c r="Q1062" s="61" t="str">
        <f t="shared" si="50"/>
        <v>https://www.youtube.com/embed/79r5KYH0nBI?start=2700&amp;end=2698&amp;autoplay=1</v>
      </c>
      <c r="R1062" s="67" t="s">
        <v>61</v>
      </c>
      <c r="S1062" s="67" t="s">
        <v>61</v>
      </c>
      <c r="T1062" s="67" t="s">
        <v>61</v>
      </c>
      <c r="U1062" s="53"/>
      <c r="V1062" s="54"/>
      <c r="W1062" s="56"/>
      <c r="X1062" s="131"/>
    </row>
    <row r="1063">
      <c r="A1063" s="38"/>
      <c r="B1063" s="38"/>
      <c r="C1063" s="7"/>
      <c r="D1063" s="113"/>
      <c r="E1063" s="38"/>
      <c r="F1063" s="43"/>
      <c r="G1063" s="38"/>
      <c r="H1063" s="12"/>
      <c r="I1063" s="38"/>
      <c r="J1063" s="38"/>
      <c r="K1063" s="128"/>
      <c r="L1063" s="47"/>
      <c r="M1063" s="128"/>
      <c r="N1063" s="128"/>
      <c r="O1063" s="113"/>
      <c r="P1063" s="113"/>
      <c r="Q1063" s="132"/>
      <c r="R1063" s="115"/>
      <c r="S1063" s="115"/>
      <c r="T1063" s="115"/>
      <c r="U1063" s="116"/>
      <c r="V1063" s="117"/>
      <c r="W1063" s="118"/>
      <c r="X1063" s="119"/>
      <c r="Y1063" s="113"/>
      <c r="Z1063" s="113"/>
    </row>
    <row r="1064">
      <c r="A1064" s="38"/>
      <c r="B1064" s="38"/>
      <c r="C1064" s="7"/>
      <c r="D1064" s="113"/>
      <c r="E1064" s="38"/>
      <c r="F1064" s="43"/>
      <c r="G1064" s="38"/>
      <c r="H1064" s="12"/>
      <c r="I1064" s="38"/>
      <c r="J1064" s="38"/>
      <c r="K1064" s="128"/>
      <c r="L1064" s="47"/>
      <c r="M1064" s="128"/>
      <c r="N1064" s="128"/>
      <c r="O1064" s="113"/>
      <c r="P1064" s="113"/>
      <c r="Q1064" s="132"/>
      <c r="R1064" s="115"/>
      <c r="S1064" s="115"/>
      <c r="T1064" s="115"/>
      <c r="U1064" s="116"/>
      <c r="V1064" s="117"/>
      <c r="W1064" s="118"/>
      <c r="X1064" s="119"/>
      <c r="Y1064" s="113"/>
      <c r="Z1064" s="113"/>
    </row>
    <row r="1065">
      <c r="A1065" s="38"/>
      <c r="B1065" s="38"/>
      <c r="C1065" s="7"/>
      <c r="D1065" s="113"/>
      <c r="E1065" s="38"/>
      <c r="F1065" s="43"/>
      <c r="G1065" s="38"/>
      <c r="H1065" s="12"/>
      <c r="I1065" s="38"/>
      <c r="J1065" s="38"/>
      <c r="K1065" s="128"/>
      <c r="L1065" s="47"/>
      <c r="M1065" s="128"/>
      <c r="N1065" s="128"/>
      <c r="O1065" s="113"/>
      <c r="P1065" s="113"/>
      <c r="Q1065" s="132"/>
      <c r="R1065" s="115"/>
      <c r="S1065" s="115"/>
      <c r="T1065" s="115"/>
      <c r="U1065" s="116"/>
      <c r="V1065" s="117"/>
      <c r="W1065" s="118"/>
      <c r="X1065" s="119"/>
      <c r="Y1065" s="113"/>
      <c r="Z1065" s="113"/>
    </row>
    <row r="1066">
      <c r="A1066" s="38"/>
      <c r="B1066" s="38"/>
      <c r="C1066" s="7"/>
      <c r="D1066" s="113"/>
      <c r="E1066" s="38"/>
      <c r="F1066" s="43"/>
      <c r="G1066" s="38"/>
      <c r="H1066" s="12"/>
      <c r="I1066" s="38"/>
      <c r="J1066" s="38"/>
      <c r="K1066" s="128"/>
      <c r="L1066" s="47"/>
      <c r="M1066" s="128"/>
      <c r="N1066" s="128"/>
      <c r="O1066" s="113"/>
      <c r="P1066" s="113"/>
      <c r="Q1066" s="132"/>
      <c r="R1066" s="115"/>
      <c r="S1066" s="115"/>
      <c r="T1066" s="115"/>
      <c r="U1066" s="116"/>
      <c r="V1066" s="117"/>
      <c r="W1066" s="118"/>
      <c r="X1066" s="119"/>
      <c r="Y1066" s="113"/>
      <c r="Z1066" s="113"/>
    </row>
    <row r="1067">
      <c r="A1067" s="38"/>
      <c r="B1067" s="38"/>
      <c r="C1067" s="7"/>
      <c r="D1067" s="113"/>
      <c r="E1067" s="38"/>
      <c r="F1067" s="43"/>
      <c r="G1067" s="38"/>
      <c r="H1067" s="12"/>
      <c r="I1067" s="38"/>
      <c r="J1067" s="38"/>
      <c r="K1067" s="128"/>
      <c r="L1067" s="47"/>
      <c r="M1067" s="128"/>
      <c r="N1067" s="128"/>
      <c r="O1067" s="113"/>
      <c r="P1067" s="113"/>
      <c r="Q1067" s="132"/>
      <c r="R1067" s="115"/>
      <c r="S1067" s="115"/>
      <c r="T1067" s="115"/>
      <c r="U1067" s="116"/>
      <c r="V1067" s="117"/>
      <c r="W1067" s="118"/>
      <c r="X1067" s="119"/>
      <c r="Y1067" s="113"/>
      <c r="Z1067" s="113"/>
    </row>
    <row r="1068">
      <c r="A1068" s="38"/>
      <c r="B1068" s="38"/>
      <c r="C1068" s="7"/>
      <c r="D1068" s="113"/>
      <c r="E1068" s="38"/>
      <c r="F1068" s="43"/>
      <c r="G1068" s="38"/>
      <c r="H1068" s="12"/>
      <c r="I1068" s="38"/>
      <c r="J1068" s="38"/>
      <c r="K1068" s="128"/>
      <c r="L1068" s="47"/>
      <c r="M1068" s="128"/>
      <c r="N1068" s="128"/>
      <c r="O1068" s="113"/>
      <c r="P1068" s="113"/>
      <c r="Q1068" s="132"/>
      <c r="R1068" s="115"/>
      <c r="S1068" s="115"/>
      <c r="T1068" s="115"/>
      <c r="U1068" s="116"/>
      <c r="V1068" s="117"/>
      <c r="W1068" s="118"/>
      <c r="X1068" s="119"/>
      <c r="Y1068" s="113"/>
      <c r="Z1068" s="113"/>
    </row>
    <row r="1069">
      <c r="A1069" s="38"/>
      <c r="B1069" s="38"/>
      <c r="C1069" s="7"/>
      <c r="D1069" s="113"/>
      <c r="E1069" s="38"/>
      <c r="F1069" s="38"/>
      <c r="G1069" s="38"/>
      <c r="H1069" s="12"/>
      <c r="I1069" s="38"/>
      <c r="J1069" s="38"/>
      <c r="K1069" s="128"/>
      <c r="L1069" s="47"/>
      <c r="M1069" s="128"/>
      <c r="N1069" s="128"/>
      <c r="O1069" s="113"/>
      <c r="P1069" s="113"/>
      <c r="Q1069" s="132"/>
      <c r="R1069" s="115"/>
      <c r="S1069" s="115"/>
      <c r="T1069" s="115"/>
      <c r="U1069" s="116"/>
      <c r="V1069" s="117"/>
      <c r="W1069" s="118"/>
      <c r="X1069" s="119"/>
      <c r="Y1069" s="113"/>
      <c r="Z1069" s="113"/>
    </row>
    <row r="1070">
      <c r="A1070" s="113"/>
      <c r="B1070" s="113"/>
      <c r="C1070" s="7"/>
      <c r="D1070" s="113"/>
      <c r="E1070" s="113"/>
      <c r="F1070" s="113"/>
      <c r="G1070" s="113"/>
      <c r="H1070" s="113"/>
      <c r="I1070" s="113"/>
      <c r="J1070" s="113"/>
      <c r="K1070" s="128"/>
      <c r="L1070" s="113"/>
      <c r="M1070" s="128"/>
      <c r="N1070" s="128"/>
      <c r="O1070" s="113"/>
      <c r="P1070" s="113"/>
      <c r="Q1070" s="132"/>
      <c r="R1070" s="115"/>
      <c r="S1070" s="115"/>
      <c r="T1070" s="115"/>
      <c r="U1070" s="116"/>
      <c r="V1070" s="117"/>
      <c r="W1070" s="118"/>
      <c r="X1070" s="119"/>
      <c r="Y1070" s="113"/>
      <c r="Z1070" s="113"/>
    </row>
    <row r="1071">
      <c r="A1071" s="113"/>
      <c r="B1071" s="113"/>
      <c r="C1071" s="7"/>
      <c r="D1071" s="113"/>
      <c r="E1071" s="113"/>
      <c r="F1071" s="113"/>
      <c r="G1071" s="113"/>
      <c r="H1071" s="113"/>
      <c r="I1071" s="113"/>
      <c r="J1071" s="113"/>
      <c r="K1071" s="128"/>
      <c r="L1071" s="113"/>
      <c r="M1071" s="128"/>
      <c r="N1071" s="128"/>
      <c r="O1071" s="113"/>
      <c r="P1071" s="113"/>
      <c r="Q1071" s="132"/>
      <c r="R1071" s="115"/>
      <c r="S1071" s="115"/>
      <c r="T1071" s="115"/>
      <c r="U1071" s="116"/>
      <c r="V1071" s="117"/>
      <c r="W1071" s="118"/>
      <c r="X1071" s="119"/>
      <c r="Y1071" s="113"/>
      <c r="Z1071" s="113"/>
    </row>
    <row r="1072">
      <c r="A1072" s="113"/>
      <c r="B1072" s="113"/>
      <c r="C1072" s="7"/>
      <c r="D1072" s="113"/>
      <c r="E1072" s="113"/>
      <c r="F1072" s="113"/>
      <c r="G1072" s="113"/>
      <c r="H1072" s="113"/>
      <c r="I1072" s="113"/>
      <c r="J1072" s="113"/>
      <c r="K1072" s="128"/>
      <c r="L1072" s="113"/>
      <c r="M1072" s="128"/>
      <c r="N1072" s="128"/>
      <c r="O1072" s="113"/>
      <c r="P1072" s="113"/>
      <c r="Q1072" s="132"/>
      <c r="R1072" s="115"/>
      <c r="S1072" s="115"/>
      <c r="T1072" s="115"/>
      <c r="U1072" s="116"/>
      <c r="V1072" s="117"/>
      <c r="W1072" s="118"/>
      <c r="X1072" s="119"/>
      <c r="Y1072" s="113"/>
      <c r="Z1072" s="113"/>
    </row>
    <row r="1073">
      <c r="A1073" s="113"/>
      <c r="B1073" s="113"/>
      <c r="C1073" s="7"/>
      <c r="D1073" s="113"/>
      <c r="E1073" s="113"/>
      <c r="F1073" s="113"/>
      <c r="G1073" s="113"/>
      <c r="H1073" s="113"/>
      <c r="I1073" s="113"/>
      <c r="J1073" s="113"/>
      <c r="K1073" s="128"/>
      <c r="L1073" s="113"/>
      <c r="M1073" s="128"/>
      <c r="N1073" s="128"/>
      <c r="O1073" s="113"/>
      <c r="P1073" s="113"/>
      <c r="Q1073" s="132"/>
      <c r="R1073" s="115"/>
      <c r="S1073" s="115"/>
      <c r="T1073" s="115"/>
      <c r="U1073" s="116"/>
      <c r="V1073" s="117"/>
      <c r="W1073" s="118"/>
      <c r="X1073" s="119"/>
      <c r="Y1073" s="113"/>
      <c r="Z1073" s="113"/>
    </row>
    <row r="1074">
      <c r="A1074" s="113"/>
      <c r="B1074" s="113"/>
      <c r="C1074" s="7"/>
      <c r="D1074" s="113"/>
      <c r="E1074" s="113"/>
      <c r="F1074" s="113"/>
      <c r="G1074" s="113"/>
      <c r="H1074" s="113"/>
      <c r="I1074" s="113"/>
      <c r="J1074" s="113"/>
      <c r="K1074" s="128"/>
      <c r="L1074" s="113"/>
      <c r="M1074" s="128"/>
      <c r="N1074" s="128"/>
      <c r="O1074" s="113"/>
      <c r="P1074" s="113"/>
      <c r="Q1074" s="132"/>
      <c r="R1074" s="115"/>
      <c r="S1074" s="115"/>
      <c r="T1074" s="115"/>
      <c r="U1074" s="116"/>
      <c r="V1074" s="117"/>
      <c r="W1074" s="118"/>
      <c r="X1074" s="119"/>
      <c r="Y1074" s="113"/>
      <c r="Z1074" s="113"/>
    </row>
    <row r="1075">
      <c r="A1075" s="113"/>
      <c r="B1075" s="113"/>
      <c r="C1075" s="7"/>
      <c r="D1075" s="113"/>
      <c r="E1075" s="113"/>
      <c r="F1075" s="113"/>
      <c r="G1075" s="113"/>
      <c r="H1075" s="113"/>
      <c r="I1075" s="113"/>
      <c r="J1075" s="113"/>
      <c r="K1075" s="128"/>
      <c r="L1075" s="113"/>
      <c r="M1075" s="128"/>
      <c r="N1075" s="128"/>
      <c r="O1075" s="113"/>
      <c r="P1075" s="113"/>
      <c r="Q1075" s="132"/>
      <c r="R1075" s="115"/>
      <c r="S1075" s="115"/>
      <c r="T1075" s="115"/>
      <c r="U1075" s="116"/>
      <c r="V1075" s="117"/>
      <c r="W1075" s="118"/>
      <c r="X1075" s="119"/>
      <c r="Y1075" s="113"/>
      <c r="Z1075" s="113"/>
    </row>
    <row r="1076">
      <c r="A1076" s="113"/>
      <c r="B1076" s="113"/>
      <c r="C1076" s="7"/>
      <c r="D1076" s="113"/>
      <c r="E1076" s="113"/>
      <c r="F1076" s="113"/>
      <c r="G1076" s="113"/>
      <c r="H1076" s="113"/>
      <c r="I1076" s="113"/>
      <c r="J1076" s="113"/>
      <c r="K1076" s="128"/>
      <c r="L1076" s="113"/>
      <c r="M1076" s="128"/>
      <c r="N1076" s="128"/>
      <c r="O1076" s="113"/>
      <c r="P1076" s="113"/>
      <c r="Q1076" s="132"/>
      <c r="R1076" s="115"/>
      <c r="S1076" s="115"/>
      <c r="T1076" s="115"/>
      <c r="U1076" s="116"/>
      <c r="V1076" s="117"/>
      <c r="W1076" s="118"/>
      <c r="X1076" s="119"/>
      <c r="Y1076" s="113"/>
      <c r="Z1076" s="113"/>
    </row>
    <row r="1077">
      <c r="A1077" s="113"/>
      <c r="B1077" s="113"/>
      <c r="C1077" s="7"/>
      <c r="D1077" s="113"/>
      <c r="E1077" s="113"/>
      <c r="F1077" s="113"/>
      <c r="G1077" s="113"/>
      <c r="H1077" s="113"/>
      <c r="I1077" s="113"/>
      <c r="J1077" s="113"/>
      <c r="K1077" s="128"/>
      <c r="L1077" s="113"/>
      <c r="M1077" s="128"/>
      <c r="N1077" s="128"/>
      <c r="O1077" s="113"/>
      <c r="P1077" s="113"/>
      <c r="Q1077" s="132"/>
      <c r="R1077" s="115"/>
      <c r="S1077" s="115"/>
      <c r="T1077" s="115"/>
      <c r="U1077" s="116"/>
      <c r="V1077" s="117"/>
      <c r="W1077" s="118"/>
      <c r="X1077" s="119"/>
      <c r="Y1077" s="113"/>
      <c r="Z1077" s="113"/>
    </row>
    <row r="1078">
      <c r="A1078" s="113"/>
      <c r="B1078" s="113"/>
      <c r="C1078" s="7"/>
      <c r="D1078" s="113"/>
      <c r="E1078" s="113"/>
      <c r="F1078" s="113"/>
      <c r="G1078" s="113"/>
      <c r="H1078" s="113"/>
      <c r="I1078" s="113"/>
      <c r="J1078" s="113"/>
      <c r="K1078" s="128"/>
      <c r="L1078" s="113"/>
      <c r="M1078" s="128"/>
      <c r="N1078" s="128"/>
      <c r="O1078" s="113"/>
      <c r="P1078" s="113"/>
      <c r="Q1078" s="132"/>
      <c r="R1078" s="115"/>
      <c r="S1078" s="115"/>
      <c r="T1078" s="115"/>
      <c r="U1078" s="116"/>
      <c r="V1078" s="117"/>
      <c r="W1078" s="118"/>
      <c r="X1078" s="119"/>
      <c r="Y1078" s="113"/>
      <c r="Z1078" s="113"/>
    </row>
    <row r="1079">
      <c r="A1079" s="113"/>
      <c r="B1079" s="113"/>
      <c r="C1079" s="7"/>
      <c r="D1079" s="113"/>
      <c r="E1079" s="113"/>
      <c r="F1079" s="113"/>
      <c r="G1079" s="113"/>
      <c r="H1079" s="113"/>
      <c r="I1079" s="113"/>
      <c r="J1079" s="113"/>
      <c r="K1079" s="128"/>
      <c r="L1079" s="113"/>
      <c r="M1079" s="128"/>
      <c r="N1079" s="128"/>
      <c r="O1079" s="113"/>
      <c r="P1079" s="113"/>
      <c r="Q1079" s="132"/>
      <c r="R1079" s="115"/>
      <c r="S1079" s="115"/>
      <c r="T1079" s="115"/>
      <c r="U1079" s="116"/>
      <c r="V1079" s="117"/>
      <c r="W1079" s="118"/>
      <c r="X1079" s="119"/>
      <c r="Y1079" s="113"/>
      <c r="Z1079" s="113"/>
    </row>
    <row r="1080">
      <c r="A1080" s="113"/>
      <c r="B1080" s="113"/>
      <c r="C1080" s="7"/>
      <c r="D1080" s="113"/>
      <c r="E1080" s="113"/>
      <c r="F1080" s="113"/>
      <c r="G1080" s="113"/>
      <c r="H1080" s="113"/>
      <c r="I1080" s="113"/>
      <c r="J1080" s="113"/>
      <c r="K1080" s="128"/>
      <c r="L1080" s="113"/>
      <c r="M1080" s="128"/>
      <c r="N1080" s="128"/>
      <c r="O1080" s="113"/>
      <c r="P1080" s="113"/>
      <c r="Q1080" s="132"/>
      <c r="R1080" s="115"/>
      <c r="S1080" s="115"/>
      <c r="T1080" s="115"/>
      <c r="U1080" s="116"/>
      <c r="V1080" s="117"/>
      <c r="W1080" s="118"/>
      <c r="X1080" s="119"/>
      <c r="Y1080" s="113"/>
      <c r="Z1080" s="113"/>
    </row>
    <row r="1081">
      <c r="A1081" s="113"/>
      <c r="B1081" s="113"/>
      <c r="C1081" s="7"/>
      <c r="D1081" s="113"/>
      <c r="E1081" s="113"/>
      <c r="F1081" s="113"/>
      <c r="G1081" s="113"/>
      <c r="H1081" s="113"/>
      <c r="I1081" s="113"/>
      <c r="J1081" s="113"/>
      <c r="K1081" s="128"/>
      <c r="L1081" s="113"/>
      <c r="M1081" s="128"/>
      <c r="N1081" s="128"/>
      <c r="O1081" s="113"/>
      <c r="P1081" s="113"/>
      <c r="Q1081" s="132"/>
      <c r="R1081" s="115"/>
      <c r="S1081" s="115"/>
      <c r="T1081" s="115"/>
      <c r="U1081" s="116"/>
      <c r="V1081" s="117"/>
      <c r="W1081" s="118"/>
      <c r="X1081" s="119"/>
      <c r="Y1081" s="113"/>
      <c r="Z1081" s="113"/>
    </row>
    <row r="1082">
      <c r="A1082" s="113"/>
      <c r="B1082" s="113"/>
      <c r="C1082" s="7"/>
      <c r="D1082" s="113"/>
      <c r="E1082" s="113"/>
      <c r="F1082" s="113"/>
      <c r="G1082" s="113"/>
      <c r="H1082" s="113"/>
      <c r="I1082" s="113"/>
      <c r="J1082" s="113"/>
      <c r="K1082" s="128"/>
      <c r="L1082" s="113"/>
      <c r="M1082" s="128"/>
      <c r="N1082" s="128"/>
      <c r="O1082" s="113"/>
      <c r="P1082" s="113"/>
      <c r="Q1082" s="132"/>
      <c r="R1082" s="115"/>
      <c r="S1082" s="115"/>
      <c r="T1082" s="115"/>
      <c r="U1082" s="116"/>
      <c r="V1082" s="117"/>
      <c r="W1082" s="118"/>
      <c r="X1082" s="119"/>
      <c r="Y1082" s="113"/>
      <c r="Z1082" s="113"/>
    </row>
    <row r="1083">
      <c r="A1083" s="113"/>
      <c r="B1083" s="113"/>
      <c r="C1083" s="7"/>
      <c r="D1083" s="113"/>
      <c r="E1083" s="113"/>
      <c r="F1083" s="113"/>
      <c r="G1083" s="113"/>
      <c r="H1083" s="113"/>
      <c r="I1083" s="113"/>
      <c r="J1083" s="113"/>
      <c r="K1083" s="128"/>
      <c r="L1083" s="113"/>
      <c r="M1083" s="128"/>
      <c r="N1083" s="128"/>
      <c r="O1083" s="113"/>
      <c r="P1083" s="113"/>
      <c r="Q1083" s="132"/>
      <c r="R1083" s="115"/>
      <c r="S1083" s="115"/>
      <c r="T1083" s="115"/>
      <c r="U1083" s="116"/>
      <c r="V1083" s="117"/>
      <c r="W1083" s="118"/>
      <c r="X1083" s="119"/>
      <c r="Y1083" s="113"/>
      <c r="Z1083" s="113"/>
    </row>
    <row r="1084">
      <c r="A1084" s="113"/>
      <c r="B1084" s="113"/>
      <c r="C1084" s="7"/>
      <c r="D1084" s="113"/>
      <c r="E1084" s="113"/>
      <c r="F1084" s="113"/>
      <c r="G1084" s="113"/>
      <c r="H1084" s="113"/>
      <c r="I1084" s="113"/>
      <c r="J1084" s="113"/>
      <c r="K1084" s="128"/>
      <c r="L1084" s="113"/>
      <c r="M1084" s="128"/>
      <c r="N1084" s="128"/>
      <c r="O1084" s="113"/>
      <c r="P1084" s="113"/>
      <c r="Q1084" s="132"/>
      <c r="R1084" s="115"/>
      <c r="S1084" s="115"/>
      <c r="T1084" s="115"/>
      <c r="U1084" s="116"/>
      <c r="V1084" s="117"/>
      <c r="W1084" s="118"/>
      <c r="X1084" s="119"/>
      <c r="Y1084" s="113"/>
      <c r="Z1084" s="113"/>
    </row>
    <row r="1085">
      <c r="A1085" s="113"/>
      <c r="B1085" s="113"/>
      <c r="C1085" s="7"/>
      <c r="D1085" s="113"/>
      <c r="E1085" s="113"/>
      <c r="F1085" s="113"/>
      <c r="G1085" s="113"/>
      <c r="H1085" s="113"/>
      <c r="I1085" s="113"/>
      <c r="J1085" s="113"/>
      <c r="K1085" s="128"/>
      <c r="L1085" s="113"/>
      <c r="M1085" s="128"/>
      <c r="N1085" s="128"/>
      <c r="O1085" s="113"/>
      <c r="P1085" s="113"/>
      <c r="Q1085" s="132"/>
      <c r="R1085" s="115"/>
      <c r="S1085" s="115"/>
      <c r="T1085" s="115"/>
      <c r="U1085" s="116"/>
      <c r="V1085" s="117"/>
      <c r="W1085" s="118"/>
      <c r="X1085" s="119"/>
      <c r="Y1085" s="113"/>
      <c r="Z1085" s="113"/>
    </row>
    <row r="1086">
      <c r="A1086" s="113"/>
      <c r="B1086" s="113"/>
      <c r="C1086" s="7"/>
      <c r="D1086" s="113"/>
      <c r="E1086" s="113"/>
      <c r="F1086" s="113"/>
      <c r="G1086" s="113"/>
      <c r="H1086" s="113"/>
      <c r="I1086" s="113"/>
      <c r="J1086" s="113"/>
      <c r="K1086" s="128"/>
      <c r="L1086" s="113"/>
      <c r="M1086" s="128"/>
      <c r="N1086" s="128"/>
      <c r="O1086" s="113"/>
      <c r="P1086" s="113"/>
      <c r="Q1086" s="132"/>
      <c r="R1086" s="115"/>
      <c r="S1086" s="115"/>
      <c r="T1086" s="115"/>
      <c r="U1086" s="116"/>
      <c r="V1086" s="117"/>
      <c r="W1086" s="118"/>
      <c r="X1086" s="119"/>
      <c r="Y1086" s="113"/>
      <c r="Z1086" s="113"/>
    </row>
    <row r="1087">
      <c r="A1087" s="113"/>
      <c r="B1087" s="113"/>
      <c r="C1087" s="7"/>
      <c r="D1087" s="113"/>
      <c r="E1087" s="113"/>
      <c r="F1087" s="113"/>
      <c r="G1087" s="113"/>
      <c r="H1087" s="113"/>
      <c r="I1087" s="113"/>
      <c r="J1087" s="113"/>
      <c r="K1087" s="128"/>
      <c r="L1087" s="113"/>
      <c r="M1087" s="128"/>
      <c r="N1087" s="128"/>
      <c r="O1087" s="113"/>
      <c r="P1087" s="113"/>
      <c r="Q1087" s="132"/>
      <c r="R1087" s="115"/>
      <c r="S1087" s="115"/>
      <c r="T1087" s="115"/>
      <c r="U1087" s="116"/>
      <c r="V1087" s="117"/>
      <c r="W1087" s="118"/>
      <c r="X1087" s="119"/>
      <c r="Y1087" s="113"/>
      <c r="Z1087" s="113"/>
    </row>
    <row r="1088">
      <c r="A1088" s="113"/>
      <c r="B1088" s="113"/>
      <c r="C1088" s="7"/>
      <c r="D1088" s="113"/>
      <c r="E1088" s="113"/>
      <c r="F1088" s="113"/>
      <c r="G1088" s="113"/>
      <c r="H1088" s="113"/>
      <c r="I1088" s="113"/>
      <c r="J1088" s="113"/>
      <c r="K1088" s="128"/>
      <c r="L1088" s="113"/>
      <c r="M1088" s="128"/>
      <c r="N1088" s="128"/>
      <c r="O1088" s="113"/>
      <c r="P1088" s="113"/>
      <c r="Q1088" s="132"/>
      <c r="R1088" s="115"/>
      <c r="S1088" s="115"/>
      <c r="T1088" s="115"/>
      <c r="U1088" s="116"/>
      <c r="V1088" s="117"/>
      <c r="W1088" s="118"/>
      <c r="X1088" s="119"/>
      <c r="Y1088" s="113"/>
      <c r="Z1088" s="113"/>
    </row>
    <row r="1089">
      <c r="A1089" s="113"/>
      <c r="B1089" s="113"/>
      <c r="C1089" s="7"/>
      <c r="D1089" s="113"/>
      <c r="E1089" s="113"/>
      <c r="F1089" s="113"/>
      <c r="G1089" s="113"/>
      <c r="H1089" s="113"/>
      <c r="I1089" s="113"/>
      <c r="J1089" s="113"/>
      <c r="K1089" s="128"/>
      <c r="L1089" s="113"/>
      <c r="M1089" s="128"/>
      <c r="N1089" s="128"/>
      <c r="O1089" s="113"/>
      <c r="P1089" s="113"/>
      <c r="Q1089" s="132"/>
      <c r="R1089" s="115"/>
      <c r="S1089" s="115"/>
      <c r="T1089" s="115"/>
      <c r="U1089" s="116"/>
      <c r="V1089" s="117"/>
      <c r="W1089" s="118"/>
      <c r="X1089" s="119"/>
      <c r="Y1089" s="113"/>
      <c r="Z1089" s="113"/>
    </row>
    <row r="1090">
      <c r="A1090" s="113"/>
      <c r="B1090" s="113"/>
      <c r="C1090" s="7"/>
      <c r="D1090" s="113"/>
      <c r="E1090" s="113"/>
      <c r="F1090" s="113"/>
      <c r="G1090" s="113"/>
      <c r="H1090" s="113"/>
      <c r="I1090" s="113"/>
      <c r="J1090" s="113"/>
      <c r="K1090" s="128"/>
      <c r="L1090" s="113"/>
      <c r="M1090" s="128"/>
      <c r="N1090" s="128"/>
      <c r="O1090" s="113"/>
      <c r="P1090" s="113"/>
      <c r="Q1090" s="132"/>
      <c r="R1090" s="115"/>
      <c r="S1090" s="115"/>
      <c r="T1090" s="115"/>
      <c r="U1090" s="116"/>
      <c r="V1090" s="117"/>
      <c r="W1090" s="118"/>
      <c r="X1090" s="119"/>
      <c r="Y1090" s="113"/>
      <c r="Z1090" s="113"/>
    </row>
    <row r="1091">
      <c r="A1091" s="113"/>
      <c r="B1091" s="113"/>
      <c r="C1091" s="7"/>
      <c r="D1091" s="113"/>
      <c r="E1091" s="113"/>
      <c r="F1091" s="113"/>
      <c r="G1091" s="113"/>
      <c r="H1091" s="113"/>
      <c r="I1091" s="113"/>
      <c r="J1091" s="113"/>
      <c r="K1091" s="128"/>
      <c r="L1091" s="113"/>
      <c r="M1091" s="128"/>
      <c r="N1091" s="128"/>
      <c r="O1091" s="113"/>
      <c r="P1091" s="113"/>
      <c r="Q1091" s="132"/>
      <c r="R1091" s="115"/>
      <c r="S1091" s="115"/>
      <c r="T1091" s="115"/>
      <c r="U1091" s="116"/>
      <c r="V1091" s="117"/>
      <c r="W1091" s="118"/>
      <c r="X1091" s="119"/>
      <c r="Y1091" s="113"/>
      <c r="Z1091" s="113"/>
    </row>
    <row r="1092">
      <c r="A1092" s="113"/>
      <c r="B1092" s="113"/>
      <c r="C1092" s="7"/>
      <c r="D1092" s="113"/>
      <c r="E1092" s="113"/>
      <c r="F1092" s="113"/>
      <c r="G1092" s="113"/>
      <c r="H1092" s="113"/>
      <c r="I1092" s="113"/>
      <c r="J1092" s="113"/>
      <c r="K1092" s="128"/>
      <c r="L1092" s="113"/>
      <c r="M1092" s="128"/>
      <c r="N1092" s="128"/>
      <c r="O1092" s="113"/>
      <c r="P1092" s="113"/>
      <c r="Q1092" s="132"/>
      <c r="R1092" s="115"/>
      <c r="S1092" s="115"/>
      <c r="T1092" s="115"/>
      <c r="U1092" s="116"/>
      <c r="V1092" s="117"/>
      <c r="W1092" s="118"/>
      <c r="X1092" s="119"/>
      <c r="Y1092" s="113"/>
      <c r="Z1092" s="113"/>
    </row>
    <row r="1093">
      <c r="A1093" s="113"/>
      <c r="B1093" s="113"/>
      <c r="C1093" s="7"/>
      <c r="D1093" s="113"/>
      <c r="E1093" s="113"/>
      <c r="F1093" s="113"/>
      <c r="G1093" s="113"/>
      <c r="H1093" s="113"/>
      <c r="I1093" s="113"/>
      <c r="J1093" s="113"/>
      <c r="K1093" s="128"/>
      <c r="L1093" s="113"/>
      <c r="M1093" s="128"/>
      <c r="N1093" s="128"/>
      <c r="O1093" s="113"/>
      <c r="P1093" s="113"/>
      <c r="Q1093" s="132"/>
      <c r="R1093" s="115"/>
      <c r="S1093" s="115"/>
      <c r="T1093" s="115"/>
      <c r="U1093" s="116"/>
      <c r="V1093" s="117"/>
      <c r="W1093" s="118"/>
      <c r="X1093" s="119"/>
      <c r="Y1093" s="113"/>
      <c r="Z1093" s="113"/>
    </row>
    <row r="1094">
      <c r="A1094" s="113"/>
      <c r="B1094" s="113"/>
      <c r="C1094" s="7"/>
      <c r="D1094" s="113"/>
      <c r="E1094" s="113"/>
      <c r="F1094" s="113"/>
      <c r="G1094" s="113"/>
      <c r="H1094" s="113"/>
      <c r="I1094" s="113"/>
      <c r="J1094" s="113"/>
      <c r="K1094" s="128"/>
      <c r="L1094" s="113"/>
      <c r="M1094" s="128"/>
      <c r="N1094" s="128"/>
      <c r="O1094" s="113"/>
      <c r="P1094" s="113"/>
      <c r="Q1094" s="132"/>
      <c r="R1094" s="115"/>
      <c r="S1094" s="115"/>
      <c r="T1094" s="115"/>
      <c r="U1094" s="116"/>
      <c r="V1094" s="117"/>
      <c r="W1094" s="118"/>
      <c r="X1094" s="119"/>
      <c r="Y1094" s="113"/>
      <c r="Z1094" s="113"/>
    </row>
    <row r="1095">
      <c r="A1095" s="113"/>
      <c r="B1095" s="113"/>
      <c r="C1095" s="7"/>
      <c r="D1095" s="113"/>
      <c r="E1095" s="113"/>
      <c r="F1095" s="113"/>
      <c r="G1095" s="113"/>
      <c r="H1095" s="113"/>
      <c r="I1095" s="113"/>
      <c r="J1095" s="113"/>
      <c r="K1095" s="128"/>
      <c r="L1095" s="113"/>
      <c r="M1095" s="128"/>
      <c r="N1095" s="128"/>
      <c r="O1095" s="113"/>
      <c r="P1095" s="113"/>
      <c r="Q1095" s="132"/>
      <c r="R1095" s="115"/>
      <c r="S1095" s="115"/>
      <c r="T1095" s="115"/>
      <c r="U1095" s="116"/>
      <c r="V1095" s="117"/>
      <c r="W1095" s="118"/>
      <c r="X1095" s="119"/>
      <c r="Y1095" s="113"/>
      <c r="Z1095" s="113"/>
    </row>
    <row r="1096">
      <c r="A1096" s="113"/>
      <c r="B1096" s="113"/>
      <c r="C1096" s="7"/>
      <c r="D1096" s="113"/>
      <c r="E1096" s="113"/>
      <c r="F1096" s="113"/>
      <c r="G1096" s="113"/>
      <c r="H1096" s="113"/>
      <c r="I1096" s="113"/>
      <c r="J1096" s="113"/>
      <c r="K1096" s="128"/>
      <c r="L1096" s="113"/>
      <c r="M1096" s="128"/>
      <c r="N1096" s="128"/>
      <c r="O1096" s="113"/>
      <c r="P1096" s="113"/>
      <c r="Q1096" s="132"/>
      <c r="R1096" s="115"/>
      <c r="S1096" s="115"/>
      <c r="T1096" s="115"/>
      <c r="U1096" s="116"/>
      <c r="V1096" s="117"/>
      <c r="W1096" s="118"/>
      <c r="X1096" s="119"/>
      <c r="Y1096" s="113"/>
      <c r="Z1096" s="113"/>
    </row>
    <row r="1097">
      <c r="A1097" s="113"/>
      <c r="B1097" s="113"/>
      <c r="C1097" s="7"/>
      <c r="D1097" s="113"/>
      <c r="E1097" s="113"/>
      <c r="F1097" s="113"/>
      <c r="G1097" s="113"/>
      <c r="H1097" s="113"/>
      <c r="I1097" s="113"/>
      <c r="J1097" s="113"/>
      <c r="K1097" s="128"/>
      <c r="L1097" s="113"/>
      <c r="M1097" s="128"/>
      <c r="N1097" s="128"/>
      <c r="O1097" s="113"/>
      <c r="P1097" s="113"/>
      <c r="Q1097" s="132"/>
      <c r="R1097" s="115"/>
      <c r="S1097" s="115"/>
      <c r="T1097" s="115"/>
      <c r="U1097" s="116"/>
      <c r="V1097" s="117"/>
      <c r="W1097" s="118"/>
      <c r="X1097" s="119"/>
      <c r="Y1097" s="113"/>
      <c r="Z1097" s="113"/>
    </row>
    <row r="1098">
      <c r="A1098" s="113"/>
      <c r="B1098" s="113"/>
      <c r="C1098" s="7"/>
      <c r="D1098" s="113"/>
      <c r="E1098" s="113"/>
      <c r="F1098" s="113"/>
      <c r="G1098" s="113"/>
      <c r="H1098" s="113"/>
      <c r="I1098" s="113"/>
      <c r="J1098" s="113"/>
      <c r="K1098" s="128"/>
      <c r="L1098" s="113"/>
      <c r="M1098" s="128"/>
      <c r="N1098" s="128"/>
      <c r="O1098" s="113"/>
      <c r="P1098" s="113"/>
      <c r="Q1098" s="132"/>
      <c r="R1098" s="115"/>
      <c r="S1098" s="115"/>
      <c r="T1098" s="115"/>
      <c r="U1098" s="116"/>
      <c r="V1098" s="117"/>
      <c r="W1098" s="118"/>
      <c r="X1098" s="119"/>
      <c r="Y1098" s="113"/>
      <c r="Z1098" s="113"/>
    </row>
    <row r="1099">
      <c r="A1099" s="113"/>
      <c r="B1099" s="113"/>
      <c r="C1099" s="7"/>
      <c r="D1099" s="113"/>
      <c r="E1099" s="113"/>
      <c r="F1099" s="113"/>
      <c r="G1099" s="113"/>
      <c r="H1099" s="113"/>
      <c r="I1099" s="113"/>
      <c r="J1099" s="113"/>
      <c r="K1099" s="128"/>
      <c r="L1099" s="113"/>
      <c r="M1099" s="128"/>
      <c r="N1099" s="128"/>
      <c r="O1099" s="113"/>
      <c r="P1099" s="113"/>
      <c r="Q1099" s="132"/>
      <c r="R1099" s="115"/>
      <c r="S1099" s="115"/>
      <c r="T1099" s="115"/>
      <c r="U1099" s="116"/>
      <c r="V1099" s="117"/>
      <c r="W1099" s="118"/>
      <c r="X1099" s="119"/>
      <c r="Y1099" s="113"/>
      <c r="Z1099" s="113"/>
    </row>
    <row r="1100">
      <c r="A1100" s="113"/>
      <c r="B1100" s="113"/>
      <c r="C1100" s="7"/>
      <c r="D1100" s="113"/>
      <c r="E1100" s="113"/>
      <c r="F1100" s="113"/>
      <c r="G1100" s="113"/>
      <c r="H1100" s="113"/>
      <c r="I1100" s="113"/>
      <c r="J1100" s="113"/>
      <c r="K1100" s="128"/>
      <c r="L1100" s="113"/>
      <c r="M1100" s="128"/>
      <c r="N1100" s="128"/>
      <c r="O1100" s="113"/>
      <c r="P1100" s="113"/>
      <c r="Q1100" s="132"/>
      <c r="R1100" s="115"/>
      <c r="S1100" s="115"/>
      <c r="T1100" s="115"/>
      <c r="U1100" s="116"/>
      <c r="V1100" s="117"/>
      <c r="W1100" s="118"/>
      <c r="X1100" s="119"/>
      <c r="Y1100" s="113"/>
      <c r="Z1100" s="113"/>
    </row>
    <row r="1101">
      <c r="A1101" s="113"/>
      <c r="B1101" s="113"/>
      <c r="C1101" s="7"/>
      <c r="D1101" s="113"/>
      <c r="E1101" s="113"/>
      <c r="F1101" s="113"/>
      <c r="G1101" s="113"/>
      <c r="H1101" s="113"/>
      <c r="I1101" s="113"/>
      <c r="J1101" s="113"/>
      <c r="K1101" s="128"/>
      <c r="L1101" s="113"/>
      <c r="M1101" s="128"/>
      <c r="N1101" s="128"/>
      <c r="O1101" s="113"/>
      <c r="P1101" s="113"/>
      <c r="Q1101" s="132"/>
      <c r="R1101" s="115"/>
      <c r="S1101" s="115"/>
      <c r="T1101" s="115"/>
      <c r="U1101" s="116"/>
      <c r="V1101" s="117"/>
      <c r="W1101" s="118"/>
      <c r="X1101" s="119"/>
      <c r="Y1101" s="113"/>
      <c r="Z1101" s="113"/>
    </row>
    <row r="1102">
      <c r="A1102" s="113"/>
      <c r="B1102" s="113"/>
      <c r="C1102" s="7"/>
      <c r="D1102" s="113"/>
      <c r="E1102" s="113"/>
      <c r="F1102" s="113"/>
      <c r="G1102" s="113"/>
      <c r="H1102" s="113"/>
      <c r="I1102" s="113"/>
      <c r="J1102" s="113"/>
      <c r="K1102" s="128"/>
      <c r="L1102" s="113"/>
      <c r="M1102" s="128"/>
      <c r="N1102" s="128"/>
      <c r="O1102" s="113"/>
      <c r="P1102" s="113"/>
      <c r="Q1102" s="132"/>
      <c r="R1102" s="115"/>
      <c r="S1102" s="115"/>
      <c r="T1102" s="115"/>
      <c r="U1102" s="116"/>
      <c r="V1102" s="117"/>
      <c r="W1102" s="118"/>
      <c r="X1102" s="119"/>
      <c r="Y1102" s="113"/>
      <c r="Z1102" s="113"/>
    </row>
    <row r="1103">
      <c r="A1103" s="113"/>
      <c r="B1103" s="113"/>
      <c r="C1103" s="7"/>
      <c r="D1103" s="113"/>
      <c r="E1103" s="113"/>
      <c r="F1103" s="113"/>
      <c r="G1103" s="113"/>
      <c r="H1103" s="113"/>
      <c r="I1103" s="113"/>
      <c r="J1103" s="113"/>
      <c r="K1103" s="128"/>
      <c r="L1103" s="113"/>
      <c r="M1103" s="128"/>
      <c r="N1103" s="128"/>
      <c r="O1103" s="113"/>
      <c r="P1103" s="113"/>
      <c r="Q1103" s="132"/>
      <c r="R1103" s="115"/>
      <c r="S1103" s="115"/>
      <c r="T1103" s="115"/>
      <c r="U1103" s="116"/>
      <c r="V1103" s="117"/>
      <c r="W1103" s="118"/>
      <c r="X1103" s="119"/>
      <c r="Y1103" s="113"/>
      <c r="Z1103" s="113"/>
    </row>
    <row r="1104">
      <c r="A1104" s="113"/>
      <c r="B1104" s="113"/>
      <c r="C1104" s="7"/>
      <c r="D1104" s="113"/>
      <c r="E1104" s="113"/>
      <c r="F1104" s="113"/>
      <c r="G1104" s="113"/>
      <c r="H1104" s="113"/>
      <c r="I1104" s="113"/>
      <c r="J1104" s="113"/>
      <c r="K1104" s="128"/>
      <c r="L1104" s="113"/>
      <c r="M1104" s="128"/>
      <c r="N1104" s="128"/>
      <c r="O1104" s="113"/>
      <c r="P1104" s="113"/>
      <c r="Q1104" s="132"/>
      <c r="R1104" s="115"/>
      <c r="S1104" s="115"/>
      <c r="T1104" s="115"/>
      <c r="U1104" s="116"/>
      <c r="V1104" s="117"/>
      <c r="W1104" s="118"/>
      <c r="X1104" s="119"/>
      <c r="Y1104" s="113"/>
      <c r="Z1104" s="113"/>
    </row>
    <row r="1105">
      <c r="A1105" s="113"/>
      <c r="B1105" s="113"/>
      <c r="C1105" s="7"/>
      <c r="D1105" s="113"/>
      <c r="E1105" s="113"/>
      <c r="F1105" s="113"/>
      <c r="G1105" s="113"/>
      <c r="H1105" s="113"/>
      <c r="I1105" s="113"/>
      <c r="J1105" s="113"/>
      <c r="K1105" s="128"/>
      <c r="L1105" s="113"/>
      <c r="M1105" s="128"/>
      <c r="N1105" s="128"/>
      <c r="O1105" s="113"/>
      <c r="P1105" s="113"/>
      <c r="Q1105" s="132"/>
      <c r="R1105" s="115"/>
      <c r="S1105" s="115"/>
      <c r="T1105" s="115"/>
      <c r="U1105" s="116"/>
      <c r="V1105" s="117"/>
      <c r="W1105" s="118"/>
      <c r="X1105" s="119"/>
      <c r="Y1105" s="113"/>
      <c r="Z1105" s="113"/>
    </row>
    <row r="1106">
      <c r="A1106" s="113"/>
      <c r="B1106" s="113"/>
      <c r="C1106" s="7"/>
      <c r="D1106" s="113"/>
      <c r="E1106" s="113"/>
      <c r="F1106" s="113"/>
      <c r="G1106" s="113"/>
      <c r="H1106" s="113"/>
      <c r="I1106" s="113"/>
      <c r="J1106" s="113"/>
      <c r="K1106" s="128"/>
      <c r="L1106" s="113"/>
      <c r="M1106" s="128"/>
      <c r="N1106" s="128"/>
      <c r="O1106" s="113"/>
      <c r="P1106" s="113"/>
      <c r="Q1106" s="132"/>
      <c r="R1106" s="115"/>
      <c r="S1106" s="115"/>
      <c r="T1106" s="115"/>
      <c r="U1106" s="116"/>
      <c r="V1106" s="117"/>
      <c r="W1106" s="118"/>
      <c r="X1106" s="119"/>
      <c r="Y1106" s="113"/>
      <c r="Z1106" s="113"/>
    </row>
    <row r="1107">
      <c r="A1107" s="113"/>
      <c r="B1107" s="113"/>
      <c r="C1107" s="7"/>
      <c r="D1107" s="113"/>
      <c r="E1107" s="113"/>
      <c r="F1107" s="113"/>
      <c r="G1107" s="113"/>
      <c r="H1107" s="113"/>
      <c r="I1107" s="113"/>
      <c r="J1107" s="113"/>
      <c r="K1107" s="128"/>
      <c r="L1107" s="113"/>
      <c r="M1107" s="128"/>
      <c r="N1107" s="128"/>
      <c r="O1107" s="113"/>
      <c r="P1107" s="113"/>
      <c r="Q1107" s="132"/>
      <c r="R1107" s="115"/>
      <c r="S1107" s="115"/>
      <c r="T1107" s="115"/>
      <c r="U1107" s="116"/>
      <c r="V1107" s="117"/>
      <c r="W1107" s="118"/>
      <c r="X1107" s="119"/>
      <c r="Y1107" s="113"/>
      <c r="Z1107" s="113"/>
    </row>
    <row r="1108">
      <c r="A1108" s="113"/>
      <c r="B1108" s="113"/>
      <c r="C1108" s="7"/>
      <c r="D1108" s="113"/>
      <c r="E1108" s="113"/>
      <c r="F1108" s="113"/>
      <c r="G1108" s="113"/>
      <c r="H1108" s="113"/>
      <c r="I1108" s="113"/>
      <c r="J1108" s="113"/>
      <c r="K1108" s="128"/>
      <c r="L1108" s="113"/>
      <c r="M1108" s="128"/>
      <c r="N1108" s="128"/>
      <c r="O1108" s="113"/>
      <c r="P1108" s="113"/>
      <c r="Q1108" s="132"/>
      <c r="R1108" s="115"/>
      <c r="S1108" s="115"/>
      <c r="T1108" s="115"/>
      <c r="U1108" s="116"/>
      <c r="V1108" s="117"/>
      <c r="W1108" s="118"/>
      <c r="X1108" s="119"/>
      <c r="Y1108" s="113"/>
      <c r="Z1108" s="113"/>
    </row>
    <row r="1109">
      <c r="A1109" s="113"/>
      <c r="B1109" s="113"/>
      <c r="C1109" s="7"/>
      <c r="D1109" s="113"/>
      <c r="E1109" s="113"/>
      <c r="F1109" s="113"/>
      <c r="G1109" s="113"/>
      <c r="H1109" s="113"/>
      <c r="I1109" s="113"/>
      <c r="J1109" s="113"/>
      <c r="K1109" s="128"/>
      <c r="L1109" s="113"/>
      <c r="M1109" s="128"/>
      <c r="N1109" s="128"/>
      <c r="O1109" s="113"/>
      <c r="P1109" s="113"/>
      <c r="Q1109" s="132"/>
      <c r="R1109" s="115"/>
      <c r="S1109" s="115"/>
      <c r="T1109" s="115"/>
      <c r="U1109" s="116"/>
      <c r="V1109" s="117"/>
      <c r="W1109" s="118"/>
      <c r="X1109" s="119"/>
      <c r="Y1109" s="113"/>
      <c r="Z1109" s="113"/>
    </row>
    <row r="1110">
      <c r="A1110" s="113"/>
      <c r="B1110" s="113"/>
      <c r="C1110" s="7"/>
      <c r="D1110" s="113"/>
      <c r="E1110" s="113"/>
      <c r="F1110" s="113"/>
      <c r="G1110" s="113"/>
      <c r="H1110" s="113"/>
      <c r="I1110" s="113"/>
      <c r="J1110" s="113"/>
      <c r="K1110" s="128"/>
      <c r="L1110" s="113"/>
      <c r="M1110" s="128"/>
      <c r="N1110" s="128"/>
      <c r="O1110" s="113"/>
      <c r="P1110" s="113"/>
      <c r="Q1110" s="132"/>
      <c r="R1110" s="115"/>
      <c r="S1110" s="115"/>
      <c r="T1110" s="115"/>
      <c r="U1110" s="116"/>
      <c r="V1110" s="117"/>
      <c r="W1110" s="118"/>
      <c r="X1110" s="119"/>
      <c r="Y1110" s="113"/>
      <c r="Z1110" s="113"/>
    </row>
    <row r="1111">
      <c r="A1111" s="113"/>
      <c r="B1111" s="113"/>
      <c r="C1111" s="7"/>
      <c r="D1111" s="113"/>
      <c r="E1111" s="113"/>
      <c r="F1111" s="113"/>
      <c r="G1111" s="113"/>
      <c r="H1111" s="113"/>
      <c r="I1111" s="113"/>
      <c r="J1111" s="113"/>
      <c r="K1111" s="128"/>
      <c r="L1111" s="113"/>
      <c r="M1111" s="128"/>
      <c r="N1111" s="128"/>
      <c r="O1111" s="113"/>
      <c r="P1111" s="113"/>
      <c r="Q1111" s="132"/>
      <c r="R1111" s="115"/>
      <c r="S1111" s="115"/>
      <c r="T1111" s="115"/>
      <c r="U1111" s="116"/>
      <c r="V1111" s="117"/>
      <c r="W1111" s="118"/>
      <c r="X1111" s="119"/>
      <c r="Y1111" s="113"/>
      <c r="Z1111" s="113"/>
    </row>
    <row r="1112">
      <c r="A1112" s="113"/>
      <c r="B1112" s="113"/>
      <c r="C1112" s="7"/>
      <c r="D1112" s="113"/>
      <c r="E1112" s="113"/>
      <c r="F1112" s="113"/>
      <c r="G1112" s="113"/>
      <c r="H1112" s="113"/>
      <c r="I1112" s="113"/>
      <c r="J1112" s="113"/>
      <c r="K1112" s="128"/>
      <c r="L1112" s="113"/>
      <c r="M1112" s="128"/>
      <c r="N1112" s="128"/>
      <c r="O1112" s="113"/>
      <c r="P1112" s="113"/>
      <c r="Q1112" s="132"/>
      <c r="R1112" s="115"/>
      <c r="S1112" s="115"/>
      <c r="T1112" s="115"/>
      <c r="U1112" s="116"/>
      <c r="V1112" s="117"/>
      <c r="W1112" s="118"/>
      <c r="X1112" s="119"/>
      <c r="Y1112" s="113"/>
      <c r="Z1112" s="113"/>
    </row>
    <row r="1113">
      <c r="A1113" s="113"/>
      <c r="B1113" s="113"/>
      <c r="C1113" s="7"/>
      <c r="D1113" s="113"/>
      <c r="E1113" s="113"/>
      <c r="F1113" s="113"/>
      <c r="G1113" s="113"/>
      <c r="H1113" s="113"/>
      <c r="I1113" s="113"/>
      <c r="J1113" s="113"/>
      <c r="K1113" s="128"/>
      <c r="L1113" s="113"/>
      <c r="M1113" s="128"/>
      <c r="N1113" s="128"/>
      <c r="O1113" s="113"/>
      <c r="P1113" s="113"/>
      <c r="Q1113" s="132"/>
      <c r="R1113" s="115"/>
      <c r="S1113" s="115"/>
      <c r="T1113" s="115"/>
      <c r="U1113" s="116"/>
      <c r="V1113" s="117"/>
      <c r="W1113" s="118"/>
      <c r="X1113" s="119"/>
      <c r="Y1113" s="113"/>
      <c r="Z1113" s="113"/>
    </row>
    <row r="1114">
      <c r="A1114" s="113"/>
      <c r="B1114" s="113"/>
      <c r="C1114" s="7"/>
      <c r="D1114" s="113"/>
      <c r="E1114" s="113"/>
      <c r="F1114" s="113"/>
      <c r="G1114" s="113"/>
      <c r="H1114" s="113"/>
      <c r="I1114" s="113"/>
      <c r="J1114" s="113"/>
      <c r="K1114" s="128"/>
      <c r="L1114" s="113"/>
      <c r="M1114" s="128"/>
      <c r="N1114" s="128"/>
      <c r="O1114" s="113"/>
      <c r="P1114" s="113"/>
      <c r="Q1114" s="132"/>
      <c r="R1114" s="115"/>
      <c r="S1114" s="115"/>
      <c r="T1114" s="115"/>
      <c r="U1114" s="116"/>
      <c r="V1114" s="117"/>
      <c r="W1114" s="118"/>
      <c r="X1114" s="119"/>
      <c r="Y1114" s="113"/>
      <c r="Z1114" s="113"/>
    </row>
    <row r="1115">
      <c r="A1115" s="113"/>
      <c r="B1115" s="113"/>
      <c r="C1115" s="7"/>
      <c r="D1115" s="113"/>
      <c r="E1115" s="113"/>
      <c r="F1115" s="113"/>
      <c r="G1115" s="113"/>
      <c r="H1115" s="113"/>
      <c r="I1115" s="113"/>
      <c r="J1115" s="113"/>
      <c r="K1115" s="128"/>
      <c r="L1115" s="113"/>
      <c r="M1115" s="128"/>
      <c r="N1115" s="128"/>
      <c r="O1115" s="113"/>
      <c r="P1115" s="113"/>
      <c r="Q1115" s="132"/>
      <c r="R1115" s="115"/>
      <c r="S1115" s="115"/>
      <c r="T1115" s="115"/>
      <c r="U1115" s="116"/>
      <c r="V1115" s="117"/>
      <c r="W1115" s="118"/>
      <c r="X1115" s="119"/>
      <c r="Y1115" s="113"/>
      <c r="Z1115" s="113"/>
    </row>
    <row r="1116">
      <c r="A1116" s="113"/>
      <c r="B1116" s="113"/>
      <c r="C1116" s="7"/>
      <c r="D1116" s="113"/>
      <c r="E1116" s="113"/>
      <c r="F1116" s="113"/>
      <c r="G1116" s="113"/>
      <c r="H1116" s="113"/>
      <c r="I1116" s="113"/>
      <c r="J1116" s="113"/>
      <c r="K1116" s="128"/>
      <c r="L1116" s="113"/>
      <c r="M1116" s="128"/>
      <c r="N1116" s="128"/>
      <c r="O1116" s="113"/>
      <c r="P1116" s="113"/>
      <c r="Q1116" s="132"/>
      <c r="R1116" s="115"/>
      <c r="S1116" s="115"/>
      <c r="T1116" s="115"/>
      <c r="U1116" s="116"/>
      <c r="V1116" s="117"/>
      <c r="W1116" s="118"/>
      <c r="X1116" s="119"/>
      <c r="Y1116" s="113"/>
      <c r="Z1116" s="113"/>
    </row>
    <row r="1117">
      <c r="A1117" s="113"/>
      <c r="B1117" s="113"/>
      <c r="C1117" s="7"/>
      <c r="D1117" s="113"/>
      <c r="E1117" s="113"/>
      <c r="F1117" s="113"/>
      <c r="G1117" s="113"/>
      <c r="H1117" s="113"/>
      <c r="I1117" s="113"/>
      <c r="J1117" s="113"/>
      <c r="K1117" s="128"/>
      <c r="L1117" s="113"/>
      <c r="M1117" s="128"/>
      <c r="N1117" s="128"/>
      <c r="O1117" s="113"/>
      <c r="P1117" s="113"/>
      <c r="Q1117" s="132"/>
      <c r="R1117" s="115"/>
      <c r="S1117" s="115"/>
      <c r="T1117" s="115"/>
      <c r="U1117" s="116"/>
      <c r="V1117" s="117"/>
      <c r="W1117" s="118"/>
      <c r="X1117" s="119"/>
      <c r="Y1117" s="113"/>
      <c r="Z1117" s="113"/>
    </row>
    <row r="1118">
      <c r="A1118" s="113"/>
      <c r="B1118" s="113"/>
      <c r="C1118" s="7"/>
      <c r="D1118" s="113"/>
      <c r="E1118" s="113"/>
      <c r="F1118" s="113"/>
      <c r="G1118" s="113"/>
      <c r="H1118" s="113"/>
      <c r="I1118" s="113"/>
      <c r="J1118" s="113"/>
      <c r="K1118" s="128"/>
      <c r="L1118" s="113"/>
      <c r="M1118" s="128"/>
      <c r="N1118" s="128"/>
      <c r="O1118" s="113"/>
      <c r="P1118" s="113"/>
      <c r="Q1118" s="132"/>
      <c r="R1118" s="115"/>
      <c r="S1118" s="115"/>
      <c r="T1118" s="115"/>
      <c r="U1118" s="116"/>
      <c r="V1118" s="117"/>
      <c r="W1118" s="118"/>
      <c r="X1118" s="119"/>
      <c r="Y1118" s="113"/>
      <c r="Z1118" s="113"/>
    </row>
    <row r="1119">
      <c r="A1119" s="113"/>
      <c r="B1119" s="113"/>
      <c r="C1119" s="7"/>
      <c r="D1119" s="113"/>
      <c r="E1119" s="113"/>
      <c r="F1119" s="113"/>
      <c r="G1119" s="113"/>
      <c r="H1119" s="113"/>
      <c r="I1119" s="113"/>
      <c r="J1119" s="113"/>
      <c r="K1119" s="128"/>
      <c r="L1119" s="113"/>
      <c r="M1119" s="128"/>
      <c r="N1119" s="128"/>
      <c r="O1119" s="113"/>
      <c r="P1119" s="113"/>
      <c r="Q1119" s="132"/>
      <c r="R1119" s="115"/>
      <c r="S1119" s="115"/>
      <c r="T1119" s="115"/>
      <c r="U1119" s="116"/>
      <c r="V1119" s="117"/>
      <c r="W1119" s="118"/>
      <c r="X1119" s="119"/>
      <c r="Y1119" s="113"/>
      <c r="Z1119" s="113"/>
    </row>
    <row r="1120">
      <c r="A1120" s="113"/>
      <c r="B1120" s="113"/>
      <c r="C1120" s="7"/>
      <c r="D1120" s="113"/>
      <c r="E1120" s="113"/>
      <c r="F1120" s="113"/>
      <c r="G1120" s="113"/>
      <c r="H1120" s="113"/>
      <c r="I1120" s="113"/>
      <c r="J1120" s="113"/>
      <c r="K1120" s="128"/>
      <c r="L1120" s="113"/>
      <c r="M1120" s="128"/>
      <c r="N1120" s="128"/>
      <c r="O1120" s="113"/>
      <c r="P1120" s="113"/>
      <c r="Q1120" s="132"/>
      <c r="R1120" s="115"/>
      <c r="S1120" s="115"/>
      <c r="T1120" s="115"/>
      <c r="U1120" s="116"/>
      <c r="V1120" s="117"/>
      <c r="W1120" s="118"/>
      <c r="X1120" s="119"/>
      <c r="Y1120" s="113"/>
      <c r="Z1120" s="113"/>
    </row>
    <row r="1121">
      <c r="A1121" s="113"/>
      <c r="B1121" s="113"/>
      <c r="C1121" s="7"/>
      <c r="D1121" s="113"/>
      <c r="E1121" s="113"/>
      <c r="F1121" s="113"/>
      <c r="G1121" s="113"/>
      <c r="H1121" s="113"/>
      <c r="I1121" s="113"/>
      <c r="J1121" s="113"/>
      <c r="K1121" s="128"/>
      <c r="L1121" s="113"/>
      <c r="M1121" s="128"/>
      <c r="N1121" s="128"/>
      <c r="O1121" s="113"/>
      <c r="P1121" s="113"/>
      <c r="Q1121" s="132"/>
      <c r="R1121" s="115"/>
      <c r="S1121" s="115"/>
      <c r="T1121" s="115"/>
      <c r="U1121" s="116"/>
      <c r="V1121" s="117"/>
      <c r="W1121" s="118"/>
      <c r="X1121" s="119"/>
      <c r="Y1121" s="113"/>
      <c r="Z1121" s="113"/>
    </row>
    <row r="1122">
      <c r="A1122" s="113"/>
      <c r="B1122" s="113"/>
      <c r="C1122" s="7"/>
      <c r="D1122" s="113"/>
      <c r="E1122" s="113"/>
      <c r="F1122" s="113"/>
      <c r="G1122" s="113"/>
      <c r="H1122" s="113"/>
      <c r="I1122" s="113"/>
      <c r="J1122" s="113"/>
      <c r="K1122" s="128"/>
      <c r="L1122" s="113"/>
      <c r="M1122" s="128"/>
      <c r="N1122" s="128"/>
      <c r="O1122" s="113"/>
      <c r="P1122" s="113"/>
      <c r="Q1122" s="132"/>
      <c r="R1122" s="115"/>
      <c r="S1122" s="115"/>
      <c r="T1122" s="115"/>
      <c r="U1122" s="116"/>
      <c r="V1122" s="117"/>
      <c r="W1122" s="118"/>
      <c r="X1122" s="119"/>
      <c r="Y1122" s="113"/>
      <c r="Z1122" s="113"/>
    </row>
    <row r="1123">
      <c r="A1123" s="113"/>
      <c r="B1123" s="113"/>
      <c r="C1123" s="7"/>
      <c r="D1123" s="113"/>
      <c r="E1123" s="113"/>
      <c r="F1123" s="113"/>
      <c r="G1123" s="113"/>
      <c r="H1123" s="113"/>
      <c r="I1123" s="113"/>
      <c r="J1123" s="113"/>
      <c r="K1123" s="128"/>
      <c r="L1123" s="113"/>
      <c r="M1123" s="128"/>
      <c r="N1123" s="128"/>
      <c r="O1123" s="113"/>
      <c r="P1123" s="113"/>
      <c r="Q1123" s="132"/>
      <c r="R1123" s="115"/>
      <c r="S1123" s="115"/>
      <c r="T1123" s="115"/>
      <c r="U1123" s="116"/>
      <c r="V1123" s="117"/>
      <c r="W1123" s="118"/>
      <c r="X1123" s="119"/>
      <c r="Y1123" s="113"/>
      <c r="Z1123" s="113"/>
    </row>
    <row r="1124">
      <c r="A1124" s="113"/>
      <c r="B1124" s="113"/>
      <c r="C1124" s="7"/>
      <c r="D1124" s="113"/>
      <c r="E1124" s="113"/>
      <c r="F1124" s="113"/>
      <c r="G1124" s="113"/>
      <c r="H1124" s="113"/>
      <c r="I1124" s="113"/>
      <c r="J1124" s="113"/>
      <c r="K1124" s="128"/>
      <c r="L1124" s="113"/>
      <c r="M1124" s="128"/>
      <c r="N1124" s="128"/>
      <c r="O1124" s="113"/>
      <c r="P1124" s="113"/>
      <c r="Q1124" s="132"/>
      <c r="R1124" s="115"/>
      <c r="S1124" s="115"/>
      <c r="T1124" s="115"/>
      <c r="U1124" s="116"/>
      <c r="V1124" s="117"/>
      <c r="W1124" s="118"/>
      <c r="X1124" s="119"/>
      <c r="Y1124" s="113"/>
      <c r="Z1124" s="113"/>
    </row>
    <row r="1125">
      <c r="A1125" s="113"/>
      <c r="B1125" s="113"/>
      <c r="C1125" s="7"/>
      <c r="D1125" s="113"/>
      <c r="E1125" s="113"/>
      <c r="F1125" s="113"/>
      <c r="G1125" s="113"/>
      <c r="H1125" s="113"/>
      <c r="I1125" s="113"/>
      <c r="J1125" s="113"/>
      <c r="K1125" s="128"/>
      <c r="L1125" s="113"/>
      <c r="M1125" s="128"/>
      <c r="N1125" s="128"/>
      <c r="O1125" s="113"/>
      <c r="P1125" s="113"/>
      <c r="Q1125" s="132"/>
      <c r="R1125" s="115"/>
      <c r="S1125" s="115"/>
      <c r="T1125" s="115"/>
      <c r="U1125" s="116"/>
      <c r="V1125" s="117"/>
      <c r="W1125" s="118"/>
      <c r="X1125" s="119"/>
      <c r="Y1125" s="113"/>
      <c r="Z1125" s="113"/>
    </row>
    <row r="1126">
      <c r="A1126" s="113"/>
      <c r="B1126" s="113"/>
      <c r="C1126" s="7"/>
      <c r="D1126" s="113"/>
      <c r="E1126" s="113"/>
      <c r="F1126" s="113"/>
      <c r="G1126" s="113"/>
      <c r="H1126" s="113"/>
      <c r="I1126" s="113"/>
      <c r="J1126" s="113"/>
      <c r="K1126" s="128"/>
      <c r="L1126" s="113"/>
      <c r="M1126" s="128"/>
      <c r="N1126" s="128"/>
      <c r="O1126" s="113"/>
      <c r="P1126" s="113"/>
      <c r="Q1126" s="132"/>
      <c r="R1126" s="115"/>
      <c r="S1126" s="115"/>
      <c r="T1126" s="115"/>
      <c r="U1126" s="116"/>
      <c r="V1126" s="117"/>
      <c r="W1126" s="118"/>
      <c r="X1126" s="119"/>
      <c r="Y1126" s="113"/>
      <c r="Z1126" s="113"/>
    </row>
    <row r="1127">
      <c r="A1127" s="113"/>
      <c r="B1127" s="113"/>
      <c r="C1127" s="7"/>
      <c r="D1127" s="113"/>
      <c r="E1127" s="113"/>
      <c r="F1127" s="113"/>
      <c r="G1127" s="113"/>
      <c r="H1127" s="113"/>
      <c r="I1127" s="113"/>
      <c r="J1127" s="113"/>
      <c r="K1127" s="128"/>
      <c r="L1127" s="113"/>
      <c r="M1127" s="128"/>
      <c r="N1127" s="128"/>
      <c r="O1127" s="113"/>
      <c r="P1127" s="113"/>
      <c r="Q1127" s="132"/>
      <c r="R1127" s="115"/>
      <c r="S1127" s="115"/>
      <c r="T1127" s="115"/>
      <c r="U1127" s="116"/>
      <c r="V1127" s="117"/>
      <c r="W1127" s="118"/>
      <c r="X1127" s="119"/>
      <c r="Y1127" s="113"/>
      <c r="Z1127" s="113"/>
    </row>
    <row r="1128">
      <c r="A1128" s="113"/>
      <c r="B1128" s="113"/>
      <c r="C1128" s="7"/>
      <c r="D1128" s="113"/>
      <c r="E1128" s="113"/>
      <c r="F1128" s="113"/>
      <c r="G1128" s="113"/>
      <c r="H1128" s="113"/>
      <c r="I1128" s="113"/>
      <c r="J1128" s="113"/>
      <c r="K1128" s="128"/>
      <c r="L1128" s="113"/>
      <c r="M1128" s="128"/>
      <c r="N1128" s="128"/>
      <c r="O1128" s="113"/>
      <c r="P1128" s="113"/>
      <c r="Q1128" s="132"/>
      <c r="R1128" s="115"/>
      <c r="S1128" s="115"/>
      <c r="T1128" s="115"/>
      <c r="U1128" s="116"/>
      <c r="V1128" s="117"/>
      <c r="W1128" s="118"/>
      <c r="X1128" s="119"/>
      <c r="Y1128" s="113"/>
      <c r="Z1128" s="113"/>
    </row>
    <row r="1129">
      <c r="A1129" s="113"/>
      <c r="B1129" s="113"/>
      <c r="C1129" s="7"/>
      <c r="D1129" s="113"/>
      <c r="E1129" s="113"/>
      <c r="F1129" s="113"/>
      <c r="G1129" s="113"/>
      <c r="H1129" s="113"/>
      <c r="I1129" s="113"/>
      <c r="J1129" s="113"/>
      <c r="K1129" s="128"/>
      <c r="L1129" s="113"/>
      <c r="M1129" s="128"/>
      <c r="N1129" s="128"/>
      <c r="O1129" s="113"/>
      <c r="P1129" s="113"/>
      <c r="Q1129" s="132"/>
      <c r="R1129" s="115"/>
      <c r="S1129" s="115"/>
      <c r="T1129" s="115"/>
      <c r="U1129" s="116"/>
      <c r="V1129" s="117"/>
      <c r="W1129" s="118"/>
      <c r="X1129" s="119"/>
      <c r="Y1129" s="113"/>
      <c r="Z1129" s="113"/>
    </row>
    <row r="1130">
      <c r="A1130" s="113"/>
      <c r="B1130" s="113"/>
      <c r="C1130" s="7"/>
      <c r="D1130" s="113"/>
      <c r="E1130" s="113"/>
      <c r="F1130" s="113"/>
      <c r="G1130" s="113"/>
      <c r="H1130" s="113"/>
      <c r="I1130" s="113"/>
      <c r="J1130" s="113"/>
      <c r="K1130" s="128"/>
      <c r="L1130" s="113"/>
      <c r="M1130" s="128"/>
      <c r="N1130" s="128"/>
      <c r="O1130" s="113"/>
      <c r="P1130" s="113"/>
      <c r="Q1130" s="132"/>
      <c r="R1130" s="115"/>
      <c r="S1130" s="115"/>
      <c r="T1130" s="115"/>
      <c r="U1130" s="116"/>
      <c r="V1130" s="117"/>
      <c r="W1130" s="118"/>
      <c r="X1130" s="119"/>
      <c r="Y1130" s="113"/>
      <c r="Z1130" s="113"/>
    </row>
    <row r="1131">
      <c r="A1131" s="113"/>
      <c r="B1131" s="113"/>
      <c r="C1131" s="7"/>
      <c r="D1131" s="113"/>
      <c r="E1131" s="113"/>
      <c r="F1131" s="113"/>
      <c r="G1131" s="113"/>
      <c r="H1131" s="113"/>
      <c r="I1131" s="113"/>
      <c r="J1131" s="113"/>
      <c r="K1131" s="128"/>
      <c r="L1131" s="113"/>
      <c r="M1131" s="128"/>
      <c r="N1131" s="128"/>
      <c r="O1131" s="113"/>
      <c r="P1131" s="113"/>
      <c r="Q1131" s="132"/>
      <c r="R1131" s="115"/>
      <c r="S1131" s="115"/>
      <c r="T1131" s="115"/>
      <c r="U1131" s="116"/>
      <c r="V1131" s="117"/>
      <c r="W1131" s="118"/>
      <c r="X1131" s="119"/>
      <c r="Y1131" s="113"/>
      <c r="Z1131" s="113"/>
    </row>
    <row r="1132">
      <c r="A1132" s="113"/>
      <c r="B1132" s="113"/>
      <c r="C1132" s="7"/>
      <c r="D1132" s="113"/>
      <c r="E1132" s="113"/>
      <c r="F1132" s="113"/>
      <c r="G1132" s="113"/>
      <c r="H1132" s="113"/>
      <c r="I1132" s="113"/>
      <c r="J1132" s="113"/>
      <c r="K1132" s="128"/>
      <c r="L1132" s="113"/>
      <c r="M1132" s="128"/>
      <c r="N1132" s="128"/>
      <c r="O1132" s="113"/>
      <c r="P1132" s="113"/>
      <c r="Q1132" s="132"/>
      <c r="R1132" s="115"/>
      <c r="S1132" s="115"/>
      <c r="T1132" s="115"/>
      <c r="U1132" s="116"/>
      <c r="V1132" s="117"/>
      <c r="W1132" s="118"/>
      <c r="X1132" s="119"/>
      <c r="Y1132" s="113"/>
      <c r="Z1132" s="113"/>
    </row>
    <row r="1133">
      <c r="A1133" s="113"/>
      <c r="B1133" s="113"/>
      <c r="C1133" s="7"/>
      <c r="D1133" s="113"/>
      <c r="E1133" s="113"/>
      <c r="F1133" s="113"/>
      <c r="G1133" s="113"/>
      <c r="H1133" s="113"/>
      <c r="I1133" s="113"/>
      <c r="J1133" s="113"/>
      <c r="K1133" s="128"/>
      <c r="L1133" s="113"/>
      <c r="M1133" s="128"/>
      <c r="N1133" s="128"/>
      <c r="O1133" s="113"/>
      <c r="P1133" s="113"/>
      <c r="Q1133" s="132"/>
      <c r="R1133" s="115"/>
      <c r="S1133" s="115"/>
      <c r="T1133" s="115"/>
      <c r="U1133" s="116"/>
      <c r="V1133" s="117"/>
      <c r="W1133" s="118"/>
      <c r="X1133" s="119"/>
      <c r="Y1133" s="113"/>
      <c r="Z1133" s="113"/>
    </row>
    <row r="1134">
      <c r="A1134" s="113"/>
      <c r="B1134" s="113"/>
      <c r="C1134" s="7"/>
      <c r="D1134" s="113"/>
      <c r="E1134" s="113"/>
      <c r="F1134" s="113"/>
      <c r="G1134" s="113"/>
      <c r="H1134" s="113"/>
      <c r="I1134" s="113"/>
      <c r="J1134" s="113"/>
      <c r="K1134" s="128"/>
      <c r="L1134" s="113"/>
      <c r="M1134" s="128"/>
      <c r="N1134" s="128"/>
      <c r="O1134" s="113"/>
      <c r="P1134" s="113"/>
      <c r="Q1134" s="132"/>
      <c r="R1134" s="115"/>
      <c r="S1134" s="115"/>
      <c r="T1134" s="115"/>
      <c r="U1134" s="116"/>
      <c r="V1134" s="117"/>
      <c r="W1134" s="118"/>
      <c r="X1134" s="119"/>
      <c r="Y1134" s="113"/>
      <c r="Z1134" s="113"/>
    </row>
    <row r="1135">
      <c r="A1135" s="113"/>
      <c r="B1135" s="113"/>
      <c r="C1135" s="7"/>
      <c r="D1135" s="113"/>
      <c r="E1135" s="113"/>
      <c r="F1135" s="113"/>
      <c r="G1135" s="113"/>
      <c r="H1135" s="113"/>
      <c r="I1135" s="113"/>
      <c r="J1135" s="113"/>
      <c r="K1135" s="128"/>
      <c r="L1135" s="113"/>
      <c r="M1135" s="128"/>
      <c r="N1135" s="128"/>
      <c r="O1135" s="113"/>
      <c r="P1135" s="113"/>
      <c r="Q1135" s="132"/>
      <c r="R1135" s="115"/>
      <c r="S1135" s="115"/>
      <c r="T1135" s="115"/>
      <c r="U1135" s="116"/>
      <c r="V1135" s="117"/>
      <c r="W1135" s="118"/>
      <c r="X1135" s="119"/>
      <c r="Y1135" s="113"/>
      <c r="Z1135" s="113"/>
    </row>
    <row r="1136">
      <c r="A1136" s="113"/>
      <c r="B1136" s="113"/>
      <c r="C1136" s="7"/>
      <c r="D1136" s="113"/>
      <c r="E1136" s="113"/>
      <c r="F1136" s="113"/>
      <c r="G1136" s="113"/>
      <c r="H1136" s="113"/>
      <c r="I1136" s="113"/>
      <c r="J1136" s="113"/>
      <c r="K1136" s="128"/>
      <c r="L1136" s="113"/>
      <c r="M1136" s="128"/>
      <c r="N1136" s="128"/>
      <c r="O1136" s="113"/>
      <c r="P1136" s="113"/>
      <c r="Q1136" s="132"/>
      <c r="R1136" s="115"/>
      <c r="S1136" s="115"/>
      <c r="T1136" s="115"/>
      <c r="U1136" s="116"/>
      <c r="V1136" s="117"/>
      <c r="W1136" s="118"/>
      <c r="X1136" s="119"/>
      <c r="Y1136" s="113"/>
      <c r="Z1136" s="113"/>
    </row>
    <row r="1137">
      <c r="A1137" s="113"/>
      <c r="B1137" s="113"/>
      <c r="C1137" s="7"/>
      <c r="D1137" s="113"/>
      <c r="E1137" s="113"/>
      <c r="F1137" s="113"/>
      <c r="G1137" s="113"/>
      <c r="H1137" s="113"/>
      <c r="I1137" s="113"/>
      <c r="J1137" s="113"/>
      <c r="K1137" s="128"/>
      <c r="L1137" s="113"/>
      <c r="M1137" s="128"/>
      <c r="N1137" s="128"/>
      <c r="O1137" s="113"/>
      <c r="P1137" s="113"/>
      <c r="Q1137" s="132"/>
      <c r="R1137" s="115"/>
      <c r="S1137" s="115"/>
      <c r="T1137" s="115"/>
      <c r="U1137" s="116"/>
      <c r="V1137" s="117"/>
      <c r="W1137" s="118"/>
      <c r="X1137" s="119"/>
      <c r="Y1137" s="113"/>
      <c r="Z1137" s="113"/>
    </row>
    <row r="1138">
      <c r="A1138" s="113"/>
      <c r="B1138" s="113"/>
      <c r="C1138" s="7"/>
      <c r="D1138" s="113"/>
      <c r="E1138" s="113"/>
      <c r="F1138" s="113"/>
      <c r="G1138" s="113"/>
      <c r="H1138" s="113"/>
      <c r="I1138" s="113"/>
      <c r="J1138" s="113"/>
      <c r="K1138" s="128"/>
      <c r="L1138" s="113"/>
      <c r="M1138" s="128"/>
      <c r="N1138" s="128"/>
      <c r="O1138" s="113"/>
      <c r="P1138" s="113"/>
      <c r="Q1138" s="132"/>
      <c r="R1138" s="115"/>
      <c r="S1138" s="115"/>
      <c r="T1138" s="115"/>
      <c r="U1138" s="116"/>
      <c r="V1138" s="117"/>
      <c r="W1138" s="118"/>
      <c r="X1138" s="119"/>
      <c r="Y1138" s="113"/>
      <c r="Z1138" s="113"/>
    </row>
    <row r="1139">
      <c r="A1139" s="113"/>
      <c r="B1139" s="113"/>
      <c r="C1139" s="7"/>
      <c r="D1139" s="113"/>
      <c r="E1139" s="113"/>
      <c r="F1139" s="113"/>
      <c r="G1139" s="113"/>
      <c r="H1139" s="113"/>
      <c r="I1139" s="113"/>
      <c r="J1139" s="113"/>
      <c r="K1139" s="128"/>
      <c r="L1139" s="113"/>
      <c r="M1139" s="128"/>
      <c r="N1139" s="128"/>
      <c r="O1139" s="113"/>
      <c r="P1139" s="113"/>
      <c r="Q1139" s="132"/>
      <c r="R1139" s="115"/>
      <c r="S1139" s="115"/>
      <c r="T1139" s="115"/>
      <c r="U1139" s="116"/>
      <c r="V1139" s="117"/>
      <c r="W1139" s="118"/>
      <c r="X1139" s="119"/>
      <c r="Y1139" s="113"/>
      <c r="Z1139" s="113"/>
    </row>
    <row r="1140">
      <c r="A1140" s="113"/>
      <c r="B1140" s="113"/>
      <c r="C1140" s="7"/>
      <c r="D1140" s="113"/>
      <c r="E1140" s="113"/>
      <c r="F1140" s="113"/>
      <c r="G1140" s="113"/>
      <c r="H1140" s="113"/>
      <c r="I1140" s="113"/>
      <c r="J1140" s="113"/>
      <c r="K1140" s="128"/>
      <c r="L1140" s="113"/>
      <c r="M1140" s="128"/>
      <c r="N1140" s="128"/>
      <c r="O1140" s="113"/>
      <c r="P1140" s="113"/>
      <c r="Q1140" s="132"/>
      <c r="R1140" s="115"/>
      <c r="S1140" s="115"/>
      <c r="T1140" s="115"/>
      <c r="U1140" s="116"/>
      <c r="V1140" s="117"/>
      <c r="W1140" s="118"/>
      <c r="X1140" s="119"/>
      <c r="Y1140" s="113"/>
      <c r="Z1140" s="113"/>
    </row>
    <row r="1141">
      <c r="A1141" s="113"/>
      <c r="B1141" s="113"/>
      <c r="C1141" s="7"/>
      <c r="D1141" s="113"/>
      <c r="E1141" s="113"/>
      <c r="F1141" s="113"/>
      <c r="G1141" s="113"/>
      <c r="H1141" s="113"/>
      <c r="I1141" s="113"/>
      <c r="J1141" s="113"/>
      <c r="K1141" s="128"/>
      <c r="L1141" s="113"/>
      <c r="M1141" s="128"/>
      <c r="N1141" s="128"/>
      <c r="O1141" s="113"/>
      <c r="P1141" s="113"/>
      <c r="Q1141" s="132"/>
      <c r="R1141" s="115"/>
      <c r="S1141" s="115"/>
      <c r="T1141" s="115"/>
      <c r="U1141" s="116"/>
      <c r="V1141" s="117"/>
      <c r="W1141" s="118"/>
      <c r="X1141" s="119"/>
      <c r="Y1141" s="113"/>
      <c r="Z1141" s="113"/>
    </row>
    <row r="1142">
      <c r="A1142" s="113"/>
      <c r="B1142" s="113"/>
      <c r="C1142" s="7"/>
      <c r="D1142" s="113"/>
      <c r="E1142" s="113"/>
      <c r="F1142" s="113"/>
      <c r="G1142" s="113"/>
      <c r="H1142" s="113"/>
      <c r="I1142" s="113"/>
      <c r="J1142" s="113"/>
      <c r="K1142" s="128"/>
      <c r="L1142" s="113"/>
      <c r="M1142" s="128"/>
      <c r="N1142" s="128"/>
      <c r="O1142" s="113"/>
      <c r="P1142" s="113"/>
      <c r="Q1142" s="132"/>
      <c r="R1142" s="115"/>
      <c r="S1142" s="115"/>
      <c r="T1142" s="115"/>
      <c r="U1142" s="116"/>
      <c r="V1142" s="117"/>
      <c r="W1142" s="118"/>
      <c r="X1142" s="119"/>
      <c r="Y1142" s="113"/>
      <c r="Z1142" s="113"/>
    </row>
    <row r="1143">
      <c r="A1143" s="113"/>
      <c r="B1143" s="113"/>
      <c r="C1143" s="7"/>
      <c r="D1143" s="113"/>
      <c r="E1143" s="113"/>
      <c r="F1143" s="113"/>
      <c r="G1143" s="113"/>
      <c r="H1143" s="113"/>
      <c r="I1143" s="113"/>
      <c r="J1143" s="113"/>
      <c r="K1143" s="128"/>
      <c r="L1143" s="113"/>
      <c r="M1143" s="128"/>
      <c r="N1143" s="128"/>
      <c r="O1143" s="113"/>
      <c r="P1143" s="113"/>
      <c r="Q1143" s="132"/>
      <c r="R1143" s="115"/>
      <c r="S1143" s="115"/>
      <c r="T1143" s="115"/>
      <c r="U1143" s="116"/>
      <c r="V1143" s="117"/>
      <c r="W1143" s="118"/>
      <c r="X1143" s="119"/>
      <c r="Y1143" s="113"/>
      <c r="Z1143" s="113"/>
    </row>
    <row r="1144">
      <c r="A1144" s="113"/>
      <c r="B1144" s="113"/>
      <c r="C1144" s="7"/>
      <c r="D1144" s="113"/>
      <c r="E1144" s="113"/>
      <c r="F1144" s="113"/>
      <c r="G1144" s="113"/>
      <c r="H1144" s="113"/>
      <c r="I1144" s="113"/>
      <c r="J1144" s="113"/>
      <c r="K1144" s="128"/>
      <c r="L1144" s="113"/>
      <c r="M1144" s="128"/>
      <c r="N1144" s="128"/>
      <c r="O1144" s="113"/>
      <c r="P1144" s="113"/>
      <c r="Q1144" s="132"/>
      <c r="R1144" s="115"/>
      <c r="S1144" s="115"/>
      <c r="T1144" s="115"/>
      <c r="U1144" s="116"/>
      <c r="V1144" s="117"/>
      <c r="W1144" s="118"/>
      <c r="X1144" s="119"/>
      <c r="Y1144" s="113"/>
      <c r="Z1144" s="113"/>
    </row>
    <row r="1145">
      <c r="A1145" s="113"/>
      <c r="B1145" s="113"/>
      <c r="C1145" s="7"/>
      <c r="D1145" s="113"/>
      <c r="E1145" s="113"/>
      <c r="F1145" s="113"/>
      <c r="G1145" s="113"/>
      <c r="H1145" s="113"/>
      <c r="I1145" s="113"/>
      <c r="J1145" s="113"/>
      <c r="K1145" s="128"/>
      <c r="L1145" s="113"/>
      <c r="M1145" s="128"/>
      <c r="N1145" s="128"/>
      <c r="O1145" s="113"/>
      <c r="P1145" s="113"/>
      <c r="Q1145" s="132"/>
      <c r="R1145" s="115"/>
      <c r="S1145" s="115"/>
      <c r="T1145" s="115"/>
      <c r="U1145" s="116"/>
      <c r="V1145" s="117"/>
      <c r="W1145" s="118"/>
      <c r="X1145" s="119"/>
      <c r="Y1145" s="113"/>
      <c r="Z1145" s="113"/>
    </row>
    <row r="1146">
      <c r="A1146" s="113"/>
      <c r="B1146" s="113"/>
      <c r="C1146" s="7"/>
      <c r="D1146" s="113"/>
      <c r="E1146" s="113"/>
      <c r="F1146" s="113"/>
      <c r="G1146" s="113"/>
      <c r="H1146" s="113"/>
      <c r="I1146" s="113"/>
      <c r="J1146" s="113"/>
      <c r="K1146" s="128"/>
      <c r="L1146" s="113"/>
      <c r="M1146" s="128"/>
      <c r="N1146" s="128"/>
      <c r="O1146" s="113"/>
      <c r="P1146" s="113"/>
      <c r="Q1146" s="132"/>
      <c r="R1146" s="115"/>
      <c r="S1146" s="115"/>
      <c r="T1146" s="115"/>
      <c r="U1146" s="116"/>
      <c r="V1146" s="117"/>
      <c r="W1146" s="118"/>
      <c r="X1146" s="119"/>
      <c r="Y1146" s="113"/>
      <c r="Z1146" s="113"/>
    </row>
    <row r="1147">
      <c r="A1147" s="113"/>
      <c r="B1147" s="113"/>
      <c r="C1147" s="7"/>
      <c r="D1147" s="113"/>
      <c r="E1147" s="113"/>
      <c r="F1147" s="113"/>
      <c r="G1147" s="113"/>
      <c r="H1147" s="113"/>
      <c r="I1147" s="113"/>
      <c r="J1147" s="113"/>
      <c r="K1147" s="128"/>
      <c r="L1147" s="113"/>
      <c r="M1147" s="128"/>
      <c r="N1147" s="128"/>
      <c r="O1147" s="113"/>
      <c r="P1147" s="113"/>
      <c r="Q1147" s="132"/>
      <c r="R1147" s="115"/>
      <c r="S1147" s="115"/>
      <c r="T1147" s="115"/>
      <c r="U1147" s="116"/>
      <c r="V1147" s="117"/>
      <c r="W1147" s="118"/>
      <c r="X1147" s="119"/>
      <c r="Y1147" s="113"/>
      <c r="Z1147" s="113"/>
    </row>
    <row r="1148">
      <c r="A1148" s="113"/>
      <c r="B1148" s="113"/>
      <c r="C1148" s="7"/>
      <c r="D1148" s="113"/>
      <c r="E1148" s="113"/>
      <c r="F1148" s="113"/>
      <c r="G1148" s="113"/>
      <c r="H1148" s="113"/>
      <c r="I1148" s="113"/>
      <c r="J1148" s="113"/>
      <c r="K1148" s="128"/>
      <c r="L1148" s="113"/>
      <c r="M1148" s="128"/>
      <c r="N1148" s="128"/>
      <c r="O1148" s="113"/>
      <c r="P1148" s="113"/>
      <c r="Q1148" s="132"/>
      <c r="R1148" s="115"/>
      <c r="S1148" s="115"/>
      <c r="T1148" s="115"/>
      <c r="U1148" s="116"/>
      <c r="V1148" s="117"/>
      <c r="W1148" s="118"/>
      <c r="X1148" s="119"/>
      <c r="Y1148" s="113"/>
      <c r="Z1148" s="113"/>
    </row>
    <row r="1149">
      <c r="A1149" s="113"/>
      <c r="B1149" s="113"/>
      <c r="C1149" s="7"/>
      <c r="D1149" s="113"/>
      <c r="E1149" s="113"/>
      <c r="F1149" s="113"/>
      <c r="G1149" s="113"/>
      <c r="H1149" s="113"/>
      <c r="I1149" s="113"/>
      <c r="J1149" s="113"/>
      <c r="K1149" s="128"/>
      <c r="L1149" s="113"/>
      <c r="M1149" s="128"/>
      <c r="N1149" s="128"/>
      <c r="O1149" s="113"/>
      <c r="P1149" s="113"/>
      <c r="Q1149" s="132"/>
      <c r="R1149" s="115"/>
      <c r="S1149" s="115"/>
      <c r="T1149" s="115"/>
      <c r="U1149" s="116"/>
      <c r="V1149" s="117"/>
      <c r="W1149" s="118"/>
      <c r="X1149" s="119"/>
      <c r="Y1149" s="113"/>
      <c r="Z1149" s="113"/>
    </row>
    <row r="1150">
      <c r="A1150" s="113"/>
      <c r="B1150" s="113"/>
      <c r="C1150" s="7"/>
      <c r="D1150" s="113"/>
      <c r="E1150" s="113"/>
      <c r="F1150" s="113"/>
      <c r="G1150" s="113"/>
      <c r="H1150" s="113"/>
      <c r="I1150" s="113"/>
      <c r="J1150" s="113"/>
      <c r="K1150" s="128"/>
      <c r="L1150" s="113"/>
      <c r="M1150" s="128"/>
      <c r="N1150" s="128"/>
      <c r="O1150" s="113"/>
      <c r="P1150" s="113"/>
      <c r="Q1150" s="132"/>
      <c r="R1150" s="115"/>
      <c r="S1150" s="115"/>
      <c r="T1150" s="115"/>
      <c r="U1150" s="116"/>
      <c r="V1150" s="117"/>
      <c r="W1150" s="118"/>
      <c r="X1150" s="119"/>
      <c r="Y1150" s="113"/>
      <c r="Z1150" s="113"/>
    </row>
    <row r="1151">
      <c r="A1151" s="113"/>
      <c r="B1151" s="113"/>
      <c r="C1151" s="7"/>
      <c r="D1151" s="113"/>
      <c r="E1151" s="113"/>
      <c r="F1151" s="113"/>
      <c r="G1151" s="113"/>
      <c r="H1151" s="113"/>
      <c r="I1151" s="113"/>
      <c r="J1151" s="113"/>
      <c r="K1151" s="128"/>
      <c r="L1151" s="113"/>
      <c r="M1151" s="128"/>
      <c r="N1151" s="128"/>
      <c r="O1151" s="113"/>
      <c r="P1151" s="113"/>
      <c r="Q1151" s="132"/>
      <c r="R1151" s="115"/>
      <c r="S1151" s="115"/>
      <c r="T1151" s="115"/>
      <c r="U1151" s="116"/>
      <c r="V1151" s="117"/>
      <c r="W1151" s="118"/>
      <c r="X1151" s="119"/>
      <c r="Y1151" s="113"/>
      <c r="Z1151" s="113"/>
    </row>
    <row r="1152">
      <c r="A1152" s="113"/>
      <c r="B1152" s="113"/>
      <c r="C1152" s="7"/>
      <c r="D1152" s="113"/>
      <c r="E1152" s="113"/>
      <c r="F1152" s="113"/>
      <c r="G1152" s="113"/>
      <c r="H1152" s="113"/>
      <c r="I1152" s="113"/>
      <c r="J1152" s="113"/>
      <c r="K1152" s="128"/>
      <c r="L1152" s="113"/>
      <c r="M1152" s="128"/>
      <c r="N1152" s="128"/>
      <c r="O1152" s="113"/>
      <c r="P1152" s="113"/>
      <c r="Q1152" s="132"/>
      <c r="R1152" s="115"/>
      <c r="S1152" s="115"/>
      <c r="T1152" s="115"/>
      <c r="U1152" s="116"/>
      <c r="V1152" s="117"/>
      <c r="W1152" s="118"/>
      <c r="X1152" s="119"/>
      <c r="Y1152" s="113"/>
      <c r="Z1152" s="113"/>
    </row>
    <row r="1153">
      <c r="A1153" s="113"/>
      <c r="B1153" s="113"/>
      <c r="C1153" s="7"/>
      <c r="D1153" s="113"/>
      <c r="E1153" s="113"/>
      <c r="F1153" s="113"/>
      <c r="G1153" s="113"/>
      <c r="H1153" s="113"/>
      <c r="I1153" s="113"/>
      <c r="J1153" s="113"/>
      <c r="K1153" s="128"/>
      <c r="L1153" s="113"/>
      <c r="M1153" s="128"/>
      <c r="N1153" s="128"/>
      <c r="O1153" s="113"/>
      <c r="P1153" s="113"/>
      <c r="Q1153" s="132"/>
      <c r="R1153" s="115"/>
      <c r="S1153" s="115"/>
      <c r="T1153" s="115"/>
      <c r="U1153" s="116"/>
      <c r="V1153" s="117"/>
      <c r="W1153" s="118"/>
      <c r="X1153" s="119"/>
      <c r="Y1153" s="113"/>
      <c r="Z1153" s="113"/>
    </row>
    <row r="1154">
      <c r="A1154" s="113"/>
      <c r="B1154" s="113"/>
      <c r="C1154" s="7"/>
      <c r="D1154" s="113"/>
      <c r="E1154" s="113"/>
      <c r="F1154" s="113"/>
      <c r="G1154" s="113"/>
      <c r="H1154" s="113"/>
      <c r="I1154" s="113"/>
      <c r="J1154" s="113"/>
      <c r="K1154" s="128"/>
      <c r="L1154" s="113"/>
      <c r="M1154" s="128"/>
      <c r="N1154" s="128"/>
      <c r="O1154" s="113"/>
      <c r="P1154" s="113"/>
      <c r="Q1154" s="132"/>
      <c r="R1154" s="115"/>
      <c r="S1154" s="115"/>
      <c r="T1154" s="115"/>
      <c r="U1154" s="116"/>
      <c r="V1154" s="117"/>
      <c r="W1154" s="118"/>
      <c r="X1154" s="119"/>
      <c r="Y1154" s="113"/>
      <c r="Z1154" s="113"/>
    </row>
    <row r="1155">
      <c r="A1155" s="113"/>
      <c r="B1155" s="113"/>
      <c r="C1155" s="7"/>
      <c r="D1155" s="113"/>
      <c r="E1155" s="113"/>
      <c r="F1155" s="113"/>
      <c r="G1155" s="113"/>
      <c r="H1155" s="113"/>
      <c r="I1155" s="113"/>
      <c r="J1155" s="113"/>
      <c r="K1155" s="128"/>
      <c r="L1155" s="113"/>
      <c r="M1155" s="128"/>
      <c r="N1155" s="128"/>
      <c r="O1155" s="113"/>
      <c r="P1155" s="113"/>
      <c r="Q1155" s="132"/>
      <c r="R1155" s="115"/>
      <c r="S1155" s="115"/>
      <c r="T1155" s="115"/>
      <c r="U1155" s="116"/>
      <c r="V1155" s="117"/>
      <c r="W1155" s="118"/>
      <c r="X1155" s="119"/>
      <c r="Y1155" s="113"/>
      <c r="Z1155" s="113"/>
    </row>
    <row r="1156">
      <c r="A1156" s="113"/>
      <c r="B1156" s="113"/>
      <c r="C1156" s="7"/>
      <c r="D1156" s="113"/>
      <c r="E1156" s="113"/>
      <c r="F1156" s="113"/>
      <c r="G1156" s="113"/>
      <c r="H1156" s="113"/>
      <c r="I1156" s="113"/>
      <c r="J1156" s="113"/>
      <c r="K1156" s="128"/>
      <c r="L1156" s="113"/>
      <c r="M1156" s="128"/>
      <c r="N1156" s="128"/>
      <c r="O1156" s="113"/>
      <c r="P1156" s="113"/>
      <c r="Q1156" s="132"/>
      <c r="R1156" s="115"/>
      <c r="S1156" s="115"/>
      <c r="T1156" s="115"/>
      <c r="U1156" s="116"/>
      <c r="V1156" s="117"/>
      <c r="W1156" s="118"/>
      <c r="X1156" s="119"/>
      <c r="Y1156" s="113"/>
      <c r="Z1156" s="113"/>
    </row>
    <row r="1157">
      <c r="A1157" s="113"/>
      <c r="B1157" s="113"/>
      <c r="C1157" s="7"/>
      <c r="D1157" s="113"/>
      <c r="E1157" s="113"/>
      <c r="F1157" s="113"/>
      <c r="G1157" s="113"/>
      <c r="H1157" s="113"/>
      <c r="I1157" s="113"/>
      <c r="J1157" s="113"/>
      <c r="K1157" s="128"/>
      <c r="L1157" s="113"/>
      <c r="M1157" s="128"/>
      <c r="N1157" s="128"/>
      <c r="O1157" s="113"/>
      <c r="P1157" s="113"/>
      <c r="Q1157" s="132"/>
      <c r="R1157" s="115"/>
      <c r="S1157" s="115"/>
      <c r="T1157" s="115"/>
      <c r="U1157" s="116"/>
      <c r="V1157" s="117"/>
      <c r="W1157" s="118"/>
      <c r="X1157" s="119"/>
      <c r="Y1157" s="113"/>
      <c r="Z1157" s="113"/>
    </row>
    <row r="1158">
      <c r="A1158" s="113"/>
      <c r="B1158" s="113"/>
      <c r="C1158" s="7"/>
      <c r="D1158" s="113"/>
      <c r="E1158" s="113"/>
      <c r="F1158" s="113"/>
      <c r="G1158" s="113"/>
      <c r="H1158" s="113"/>
      <c r="I1158" s="113"/>
      <c r="J1158" s="113"/>
      <c r="K1158" s="128"/>
      <c r="L1158" s="113"/>
      <c r="M1158" s="128"/>
      <c r="N1158" s="128"/>
      <c r="O1158" s="113"/>
      <c r="P1158" s="113"/>
      <c r="Q1158" s="132"/>
      <c r="R1158" s="115"/>
      <c r="S1158" s="115"/>
      <c r="T1158" s="115"/>
      <c r="U1158" s="116"/>
      <c r="V1158" s="117"/>
      <c r="W1158" s="118"/>
      <c r="X1158" s="119"/>
      <c r="Y1158" s="113"/>
      <c r="Z1158" s="113"/>
    </row>
    <row r="1159">
      <c r="A1159" s="113"/>
      <c r="B1159" s="113"/>
      <c r="C1159" s="7"/>
      <c r="D1159" s="113"/>
      <c r="E1159" s="113"/>
      <c r="F1159" s="113"/>
      <c r="G1159" s="113"/>
      <c r="H1159" s="113"/>
      <c r="I1159" s="113"/>
      <c r="J1159" s="113"/>
      <c r="K1159" s="128"/>
      <c r="L1159" s="113"/>
      <c r="M1159" s="128"/>
      <c r="N1159" s="128"/>
      <c r="O1159" s="113"/>
      <c r="P1159" s="113"/>
      <c r="Q1159" s="132"/>
      <c r="R1159" s="115"/>
      <c r="S1159" s="115"/>
      <c r="T1159" s="115"/>
      <c r="U1159" s="116"/>
      <c r="V1159" s="117"/>
      <c r="W1159" s="118"/>
      <c r="X1159" s="119"/>
      <c r="Y1159" s="113"/>
      <c r="Z1159" s="113"/>
    </row>
    <row r="1160">
      <c r="A1160" s="113"/>
      <c r="B1160" s="113"/>
      <c r="C1160" s="7"/>
      <c r="D1160" s="113"/>
      <c r="E1160" s="113"/>
      <c r="F1160" s="113"/>
      <c r="G1160" s="113"/>
      <c r="H1160" s="113"/>
      <c r="I1160" s="113"/>
      <c r="J1160" s="113"/>
      <c r="K1160" s="128"/>
      <c r="L1160" s="113"/>
      <c r="M1160" s="128"/>
      <c r="N1160" s="128"/>
      <c r="O1160" s="113"/>
      <c r="P1160" s="113"/>
      <c r="Q1160" s="132"/>
      <c r="R1160" s="115"/>
      <c r="S1160" s="115"/>
      <c r="T1160" s="115"/>
      <c r="U1160" s="116"/>
      <c r="V1160" s="117"/>
      <c r="W1160" s="118"/>
      <c r="X1160" s="119"/>
      <c r="Y1160" s="113"/>
      <c r="Z1160" s="113"/>
    </row>
    <row r="1161">
      <c r="A1161" s="113"/>
      <c r="B1161" s="113"/>
      <c r="C1161" s="7"/>
      <c r="D1161" s="113"/>
      <c r="E1161" s="113"/>
      <c r="F1161" s="113"/>
      <c r="G1161" s="113"/>
      <c r="H1161" s="113"/>
      <c r="I1161" s="113"/>
      <c r="J1161" s="113"/>
      <c r="K1161" s="128"/>
      <c r="L1161" s="113"/>
      <c r="M1161" s="128"/>
      <c r="N1161" s="128"/>
      <c r="O1161" s="113"/>
      <c r="P1161" s="113"/>
      <c r="Q1161" s="132"/>
      <c r="R1161" s="115"/>
      <c r="S1161" s="115"/>
      <c r="T1161" s="115"/>
      <c r="U1161" s="116"/>
      <c r="V1161" s="117"/>
      <c r="W1161" s="118"/>
      <c r="X1161" s="119"/>
      <c r="Y1161" s="113"/>
      <c r="Z1161" s="113"/>
    </row>
    <row r="1162">
      <c r="A1162" s="113"/>
      <c r="B1162" s="113"/>
      <c r="C1162" s="7"/>
      <c r="D1162" s="113"/>
      <c r="E1162" s="113"/>
      <c r="F1162" s="113"/>
      <c r="G1162" s="113"/>
      <c r="H1162" s="113"/>
      <c r="I1162" s="113"/>
      <c r="J1162" s="113"/>
      <c r="K1162" s="128"/>
      <c r="L1162" s="113"/>
      <c r="M1162" s="128"/>
      <c r="N1162" s="128"/>
      <c r="O1162" s="113"/>
      <c r="P1162" s="113"/>
      <c r="Q1162" s="132"/>
      <c r="R1162" s="115"/>
      <c r="S1162" s="115"/>
      <c r="T1162" s="115"/>
      <c r="U1162" s="116"/>
      <c r="V1162" s="117"/>
      <c r="W1162" s="118"/>
      <c r="X1162" s="119"/>
      <c r="Y1162" s="113"/>
      <c r="Z1162" s="113"/>
    </row>
    <row r="1163">
      <c r="A1163" s="113"/>
      <c r="B1163" s="113"/>
      <c r="C1163" s="7"/>
      <c r="D1163" s="113"/>
      <c r="E1163" s="113"/>
      <c r="F1163" s="113"/>
      <c r="G1163" s="113"/>
      <c r="H1163" s="113"/>
      <c r="I1163" s="113"/>
      <c r="J1163" s="113"/>
      <c r="K1163" s="128"/>
      <c r="L1163" s="113"/>
      <c r="M1163" s="128"/>
      <c r="N1163" s="128"/>
      <c r="O1163" s="113"/>
      <c r="P1163" s="113"/>
      <c r="Q1163" s="132"/>
      <c r="R1163" s="115"/>
      <c r="S1163" s="115"/>
      <c r="T1163" s="115"/>
      <c r="U1163" s="116"/>
      <c r="V1163" s="117"/>
      <c r="W1163" s="118"/>
      <c r="X1163" s="119"/>
      <c r="Y1163" s="113"/>
      <c r="Z1163" s="113"/>
    </row>
    <row r="1164">
      <c r="A1164" s="113"/>
      <c r="B1164" s="113"/>
      <c r="C1164" s="7"/>
      <c r="D1164" s="113"/>
      <c r="E1164" s="113"/>
      <c r="F1164" s="113"/>
      <c r="G1164" s="113"/>
      <c r="H1164" s="113"/>
      <c r="I1164" s="113"/>
      <c r="J1164" s="113"/>
      <c r="K1164" s="128"/>
      <c r="L1164" s="113"/>
      <c r="M1164" s="128"/>
      <c r="N1164" s="128"/>
      <c r="O1164" s="113"/>
      <c r="P1164" s="113"/>
      <c r="Q1164" s="132"/>
      <c r="R1164" s="115"/>
      <c r="S1164" s="115"/>
      <c r="T1164" s="115"/>
      <c r="U1164" s="116"/>
      <c r="V1164" s="117"/>
      <c r="W1164" s="118"/>
      <c r="X1164" s="119"/>
      <c r="Y1164" s="113"/>
      <c r="Z1164" s="113"/>
    </row>
    <row r="1165">
      <c r="A1165" s="113"/>
      <c r="B1165" s="113"/>
      <c r="C1165" s="7"/>
      <c r="D1165" s="113"/>
      <c r="E1165" s="113"/>
      <c r="F1165" s="113"/>
      <c r="G1165" s="113"/>
      <c r="H1165" s="113"/>
      <c r="I1165" s="113"/>
      <c r="J1165" s="113"/>
      <c r="K1165" s="128"/>
      <c r="L1165" s="113"/>
      <c r="M1165" s="128"/>
      <c r="N1165" s="128"/>
      <c r="O1165" s="113"/>
      <c r="P1165" s="113"/>
      <c r="Q1165" s="132"/>
      <c r="R1165" s="115"/>
      <c r="S1165" s="115"/>
      <c r="T1165" s="115"/>
      <c r="U1165" s="116"/>
      <c r="V1165" s="117"/>
      <c r="W1165" s="118"/>
      <c r="X1165" s="119"/>
      <c r="Y1165" s="113"/>
      <c r="Z1165" s="113"/>
    </row>
    <row r="1166">
      <c r="A1166" s="113"/>
      <c r="B1166" s="113"/>
      <c r="C1166" s="7"/>
      <c r="D1166" s="113"/>
      <c r="E1166" s="113"/>
      <c r="F1166" s="113"/>
      <c r="G1166" s="113"/>
      <c r="H1166" s="113"/>
      <c r="I1166" s="113"/>
      <c r="J1166" s="113"/>
      <c r="K1166" s="128"/>
      <c r="L1166" s="113"/>
      <c r="M1166" s="128"/>
      <c r="N1166" s="128"/>
      <c r="O1166" s="113"/>
      <c r="P1166" s="113"/>
      <c r="Q1166" s="132"/>
      <c r="R1166" s="115"/>
      <c r="S1166" s="115"/>
      <c r="T1166" s="115"/>
      <c r="U1166" s="116"/>
      <c r="V1166" s="117"/>
      <c r="W1166" s="118"/>
      <c r="X1166" s="119"/>
      <c r="Y1166" s="113"/>
      <c r="Z1166" s="113"/>
    </row>
    <row r="1167">
      <c r="A1167" s="113"/>
      <c r="B1167" s="113"/>
      <c r="C1167" s="7"/>
      <c r="D1167" s="113"/>
      <c r="E1167" s="113"/>
      <c r="F1167" s="113"/>
      <c r="G1167" s="113"/>
      <c r="H1167" s="113"/>
      <c r="I1167" s="113"/>
      <c r="J1167" s="113"/>
      <c r="K1167" s="128"/>
      <c r="L1167" s="113"/>
      <c r="M1167" s="128"/>
      <c r="N1167" s="128"/>
      <c r="O1167" s="113"/>
      <c r="P1167" s="113"/>
      <c r="Q1167" s="132"/>
      <c r="R1167" s="115"/>
      <c r="S1167" s="115"/>
      <c r="T1167" s="115"/>
      <c r="U1167" s="116"/>
      <c r="V1167" s="117"/>
      <c r="W1167" s="118"/>
      <c r="X1167" s="119"/>
      <c r="Y1167" s="113"/>
      <c r="Z1167" s="113"/>
    </row>
    <row r="1168">
      <c r="A1168" s="113"/>
      <c r="B1168" s="113"/>
      <c r="C1168" s="7"/>
      <c r="D1168" s="113"/>
      <c r="E1168" s="113"/>
      <c r="F1168" s="113"/>
      <c r="G1168" s="113"/>
      <c r="H1168" s="113"/>
      <c r="I1168" s="113"/>
      <c r="J1168" s="113"/>
      <c r="K1168" s="128"/>
      <c r="L1168" s="113"/>
      <c r="M1168" s="128"/>
      <c r="N1168" s="128"/>
      <c r="O1168" s="113"/>
      <c r="P1168" s="113"/>
      <c r="Q1168" s="132"/>
      <c r="R1168" s="115"/>
      <c r="S1168" s="115"/>
      <c r="T1168" s="115"/>
      <c r="U1168" s="116"/>
      <c r="V1168" s="117"/>
      <c r="W1168" s="118"/>
      <c r="X1168" s="119"/>
      <c r="Y1168" s="113"/>
      <c r="Z1168" s="113"/>
    </row>
    <row r="1169">
      <c r="A1169" s="113"/>
      <c r="B1169" s="113"/>
      <c r="C1169" s="7"/>
      <c r="D1169" s="113"/>
      <c r="E1169" s="113"/>
      <c r="F1169" s="113"/>
      <c r="G1169" s="113"/>
      <c r="H1169" s="113"/>
      <c r="I1169" s="113"/>
      <c r="J1169" s="113"/>
      <c r="K1169" s="128"/>
      <c r="L1169" s="113"/>
      <c r="M1169" s="128"/>
      <c r="N1169" s="128"/>
      <c r="O1169" s="113"/>
      <c r="P1169" s="113"/>
      <c r="Q1169" s="132"/>
      <c r="R1169" s="115"/>
      <c r="S1169" s="115"/>
      <c r="T1169" s="115"/>
      <c r="U1169" s="116"/>
      <c r="V1169" s="117"/>
      <c r="W1169" s="118"/>
      <c r="X1169" s="119"/>
      <c r="Y1169" s="113"/>
      <c r="Z1169" s="113"/>
    </row>
    <row r="1170">
      <c r="A1170" s="113"/>
      <c r="B1170" s="113"/>
      <c r="C1170" s="7"/>
      <c r="D1170" s="113"/>
      <c r="E1170" s="113"/>
      <c r="F1170" s="113"/>
      <c r="G1170" s="113"/>
      <c r="H1170" s="113"/>
      <c r="I1170" s="113"/>
      <c r="J1170" s="113"/>
      <c r="K1170" s="128"/>
      <c r="L1170" s="113"/>
      <c r="M1170" s="128"/>
      <c r="N1170" s="128"/>
      <c r="O1170" s="113"/>
      <c r="P1170" s="113"/>
      <c r="Q1170" s="132"/>
      <c r="R1170" s="115"/>
      <c r="S1170" s="115"/>
      <c r="T1170" s="115"/>
      <c r="U1170" s="116"/>
      <c r="V1170" s="117"/>
      <c r="W1170" s="118"/>
      <c r="X1170" s="119"/>
      <c r="Y1170" s="113"/>
      <c r="Z1170" s="113"/>
    </row>
    <row r="1171">
      <c r="A1171" s="113"/>
      <c r="B1171" s="113"/>
      <c r="C1171" s="7"/>
      <c r="D1171" s="113"/>
      <c r="E1171" s="113"/>
      <c r="F1171" s="113"/>
      <c r="G1171" s="113"/>
      <c r="H1171" s="113"/>
      <c r="I1171" s="113"/>
      <c r="J1171" s="113"/>
      <c r="K1171" s="128"/>
      <c r="L1171" s="113"/>
      <c r="M1171" s="128"/>
      <c r="N1171" s="128"/>
      <c r="O1171" s="113"/>
      <c r="P1171" s="113"/>
      <c r="Q1171" s="132"/>
      <c r="R1171" s="115"/>
      <c r="S1171" s="115"/>
      <c r="T1171" s="115"/>
      <c r="U1171" s="116"/>
      <c r="V1171" s="117"/>
      <c r="W1171" s="118"/>
      <c r="X1171" s="119"/>
      <c r="Y1171" s="113"/>
      <c r="Z1171" s="113"/>
    </row>
    <row r="1172">
      <c r="A1172" s="113"/>
      <c r="B1172" s="113"/>
      <c r="C1172" s="7"/>
      <c r="D1172" s="113"/>
      <c r="E1172" s="113"/>
      <c r="F1172" s="113"/>
      <c r="G1172" s="113"/>
      <c r="H1172" s="113"/>
      <c r="I1172" s="113"/>
      <c r="J1172" s="113"/>
      <c r="K1172" s="128"/>
      <c r="L1172" s="113"/>
      <c r="M1172" s="128"/>
      <c r="N1172" s="128"/>
      <c r="O1172" s="113"/>
      <c r="P1172" s="113"/>
      <c r="Q1172" s="132"/>
      <c r="R1172" s="115"/>
      <c r="S1172" s="115"/>
      <c r="T1172" s="115"/>
      <c r="U1172" s="116"/>
      <c r="V1172" s="117"/>
      <c r="W1172" s="118"/>
      <c r="X1172" s="119"/>
      <c r="Y1172" s="113"/>
      <c r="Z1172" s="113"/>
    </row>
    <row r="1173">
      <c r="A1173" s="113"/>
      <c r="B1173" s="113"/>
      <c r="C1173" s="7"/>
      <c r="D1173" s="113"/>
      <c r="E1173" s="113"/>
      <c r="F1173" s="113"/>
      <c r="G1173" s="113"/>
      <c r="H1173" s="113"/>
      <c r="I1173" s="113"/>
      <c r="J1173" s="113"/>
      <c r="K1173" s="128"/>
      <c r="L1173" s="113"/>
      <c r="M1173" s="128"/>
      <c r="N1173" s="128"/>
      <c r="O1173" s="113"/>
      <c r="P1173" s="113"/>
      <c r="Q1173" s="132"/>
      <c r="R1173" s="115"/>
      <c r="S1173" s="115"/>
      <c r="T1173" s="115"/>
      <c r="U1173" s="116"/>
      <c r="V1173" s="117"/>
      <c r="W1173" s="118"/>
      <c r="X1173" s="119"/>
      <c r="Y1173" s="113"/>
      <c r="Z1173" s="113"/>
    </row>
    <row r="1174">
      <c r="A1174" s="113"/>
      <c r="B1174" s="113"/>
      <c r="C1174" s="7"/>
      <c r="D1174" s="113"/>
      <c r="E1174" s="113"/>
      <c r="F1174" s="113"/>
      <c r="G1174" s="113"/>
      <c r="H1174" s="113"/>
      <c r="I1174" s="113"/>
      <c r="J1174" s="113"/>
      <c r="K1174" s="128"/>
      <c r="L1174" s="113"/>
      <c r="M1174" s="128"/>
      <c r="N1174" s="128"/>
      <c r="O1174" s="113"/>
      <c r="P1174" s="113"/>
      <c r="Q1174" s="132"/>
      <c r="R1174" s="115"/>
      <c r="S1174" s="115"/>
      <c r="T1174" s="115"/>
      <c r="U1174" s="116"/>
      <c r="V1174" s="117"/>
      <c r="W1174" s="118"/>
      <c r="X1174" s="119"/>
      <c r="Y1174" s="113"/>
      <c r="Z1174" s="113"/>
    </row>
    <row r="1175">
      <c r="A1175" s="113"/>
      <c r="B1175" s="113"/>
      <c r="C1175" s="7"/>
      <c r="D1175" s="113"/>
      <c r="E1175" s="113"/>
      <c r="F1175" s="113"/>
      <c r="G1175" s="113"/>
      <c r="H1175" s="113"/>
      <c r="I1175" s="113"/>
      <c r="J1175" s="113"/>
      <c r="K1175" s="128"/>
      <c r="L1175" s="113"/>
      <c r="M1175" s="128"/>
      <c r="N1175" s="128"/>
      <c r="O1175" s="113"/>
      <c r="P1175" s="113"/>
      <c r="Q1175" s="132"/>
      <c r="R1175" s="115"/>
      <c r="S1175" s="115"/>
      <c r="T1175" s="115"/>
      <c r="U1175" s="116"/>
      <c r="V1175" s="117"/>
      <c r="W1175" s="118"/>
      <c r="X1175" s="119"/>
      <c r="Y1175" s="113"/>
      <c r="Z1175" s="113"/>
    </row>
    <row r="1176">
      <c r="A1176" s="113"/>
      <c r="B1176" s="113"/>
      <c r="C1176" s="7"/>
      <c r="D1176" s="113"/>
      <c r="E1176" s="113"/>
      <c r="F1176" s="113"/>
      <c r="G1176" s="113"/>
      <c r="H1176" s="113"/>
      <c r="I1176" s="113"/>
      <c r="J1176" s="113"/>
      <c r="K1176" s="128"/>
      <c r="L1176" s="113"/>
      <c r="M1176" s="128"/>
      <c r="N1176" s="128"/>
      <c r="O1176" s="113"/>
      <c r="P1176" s="113"/>
      <c r="Q1176" s="132"/>
      <c r="R1176" s="115"/>
      <c r="S1176" s="115"/>
      <c r="T1176" s="115"/>
      <c r="U1176" s="116"/>
      <c r="V1176" s="117"/>
      <c r="W1176" s="118"/>
      <c r="X1176" s="119"/>
      <c r="Y1176" s="113"/>
      <c r="Z1176" s="113"/>
    </row>
    <row r="1177">
      <c r="A1177" s="113"/>
      <c r="B1177" s="113"/>
      <c r="C1177" s="7"/>
      <c r="D1177" s="113"/>
      <c r="E1177" s="113"/>
      <c r="F1177" s="113"/>
      <c r="G1177" s="113"/>
      <c r="H1177" s="113"/>
      <c r="I1177" s="113"/>
      <c r="J1177" s="113"/>
      <c r="K1177" s="128"/>
      <c r="L1177" s="113"/>
      <c r="M1177" s="128"/>
      <c r="N1177" s="128"/>
      <c r="O1177" s="113"/>
      <c r="P1177" s="113"/>
      <c r="Q1177" s="132"/>
      <c r="R1177" s="115"/>
      <c r="S1177" s="115"/>
      <c r="T1177" s="115"/>
      <c r="U1177" s="116"/>
      <c r="V1177" s="117"/>
      <c r="W1177" s="118"/>
      <c r="X1177" s="119"/>
      <c r="Y1177" s="113"/>
      <c r="Z1177" s="113"/>
    </row>
    <row r="1178">
      <c r="A1178" s="113"/>
      <c r="B1178" s="113"/>
      <c r="C1178" s="7"/>
      <c r="D1178" s="113"/>
      <c r="E1178" s="113"/>
      <c r="F1178" s="113"/>
      <c r="G1178" s="113"/>
      <c r="H1178" s="113"/>
      <c r="I1178" s="113"/>
      <c r="J1178" s="113"/>
      <c r="K1178" s="128"/>
      <c r="L1178" s="113"/>
      <c r="M1178" s="128"/>
      <c r="N1178" s="128"/>
      <c r="O1178" s="113"/>
      <c r="P1178" s="113"/>
      <c r="Q1178" s="132"/>
      <c r="R1178" s="115"/>
      <c r="S1178" s="115"/>
      <c r="T1178" s="115"/>
      <c r="U1178" s="116"/>
      <c r="V1178" s="117"/>
      <c r="W1178" s="118"/>
      <c r="X1178" s="119"/>
      <c r="Y1178" s="113"/>
      <c r="Z1178" s="113"/>
    </row>
    <row r="1179">
      <c r="A1179" s="113"/>
      <c r="B1179" s="113"/>
      <c r="C1179" s="113"/>
      <c r="D1179" s="113"/>
      <c r="E1179" s="113"/>
      <c r="F1179" s="113"/>
      <c r="G1179" s="113"/>
      <c r="H1179" s="113"/>
      <c r="I1179" s="113"/>
      <c r="J1179" s="113"/>
      <c r="K1179" s="113"/>
      <c r="L1179" s="113"/>
      <c r="M1179" s="113"/>
      <c r="N1179" s="113"/>
      <c r="O1179" s="113"/>
      <c r="P1179" s="113"/>
      <c r="Q1179" s="132"/>
      <c r="R1179" s="115"/>
      <c r="S1179" s="115"/>
      <c r="T1179" s="115"/>
      <c r="U1179" s="116"/>
      <c r="V1179" s="117"/>
      <c r="W1179" s="118"/>
      <c r="X1179" s="119"/>
      <c r="Y1179" s="113"/>
      <c r="Z1179" s="113"/>
    </row>
    <row r="1180">
      <c r="A1180" s="113"/>
      <c r="B1180" s="113"/>
      <c r="C1180" s="113"/>
      <c r="D1180" s="113"/>
      <c r="E1180" s="113"/>
      <c r="F1180" s="113"/>
      <c r="G1180" s="113"/>
      <c r="H1180" s="113"/>
      <c r="I1180" s="113"/>
      <c r="J1180" s="113"/>
      <c r="K1180" s="113"/>
      <c r="L1180" s="113"/>
      <c r="M1180" s="113"/>
      <c r="N1180" s="113"/>
      <c r="O1180" s="113"/>
      <c r="P1180" s="113"/>
      <c r="Q1180" s="132"/>
      <c r="R1180" s="115"/>
      <c r="S1180" s="115"/>
      <c r="T1180" s="115"/>
      <c r="U1180" s="116"/>
      <c r="V1180" s="117"/>
      <c r="W1180" s="118"/>
      <c r="X1180" s="119"/>
      <c r="Y1180" s="113"/>
      <c r="Z1180" s="113"/>
    </row>
    <row r="1181">
      <c r="A1181" s="113"/>
      <c r="B1181" s="113"/>
      <c r="C1181" s="113"/>
      <c r="D1181" s="113"/>
      <c r="E1181" s="113"/>
      <c r="F1181" s="113"/>
      <c r="G1181" s="113"/>
      <c r="H1181" s="113"/>
      <c r="I1181" s="113"/>
      <c r="J1181" s="113"/>
      <c r="K1181" s="113"/>
      <c r="L1181" s="113"/>
      <c r="M1181" s="113"/>
      <c r="N1181" s="113"/>
      <c r="O1181" s="113"/>
      <c r="P1181" s="113"/>
      <c r="Q1181" s="132"/>
      <c r="R1181" s="115"/>
      <c r="S1181" s="115"/>
      <c r="T1181" s="115"/>
      <c r="U1181" s="116"/>
      <c r="V1181" s="117"/>
      <c r="W1181" s="118"/>
      <c r="X1181" s="119"/>
      <c r="Y1181" s="113"/>
      <c r="Z1181" s="113"/>
    </row>
    <row r="1182">
      <c r="A1182" s="113"/>
      <c r="B1182" s="113"/>
      <c r="C1182" s="113"/>
      <c r="D1182" s="113"/>
      <c r="E1182" s="113"/>
      <c r="F1182" s="113"/>
      <c r="G1182" s="113"/>
      <c r="H1182" s="113"/>
      <c r="I1182" s="113"/>
      <c r="J1182" s="113"/>
      <c r="K1182" s="113"/>
      <c r="L1182" s="113"/>
      <c r="M1182" s="113"/>
      <c r="N1182" s="113"/>
      <c r="O1182" s="113"/>
      <c r="P1182" s="113"/>
      <c r="Q1182" s="132"/>
      <c r="R1182" s="115"/>
      <c r="S1182" s="115"/>
      <c r="T1182" s="115"/>
      <c r="U1182" s="116"/>
      <c r="V1182" s="117"/>
      <c r="W1182" s="118"/>
      <c r="X1182" s="119"/>
      <c r="Y1182" s="113"/>
      <c r="Z1182" s="113"/>
    </row>
    <row r="1183">
      <c r="A1183" s="113"/>
      <c r="B1183" s="113"/>
      <c r="C1183" s="113"/>
      <c r="D1183" s="113"/>
      <c r="E1183" s="113"/>
      <c r="F1183" s="113"/>
      <c r="G1183" s="113"/>
      <c r="H1183" s="113"/>
      <c r="I1183" s="113"/>
      <c r="J1183" s="113"/>
      <c r="K1183" s="113"/>
      <c r="L1183" s="113"/>
      <c r="M1183" s="113"/>
      <c r="N1183" s="113"/>
      <c r="O1183" s="113"/>
      <c r="P1183" s="113"/>
      <c r="Q1183" s="132"/>
      <c r="R1183" s="115"/>
      <c r="S1183" s="115"/>
      <c r="T1183" s="115"/>
      <c r="U1183" s="116"/>
      <c r="V1183" s="117"/>
      <c r="W1183" s="118"/>
      <c r="X1183" s="119"/>
      <c r="Y1183" s="113"/>
      <c r="Z1183" s="113"/>
    </row>
    <row r="1184">
      <c r="A1184" s="113"/>
      <c r="B1184" s="113"/>
      <c r="C1184" s="113"/>
      <c r="D1184" s="113"/>
      <c r="E1184" s="113"/>
      <c r="F1184" s="113"/>
      <c r="G1184" s="113"/>
      <c r="H1184" s="113"/>
      <c r="I1184" s="113"/>
      <c r="J1184" s="113"/>
      <c r="K1184" s="113"/>
      <c r="L1184" s="113"/>
      <c r="M1184" s="113"/>
      <c r="N1184" s="113"/>
      <c r="O1184" s="113"/>
      <c r="P1184" s="113"/>
      <c r="Q1184" s="132"/>
      <c r="R1184" s="115"/>
      <c r="S1184" s="115"/>
      <c r="T1184" s="115"/>
      <c r="U1184" s="116"/>
      <c r="V1184" s="117"/>
      <c r="W1184" s="118"/>
      <c r="X1184" s="119"/>
      <c r="Y1184" s="113"/>
      <c r="Z1184" s="113"/>
    </row>
    <row r="1185">
      <c r="A1185" s="113"/>
      <c r="B1185" s="113"/>
      <c r="C1185" s="113"/>
      <c r="D1185" s="113"/>
      <c r="E1185" s="113"/>
      <c r="F1185" s="113"/>
      <c r="G1185" s="113"/>
      <c r="H1185" s="113"/>
      <c r="I1185" s="113"/>
      <c r="J1185" s="113"/>
      <c r="K1185" s="113"/>
      <c r="L1185" s="113"/>
      <c r="M1185" s="113"/>
      <c r="N1185" s="113"/>
      <c r="O1185" s="113"/>
      <c r="P1185" s="113"/>
      <c r="Q1185" s="132"/>
      <c r="R1185" s="115"/>
      <c r="S1185" s="115"/>
      <c r="T1185" s="115"/>
      <c r="U1185" s="116"/>
      <c r="V1185" s="117"/>
      <c r="W1185" s="118"/>
      <c r="X1185" s="119"/>
      <c r="Y1185" s="113"/>
      <c r="Z1185" s="113"/>
    </row>
    <row r="1186">
      <c r="A1186" s="113"/>
      <c r="B1186" s="113"/>
      <c r="C1186" s="113"/>
      <c r="D1186" s="113"/>
      <c r="E1186" s="113"/>
      <c r="F1186" s="113"/>
      <c r="G1186" s="113"/>
      <c r="H1186" s="113"/>
      <c r="I1186" s="113"/>
      <c r="J1186" s="113"/>
      <c r="K1186" s="113"/>
      <c r="L1186" s="113"/>
      <c r="M1186" s="113"/>
      <c r="N1186" s="113"/>
      <c r="O1186" s="113"/>
      <c r="P1186" s="113"/>
      <c r="Q1186" s="132"/>
      <c r="R1186" s="115"/>
      <c r="S1186" s="115"/>
      <c r="T1186" s="115"/>
      <c r="U1186" s="116"/>
      <c r="V1186" s="117"/>
      <c r="W1186" s="118"/>
      <c r="X1186" s="119"/>
      <c r="Y1186" s="113"/>
      <c r="Z1186" s="113"/>
    </row>
    <row r="1187">
      <c r="A1187" s="113"/>
      <c r="B1187" s="113"/>
      <c r="C1187" s="113"/>
      <c r="D1187" s="113"/>
      <c r="E1187" s="113"/>
      <c r="F1187" s="113"/>
      <c r="G1187" s="113"/>
      <c r="H1187" s="113"/>
      <c r="I1187" s="113"/>
      <c r="J1187" s="113"/>
      <c r="K1187" s="113"/>
      <c r="L1187" s="113"/>
      <c r="M1187" s="113"/>
      <c r="N1187" s="113"/>
      <c r="O1187" s="113"/>
      <c r="P1187" s="113"/>
      <c r="Q1187" s="132"/>
      <c r="R1187" s="115"/>
      <c r="S1187" s="115"/>
      <c r="T1187" s="115"/>
      <c r="U1187" s="116"/>
      <c r="V1187" s="117"/>
      <c r="W1187" s="118"/>
      <c r="X1187" s="119"/>
      <c r="Y1187" s="113"/>
      <c r="Z1187" s="113"/>
    </row>
    <row r="1188">
      <c r="A1188" s="113"/>
      <c r="B1188" s="113"/>
      <c r="C1188" s="113"/>
      <c r="D1188" s="113"/>
      <c r="E1188" s="113"/>
      <c r="F1188" s="113"/>
      <c r="G1188" s="113"/>
      <c r="H1188" s="113"/>
      <c r="I1188" s="113"/>
      <c r="J1188" s="113"/>
      <c r="K1188" s="113"/>
      <c r="L1188" s="113"/>
      <c r="M1188" s="113"/>
      <c r="N1188" s="113"/>
      <c r="O1188" s="113"/>
      <c r="P1188" s="113"/>
      <c r="Q1188" s="132"/>
      <c r="R1188" s="115"/>
      <c r="S1188" s="115"/>
      <c r="T1188" s="115"/>
      <c r="U1188" s="116"/>
      <c r="V1188" s="117"/>
      <c r="W1188" s="118"/>
      <c r="X1188" s="119"/>
      <c r="Y1188" s="113"/>
      <c r="Z1188" s="113"/>
    </row>
    <row r="1189">
      <c r="A1189" s="113"/>
      <c r="B1189" s="113"/>
      <c r="C1189" s="113"/>
      <c r="D1189" s="113"/>
      <c r="E1189" s="113"/>
      <c r="F1189" s="113"/>
      <c r="G1189" s="113"/>
      <c r="H1189" s="113"/>
      <c r="I1189" s="113"/>
      <c r="J1189" s="113"/>
      <c r="K1189" s="113"/>
      <c r="L1189" s="113"/>
      <c r="M1189" s="113"/>
      <c r="N1189" s="113"/>
      <c r="O1189" s="113"/>
      <c r="P1189" s="113"/>
      <c r="Q1189" s="132"/>
      <c r="R1189" s="115"/>
      <c r="S1189" s="115"/>
      <c r="T1189" s="115"/>
      <c r="U1189" s="116"/>
      <c r="V1189" s="117"/>
      <c r="W1189" s="118"/>
      <c r="X1189" s="119"/>
      <c r="Y1189" s="113"/>
      <c r="Z1189" s="113"/>
    </row>
    <row r="1190">
      <c r="A1190" s="113"/>
      <c r="B1190" s="113"/>
      <c r="C1190" s="113"/>
      <c r="D1190" s="113"/>
      <c r="E1190" s="113"/>
      <c r="F1190" s="113"/>
      <c r="G1190" s="113"/>
      <c r="H1190" s="113"/>
      <c r="I1190" s="113"/>
      <c r="J1190" s="113"/>
      <c r="K1190" s="113"/>
      <c r="L1190" s="113"/>
      <c r="M1190" s="113"/>
      <c r="N1190" s="113"/>
      <c r="O1190" s="113"/>
      <c r="P1190" s="113"/>
      <c r="Q1190" s="132"/>
      <c r="R1190" s="115"/>
      <c r="S1190" s="115"/>
      <c r="T1190" s="115"/>
      <c r="U1190" s="116"/>
      <c r="V1190" s="117"/>
      <c r="W1190" s="118"/>
      <c r="X1190" s="119"/>
      <c r="Y1190" s="113"/>
      <c r="Z1190" s="113"/>
    </row>
    <row r="1191">
      <c r="A1191" s="113"/>
      <c r="B1191" s="113"/>
      <c r="C1191" s="113"/>
      <c r="D1191" s="113"/>
      <c r="E1191" s="113"/>
      <c r="F1191" s="113"/>
      <c r="G1191" s="113"/>
      <c r="H1191" s="113"/>
      <c r="I1191" s="113"/>
      <c r="J1191" s="113"/>
      <c r="K1191" s="113"/>
      <c r="L1191" s="113"/>
      <c r="M1191" s="113"/>
      <c r="N1191" s="113"/>
      <c r="O1191" s="113"/>
      <c r="P1191" s="113"/>
      <c r="Q1191" s="132"/>
      <c r="R1191" s="115"/>
      <c r="S1191" s="115"/>
      <c r="T1191" s="115"/>
      <c r="U1191" s="116"/>
      <c r="V1191" s="117"/>
      <c r="W1191" s="118"/>
      <c r="X1191" s="119"/>
      <c r="Y1191" s="113"/>
      <c r="Z1191" s="113"/>
    </row>
    <row r="1192">
      <c r="A1192" s="113"/>
      <c r="B1192" s="113"/>
      <c r="C1192" s="113"/>
      <c r="D1192" s="113"/>
      <c r="E1192" s="113"/>
      <c r="F1192" s="113"/>
      <c r="G1192" s="113"/>
      <c r="H1192" s="113"/>
      <c r="I1192" s="113"/>
      <c r="J1192" s="113"/>
      <c r="K1192" s="113"/>
      <c r="L1192" s="113"/>
      <c r="M1192" s="113"/>
      <c r="N1192" s="113"/>
      <c r="O1192" s="113"/>
      <c r="P1192" s="113"/>
      <c r="Q1192" s="132"/>
      <c r="R1192" s="115"/>
      <c r="S1192" s="115"/>
      <c r="T1192" s="115"/>
      <c r="U1192" s="116"/>
      <c r="V1192" s="117"/>
      <c r="W1192" s="118"/>
      <c r="X1192" s="119"/>
      <c r="Y1192" s="113"/>
      <c r="Z1192" s="113"/>
    </row>
    <row r="1193">
      <c r="A1193" s="113"/>
      <c r="B1193" s="113"/>
      <c r="C1193" s="113"/>
      <c r="D1193" s="113"/>
      <c r="E1193" s="113"/>
      <c r="F1193" s="113"/>
      <c r="G1193" s="113"/>
      <c r="H1193" s="113"/>
      <c r="I1193" s="113"/>
      <c r="J1193" s="113"/>
      <c r="K1193" s="113"/>
      <c r="L1193" s="113"/>
      <c r="M1193" s="113"/>
      <c r="N1193" s="113"/>
      <c r="O1193" s="113"/>
      <c r="P1193" s="113"/>
      <c r="Q1193" s="132"/>
      <c r="R1193" s="115"/>
      <c r="S1193" s="115"/>
      <c r="T1193" s="115"/>
      <c r="U1193" s="116"/>
      <c r="V1193" s="117"/>
      <c r="W1193" s="118"/>
      <c r="X1193" s="119"/>
      <c r="Y1193" s="113"/>
      <c r="Z1193" s="113"/>
    </row>
    <row r="1194">
      <c r="A1194" s="113"/>
      <c r="B1194" s="113"/>
      <c r="C1194" s="113"/>
      <c r="D1194" s="113"/>
      <c r="E1194" s="113"/>
      <c r="F1194" s="113"/>
      <c r="G1194" s="113"/>
      <c r="H1194" s="113"/>
      <c r="I1194" s="113"/>
      <c r="J1194" s="113"/>
      <c r="K1194" s="113"/>
      <c r="L1194" s="113"/>
      <c r="M1194" s="113"/>
      <c r="N1194" s="113"/>
      <c r="O1194" s="113"/>
      <c r="P1194" s="113"/>
      <c r="Q1194" s="132"/>
      <c r="R1194" s="115"/>
      <c r="S1194" s="115"/>
      <c r="T1194" s="115"/>
      <c r="U1194" s="116"/>
      <c r="V1194" s="117"/>
      <c r="W1194" s="118"/>
      <c r="X1194" s="119"/>
      <c r="Y1194" s="113"/>
      <c r="Z1194" s="113"/>
    </row>
    <row r="1195">
      <c r="A1195" s="113"/>
      <c r="B1195" s="113"/>
      <c r="C1195" s="113"/>
      <c r="D1195" s="113"/>
      <c r="E1195" s="113"/>
      <c r="F1195" s="113"/>
      <c r="G1195" s="113"/>
      <c r="H1195" s="113"/>
      <c r="I1195" s="113"/>
      <c r="J1195" s="113"/>
      <c r="K1195" s="113"/>
      <c r="L1195" s="113"/>
      <c r="M1195" s="113"/>
      <c r="N1195" s="113"/>
      <c r="O1195" s="113"/>
      <c r="P1195" s="113"/>
      <c r="Q1195" s="132"/>
      <c r="R1195" s="115"/>
      <c r="S1195" s="115"/>
      <c r="T1195" s="115"/>
      <c r="U1195" s="116"/>
      <c r="V1195" s="117"/>
      <c r="W1195" s="118"/>
      <c r="X1195" s="119"/>
      <c r="Y1195" s="113"/>
      <c r="Z1195" s="113"/>
    </row>
    <row r="1196">
      <c r="A1196" s="113"/>
      <c r="B1196" s="113"/>
      <c r="C1196" s="113"/>
      <c r="D1196" s="113"/>
      <c r="E1196" s="113"/>
      <c r="F1196" s="113"/>
      <c r="G1196" s="113"/>
      <c r="H1196" s="113"/>
      <c r="I1196" s="113"/>
      <c r="J1196" s="113"/>
      <c r="K1196" s="113"/>
      <c r="L1196" s="113"/>
      <c r="M1196" s="113"/>
      <c r="N1196" s="113"/>
      <c r="O1196" s="113"/>
      <c r="P1196" s="113"/>
      <c r="Q1196" s="132"/>
      <c r="R1196" s="115"/>
      <c r="S1196" s="115"/>
      <c r="T1196" s="115"/>
      <c r="U1196" s="116"/>
      <c r="V1196" s="117"/>
      <c r="W1196" s="118"/>
      <c r="X1196" s="119"/>
      <c r="Y1196" s="113"/>
      <c r="Z1196" s="113"/>
    </row>
    <row r="1197">
      <c r="A1197" s="113"/>
      <c r="B1197" s="113"/>
      <c r="C1197" s="113"/>
      <c r="D1197" s="113"/>
      <c r="E1197" s="113"/>
      <c r="F1197" s="113"/>
      <c r="G1197" s="113"/>
      <c r="H1197" s="113"/>
      <c r="I1197" s="113"/>
      <c r="J1197" s="113"/>
      <c r="K1197" s="113"/>
      <c r="L1197" s="113"/>
      <c r="M1197" s="113"/>
      <c r="N1197" s="113"/>
      <c r="O1197" s="113"/>
      <c r="P1197" s="113"/>
      <c r="Q1197" s="132"/>
      <c r="R1197" s="115"/>
      <c r="S1197" s="115"/>
      <c r="T1197" s="115"/>
      <c r="U1197" s="116"/>
      <c r="V1197" s="117"/>
      <c r="W1197" s="118"/>
      <c r="X1197" s="119"/>
      <c r="Y1197" s="113"/>
      <c r="Z1197" s="113"/>
    </row>
    <row r="1198">
      <c r="A1198" s="113"/>
      <c r="B1198" s="113"/>
      <c r="C1198" s="113"/>
      <c r="D1198" s="113"/>
      <c r="E1198" s="113"/>
      <c r="F1198" s="113"/>
      <c r="G1198" s="113"/>
      <c r="H1198" s="113"/>
      <c r="I1198" s="113"/>
      <c r="J1198" s="113"/>
      <c r="K1198" s="113"/>
      <c r="L1198" s="113"/>
      <c r="M1198" s="113"/>
      <c r="N1198" s="113"/>
      <c r="O1198" s="113"/>
      <c r="P1198" s="113"/>
      <c r="Q1198" s="132"/>
      <c r="R1198" s="115"/>
      <c r="S1198" s="115"/>
      <c r="T1198" s="115"/>
      <c r="U1198" s="116"/>
      <c r="V1198" s="117"/>
      <c r="W1198" s="118"/>
      <c r="X1198" s="119"/>
      <c r="Y1198" s="113"/>
      <c r="Z1198" s="113"/>
    </row>
    <row r="1199">
      <c r="A1199" s="113"/>
      <c r="B1199" s="113"/>
      <c r="C1199" s="113"/>
      <c r="D1199" s="113"/>
      <c r="E1199" s="113"/>
      <c r="F1199" s="113"/>
      <c r="G1199" s="113"/>
      <c r="H1199" s="113"/>
      <c r="I1199" s="113"/>
      <c r="J1199" s="113"/>
      <c r="K1199" s="113"/>
      <c r="L1199" s="113"/>
      <c r="M1199" s="113"/>
      <c r="N1199" s="113"/>
      <c r="O1199" s="113"/>
      <c r="P1199" s="113"/>
      <c r="Q1199" s="132"/>
      <c r="R1199" s="115"/>
      <c r="S1199" s="115"/>
      <c r="T1199" s="115"/>
      <c r="U1199" s="116"/>
      <c r="V1199" s="117"/>
      <c r="W1199" s="118"/>
      <c r="X1199" s="119"/>
      <c r="Y1199" s="113"/>
      <c r="Z1199" s="113"/>
    </row>
    <row r="1200">
      <c r="A1200" s="113"/>
      <c r="B1200" s="113"/>
      <c r="C1200" s="113"/>
      <c r="D1200" s="113"/>
      <c r="E1200" s="113"/>
      <c r="F1200" s="113"/>
      <c r="G1200" s="113"/>
      <c r="H1200" s="113"/>
      <c r="I1200" s="113"/>
      <c r="J1200" s="113"/>
      <c r="K1200" s="113"/>
      <c r="L1200" s="113"/>
      <c r="M1200" s="113"/>
      <c r="N1200" s="113"/>
      <c r="O1200" s="113"/>
      <c r="P1200" s="113"/>
      <c r="Q1200" s="132"/>
      <c r="R1200" s="115"/>
      <c r="S1200" s="115"/>
      <c r="T1200" s="115"/>
      <c r="U1200" s="116"/>
      <c r="V1200" s="117"/>
      <c r="W1200" s="118"/>
      <c r="X1200" s="119"/>
      <c r="Y1200" s="113"/>
      <c r="Z1200" s="113"/>
    </row>
    <row r="1201">
      <c r="A1201" s="113"/>
      <c r="B1201" s="113"/>
      <c r="C1201" s="113"/>
      <c r="D1201" s="113"/>
      <c r="E1201" s="113"/>
      <c r="F1201" s="113"/>
      <c r="G1201" s="113"/>
      <c r="H1201" s="113"/>
      <c r="I1201" s="113"/>
      <c r="J1201" s="113"/>
      <c r="K1201" s="113"/>
      <c r="L1201" s="113"/>
      <c r="M1201" s="113"/>
      <c r="N1201" s="113"/>
      <c r="O1201" s="113"/>
      <c r="P1201" s="113"/>
      <c r="Q1201" s="132"/>
      <c r="R1201" s="115"/>
      <c r="S1201" s="115"/>
      <c r="T1201" s="115"/>
      <c r="U1201" s="116"/>
      <c r="V1201" s="117"/>
      <c r="W1201" s="118"/>
      <c r="X1201" s="119"/>
      <c r="Y1201" s="113"/>
      <c r="Z1201" s="113"/>
    </row>
    <row r="1202">
      <c r="A1202" s="113"/>
      <c r="B1202" s="113"/>
      <c r="C1202" s="113"/>
      <c r="D1202" s="113"/>
      <c r="E1202" s="113"/>
      <c r="F1202" s="113"/>
      <c r="G1202" s="113"/>
      <c r="H1202" s="113"/>
      <c r="I1202" s="113"/>
      <c r="J1202" s="113"/>
      <c r="K1202" s="113"/>
      <c r="L1202" s="113"/>
      <c r="M1202" s="113"/>
      <c r="N1202" s="113"/>
      <c r="O1202" s="113"/>
      <c r="P1202" s="113"/>
      <c r="Q1202" s="132"/>
      <c r="R1202" s="115"/>
      <c r="S1202" s="115"/>
      <c r="T1202" s="115"/>
      <c r="U1202" s="116"/>
      <c r="V1202" s="117"/>
      <c r="W1202" s="118"/>
      <c r="X1202" s="119"/>
      <c r="Y1202" s="113"/>
      <c r="Z1202" s="113"/>
    </row>
    <row r="1203">
      <c r="A1203" s="113"/>
      <c r="B1203" s="113"/>
      <c r="C1203" s="113"/>
      <c r="D1203" s="113"/>
      <c r="E1203" s="113"/>
      <c r="F1203" s="113"/>
      <c r="G1203" s="113"/>
      <c r="H1203" s="113"/>
      <c r="I1203" s="113"/>
      <c r="J1203" s="113"/>
      <c r="K1203" s="113"/>
      <c r="L1203" s="113"/>
      <c r="M1203" s="113"/>
      <c r="N1203" s="113"/>
      <c r="O1203" s="113"/>
      <c r="P1203" s="113"/>
      <c r="Q1203" s="132"/>
      <c r="R1203" s="115"/>
      <c r="S1203" s="115"/>
      <c r="T1203" s="115"/>
      <c r="U1203" s="116"/>
      <c r="V1203" s="117"/>
      <c r="W1203" s="118"/>
      <c r="X1203" s="119"/>
      <c r="Y1203" s="113"/>
      <c r="Z1203" s="113"/>
    </row>
    <row r="1204">
      <c r="A1204" s="113"/>
      <c r="B1204" s="113"/>
      <c r="C1204" s="113"/>
      <c r="D1204" s="113"/>
      <c r="E1204" s="113"/>
      <c r="F1204" s="113"/>
      <c r="G1204" s="113"/>
      <c r="H1204" s="113"/>
      <c r="I1204" s="113"/>
      <c r="J1204" s="113"/>
      <c r="K1204" s="113"/>
      <c r="L1204" s="113"/>
      <c r="M1204" s="113"/>
      <c r="N1204" s="113"/>
      <c r="O1204" s="113"/>
      <c r="P1204" s="113"/>
      <c r="Q1204" s="132"/>
      <c r="R1204" s="115"/>
      <c r="S1204" s="115"/>
      <c r="T1204" s="115"/>
      <c r="U1204" s="116"/>
      <c r="V1204" s="117"/>
      <c r="W1204" s="118"/>
      <c r="X1204" s="119"/>
      <c r="Y1204" s="113"/>
      <c r="Z1204" s="113"/>
    </row>
    <row r="1205">
      <c r="A1205" s="113"/>
      <c r="B1205" s="113"/>
      <c r="C1205" s="113"/>
      <c r="D1205" s="113"/>
      <c r="E1205" s="113"/>
      <c r="F1205" s="113"/>
      <c r="G1205" s="113"/>
      <c r="H1205" s="113"/>
      <c r="I1205" s="113"/>
      <c r="J1205" s="113"/>
      <c r="K1205" s="113"/>
      <c r="L1205" s="113"/>
      <c r="M1205" s="113"/>
      <c r="N1205" s="113"/>
      <c r="O1205" s="113"/>
      <c r="P1205" s="113"/>
      <c r="Q1205" s="132"/>
      <c r="R1205" s="115"/>
      <c r="S1205" s="115"/>
      <c r="T1205" s="115"/>
      <c r="U1205" s="116"/>
      <c r="V1205" s="117"/>
      <c r="W1205" s="118"/>
      <c r="X1205" s="119"/>
      <c r="Y1205" s="113"/>
      <c r="Z1205" s="113"/>
    </row>
    <row r="1206">
      <c r="A1206" s="113"/>
      <c r="B1206" s="113"/>
      <c r="C1206" s="113"/>
      <c r="D1206" s="113"/>
      <c r="E1206" s="113"/>
      <c r="F1206" s="113"/>
      <c r="G1206" s="113"/>
      <c r="H1206" s="113"/>
      <c r="I1206" s="113"/>
      <c r="J1206" s="113"/>
      <c r="K1206" s="113"/>
      <c r="L1206" s="113"/>
      <c r="M1206" s="113"/>
      <c r="N1206" s="113"/>
      <c r="O1206" s="113"/>
      <c r="P1206" s="113"/>
      <c r="Q1206" s="132"/>
      <c r="R1206" s="115"/>
      <c r="S1206" s="115"/>
      <c r="T1206" s="115"/>
      <c r="U1206" s="116"/>
      <c r="V1206" s="117"/>
      <c r="W1206" s="118"/>
      <c r="X1206" s="119"/>
      <c r="Y1206" s="113"/>
      <c r="Z1206" s="113"/>
    </row>
    <row r="1207">
      <c r="A1207" s="113"/>
      <c r="B1207" s="113"/>
      <c r="C1207" s="113"/>
      <c r="D1207" s="113"/>
      <c r="E1207" s="113"/>
      <c r="F1207" s="113"/>
      <c r="G1207" s="113"/>
      <c r="H1207" s="113"/>
      <c r="I1207" s="113"/>
      <c r="J1207" s="113"/>
      <c r="K1207" s="113"/>
      <c r="L1207" s="113"/>
      <c r="M1207" s="113"/>
      <c r="N1207" s="113"/>
      <c r="O1207" s="113"/>
      <c r="P1207" s="113"/>
      <c r="Q1207" s="132"/>
      <c r="R1207" s="115"/>
      <c r="S1207" s="115"/>
      <c r="T1207" s="115"/>
      <c r="U1207" s="116"/>
      <c r="V1207" s="117"/>
      <c r="W1207" s="118"/>
      <c r="X1207" s="119"/>
      <c r="Y1207" s="113"/>
      <c r="Z1207" s="113"/>
    </row>
    <row r="1208">
      <c r="A1208" s="113"/>
      <c r="B1208" s="113"/>
      <c r="C1208" s="113"/>
      <c r="D1208" s="113"/>
      <c r="E1208" s="113"/>
      <c r="F1208" s="113"/>
      <c r="G1208" s="113"/>
      <c r="H1208" s="113"/>
      <c r="I1208" s="113"/>
      <c r="J1208" s="113"/>
      <c r="K1208" s="113"/>
      <c r="L1208" s="113"/>
      <c r="M1208" s="113"/>
      <c r="N1208" s="113"/>
      <c r="O1208" s="113"/>
      <c r="P1208" s="113"/>
      <c r="Q1208" s="132"/>
      <c r="R1208" s="115"/>
      <c r="S1208" s="115"/>
      <c r="T1208" s="115"/>
      <c r="U1208" s="116"/>
      <c r="V1208" s="117"/>
      <c r="W1208" s="118"/>
      <c r="X1208" s="119"/>
      <c r="Y1208" s="113"/>
      <c r="Z1208" s="113"/>
    </row>
    <row r="1209">
      <c r="A1209" s="113"/>
      <c r="B1209" s="113"/>
      <c r="C1209" s="113"/>
      <c r="D1209" s="113"/>
      <c r="E1209" s="113"/>
      <c r="F1209" s="113"/>
      <c r="G1209" s="113"/>
      <c r="H1209" s="113"/>
      <c r="I1209" s="113"/>
      <c r="J1209" s="113"/>
      <c r="K1209" s="113"/>
      <c r="L1209" s="113"/>
      <c r="M1209" s="113"/>
      <c r="N1209" s="113"/>
      <c r="O1209" s="113"/>
      <c r="P1209" s="113"/>
      <c r="Q1209" s="132"/>
      <c r="R1209" s="115"/>
      <c r="S1209" s="115"/>
      <c r="T1209" s="115"/>
      <c r="U1209" s="116"/>
      <c r="V1209" s="117"/>
      <c r="W1209" s="118"/>
      <c r="X1209" s="119"/>
      <c r="Y1209" s="113"/>
      <c r="Z1209" s="113"/>
    </row>
    <row r="1210">
      <c r="A1210" s="113"/>
      <c r="B1210" s="113"/>
      <c r="C1210" s="113"/>
      <c r="D1210" s="113"/>
      <c r="E1210" s="113"/>
      <c r="F1210" s="113"/>
      <c r="G1210" s="113"/>
      <c r="H1210" s="113"/>
      <c r="I1210" s="113"/>
      <c r="J1210" s="113"/>
      <c r="K1210" s="113"/>
      <c r="L1210" s="113"/>
      <c r="M1210" s="113"/>
      <c r="N1210" s="113"/>
      <c r="O1210" s="113"/>
      <c r="P1210" s="113"/>
      <c r="Q1210" s="132"/>
      <c r="R1210" s="115"/>
      <c r="S1210" s="115"/>
      <c r="T1210" s="115"/>
      <c r="U1210" s="116"/>
      <c r="V1210" s="117"/>
      <c r="W1210" s="118"/>
      <c r="X1210" s="119"/>
      <c r="Y1210" s="113"/>
      <c r="Z1210" s="113"/>
    </row>
    <row r="1211">
      <c r="A1211" s="113"/>
      <c r="B1211" s="113"/>
      <c r="C1211" s="113"/>
      <c r="D1211" s="113"/>
      <c r="E1211" s="113"/>
      <c r="F1211" s="113"/>
      <c r="G1211" s="113"/>
      <c r="H1211" s="113"/>
      <c r="I1211" s="113"/>
      <c r="J1211" s="113"/>
      <c r="K1211" s="113"/>
      <c r="L1211" s="113"/>
      <c r="M1211" s="113"/>
      <c r="N1211" s="113"/>
      <c r="O1211" s="113"/>
      <c r="P1211" s="113"/>
      <c r="Q1211" s="132"/>
      <c r="R1211" s="115"/>
      <c r="S1211" s="115"/>
      <c r="T1211" s="115"/>
      <c r="U1211" s="116"/>
      <c r="V1211" s="117"/>
      <c r="W1211" s="118"/>
      <c r="X1211" s="119"/>
      <c r="Y1211" s="113"/>
      <c r="Z1211" s="113"/>
    </row>
    <row r="1212">
      <c r="A1212" s="113"/>
      <c r="B1212" s="113"/>
      <c r="C1212" s="113"/>
      <c r="D1212" s="113"/>
      <c r="E1212" s="113"/>
      <c r="F1212" s="113"/>
      <c r="G1212" s="113"/>
      <c r="H1212" s="113"/>
      <c r="I1212" s="113"/>
      <c r="J1212" s="113"/>
      <c r="K1212" s="113"/>
      <c r="L1212" s="113"/>
      <c r="M1212" s="113"/>
      <c r="N1212" s="113"/>
      <c r="O1212" s="113"/>
      <c r="P1212" s="113"/>
      <c r="Q1212" s="132"/>
      <c r="R1212" s="115"/>
      <c r="S1212" s="115"/>
      <c r="T1212" s="115"/>
      <c r="U1212" s="116"/>
      <c r="V1212" s="117"/>
      <c r="W1212" s="118"/>
      <c r="X1212" s="119"/>
      <c r="Y1212" s="113"/>
      <c r="Z1212" s="113"/>
    </row>
    <row r="1213">
      <c r="A1213" s="113"/>
      <c r="B1213" s="113"/>
      <c r="C1213" s="113"/>
      <c r="D1213" s="113"/>
      <c r="E1213" s="113"/>
      <c r="F1213" s="113"/>
      <c r="G1213" s="113"/>
      <c r="H1213" s="113"/>
      <c r="I1213" s="113"/>
      <c r="J1213" s="113"/>
      <c r="K1213" s="113"/>
      <c r="L1213" s="113"/>
      <c r="M1213" s="113"/>
      <c r="N1213" s="113"/>
      <c r="O1213" s="113"/>
      <c r="P1213" s="113"/>
      <c r="Q1213" s="132"/>
      <c r="R1213" s="115"/>
      <c r="S1213" s="115"/>
      <c r="T1213" s="115"/>
      <c r="U1213" s="116"/>
      <c r="V1213" s="117"/>
      <c r="W1213" s="118"/>
      <c r="X1213" s="119"/>
      <c r="Y1213" s="113"/>
      <c r="Z1213" s="113"/>
    </row>
    <row r="1214">
      <c r="A1214" s="113"/>
      <c r="B1214" s="113"/>
      <c r="C1214" s="113"/>
      <c r="D1214" s="113"/>
      <c r="E1214" s="113"/>
      <c r="F1214" s="113"/>
      <c r="G1214" s="113"/>
      <c r="H1214" s="113"/>
      <c r="I1214" s="113"/>
      <c r="J1214" s="113"/>
      <c r="K1214" s="113"/>
      <c r="L1214" s="113"/>
      <c r="M1214" s="113"/>
      <c r="N1214" s="113"/>
      <c r="O1214" s="113"/>
      <c r="P1214" s="113"/>
      <c r="Q1214" s="132"/>
      <c r="R1214" s="115"/>
      <c r="S1214" s="115"/>
      <c r="T1214" s="115"/>
      <c r="U1214" s="116"/>
      <c r="V1214" s="117"/>
      <c r="W1214" s="118"/>
      <c r="X1214" s="119"/>
      <c r="Y1214" s="113"/>
      <c r="Z1214" s="113"/>
    </row>
    <row r="1215">
      <c r="A1215" s="113"/>
      <c r="B1215" s="113"/>
      <c r="C1215" s="113"/>
      <c r="D1215" s="113"/>
      <c r="E1215" s="113"/>
      <c r="F1215" s="113"/>
      <c r="G1215" s="113"/>
      <c r="H1215" s="113"/>
      <c r="I1215" s="113"/>
      <c r="J1215" s="113"/>
      <c r="K1215" s="113"/>
      <c r="L1215" s="113"/>
      <c r="M1215" s="113"/>
      <c r="N1215" s="113"/>
      <c r="O1215" s="113"/>
      <c r="P1215" s="113"/>
      <c r="Q1215" s="132"/>
      <c r="R1215" s="115"/>
      <c r="S1215" s="115"/>
      <c r="T1215" s="115"/>
      <c r="U1215" s="116"/>
      <c r="V1215" s="117"/>
      <c r="W1215" s="118"/>
      <c r="X1215" s="119"/>
      <c r="Y1215" s="113"/>
      <c r="Z1215" s="113"/>
    </row>
    <row r="1216">
      <c r="A1216" s="113"/>
      <c r="B1216" s="113"/>
      <c r="C1216" s="113"/>
      <c r="D1216" s="113"/>
      <c r="E1216" s="113"/>
      <c r="F1216" s="113"/>
      <c r="G1216" s="113"/>
      <c r="H1216" s="113"/>
      <c r="I1216" s="113"/>
      <c r="J1216" s="113"/>
      <c r="K1216" s="113"/>
      <c r="L1216" s="113"/>
      <c r="M1216" s="113"/>
      <c r="N1216" s="113"/>
      <c r="O1216" s="113"/>
      <c r="P1216" s="113"/>
      <c r="Q1216" s="132"/>
      <c r="R1216" s="115"/>
      <c r="S1216" s="115"/>
      <c r="T1216" s="115"/>
      <c r="U1216" s="116"/>
      <c r="V1216" s="117"/>
      <c r="W1216" s="118"/>
      <c r="X1216" s="119"/>
      <c r="Y1216" s="113"/>
      <c r="Z1216" s="113"/>
    </row>
    <row r="1217">
      <c r="A1217" s="113"/>
      <c r="B1217" s="113"/>
      <c r="C1217" s="113"/>
      <c r="D1217" s="113"/>
      <c r="E1217" s="113"/>
      <c r="F1217" s="113"/>
      <c r="G1217" s="113"/>
      <c r="H1217" s="113"/>
      <c r="I1217" s="113"/>
      <c r="J1217" s="113"/>
      <c r="K1217" s="113"/>
      <c r="L1217" s="113"/>
      <c r="M1217" s="113"/>
      <c r="N1217" s="113"/>
      <c r="O1217" s="113"/>
      <c r="P1217" s="113"/>
      <c r="Q1217" s="132"/>
      <c r="R1217" s="115"/>
      <c r="S1217" s="115"/>
      <c r="T1217" s="115"/>
      <c r="U1217" s="116"/>
      <c r="V1217" s="117"/>
      <c r="W1217" s="118"/>
      <c r="X1217" s="119"/>
      <c r="Y1217" s="113"/>
      <c r="Z1217" s="113"/>
    </row>
    <row r="1218">
      <c r="A1218" s="113"/>
      <c r="B1218" s="113"/>
      <c r="C1218" s="113"/>
      <c r="D1218" s="113"/>
      <c r="E1218" s="113"/>
      <c r="F1218" s="113"/>
      <c r="G1218" s="113"/>
      <c r="H1218" s="113"/>
      <c r="I1218" s="113"/>
      <c r="J1218" s="113"/>
      <c r="K1218" s="113"/>
      <c r="L1218" s="113"/>
      <c r="M1218" s="113"/>
      <c r="N1218" s="113"/>
      <c r="O1218" s="113"/>
      <c r="P1218" s="113"/>
      <c r="Q1218" s="132"/>
      <c r="R1218" s="115"/>
      <c r="S1218" s="115"/>
      <c r="T1218" s="115"/>
      <c r="U1218" s="116"/>
      <c r="V1218" s="117"/>
      <c r="W1218" s="118"/>
      <c r="X1218" s="119"/>
      <c r="Y1218" s="113"/>
      <c r="Z1218" s="113"/>
    </row>
    <row r="1219">
      <c r="A1219" s="113"/>
      <c r="B1219" s="113"/>
      <c r="C1219" s="113"/>
      <c r="D1219" s="113"/>
      <c r="E1219" s="113"/>
      <c r="F1219" s="113"/>
      <c r="G1219" s="113"/>
      <c r="H1219" s="113"/>
      <c r="I1219" s="113"/>
      <c r="J1219" s="113"/>
      <c r="K1219" s="113"/>
      <c r="L1219" s="113"/>
      <c r="M1219" s="113"/>
      <c r="N1219" s="113"/>
      <c r="O1219" s="113"/>
      <c r="P1219" s="113"/>
      <c r="Q1219" s="132"/>
      <c r="R1219" s="115"/>
      <c r="S1219" s="115"/>
      <c r="T1219" s="115"/>
      <c r="U1219" s="116"/>
      <c r="V1219" s="117"/>
      <c r="W1219" s="118"/>
      <c r="X1219" s="119"/>
      <c r="Y1219" s="113"/>
      <c r="Z1219" s="113"/>
    </row>
    <row r="1220">
      <c r="A1220" s="113"/>
      <c r="B1220" s="113"/>
      <c r="C1220" s="113"/>
      <c r="D1220" s="113"/>
      <c r="E1220" s="113"/>
      <c r="F1220" s="113"/>
      <c r="G1220" s="113"/>
      <c r="H1220" s="113"/>
      <c r="I1220" s="113"/>
      <c r="J1220" s="113"/>
      <c r="K1220" s="113"/>
      <c r="L1220" s="113"/>
      <c r="M1220" s="113"/>
      <c r="N1220" s="113"/>
      <c r="O1220" s="113"/>
      <c r="P1220" s="113"/>
      <c r="Q1220" s="132"/>
      <c r="R1220" s="115"/>
      <c r="S1220" s="115"/>
      <c r="T1220" s="115"/>
      <c r="U1220" s="116"/>
      <c r="V1220" s="117"/>
      <c r="W1220" s="118"/>
      <c r="X1220" s="119"/>
      <c r="Y1220" s="113"/>
      <c r="Z1220" s="113"/>
    </row>
    <row r="1221">
      <c r="A1221" s="113"/>
      <c r="B1221" s="113"/>
      <c r="C1221" s="113"/>
      <c r="D1221" s="113"/>
      <c r="E1221" s="113"/>
      <c r="F1221" s="113"/>
      <c r="G1221" s="113"/>
      <c r="H1221" s="113"/>
      <c r="I1221" s="113"/>
      <c r="J1221" s="113"/>
      <c r="K1221" s="113"/>
      <c r="L1221" s="113"/>
      <c r="M1221" s="113"/>
      <c r="N1221" s="113"/>
      <c r="O1221" s="113"/>
      <c r="P1221" s="113"/>
      <c r="Q1221" s="132"/>
      <c r="R1221" s="115"/>
      <c r="S1221" s="115"/>
      <c r="T1221" s="115"/>
      <c r="U1221" s="116"/>
      <c r="V1221" s="117"/>
      <c r="W1221" s="118"/>
      <c r="X1221" s="119"/>
      <c r="Y1221" s="113"/>
      <c r="Z1221" s="113"/>
    </row>
    <row r="1222">
      <c r="A1222" s="113"/>
      <c r="B1222" s="113"/>
      <c r="C1222" s="113"/>
      <c r="D1222" s="113"/>
      <c r="E1222" s="113"/>
      <c r="F1222" s="113"/>
      <c r="G1222" s="113"/>
      <c r="H1222" s="113"/>
      <c r="I1222" s="113"/>
      <c r="J1222" s="113"/>
      <c r="K1222" s="113"/>
      <c r="L1222" s="113"/>
      <c r="M1222" s="113"/>
      <c r="N1222" s="113"/>
      <c r="O1222" s="113"/>
      <c r="P1222" s="113"/>
      <c r="Q1222" s="132"/>
      <c r="R1222" s="115"/>
      <c r="S1222" s="115"/>
      <c r="T1222" s="115"/>
      <c r="U1222" s="116"/>
      <c r="V1222" s="117"/>
      <c r="W1222" s="118"/>
      <c r="X1222" s="119"/>
      <c r="Y1222" s="113"/>
      <c r="Z1222" s="113"/>
    </row>
    <row r="1223">
      <c r="A1223" s="113"/>
      <c r="B1223" s="113"/>
      <c r="C1223" s="113"/>
      <c r="D1223" s="113"/>
      <c r="E1223" s="113"/>
      <c r="F1223" s="113"/>
      <c r="G1223" s="113"/>
      <c r="H1223" s="113"/>
      <c r="I1223" s="113"/>
      <c r="J1223" s="113"/>
      <c r="K1223" s="113"/>
      <c r="L1223" s="113"/>
      <c r="M1223" s="113"/>
      <c r="N1223" s="113"/>
      <c r="O1223" s="113"/>
      <c r="P1223" s="113"/>
      <c r="Q1223" s="132"/>
      <c r="R1223" s="115"/>
      <c r="S1223" s="115"/>
      <c r="T1223" s="115"/>
      <c r="U1223" s="116"/>
      <c r="V1223" s="117"/>
      <c r="W1223" s="118"/>
      <c r="X1223" s="119"/>
      <c r="Y1223" s="113"/>
      <c r="Z1223" s="113"/>
    </row>
    <row r="1224">
      <c r="A1224" s="113"/>
      <c r="B1224" s="113"/>
      <c r="C1224" s="113"/>
      <c r="D1224" s="113"/>
      <c r="E1224" s="113"/>
      <c r="F1224" s="113"/>
      <c r="G1224" s="113"/>
      <c r="H1224" s="113"/>
      <c r="I1224" s="113"/>
      <c r="J1224" s="113"/>
      <c r="K1224" s="113"/>
      <c r="L1224" s="113"/>
      <c r="M1224" s="113"/>
      <c r="N1224" s="113"/>
      <c r="O1224" s="113"/>
      <c r="P1224" s="113"/>
      <c r="Q1224" s="132"/>
      <c r="R1224" s="115"/>
      <c r="S1224" s="115"/>
      <c r="T1224" s="115"/>
      <c r="U1224" s="116"/>
      <c r="V1224" s="117"/>
      <c r="W1224" s="118"/>
      <c r="X1224" s="119"/>
      <c r="Y1224" s="113"/>
      <c r="Z1224" s="113"/>
    </row>
    <row r="1225">
      <c r="A1225" s="113"/>
      <c r="B1225" s="113"/>
      <c r="C1225" s="113"/>
      <c r="D1225" s="113"/>
      <c r="E1225" s="113"/>
      <c r="F1225" s="113"/>
      <c r="G1225" s="113"/>
      <c r="H1225" s="113"/>
      <c r="I1225" s="113"/>
      <c r="J1225" s="113"/>
      <c r="K1225" s="113"/>
      <c r="L1225" s="113"/>
      <c r="M1225" s="113"/>
      <c r="N1225" s="113"/>
      <c r="O1225" s="113"/>
      <c r="P1225" s="113"/>
      <c r="Q1225" s="132"/>
      <c r="R1225" s="115"/>
      <c r="S1225" s="115"/>
      <c r="T1225" s="115"/>
      <c r="U1225" s="116"/>
      <c r="V1225" s="117"/>
      <c r="W1225" s="118"/>
      <c r="X1225" s="119"/>
      <c r="Y1225" s="113"/>
      <c r="Z1225" s="113"/>
    </row>
    <row r="1226">
      <c r="A1226" s="113"/>
      <c r="B1226" s="113"/>
      <c r="C1226" s="113"/>
      <c r="D1226" s="113"/>
      <c r="E1226" s="113"/>
      <c r="F1226" s="113"/>
      <c r="G1226" s="113"/>
      <c r="H1226" s="113"/>
      <c r="I1226" s="113"/>
      <c r="J1226" s="113"/>
      <c r="K1226" s="113"/>
      <c r="L1226" s="113"/>
      <c r="M1226" s="113"/>
      <c r="N1226" s="113"/>
      <c r="O1226" s="113"/>
      <c r="P1226" s="113"/>
      <c r="Q1226" s="132"/>
      <c r="R1226" s="115"/>
      <c r="S1226" s="115"/>
      <c r="T1226" s="115"/>
      <c r="U1226" s="116"/>
      <c r="V1226" s="117"/>
      <c r="W1226" s="118"/>
      <c r="X1226" s="119"/>
      <c r="Y1226" s="113"/>
      <c r="Z1226" s="113"/>
    </row>
    <row r="1227">
      <c r="A1227" s="113"/>
      <c r="B1227" s="113"/>
      <c r="C1227" s="113"/>
      <c r="D1227" s="113"/>
      <c r="E1227" s="113"/>
      <c r="F1227" s="113"/>
      <c r="G1227" s="113"/>
      <c r="H1227" s="113"/>
      <c r="I1227" s="113"/>
      <c r="J1227" s="113"/>
      <c r="K1227" s="113"/>
      <c r="L1227" s="113"/>
      <c r="M1227" s="113"/>
      <c r="N1227" s="113"/>
      <c r="O1227" s="113"/>
      <c r="P1227" s="113"/>
      <c r="Q1227" s="132"/>
      <c r="R1227" s="115"/>
      <c r="S1227" s="115"/>
      <c r="T1227" s="115"/>
      <c r="U1227" s="116"/>
      <c r="V1227" s="117"/>
      <c r="W1227" s="118"/>
      <c r="X1227" s="119"/>
      <c r="Y1227" s="113"/>
      <c r="Z1227" s="113"/>
    </row>
    <row r="1228">
      <c r="A1228" s="113"/>
      <c r="B1228" s="113"/>
      <c r="C1228" s="113"/>
      <c r="D1228" s="113"/>
      <c r="E1228" s="113"/>
      <c r="F1228" s="113"/>
      <c r="G1228" s="113"/>
      <c r="H1228" s="113"/>
      <c r="I1228" s="113"/>
      <c r="J1228" s="113"/>
      <c r="K1228" s="113"/>
      <c r="L1228" s="113"/>
      <c r="M1228" s="113"/>
      <c r="N1228" s="113"/>
      <c r="O1228" s="113"/>
      <c r="P1228" s="113"/>
      <c r="Q1228" s="132"/>
      <c r="R1228" s="115"/>
      <c r="S1228" s="115"/>
      <c r="T1228" s="115"/>
      <c r="U1228" s="116"/>
      <c r="V1228" s="117"/>
      <c r="W1228" s="118"/>
      <c r="X1228" s="119"/>
      <c r="Y1228" s="113"/>
      <c r="Z1228" s="113"/>
    </row>
    <row r="1229">
      <c r="A1229" s="113"/>
      <c r="B1229" s="113"/>
      <c r="C1229" s="113"/>
      <c r="D1229" s="113"/>
      <c r="E1229" s="113"/>
      <c r="F1229" s="113"/>
      <c r="G1229" s="113"/>
      <c r="H1229" s="113"/>
      <c r="I1229" s="113"/>
      <c r="J1229" s="113"/>
      <c r="K1229" s="113"/>
      <c r="L1229" s="113"/>
      <c r="M1229" s="113"/>
      <c r="N1229" s="113"/>
      <c r="O1229" s="113"/>
      <c r="P1229" s="113"/>
      <c r="Q1229" s="132"/>
      <c r="R1229" s="115"/>
      <c r="S1229" s="115"/>
      <c r="T1229" s="115"/>
      <c r="U1229" s="116"/>
      <c r="V1229" s="117"/>
      <c r="W1229" s="118"/>
      <c r="X1229" s="119"/>
      <c r="Y1229" s="113"/>
      <c r="Z1229" s="113"/>
    </row>
    <row r="1230">
      <c r="A1230" s="113"/>
      <c r="B1230" s="113"/>
      <c r="C1230" s="113"/>
      <c r="D1230" s="113"/>
      <c r="E1230" s="113"/>
      <c r="F1230" s="113"/>
      <c r="G1230" s="113"/>
      <c r="H1230" s="113"/>
      <c r="I1230" s="113"/>
      <c r="J1230" s="113"/>
      <c r="K1230" s="113"/>
      <c r="L1230" s="113"/>
      <c r="M1230" s="113"/>
      <c r="N1230" s="113"/>
      <c r="O1230" s="113"/>
      <c r="P1230" s="113"/>
      <c r="Q1230" s="132"/>
      <c r="R1230" s="115"/>
      <c r="S1230" s="115"/>
      <c r="T1230" s="115"/>
      <c r="U1230" s="116"/>
      <c r="V1230" s="117"/>
      <c r="W1230" s="118"/>
      <c r="X1230" s="119"/>
      <c r="Y1230" s="113"/>
      <c r="Z1230" s="113"/>
    </row>
    <row r="1231">
      <c r="A1231" s="113"/>
      <c r="B1231" s="113"/>
      <c r="C1231" s="113"/>
      <c r="D1231" s="113"/>
      <c r="E1231" s="113"/>
      <c r="F1231" s="113"/>
      <c r="G1231" s="113"/>
      <c r="H1231" s="113"/>
      <c r="I1231" s="113"/>
      <c r="J1231" s="113"/>
      <c r="K1231" s="113"/>
      <c r="L1231" s="113"/>
      <c r="M1231" s="113"/>
      <c r="N1231" s="113"/>
      <c r="O1231" s="113"/>
      <c r="P1231" s="113"/>
      <c r="Q1231" s="132"/>
      <c r="R1231" s="115"/>
      <c r="S1231" s="115"/>
      <c r="T1231" s="115"/>
      <c r="U1231" s="116"/>
      <c r="V1231" s="117"/>
      <c r="W1231" s="118"/>
      <c r="X1231" s="119"/>
      <c r="Y1231" s="113"/>
      <c r="Z1231" s="113"/>
    </row>
    <row r="1232">
      <c r="A1232" s="113"/>
      <c r="B1232" s="113"/>
      <c r="C1232" s="113"/>
      <c r="D1232" s="113"/>
      <c r="E1232" s="113"/>
      <c r="F1232" s="113"/>
      <c r="G1232" s="113"/>
      <c r="H1232" s="113"/>
      <c r="I1232" s="113"/>
      <c r="J1232" s="113"/>
      <c r="K1232" s="113"/>
      <c r="L1232" s="113"/>
      <c r="M1232" s="113"/>
      <c r="N1232" s="113"/>
      <c r="O1232" s="113"/>
      <c r="P1232" s="113"/>
      <c r="Q1232" s="132"/>
      <c r="R1232" s="115"/>
      <c r="S1232" s="115"/>
      <c r="T1232" s="115"/>
      <c r="U1232" s="116"/>
      <c r="V1232" s="117"/>
      <c r="W1232" s="118"/>
      <c r="X1232" s="119"/>
      <c r="Y1232" s="113"/>
      <c r="Z1232" s="113"/>
    </row>
    <row r="1233">
      <c r="A1233" s="113"/>
      <c r="B1233" s="113"/>
      <c r="C1233" s="113"/>
      <c r="D1233" s="113"/>
      <c r="E1233" s="113"/>
      <c r="F1233" s="113"/>
      <c r="G1233" s="113"/>
      <c r="H1233" s="113"/>
      <c r="I1233" s="113"/>
      <c r="J1233" s="113"/>
      <c r="K1233" s="113"/>
      <c r="L1233" s="113"/>
      <c r="M1233" s="113"/>
      <c r="N1233" s="113"/>
      <c r="O1233" s="113"/>
      <c r="P1233" s="113"/>
      <c r="Q1233" s="132"/>
      <c r="R1233" s="115"/>
      <c r="S1233" s="115"/>
      <c r="T1233" s="115"/>
      <c r="U1233" s="116"/>
      <c r="V1233" s="117"/>
      <c r="W1233" s="118"/>
      <c r="X1233" s="119"/>
      <c r="Y1233" s="113"/>
      <c r="Z1233" s="113"/>
    </row>
  </sheetData>
  <dataValidations>
    <dataValidation type="list" allowBlank="1" sqref="C66:C83 C109:C113 C115:C123 C236:C238 C246:C250 C291:C294">
      <formula1>Fields!$F$2:$F$4</formula1>
    </dataValidation>
    <dataValidation type="list" allowBlank="1" sqref="C1023">
      <formula1>Fields!$F$2:$F$8</formula1>
    </dataValidation>
    <dataValidation type="list" allowBlank="1" showErrorMessage="1" sqref="U2:U38 U46:U65 U68 U72 U75 U80 U84:U86 U88 U93 U95 U97 U99 U101 U103:U104 U106 U109 U114 U116 U119 U124:U153 U160:U161 U166:U168 U186:U202 U204:U213 U226 U251 U262:U270 U295 U315 U330:U370 U382:U386 U393:U414 U424:U514 U532:U959 U965:U1003 U1025:U1033 U1044:U1062">
      <formula1>"Yes,No"</formula1>
    </dataValidation>
    <dataValidation type="list" allowBlank="1" sqref="D2:D22 D27 D44:D45 D62:D106 D109:D226 D235:D295 D315:D1003 D1005:D1062">
      <formula1>Fields!$A$2:$A$8</formula1>
    </dataValidation>
    <dataValidation type="list" allowBlank="1" sqref="C960">
      <formula1>Fields!$F$2:$F$8</formula1>
    </dataValidation>
    <dataValidation type="list" allowBlank="1" sqref="B72:B75 B80:B83 B109:B113">
      <formula1>Fields!$D$2:$D$6</formula1>
    </dataValidation>
    <dataValidation type="list" allowBlank="1" sqref="B296 B1004">
      <formula1>Fields!$D$2:$D$12</formula1>
    </dataValidation>
    <dataValidation type="list" allowBlank="1" sqref="C1024">
      <formula1>Fields!$F$2:$F$8</formula1>
    </dataValidation>
    <dataValidation type="list" allowBlank="1" sqref="B1022">
      <formula1>Fields!$D$2:$D$12</formula1>
    </dataValidation>
    <dataValidation type="list" allowBlank="1" sqref="B303:B314">
      <formula1>Fields!$D$2:$D$12</formula1>
    </dataValidation>
    <dataValidation type="list" allowBlank="1" sqref="D296:D314 D1004">
      <formula1>Fields!$A$2:$A$8</formula1>
    </dataValidation>
    <dataValidation type="list" allowBlank="1" sqref="C2:C65 C84:C108 C114 C124:C235 C239:C245 C251:C290 C295:C959 C961:C1003 C1005:C1014 C1020:C1021 C1025:C1062">
      <formula1>Fields!$F$2:$F$8</formula1>
    </dataValidation>
    <dataValidation type="list" allowBlank="1" sqref="B297:B302 B960:B964">
      <formula1>Fields!$D$2:$D$12</formula1>
    </dataValidation>
    <dataValidation type="list" allowBlank="1" sqref="C1004 C1015 C1017:C1018">
      <formula1>Fields!$F$2:$F$8</formula1>
    </dataValidation>
    <dataValidation type="list" allowBlank="1" sqref="C1016 C1019">
      <formula1>Fields!$F$2:$F$8</formula1>
    </dataValidation>
    <dataValidation type="list" allowBlank="1" sqref="C1022">
      <formula1>Fields!$F$2:$F$8</formula1>
    </dataValidation>
    <dataValidation type="list" allowBlank="1" sqref="B2:B65 B84:B108 B114 B124:B235 B251:B295 B315:B959 B965:B1003 B1005:B1021 B1023:B1062">
      <formula1>Fields!$D$2:$D$12</formula1>
    </dataValidation>
  </dataValidations>
  <hyperlinks>
    <hyperlink r:id="rId2" ref="F2"/>
    <hyperlink r:id="rId3" ref="F3"/>
    <hyperlink r:id="rId4" ref="F4"/>
    <hyperlink r:id="rId5" ref="F5"/>
    <hyperlink r:id="rId6" ref="F6"/>
    <hyperlink r:id="rId7" ref="F7"/>
    <hyperlink r:id="rId8" ref="F8"/>
    <hyperlink r:id="rId9" ref="F9"/>
    <hyperlink r:id="rId10" ref="F11"/>
    <hyperlink r:id="rId11" ref="F12"/>
    <hyperlink r:id="rId12" ref="F14"/>
    <hyperlink r:id="rId13" ref="F15"/>
    <hyperlink r:id="rId14" ref="F16"/>
    <hyperlink r:id="rId15" ref="F17"/>
    <hyperlink r:id="rId16" ref="F18"/>
    <hyperlink r:id="rId17" ref="F19"/>
    <hyperlink r:id="rId18" ref="F20"/>
    <hyperlink r:id="rId19" ref="F21"/>
    <hyperlink r:id="rId20" ref="F22"/>
    <hyperlink r:id="rId21" ref="F23"/>
    <hyperlink r:id="rId22" ref="F27"/>
    <hyperlink r:id="rId23" ref="F28"/>
    <hyperlink r:id="rId24" ref="F35"/>
    <hyperlink r:id="rId25" ref="F39"/>
    <hyperlink r:id="rId26" ref="F44"/>
    <hyperlink r:id="rId27" ref="F46"/>
    <hyperlink r:id="rId28" ref="F50"/>
    <hyperlink r:id="rId29" ref="F51"/>
    <hyperlink r:id="rId30" ref="F56"/>
    <hyperlink r:id="rId31" ref="F62"/>
    <hyperlink r:id="rId32" ref="F63"/>
    <hyperlink r:id="rId33" ref="F64"/>
    <hyperlink r:id="rId34" ref="F65"/>
    <hyperlink r:id="rId35" ref="F68"/>
    <hyperlink r:id="rId36" ref="F72"/>
    <hyperlink r:id="rId37" ref="F75"/>
    <hyperlink r:id="rId38" ref="F80"/>
    <hyperlink r:id="rId39" ref="F84"/>
    <hyperlink r:id="rId40" ref="F85"/>
    <hyperlink r:id="rId41" ref="F86"/>
    <hyperlink r:id="rId42" ref="F88"/>
    <hyperlink r:id="rId43" ref="F93"/>
    <hyperlink r:id="rId44" ref="F95"/>
    <hyperlink r:id="rId45" ref="F97"/>
    <hyperlink r:id="rId46" ref="F99"/>
    <hyperlink r:id="rId47" ref="F101"/>
    <hyperlink r:id="rId48" ref="F103"/>
    <hyperlink r:id="rId49" ref="F104"/>
    <hyperlink r:id="rId50" ref="F106"/>
    <hyperlink r:id="rId51" ref="F109"/>
    <hyperlink r:id="rId52" ref="F114"/>
    <hyperlink r:id="rId53" ref="F116"/>
    <hyperlink r:id="rId54" ref="F119"/>
    <hyperlink r:id="rId55" ref="F124"/>
    <hyperlink r:id="rId56" ref="F125"/>
    <hyperlink r:id="rId57" ref="F126"/>
    <hyperlink r:id="rId58" ref="F127"/>
    <hyperlink r:id="rId59" ref="F128"/>
    <hyperlink r:id="rId60" ref="F129"/>
    <hyperlink r:id="rId61" ref="F144"/>
    <hyperlink r:id="rId62" ref="F145"/>
    <hyperlink r:id="rId63" ref="F146"/>
    <hyperlink r:id="rId64" ref="F154"/>
    <hyperlink r:id="rId65" ref="F155"/>
    <hyperlink r:id="rId66" ref="F157"/>
    <hyperlink r:id="rId67" ref="F160"/>
    <hyperlink r:id="rId68" ref="F161"/>
    <hyperlink r:id="rId69" ref="F162"/>
    <hyperlink r:id="rId70" ref="F163"/>
    <hyperlink r:id="rId71" ref="F166"/>
    <hyperlink r:id="rId72" ref="F167"/>
    <hyperlink r:id="rId73" ref="F168"/>
    <hyperlink r:id="rId74" ref="F169"/>
    <hyperlink r:id="rId75" ref="F186"/>
    <hyperlink r:id="rId76" ref="F198"/>
    <hyperlink r:id="rId77" ref="F199"/>
    <hyperlink r:id="rId78" ref="F200"/>
    <hyperlink r:id="rId79" ref="F201"/>
    <hyperlink r:id="rId80" ref="F202"/>
    <hyperlink r:id="rId81" ref="F204"/>
    <hyperlink r:id="rId82" ref="F205"/>
    <hyperlink r:id="rId83" ref="F206"/>
    <hyperlink r:id="rId84" ref="F207"/>
    <hyperlink r:id="rId85" ref="F208"/>
    <hyperlink r:id="rId86" ref="F209"/>
    <hyperlink r:id="rId87" ref="F210"/>
    <hyperlink r:id="rId88" ref="F211"/>
    <hyperlink r:id="rId89" ref="F212"/>
    <hyperlink r:id="rId90" ref="F213"/>
    <hyperlink r:id="rId91" ref="F226"/>
    <hyperlink r:id="rId92" ref="F227"/>
    <hyperlink r:id="rId93" ref="F235"/>
    <hyperlink r:id="rId94" ref="F245"/>
    <hyperlink r:id="rId95" ref="F251"/>
    <hyperlink r:id="rId96" ref="F262"/>
    <hyperlink r:id="rId97" ref="F263"/>
    <hyperlink r:id="rId98" ref="F264"/>
    <hyperlink r:id="rId99" ref="F265"/>
    <hyperlink r:id="rId100" ref="F266"/>
    <hyperlink r:id="rId101" ref="F267"/>
    <hyperlink r:id="rId102" ref="F268"/>
    <hyperlink r:id="rId103" ref="F269"/>
    <hyperlink r:id="rId104" ref="F270"/>
    <hyperlink r:id="rId105" ref="F290"/>
    <hyperlink r:id="rId106" ref="F295"/>
    <hyperlink r:id="rId107" ref="F296"/>
    <hyperlink r:id="rId108" ref="F315"/>
    <hyperlink r:id="rId109" ref="F330"/>
    <hyperlink r:id="rId110" ref="F331"/>
    <hyperlink r:id="rId111" ref="F332"/>
    <hyperlink r:id="rId112" ref="F333"/>
    <hyperlink r:id="rId113" ref="F334"/>
    <hyperlink r:id="rId114" ref="F335"/>
    <hyperlink r:id="rId115" ref="F336"/>
    <hyperlink r:id="rId116" ref="F337"/>
    <hyperlink r:id="rId117" ref="F338"/>
    <hyperlink r:id="rId118" ref="F339"/>
    <hyperlink r:id="rId119" ref="F340"/>
    <hyperlink r:id="rId120" ref="F341"/>
    <hyperlink r:id="rId121" ref="F342"/>
    <hyperlink r:id="rId122" ref="F343"/>
    <hyperlink r:id="rId123" ref="F344"/>
    <hyperlink r:id="rId124" ref="F345"/>
    <hyperlink r:id="rId125" ref="F346"/>
    <hyperlink r:id="rId126" ref="F347"/>
    <hyperlink r:id="rId127" ref="F348"/>
    <hyperlink r:id="rId128" ref="F349"/>
    <hyperlink r:id="rId129" ref="F350"/>
    <hyperlink r:id="rId130" ref="F351"/>
    <hyperlink r:id="rId131" ref="F352"/>
    <hyperlink r:id="rId132" ref="F353"/>
    <hyperlink r:id="rId133" ref="F354"/>
    <hyperlink r:id="rId134" ref="F355"/>
    <hyperlink r:id="rId135" ref="F356"/>
    <hyperlink r:id="rId136" ref="F357"/>
    <hyperlink r:id="rId137" ref="F358"/>
    <hyperlink r:id="rId138" ref="F359"/>
    <hyperlink r:id="rId139" ref="F360"/>
    <hyperlink r:id="rId140" ref="F361"/>
    <hyperlink r:id="rId141" ref="F362"/>
    <hyperlink r:id="rId142" ref="F363"/>
    <hyperlink r:id="rId143" ref="F364"/>
    <hyperlink r:id="rId144" ref="F365"/>
    <hyperlink r:id="rId145" ref="F366"/>
    <hyperlink r:id="rId146" ref="F367"/>
    <hyperlink r:id="rId147" ref="F368"/>
    <hyperlink r:id="rId148" ref="F369"/>
    <hyperlink r:id="rId149" ref="F370"/>
    <hyperlink r:id="rId150" ref="F371"/>
    <hyperlink r:id="rId151" ref="F382"/>
    <hyperlink r:id="rId152" ref="F383"/>
    <hyperlink r:id="rId153" ref="F384"/>
    <hyperlink r:id="rId154" ref="F385"/>
    <hyperlink r:id="rId155" ref="F386"/>
    <hyperlink r:id="rId156" ref="F387"/>
    <hyperlink r:id="rId157" ref="F389"/>
    <hyperlink r:id="rId158" ref="F391"/>
    <hyperlink r:id="rId159" ref="F393"/>
    <hyperlink r:id="rId160" ref="F394"/>
    <hyperlink r:id="rId161" ref="F395"/>
    <hyperlink r:id="rId162" ref="F396"/>
    <hyperlink r:id="rId163" ref="F397"/>
    <hyperlink r:id="rId164" ref="F398"/>
    <hyperlink r:id="rId165" ref="F399"/>
    <hyperlink r:id="rId166" ref="F400"/>
    <hyperlink r:id="rId167" ref="F401"/>
    <hyperlink r:id="rId168" ref="F402"/>
    <hyperlink r:id="rId169" ref="F403"/>
    <hyperlink r:id="rId170" ref="F404"/>
    <hyperlink r:id="rId171" ref="F405"/>
    <hyperlink r:id="rId172" ref="F406"/>
    <hyperlink r:id="rId173" ref="F407"/>
    <hyperlink r:id="rId174" ref="F408"/>
    <hyperlink r:id="rId175" ref="F409"/>
    <hyperlink r:id="rId176" ref="F410"/>
    <hyperlink r:id="rId177" ref="F411"/>
    <hyperlink r:id="rId178" ref="F412"/>
    <hyperlink r:id="rId179" ref="F413"/>
    <hyperlink r:id="rId180" ref="F414"/>
    <hyperlink r:id="rId181" ref="F424"/>
    <hyperlink r:id="rId182" ref="F425"/>
    <hyperlink r:id="rId183" ref="F426"/>
    <hyperlink r:id="rId184" ref="F427"/>
    <hyperlink r:id="rId185" ref="F428"/>
    <hyperlink r:id="rId186" ref="F429"/>
    <hyperlink r:id="rId187" ref="F430"/>
    <hyperlink r:id="rId188" ref="F431"/>
    <hyperlink r:id="rId189" ref="F432"/>
    <hyperlink r:id="rId190" ref="F433"/>
    <hyperlink r:id="rId191" ref="F434"/>
    <hyperlink r:id="rId192" ref="F435"/>
    <hyperlink r:id="rId193" ref="F436"/>
    <hyperlink r:id="rId194" ref="F437"/>
    <hyperlink r:id="rId195" ref="F438"/>
    <hyperlink r:id="rId196" ref="F439"/>
    <hyperlink r:id="rId197" ref="F440"/>
    <hyperlink r:id="rId198" ref="F441"/>
    <hyperlink r:id="rId199" ref="F442"/>
    <hyperlink r:id="rId200" ref="F443"/>
    <hyperlink r:id="rId201" ref="F444"/>
    <hyperlink r:id="rId202" ref="F445"/>
    <hyperlink r:id="rId203" ref="F446"/>
    <hyperlink r:id="rId204" ref="F447"/>
    <hyperlink r:id="rId205" ref="F448"/>
    <hyperlink r:id="rId206" ref="F449"/>
    <hyperlink r:id="rId207" ref="F450"/>
    <hyperlink r:id="rId208" ref="F451"/>
    <hyperlink r:id="rId209" ref="F452"/>
    <hyperlink r:id="rId210" ref="F453"/>
    <hyperlink r:id="rId211" ref="F454"/>
    <hyperlink r:id="rId212" ref="F455"/>
    <hyperlink r:id="rId213" ref="F456"/>
    <hyperlink r:id="rId214" ref="F457"/>
    <hyperlink r:id="rId215" ref="F458"/>
    <hyperlink r:id="rId216" ref="F459"/>
    <hyperlink r:id="rId217" ref="F460"/>
    <hyperlink r:id="rId218" ref="F461"/>
    <hyperlink r:id="rId219" ref="F462"/>
    <hyperlink r:id="rId220" ref="F463"/>
    <hyperlink r:id="rId221" ref="F464"/>
    <hyperlink r:id="rId222" ref="F465"/>
    <hyperlink r:id="rId223" ref="F466"/>
    <hyperlink r:id="rId224" ref="F467"/>
    <hyperlink r:id="rId225" ref="F468"/>
    <hyperlink r:id="rId226" ref="F469"/>
    <hyperlink r:id="rId227" ref="F470"/>
    <hyperlink r:id="rId228" ref="F471"/>
    <hyperlink r:id="rId229" ref="F472"/>
    <hyperlink r:id="rId230" ref="F473"/>
    <hyperlink r:id="rId231" ref="F474"/>
    <hyperlink r:id="rId232" ref="F475"/>
    <hyperlink r:id="rId233" ref="F476"/>
    <hyperlink r:id="rId234" ref="F477"/>
    <hyperlink r:id="rId235" ref="F478"/>
    <hyperlink r:id="rId236" ref="F479"/>
    <hyperlink r:id="rId237" ref="F480"/>
    <hyperlink r:id="rId238" ref="F481"/>
    <hyperlink r:id="rId239" ref="F482"/>
    <hyperlink r:id="rId240" ref="F483"/>
    <hyperlink r:id="rId241" ref="F484"/>
    <hyperlink r:id="rId242" ref="F485"/>
    <hyperlink r:id="rId243" ref="F486"/>
    <hyperlink r:id="rId244" ref="F487"/>
    <hyperlink r:id="rId245" ref="F488"/>
    <hyperlink r:id="rId246" ref="F489"/>
    <hyperlink r:id="rId247" ref="F490"/>
    <hyperlink r:id="rId248" ref="F491"/>
    <hyperlink r:id="rId249" ref="F492"/>
    <hyperlink r:id="rId250" ref="F493"/>
    <hyperlink r:id="rId251" ref="F494"/>
    <hyperlink r:id="rId252" ref="F495"/>
    <hyperlink r:id="rId253" ref="F496"/>
    <hyperlink r:id="rId254" ref="F497"/>
    <hyperlink r:id="rId255" ref="F498"/>
    <hyperlink r:id="rId256" ref="F499"/>
    <hyperlink r:id="rId257" ref="F500"/>
    <hyperlink r:id="rId258" ref="F501"/>
    <hyperlink r:id="rId259" ref="F502"/>
    <hyperlink r:id="rId260" ref="F503"/>
    <hyperlink r:id="rId261" ref="F504"/>
    <hyperlink r:id="rId262" ref="F505"/>
    <hyperlink r:id="rId263" ref="F506"/>
    <hyperlink r:id="rId264" ref="F507"/>
    <hyperlink r:id="rId265" ref="F508"/>
    <hyperlink r:id="rId266" ref="F509"/>
    <hyperlink r:id="rId267" ref="F510"/>
    <hyperlink r:id="rId268" ref="F511"/>
    <hyperlink r:id="rId269" ref="F512"/>
    <hyperlink r:id="rId270" ref="F513"/>
    <hyperlink r:id="rId271" ref="F514"/>
    <hyperlink r:id="rId272" ref="F515"/>
    <hyperlink r:id="rId273" ref="F532"/>
    <hyperlink r:id="rId274" ref="F533"/>
    <hyperlink r:id="rId275" ref="F534"/>
    <hyperlink r:id="rId276" ref="F535"/>
    <hyperlink r:id="rId277" ref="F536"/>
    <hyperlink r:id="rId278" ref="F537"/>
    <hyperlink r:id="rId279" ref="F538"/>
    <hyperlink r:id="rId280" ref="F539"/>
    <hyperlink r:id="rId281" ref="F540"/>
    <hyperlink r:id="rId282" ref="F541"/>
    <hyperlink r:id="rId283" ref="F542"/>
    <hyperlink r:id="rId284" ref="F543"/>
    <hyperlink r:id="rId285" ref="F544"/>
    <hyperlink r:id="rId286" ref="F545"/>
    <hyperlink r:id="rId287" ref="F546"/>
    <hyperlink r:id="rId288" ref="F547"/>
    <hyperlink r:id="rId289" ref="F548"/>
    <hyperlink r:id="rId290" ref="F549"/>
    <hyperlink r:id="rId291" ref="F550"/>
    <hyperlink r:id="rId292" ref="F551"/>
    <hyperlink r:id="rId293" ref="F552"/>
    <hyperlink r:id="rId294" ref="F553"/>
    <hyperlink r:id="rId295" ref="F554"/>
    <hyperlink r:id="rId296" ref="F555"/>
    <hyperlink r:id="rId297" ref="F556"/>
    <hyperlink r:id="rId298" ref="F557"/>
    <hyperlink r:id="rId299" ref="F558"/>
    <hyperlink r:id="rId300" ref="F559"/>
    <hyperlink r:id="rId301" ref="F560"/>
    <hyperlink r:id="rId302" ref="F561"/>
    <hyperlink r:id="rId303" ref="F562"/>
    <hyperlink r:id="rId304" ref="F563"/>
    <hyperlink r:id="rId305" ref="F564"/>
    <hyperlink r:id="rId306" ref="F565"/>
    <hyperlink r:id="rId307" ref="F566"/>
    <hyperlink r:id="rId308" ref="F567"/>
    <hyperlink r:id="rId309" ref="F568"/>
    <hyperlink r:id="rId310" ref="F569"/>
    <hyperlink r:id="rId311" ref="F570"/>
    <hyperlink r:id="rId312" ref="F571"/>
    <hyperlink r:id="rId313" ref="F572"/>
    <hyperlink r:id="rId314" ref="F573"/>
    <hyperlink r:id="rId315" ref="F574"/>
    <hyperlink r:id="rId316" ref="F575"/>
    <hyperlink r:id="rId317" ref="F576"/>
    <hyperlink r:id="rId318" ref="F577"/>
    <hyperlink r:id="rId319" ref="F578"/>
    <hyperlink r:id="rId320" ref="F579"/>
    <hyperlink r:id="rId321" ref="F580"/>
    <hyperlink r:id="rId322" ref="F581"/>
    <hyperlink r:id="rId323" ref="F582"/>
    <hyperlink r:id="rId324" ref="F583"/>
    <hyperlink r:id="rId325" ref="F584"/>
    <hyperlink r:id="rId326" ref="F585"/>
    <hyperlink r:id="rId327" ref="F586"/>
    <hyperlink r:id="rId328" ref="F587"/>
    <hyperlink r:id="rId329" ref="F588"/>
    <hyperlink r:id="rId330" ref="F589"/>
    <hyperlink r:id="rId331" ref="F590"/>
    <hyperlink r:id="rId332" ref="F591"/>
    <hyperlink r:id="rId333" ref="F592"/>
    <hyperlink r:id="rId334" ref="F593"/>
    <hyperlink r:id="rId335" ref="F594"/>
    <hyperlink r:id="rId336" ref="F595"/>
    <hyperlink r:id="rId337" ref="F596"/>
    <hyperlink r:id="rId338" ref="F597"/>
    <hyperlink r:id="rId339" ref="F598"/>
    <hyperlink r:id="rId340" ref="F599"/>
    <hyperlink r:id="rId341" ref="F600"/>
    <hyperlink r:id="rId342" ref="F601"/>
    <hyperlink r:id="rId343" ref="F602"/>
    <hyperlink r:id="rId344" ref="F603"/>
    <hyperlink r:id="rId345" ref="F604"/>
    <hyperlink r:id="rId346" ref="F605"/>
    <hyperlink r:id="rId347" ref="F606"/>
    <hyperlink r:id="rId348" ref="F607"/>
    <hyperlink r:id="rId349" ref="F608"/>
    <hyperlink r:id="rId350" ref="F609"/>
    <hyperlink r:id="rId351" ref="F610"/>
    <hyperlink r:id="rId352" ref="F611"/>
    <hyperlink r:id="rId353" ref="F612"/>
    <hyperlink r:id="rId354" ref="F613"/>
    <hyperlink r:id="rId355" ref="F614"/>
    <hyperlink r:id="rId356" ref="F615"/>
    <hyperlink r:id="rId357" ref="F616"/>
    <hyperlink r:id="rId358" ref="F617"/>
    <hyperlink r:id="rId359" ref="F618"/>
    <hyperlink r:id="rId360" ref="F619"/>
    <hyperlink r:id="rId361" ref="F620"/>
    <hyperlink r:id="rId362" ref="F621"/>
    <hyperlink r:id="rId363" ref="F622"/>
    <hyperlink r:id="rId364" ref="F623"/>
    <hyperlink r:id="rId365" ref="F624"/>
    <hyperlink r:id="rId366" ref="F625"/>
    <hyperlink r:id="rId367" ref="F626"/>
    <hyperlink r:id="rId368" ref="F627"/>
    <hyperlink r:id="rId369" ref="F628"/>
    <hyperlink r:id="rId370" ref="F629"/>
    <hyperlink r:id="rId371" ref="F630"/>
    <hyperlink r:id="rId372" ref="F631"/>
    <hyperlink r:id="rId373" ref="F632"/>
    <hyperlink r:id="rId374" ref="F633"/>
    <hyperlink r:id="rId375" ref="F634"/>
    <hyperlink r:id="rId376" ref="F635"/>
    <hyperlink r:id="rId377" ref="F636"/>
    <hyperlink r:id="rId378" ref="F637"/>
    <hyperlink r:id="rId379" ref="F638"/>
    <hyperlink r:id="rId380" ref="F639"/>
    <hyperlink r:id="rId381" ref="F640"/>
    <hyperlink r:id="rId382" ref="F641"/>
    <hyperlink r:id="rId383" ref="F642"/>
    <hyperlink r:id="rId384" ref="F643"/>
    <hyperlink r:id="rId385" ref="F644"/>
    <hyperlink r:id="rId386" ref="F645"/>
    <hyperlink r:id="rId387" ref="F646"/>
    <hyperlink r:id="rId388" ref="F647"/>
    <hyperlink r:id="rId389" ref="F648"/>
    <hyperlink r:id="rId390" ref="F649"/>
    <hyperlink r:id="rId391" ref="F650"/>
    <hyperlink r:id="rId392" ref="F651"/>
    <hyperlink r:id="rId393" ref="F652"/>
    <hyperlink r:id="rId394" ref="F653"/>
    <hyperlink r:id="rId395" ref="F654"/>
    <hyperlink r:id="rId396" ref="F655"/>
    <hyperlink r:id="rId397" ref="F656"/>
    <hyperlink r:id="rId398" ref="F657"/>
    <hyperlink r:id="rId399" ref="F658"/>
    <hyperlink r:id="rId400" ref="F659"/>
    <hyperlink r:id="rId401" ref="F660"/>
    <hyperlink r:id="rId402" ref="F661"/>
    <hyperlink r:id="rId403" ref="F662"/>
    <hyperlink r:id="rId404" ref="F663"/>
    <hyperlink r:id="rId405" ref="F664"/>
    <hyperlink r:id="rId406" ref="F665"/>
    <hyperlink r:id="rId407" ref="F666"/>
    <hyperlink r:id="rId408" ref="F667"/>
    <hyperlink r:id="rId409" ref="F668"/>
    <hyperlink r:id="rId410" ref="F669"/>
    <hyperlink r:id="rId411" ref="F670"/>
    <hyperlink r:id="rId412" ref="F671"/>
    <hyperlink r:id="rId413" ref="F672"/>
    <hyperlink r:id="rId414" ref="F673"/>
    <hyperlink r:id="rId415" ref="F674"/>
    <hyperlink r:id="rId416" ref="F675"/>
    <hyperlink r:id="rId417" ref="F676"/>
    <hyperlink r:id="rId418" ref="F677"/>
    <hyperlink r:id="rId419" ref="F678"/>
    <hyperlink r:id="rId420" ref="F679"/>
    <hyperlink r:id="rId421" ref="F680"/>
    <hyperlink r:id="rId422" ref="F681"/>
    <hyperlink r:id="rId423" ref="F682"/>
    <hyperlink r:id="rId424" ref="F683"/>
    <hyperlink r:id="rId425" ref="F684"/>
    <hyperlink r:id="rId426" ref="F685"/>
    <hyperlink r:id="rId427" ref="F686"/>
    <hyperlink r:id="rId428" ref="F687"/>
    <hyperlink r:id="rId429" ref="F688"/>
    <hyperlink r:id="rId430" ref="F689"/>
    <hyperlink r:id="rId431" ref="F690"/>
    <hyperlink r:id="rId432" ref="F691"/>
    <hyperlink r:id="rId433" ref="F692"/>
    <hyperlink r:id="rId434" ref="F693"/>
    <hyperlink r:id="rId435" ref="F694"/>
    <hyperlink r:id="rId436" ref="F695"/>
    <hyperlink r:id="rId437" ref="F696"/>
    <hyperlink r:id="rId438" ref="F697"/>
    <hyperlink r:id="rId439" ref="F698"/>
    <hyperlink r:id="rId440" ref="F699"/>
    <hyperlink r:id="rId441" ref="F700"/>
    <hyperlink r:id="rId442" ref="F701"/>
    <hyperlink r:id="rId443" ref="F702"/>
    <hyperlink r:id="rId444" ref="F703"/>
    <hyperlink r:id="rId445" ref="F704"/>
    <hyperlink r:id="rId446" ref="F705"/>
    <hyperlink r:id="rId447" ref="F706"/>
    <hyperlink r:id="rId448" ref="F707"/>
    <hyperlink r:id="rId449" ref="F708"/>
    <hyperlink r:id="rId450" ref="F709"/>
    <hyperlink r:id="rId451" ref="F710"/>
    <hyperlink r:id="rId452" ref="F711"/>
    <hyperlink r:id="rId453" ref="F712"/>
    <hyperlink r:id="rId454" ref="F713"/>
    <hyperlink r:id="rId455" ref="F714"/>
    <hyperlink r:id="rId456" ref="F715"/>
    <hyperlink r:id="rId457" ref="F716"/>
    <hyperlink r:id="rId458" ref="F717"/>
    <hyperlink r:id="rId459" ref="F718"/>
    <hyperlink r:id="rId460" ref="F719"/>
    <hyperlink r:id="rId461" ref="F720"/>
    <hyperlink r:id="rId462" ref="F721"/>
    <hyperlink r:id="rId463" ref="F722"/>
    <hyperlink r:id="rId464" ref="F723"/>
    <hyperlink r:id="rId465" ref="F724"/>
    <hyperlink r:id="rId466" ref="F725"/>
    <hyperlink r:id="rId467" ref="F726"/>
    <hyperlink r:id="rId468" ref="F727"/>
    <hyperlink r:id="rId469" ref="F728"/>
    <hyperlink r:id="rId470" ref="F729"/>
    <hyperlink r:id="rId471" ref="F730"/>
    <hyperlink r:id="rId472" ref="F731"/>
    <hyperlink r:id="rId473" ref="F732"/>
    <hyperlink r:id="rId474" ref="F733"/>
    <hyperlink r:id="rId475" ref="F734"/>
    <hyperlink r:id="rId476" ref="F735"/>
    <hyperlink r:id="rId477" ref="F736"/>
    <hyperlink r:id="rId478" ref="F737"/>
    <hyperlink r:id="rId479" ref="F738"/>
    <hyperlink r:id="rId480" ref="F739"/>
    <hyperlink r:id="rId481" ref="F740"/>
    <hyperlink r:id="rId482" ref="F741"/>
    <hyperlink r:id="rId483" ref="F742"/>
    <hyperlink r:id="rId484" ref="F743"/>
    <hyperlink r:id="rId485" ref="F744"/>
    <hyperlink r:id="rId486" ref="F745"/>
    <hyperlink r:id="rId487" ref="F746"/>
    <hyperlink r:id="rId488" ref="F747"/>
    <hyperlink r:id="rId489" ref="F748"/>
    <hyperlink r:id="rId490" ref="F749"/>
    <hyperlink r:id="rId491" ref="F750"/>
    <hyperlink r:id="rId492" ref="F751"/>
    <hyperlink r:id="rId493" ref="F752"/>
    <hyperlink r:id="rId494" ref="F753"/>
    <hyperlink r:id="rId495" ref="F754"/>
    <hyperlink r:id="rId496" ref="F755"/>
    <hyperlink r:id="rId497" ref="F756"/>
    <hyperlink r:id="rId498" ref="F757"/>
    <hyperlink r:id="rId499" ref="F758"/>
    <hyperlink r:id="rId500" ref="F759"/>
    <hyperlink r:id="rId501" ref="F760"/>
    <hyperlink r:id="rId502" ref="F761"/>
    <hyperlink r:id="rId503" ref="F762"/>
    <hyperlink r:id="rId504" ref="F763"/>
    <hyperlink r:id="rId505" ref="F764"/>
    <hyperlink r:id="rId506" ref="F765"/>
    <hyperlink r:id="rId507" ref="F766"/>
    <hyperlink r:id="rId508" ref="F767"/>
    <hyperlink r:id="rId509" ref="F768"/>
    <hyperlink r:id="rId510" ref="F769"/>
    <hyperlink r:id="rId511" ref="F770"/>
    <hyperlink r:id="rId512" ref="F771"/>
    <hyperlink r:id="rId513" ref="F772"/>
    <hyperlink r:id="rId514" ref="F773"/>
    <hyperlink r:id="rId515" ref="F774"/>
    <hyperlink r:id="rId516" ref="F775"/>
    <hyperlink r:id="rId517" ref="F776"/>
    <hyperlink r:id="rId518" ref="F777"/>
    <hyperlink r:id="rId519" ref="F778"/>
    <hyperlink r:id="rId520" ref="F779"/>
    <hyperlink r:id="rId521" ref="F780"/>
    <hyperlink r:id="rId522" ref="F781"/>
    <hyperlink r:id="rId523" ref="F782"/>
    <hyperlink r:id="rId524" ref="F783"/>
    <hyperlink r:id="rId525" ref="F784"/>
    <hyperlink r:id="rId526" ref="F785"/>
    <hyperlink r:id="rId527" ref="F786"/>
    <hyperlink r:id="rId528" ref="F787"/>
    <hyperlink r:id="rId529" ref="F788"/>
    <hyperlink r:id="rId530" ref="F789"/>
    <hyperlink r:id="rId531" ref="F790"/>
    <hyperlink r:id="rId532" ref="F791"/>
    <hyperlink r:id="rId533" ref="F792"/>
    <hyperlink r:id="rId534" ref="F793"/>
    <hyperlink r:id="rId535" ref="F794"/>
    <hyperlink r:id="rId536" ref="F795"/>
    <hyperlink r:id="rId537" ref="F796"/>
    <hyperlink r:id="rId538" ref="F797"/>
    <hyperlink r:id="rId539" ref="F798"/>
    <hyperlink r:id="rId540" ref="F799"/>
    <hyperlink r:id="rId541" ref="F800"/>
    <hyperlink r:id="rId542" ref="F801"/>
    <hyperlink r:id="rId543" ref="F802"/>
    <hyperlink r:id="rId544" ref="F803"/>
    <hyperlink r:id="rId545" ref="F804"/>
    <hyperlink r:id="rId546" ref="F805"/>
    <hyperlink r:id="rId547" ref="F806"/>
    <hyperlink r:id="rId548" ref="F807"/>
    <hyperlink r:id="rId549" ref="F808"/>
    <hyperlink r:id="rId550" ref="F809"/>
    <hyperlink r:id="rId551" ref="F810"/>
    <hyperlink r:id="rId552" ref="F811"/>
    <hyperlink r:id="rId553" ref="F812"/>
    <hyperlink r:id="rId554" ref="F813"/>
    <hyperlink r:id="rId555" ref="F814"/>
    <hyperlink r:id="rId556" ref="F815"/>
    <hyperlink r:id="rId557" ref="F816"/>
    <hyperlink r:id="rId558" ref="F817"/>
    <hyperlink r:id="rId559" ref="F818"/>
    <hyperlink r:id="rId560" ref="F819"/>
    <hyperlink r:id="rId561" ref="F820"/>
    <hyperlink r:id="rId562" ref="F821"/>
    <hyperlink r:id="rId563" ref="F822"/>
    <hyperlink r:id="rId564" ref="F823"/>
    <hyperlink r:id="rId565" ref="F824"/>
    <hyperlink r:id="rId566" ref="F825"/>
    <hyperlink r:id="rId567" ref="F826"/>
    <hyperlink r:id="rId568" ref="F827"/>
    <hyperlink r:id="rId569" ref="F828"/>
    <hyperlink r:id="rId570" ref="F829"/>
    <hyperlink r:id="rId571" ref="F830"/>
    <hyperlink r:id="rId572" ref="F831"/>
    <hyperlink r:id="rId573" ref="F832"/>
    <hyperlink r:id="rId574" ref="F833"/>
    <hyperlink r:id="rId575" ref="F834"/>
    <hyperlink r:id="rId576" ref="F835"/>
    <hyperlink r:id="rId577" ref="F836"/>
    <hyperlink r:id="rId578" ref="F837"/>
    <hyperlink r:id="rId579" ref="F838"/>
    <hyperlink r:id="rId580" ref="F839"/>
    <hyperlink r:id="rId581" ref="F840"/>
    <hyperlink r:id="rId582" ref="F841"/>
    <hyperlink r:id="rId583" ref="F842"/>
    <hyperlink r:id="rId584" ref="F843"/>
    <hyperlink r:id="rId585" ref="F844"/>
    <hyperlink r:id="rId586" ref="F845"/>
    <hyperlink r:id="rId587" ref="F846"/>
    <hyperlink r:id="rId588" ref="F847"/>
    <hyperlink r:id="rId589" ref="F848"/>
    <hyperlink r:id="rId590" ref="F849"/>
    <hyperlink r:id="rId591" ref="F850"/>
    <hyperlink r:id="rId592" ref="F851"/>
    <hyperlink r:id="rId593" ref="F852"/>
    <hyperlink r:id="rId594" ref="F853"/>
    <hyperlink r:id="rId595" ref="F854"/>
    <hyperlink r:id="rId596" ref="F855"/>
    <hyperlink r:id="rId597" ref="F856"/>
    <hyperlink r:id="rId598" ref="F857"/>
    <hyperlink r:id="rId599" ref="F858"/>
    <hyperlink r:id="rId600" ref="F859"/>
    <hyperlink r:id="rId601" ref="F860"/>
    <hyperlink r:id="rId602" ref="F861"/>
    <hyperlink r:id="rId603" ref="F862"/>
    <hyperlink r:id="rId604" ref="F863"/>
    <hyperlink r:id="rId605" ref="F864"/>
    <hyperlink r:id="rId606" ref="F865"/>
    <hyperlink r:id="rId607" ref="F866"/>
    <hyperlink r:id="rId608" ref="F867"/>
    <hyperlink r:id="rId609" ref="F868"/>
    <hyperlink r:id="rId610" ref="F869"/>
    <hyperlink r:id="rId611" ref="F870"/>
    <hyperlink r:id="rId612" ref="F871"/>
    <hyperlink r:id="rId613" ref="F872"/>
    <hyperlink r:id="rId614" ref="F873"/>
    <hyperlink r:id="rId615" ref="F874"/>
    <hyperlink r:id="rId616" ref="F875"/>
    <hyperlink r:id="rId617" ref="F876"/>
    <hyperlink r:id="rId618" ref="F877"/>
    <hyperlink r:id="rId619" ref="F878"/>
    <hyperlink r:id="rId620" ref="F879"/>
    <hyperlink r:id="rId621" ref="F880"/>
    <hyperlink r:id="rId622" ref="F881"/>
    <hyperlink r:id="rId623" ref="F882"/>
    <hyperlink r:id="rId624" ref="F883"/>
    <hyperlink r:id="rId625" ref="F884"/>
    <hyperlink r:id="rId626" ref="F885"/>
    <hyperlink r:id="rId627" ref="F886"/>
    <hyperlink r:id="rId628" ref="F887"/>
    <hyperlink r:id="rId629" ref="F888"/>
    <hyperlink r:id="rId630" ref="F889"/>
    <hyperlink r:id="rId631" ref="F890"/>
    <hyperlink r:id="rId632" ref="F891"/>
    <hyperlink r:id="rId633" ref="F892"/>
    <hyperlink r:id="rId634" ref="F893"/>
    <hyperlink r:id="rId635" ref="F894"/>
    <hyperlink r:id="rId636" ref="F895"/>
    <hyperlink r:id="rId637" ref="F896"/>
    <hyperlink r:id="rId638" ref="F897"/>
    <hyperlink r:id="rId639" ref="F898"/>
    <hyperlink r:id="rId640" ref="F899"/>
    <hyperlink r:id="rId641" ref="F900"/>
    <hyperlink r:id="rId642" ref="F901"/>
    <hyperlink r:id="rId643" ref="F902"/>
    <hyperlink r:id="rId644" ref="F903"/>
    <hyperlink r:id="rId645" ref="F904"/>
    <hyperlink r:id="rId646" ref="F905"/>
    <hyperlink r:id="rId647" ref="F906"/>
    <hyperlink r:id="rId648" ref="F907"/>
    <hyperlink r:id="rId649" ref="F908"/>
    <hyperlink r:id="rId650" ref="F909"/>
    <hyperlink r:id="rId651" ref="F910"/>
    <hyperlink r:id="rId652" ref="F911"/>
    <hyperlink r:id="rId653" ref="F912"/>
    <hyperlink r:id="rId654" ref="F913"/>
    <hyperlink r:id="rId655" ref="F914"/>
    <hyperlink r:id="rId656" ref="F915"/>
    <hyperlink r:id="rId657" ref="F916"/>
    <hyperlink r:id="rId658" ref="F917"/>
    <hyperlink r:id="rId659" ref="F918"/>
    <hyperlink r:id="rId660" ref="F919"/>
    <hyperlink r:id="rId661" ref="F920"/>
    <hyperlink r:id="rId662" ref="F921"/>
    <hyperlink r:id="rId663" ref="F922"/>
    <hyperlink r:id="rId664" ref="F923"/>
    <hyperlink r:id="rId665" ref="F924"/>
    <hyperlink r:id="rId666" ref="F925"/>
    <hyperlink r:id="rId667" ref="F926"/>
    <hyperlink r:id="rId668" ref="F927"/>
    <hyperlink r:id="rId669" ref="F928"/>
    <hyperlink r:id="rId670" ref="F929"/>
    <hyperlink r:id="rId671" ref="F930"/>
    <hyperlink r:id="rId672" ref="F931"/>
    <hyperlink r:id="rId673" ref="F932"/>
    <hyperlink r:id="rId674" ref="F933"/>
    <hyperlink r:id="rId675" ref="F934"/>
    <hyperlink r:id="rId676" ref="F935"/>
    <hyperlink r:id="rId677" ref="F936"/>
    <hyperlink r:id="rId678" ref="F937"/>
    <hyperlink r:id="rId679" ref="F938"/>
    <hyperlink r:id="rId680" ref="F939"/>
    <hyperlink r:id="rId681" ref="F940"/>
    <hyperlink r:id="rId682" ref="F941"/>
    <hyperlink r:id="rId683" ref="F942"/>
    <hyperlink r:id="rId684" ref="F943"/>
    <hyperlink r:id="rId685" ref="F944"/>
    <hyperlink r:id="rId686" ref="F945"/>
    <hyperlink r:id="rId687" ref="F946"/>
    <hyperlink r:id="rId688" ref="F947"/>
    <hyperlink r:id="rId689" ref="F948"/>
    <hyperlink r:id="rId690" ref="F949"/>
    <hyperlink r:id="rId691" ref="F950"/>
    <hyperlink r:id="rId692" ref="F951"/>
    <hyperlink r:id="rId693" ref="F952"/>
    <hyperlink r:id="rId694" ref="F953"/>
    <hyperlink r:id="rId695" ref="F954"/>
    <hyperlink r:id="rId696" ref="F955"/>
    <hyperlink r:id="rId697" ref="F956"/>
    <hyperlink r:id="rId698" ref="F957"/>
    <hyperlink r:id="rId699" ref="F958"/>
    <hyperlink r:id="rId700" ref="F959"/>
    <hyperlink r:id="rId701" ref="F960"/>
    <hyperlink r:id="rId702" ref="F965"/>
    <hyperlink r:id="rId703" ref="F966"/>
    <hyperlink r:id="rId704" ref="F967"/>
    <hyperlink r:id="rId705" ref="F968"/>
    <hyperlink r:id="rId706" ref="F969"/>
    <hyperlink r:id="rId707" ref="F970"/>
    <hyperlink r:id="rId708" ref="F971"/>
    <hyperlink r:id="rId709" ref="F972"/>
    <hyperlink r:id="rId710" ref="F973"/>
    <hyperlink r:id="rId711" ref="F974"/>
    <hyperlink r:id="rId712" ref="F975"/>
    <hyperlink r:id="rId713" ref="F976"/>
    <hyperlink r:id="rId714" ref="F977"/>
    <hyperlink r:id="rId715" ref="F978"/>
    <hyperlink r:id="rId716" ref="F979"/>
    <hyperlink r:id="rId717" ref="F980"/>
    <hyperlink r:id="rId718" ref="F981"/>
    <hyperlink r:id="rId719" ref="F982"/>
    <hyperlink r:id="rId720" ref="F983"/>
    <hyperlink r:id="rId721" ref="F984"/>
    <hyperlink r:id="rId722" ref="F985"/>
    <hyperlink r:id="rId723" ref="F986"/>
    <hyperlink r:id="rId724" ref="F987"/>
    <hyperlink r:id="rId725" ref="F988"/>
    <hyperlink r:id="rId726" ref="F989"/>
    <hyperlink r:id="rId727" ref="F990"/>
    <hyperlink r:id="rId728" ref="F991"/>
    <hyperlink r:id="rId729" ref="F992"/>
    <hyperlink r:id="rId730" ref="F993"/>
    <hyperlink r:id="rId731" ref="F994"/>
    <hyperlink r:id="rId732" ref="F995"/>
    <hyperlink r:id="rId733" ref="F996"/>
    <hyperlink r:id="rId734" ref="F997"/>
    <hyperlink r:id="rId735" ref="F998"/>
    <hyperlink r:id="rId736" ref="F999"/>
    <hyperlink r:id="rId737" ref="F1000"/>
    <hyperlink r:id="rId738" ref="F1001"/>
    <hyperlink r:id="rId739" ref="F1002"/>
    <hyperlink r:id="rId740" ref="F1003"/>
    <hyperlink r:id="rId741" ref="F1004"/>
    <hyperlink r:id="rId742" ref="F1025"/>
    <hyperlink r:id="rId743" ref="F1026"/>
    <hyperlink r:id="rId744" ref="F1027"/>
    <hyperlink r:id="rId745" ref="F1028"/>
    <hyperlink r:id="rId746" ref="F1029"/>
    <hyperlink r:id="rId747" ref="F1030"/>
    <hyperlink r:id="rId748" ref="F1031"/>
    <hyperlink r:id="rId749" ref="F1032"/>
    <hyperlink r:id="rId750" ref="F1033"/>
    <hyperlink r:id="rId751" ref="F1034"/>
    <hyperlink r:id="rId752" ref="F1044"/>
    <hyperlink r:id="rId753" ref="F1045"/>
    <hyperlink r:id="rId754" ref="F1046"/>
    <hyperlink r:id="rId755" ref="F1047"/>
    <hyperlink r:id="rId756" ref="F1048"/>
    <hyperlink r:id="rId757" ref="F1049"/>
    <hyperlink r:id="rId758" ref="F1050"/>
  </hyperlinks>
  <drawing r:id="rId759"/>
  <legacyDrawing r:id="rId760"/>
  <tableParts count="1">
    <tablePart r:id="rId762"/>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3.5"/>
    <col customWidth="1" min="2" max="2" width="36.0"/>
    <col customWidth="1" min="3" max="3" width="29.25"/>
  </cols>
  <sheetData>
    <row r="1">
      <c r="A1" s="18" t="s">
        <v>0</v>
      </c>
      <c r="B1" s="231" t="s">
        <v>1684</v>
      </c>
      <c r="C1" s="231" t="s">
        <v>1687</v>
      </c>
    </row>
    <row r="2">
      <c r="A2" s="18">
        <v>1.0</v>
      </c>
      <c r="B2" s="232" t="s">
        <v>1688</v>
      </c>
      <c r="C2" s="18" t="s">
        <v>516</v>
      </c>
    </row>
    <row r="3">
      <c r="A3" s="18">
        <v>2.0</v>
      </c>
      <c r="B3" s="232" t="s">
        <v>1690</v>
      </c>
      <c r="C3" s="18" t="s">
        <v>516</v>
      </c>
    </row>
    <row r="4">
      <c r="A4" s="18">
        <v>3.0</v>
      </c>
      <c r="B4" s="232" t="s">
        <v>1692</v>
      </c>
      <c r="C4" s="18" t="s">
        <v>516</v>
      </c>
    </row>
    <row r="5">
      <c r="A5" s="18">
        <v>4.0</v>
      </c>
      <c r="B5" s="232" t="s">
        <v>1693</v>
      </c>
      <c r="C5" s="18" t="s">
        <v>1618</v>
      </c>
    </row>
    <row r="6">
      <c r="A6" s="18">
        <v>5.0</v>
      </c>
      <c r="B6" s="232" t="s">
        <v>1694</v>
      </c>
      <c r="C6" s="18" t="s">
        <v>1618</v>
      </c>
    </row>
    <row r="7">
      <c r="A7" s="18">
        <v>6.0</v>
      </c>
      <c r="B7" s="232" t="s">
        <v>1695</v>
      </c>
      <c r="C7" s="18"/>
    </row>
    <row r="8">
      <c r="A8" s="18">
        <v>7.0</v>
      </c>
      <c r="B8" s="232" t="s">
        <v>1696</v>
      </c>
    </row>
    <row r="9">
      <c r="A9" s="18">
        <v>8.0</v>
      </c>
      <c r="B9" s="232" t="s">
        <v>1697</v>
      </c>
    </row>
    <row r="10">
      <c r="A10" s="18">
        <v>9.0</v>
      </c>
      <c r="B10" s="232" t="s">
        <v>1698</v>
      </c>
    </row>
    <row r="11">
      <c r="A11" s="18">
        <v>10.0</v>
      </c>
      <c r="B11" s="232" t="s">
        <v>1700</v>
      </c>
    </row>
    <row r="12">
      <c r="A12" s="18">
        <v>11.0</v>
      </c>
      <c r="B12" s="232" t="s">
        <v>1701</v>
      </c>
    </row>
    <row r="13">
      <c r="A13" s="18">
        <v>12.0</v>
      </c>
      <c r="B13" s="232" t="s">
        <v>1702</v>
      </c>
    </row>
    <row r="14">
      <c r="A14" s="18">
        <v>13.0</v>
      </c>
      <c r="B14" s="232" t="s">
        <v>1703</v>
      </c>
    </row>
    <row r="15">
      <c r="A15" s="18">
        <v>14.0</v>
      </c>
      <c r="B15" s="232" t="s">
        <v>1704</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5.38"/>
    <col customWidth="1" min="2" max="2" width="30.75"/>
    <col customWidth="1" min="3" max="3" width="27.63"/>
  </cols>
  <sheetData>
    <row r="1">
      <c r="A1" s="18"/>
      <c r="B1" s="18" t="s">
        <v>1710</v>
      </c>
      <c r="C1" s="18" t="s">
        <v>1711</v>
      </c>
      <c r="D1" s="233" t="str">
        <f>HYPERLINK("#rangeid=868851295","Course Name")</f>
        <v>Course Name</v>
      </c>
    </row>
    <row r="2">
      <c r="A2" s="18">
        <v>1.0</v>
      </c>
      <c r="B2" s="18" t="s">
        <v>1714</v>
      </c>
    </row>
    <row r="3">
      <c r="A3" s="18">
        <v>2.0</v>
      </c>
      <c r="B3" s="18" t="s">
        <v>1715</v>
      </c>
    </row>
    <row r="4">
      <c r="A4" s="18">
        <v>3.0</v>
      </c>
      <c r="B4" s="18" t="s">
        <v>1716</v>
      </c>
    </row>
    <row r="5">
      <c r="A5" s="18">
        <v>4.0</v>
      </c>
      <c r="B5" s="18" t="s">
        <v>1717</v>
      </c>
    </row>
    <row r="6">
      <c r="A6" s="18">
        <v>5.0</v>
      </c>
      <c r="B6" s="18" t="s">
        <v>1720</v>
      </c>
    </row>
    <row r="7">
      <c r="A7" s="18">
        <v>6.0</v>
      </c>
      <c r="B7" s="18" t="s">
        <v>1721</v>
      </c>
    </row>
    <row r="8">
      <c r="A8" s="18">
        <v>7.0</v>
      </c>
      <c r="B8" s="18" t="s">
        <v>1722</v>
      </c>
    </row>
    <row r="9">
      <c r="A9" s="18">
        <v>8.0</v>
      </c>
      <c r="B9" s="18" t="s">
        <v>1723</v>
      </c>
    </row>
    <row r="10">
      <c r="A10" s="18">
        <v>9.0</v>
      </c>
      <c r="B10" s="18" t="s">
        <v>1724</v>
      </c>
    </row>
    <row r="11">
      <c r="A11" s="18">
        <v>10.0</v>
      </c>
      <c r="B11" s="18" t="s">
        <v>1725</v>
      </c>
    </row>
    <row r="12">
      <c r="A12" s="18">
        <v>11.0</v>
      </c>
      <c r="B12" s="18" t="s">
        <v>1694</v>
      </c>
    </row>
    <row r="13">
      <c r="A13" s="18">
        <v>12.0</v>
      </c>
      <c r="B13" s="18" t="s">
        <v>1726</v>
      </c>
    </row>
    <row r="14">
      <c r="A14" s="18">
        <v>13.0</v>
      </c>
      <c r="B14" s="18" t="s">
        <v>1727</v>
      </c>
    </row>
    <row r="15">
      <c r="A15" s="18">
        <v>14.0</v>
      </c>
      <c r="B15" s="18" t="s">
        <v>1728</v>
      </c>
    </row>
    <row r="16">
      <c r="A16" s="18">
        <v>15.0</v>
      </c>
      <c r="B16" s="18" t="s">
        <v>1729</v>
      </c>
    </row>
    <row r="17">
      <c r="A17" s="18">
        <v>16.0</v>
      </c>
      <c r="B17" s="18" t="s">
        <v>1730</v>
      </c>
    </row>
    <row r="18">
      <c r="A18" s="18">
        <v>17.0</v>
      </c>
      <c r="B18" s="18" t="s">
        <v>1731</v>
      </c>
    </row>
    <row r="19">
      <c r="A19" s="18">
        <v>18.0</v>
      </c>
      <c r="B19" s="18" t="s">
        <v>1732</v>
      </c>
    </row>
    <row r="20">
      <c r="A20" s="18">
        <v>19.0</v>
      </c>
      <c r="B20" s="18" t="s">
        <v>1733</v>
      </c>
    </row>
    <row r="21">
      <c r="A21" s="18">
        <v>20.0</v>
      </c>
      <c r="B21" s="18" t="s">
        <v>1734</v>
      </c>
    </row>
    <row r="22">
      <c r="A22" s="18">
        <v>21.0</v>
      </c>
      <c r="B22" s="18" t="s">
        <v>1735</v>
      </c>
    </row>
    <row r="23">
      <c r="A23" s="18">
        <v>22.0</v>
      </c>
      <c r="B23" s="18" t="s">
        <v>1736</v>
      </c>
    </row>
    <row r="24">
      <c r="A24" s="18">
        <v>23.0</v>
      </c>
      <c r="B24" s="18" t="s">
        <v>1737</v>
      </c>
    </row>
    <row r="25">
      <c r="A25" s="18">
        <v>24.0</v>
      </c>
      <c r="B25" s="18" t="s">
        <v>1738</v>
      </c>
    </row>
    <row r="26">
      <c r="A26" s="18">
        <v>25.0</v>
      </c>
      <c r="B26" s="18" t="s">
        <v>1739</v>
      </c>
    </row>
    <row r="27">
      <c r="A27" s="18">
        <v>26.0</v>
      </c>
      <c r="B27" s="18" t="s">
        <v>1740</v>
      </c>
    </row>
    <row r="28">
      <c r="A28" s="18">
        <v>27.0</v>
      </c>
      <c r="B28" s="18" t="s">
        <v>1741</v>
      </c>
    </row>
    <row r="29">
      <c r="A29" s="18">
        <v>28.0</v>
      </c>
      <c r="B29" s="18" t="s">
        <v>1742</v>
      </c>
    </row>
    <row r="30">
      <c r="A30" s="18">
        <v>29.0</v>
      </c>
      <c r="B30" s="18" t="s">
        <v>1743</v>
      </c>
    </row>
    <row r="31">
      <c r="A31" s="18">
        <v>30.0</v>
      </c>
      <c r="B31" s="18" t="s">
        <v>1744</v>
      </c>
    </row>
    <row r="32">
      <c r="A32" s="18">
        <v>31.0</v>
      </c>
      <c r="B32" s="18" t="s">
        <v>1745</v>
      </c>
    </row>
    <row r="33">
      <c r="A33" s="18">
        <v>32.0</v>
      </c>
      <c r="B33" s="18" t="s">
        <v>1747</v>
      </c>
    </row>
    <row r="34">
      <c r="A34" s="18">
        <v>33.0</v>
      </c>
      <c r="B34" s="18" t="s">
        <v>1748</v>
      </c>
    </row>
    <row r="35">
      <c r="A35" s="18">
        <v>34.0</v>
      </c>
      <c r="B35" s="18" t="s">
        <v>1750</v>
      </c>
    </row>
    <row r="36">
      <c r="A36" s="18">
        <v>35.0</v>
      </c>
      <c r="B36" s="18" t="s">
        <v>1751</v>
      </c>
    </row>
    <row r="37">
      <c r="A37" s="18">
        <v>36.0</v>
      </c>
      <c r="B37" s="18" t="s">
        <v>1752</v>
      </c>
    </row>
    <row r="38">
      <c r="A38" s="18">
        <v>37.0</v>
      </c>
      <c r="B38" s="18" t="s">
        <v>1753</v>
      </c>
    </row>
    <row r="39">
      <c r="A39" s="18">
        <v>38.0</v>
      </c>
      <c r="B39" s="18" t="s">
        <v>1754</v>
      </c>
    </row>
    <row r="40">
      <c r="A40" s="18">
        <v>39.0</v>
      </c>
      <c r="B40" s="18" t="s">
        <v>1755</v>
      </c>
    </row>
    <row r="41">
      <c r="A41" s="18">
        <v>40.0</v>
      </c>
      <c r="B41" s="18" t="s">
        <v>1756</v>
      </c>
    </row>
    <row r="42">
      <c r="A42" s="18">
        <v>41.0</v>
      </c>
      <c r="B42" s="18" t="s">
        <v>1757</v>
      </c>
    </row>
    <row r="43">
      <c r="A43" s="18">
        <v>42.0</v>
      </c>
      <c r="B43" s="18" t="s">
        <v>1758</v>
      </c>
    </row>
    <row r="44">
      <c r="A44" s="18">
        <v>43.0</v>
      </c>
      <c r="B44" s="18" t="s">
        <v>1759</v>
      </c>
    </row>
    <row r="45">
      <c r="A45" s="18">
        <v>44.0</v>
      </c>
      <c r="B45" s="18" t="s">
        <v>1760</v>
      </c>
    </row>
    <row r="46">
      <c r="A46" s="18">
        <v>45.0</v>
      </c>
      <c r="B46" s="18" t="s">
        <v>1761</v>
      </c>
    </row>
    <row r="47">
      <c r="A47" s="18">
        <v>46.0</v>
      </c>
      <c r="B47" s="18" t="s">
        <v>1762</v>
      </c>
    </row>
    <row r="48">
      <c r="A48" s="18">
        <v>47.0</v>
      </c>
      <c r="B48" s="18" t="s">
        <v>1763</v>
      </c>
    </row>
    <row r="49">
      <c r="A49" s="18">
        <v>48.0</v>
      </c>
      <c r="B49" s="18" t="s">
        <v>1764</v>
      </c>
    </row>
    <row r="50">
      <c r="A50" s="18">
        <v>49.0</v>
      </c>
      <c r="B50" s="18" t="s">
        <v>1765</v>
      </c>
    </row>
    <row r="51">
      <c r="A51" s="18">
        <v>50.0</v>
      </c>
      <c r="B51" s="18" t="s">
        <v>1766</v>
      </c>
    </row>
    <row r="52">
      <c r="A52" s="18">
        <v>51.0</v>
      </c>
      <c r="B52" s="18" t="s">
        <v>1767</v>
      </c>
    </row>
    <row r="53">
      <c r="A53" s="18">
        <v>52.0</v>
      </c>
      <c r="B53" s="18" t="s">
        <v>1768</v>
      </c>
    </row>
    <row r="54">
      <c r="A54" s="18">
        <v>53.0</v>
      </c>
      <c r="B54" s="18" t="s">
        <v>1769</v>
      </c>
    </row>
    <row r="55">
      <c r="A55" s="18">
        <v>54.0</v>
      </c>
      <c r="B55" s="18" t="s">
        <v>1770</v>
      </c>
    </row>
    <row r="56">
      <c r="A56" s="18">
        <v>55.0</v>
      </c>
      <c r="B56" s="18" t="s">
        <v>1771</v>
      </c>
    </row>
    <row r="57">
      <c r="A57" s="18">
        <v>56.0</v>
      </c>
      <c r="B57" s="18" t="s">
        <v>1772</v>
      </c>
    </row>
    <row r="58">
      <c r="A58" s="18">
        <v>57.0</v>
      </c>
      <c r="B58" s="18" t="s">
        <v>1773</v>
      </c>
    </row>
    <row r="59">
      <c r="A59" s="18">
        <v>58.0</v>
      </c>
      <c r="B59" s="18" t="s">
        <v>1774</v>
      </c>
    </row>
    <row r="60">
      <c r="A60" s="18">
        <v>59.0</v>
      </c>
      <c r="B60" s="18" t="s">
        <v>1775</v>
      </c>
    </row>
    <row r="61">
      <c r="A61" s="18">
        <v>60.0</v>
      </c>
      <c r="B61" s="18" t="s">
        <v>1777</v>
      </c>
    </row>
    <row r="62">
      <c r="A62" s="18">
        <v>61.0</v>
      </c>
      <c r="B62" s="18" t="s">
        <v>1779</v>
      </c>
    </row>
    <row r="63">
      <c r="A63" s="18">
        <v>62.0</v>
      </c>
      <c r="B63" s="18" t="s">
        <v>1780</v>
      </c>
    </row>
    <row r="64">
      <c r="A64" s="18">
        <v>63.0</v>
      </c>
      <c r="B64" s="18" t="s">
        <v>1781</v>
      </c>
    </row>
    <row r="65">
      <c r="A65" s="18">
        <v>64.0</v>
      </c>
      <c r="B65" s="18" t="s">
        <v>1782</v>
      </c>
    </row>
    <row r="66">
      <c r="A66" s="18">
        <v>65.0</v>
      </c>
      <c r="B66" s="18" t="s">
        <v>1784</v>
      </c>
    </row>
    <row r="67">
      <c r="A67" s="18">
        <v>66.0</v>
      </c>
      <c r="B67" s="18" t="s">
        <v>1785</v>
      </c>
    </row>
    <row r="68">
      <c r="A68" s="18">
        <v>67.0</v>
      </c>
      <c r="B68" s="234" t="s">
        <v>1786</v>
      </c>
    </row>
    <row r="69">
      <c r="A69" s="18">
        <v>68.0</v>
      </c>
    </row>
    <row r="70">
      <c r="A70" s="18">
        <v>69.0</v>
      </c>
    </row>
  </sheetData>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5.63"/>
    <col customWidth="1" min="2" max="2" width="20.13"/>
    <col customWidth="1" min="3" max="3" width="11.0"/>
    <col customWidth="1" min="4" max="4" width="23.5"/>
    <col customWidth="1" min="5" max="5" width="15.5"/>
    <col customWidth="1" min="6" max="6" width="27.5"/>
    <col customWidth="1" min="7" max="26" width="11.0"/>
  </cols>
  <sheetData>
    <row r="1">
      <c r="A1" s="235" t="s">
        <v>1796</v>
      </c>
      <c r="B1" s="223" t="s">
        <v>1797</v>
      </c>
      <c r="C1" s="223"/>
      <c r="D1" s="223"/>
      <c r="E1" s="223"/>
      <c r="F1" s="223"/>
    </row>
    <row r="2">
      <c r="A2" s="235" t="s">
        <v>1798</v>
      </c>
      <c r="B2" s="223" t="s">
        <v>1799</v>
      </c>
      <c r="C2" s="223"/>
      <c r="D2" s="223"/>
      <c r="E2" s="223"/>
      <c r="F2" s="223"/>
    </row>
    <row r="3">
      <c r="A3" s="235" t="s">
        <v>1800</v>
      </c>
      <c r="B3" s="223" t="s">
        <v>1801</v>
      </c>
      <c r="C3" s="223"/>
      <c r="D3" s="236"/>
      <c r="E3" s="223"/>
      <c r="F3" s="223"/>
    </row>
    <row r="4">
      <c r="A4" s="235" t="s">
        <v>1804</v>
      </c>
      <c r="B4" s="223" t="s">
        <v>1805</v>
      </c>
      <c r="C4" s="223"/>
      <c r="D4" s="236"/>
      <c r="E4" s="223"/>
      <c r="F4" s="223"/>
    </row>
    <row r="5">
      <c r="A5" s="235" t="s">
        <v>1806</v>
      </c>
      <c r="B5" s="223"/>
      <c r="C5" s="223"/>
      <c r="D5" s="236"/>
      <c r="E5" s="223"/>
      <c r="F5" s="223"/>
    </row>
    <row r="6">
      <c r="A6" s="236" t="s">
        <v>0</v>
      </c>
      <c r="B6" s="223" t="s">
        <v>1807</v>
      </c>
      <c r="C6" s="223" t="s">
        <v>1808</v>
      </c>
      <c r="D6" s="223" t="s">
        <v>1809</v>
      </c>
      <c r="E6" s="223" t="s">
        <v>1810</v>
      </c>
      <c r="F6" s="223" t="s">
        <v>1811</v>
      </c>
    </row>
    <row r="7">
      <c r="A7" s="236">
        <v>1.0</v>
      </c>
      <c r="B7" s="223" t="s">
        <v>1607</v>
      </c>
      <c r="C7" s="223" t="s">
        <v>1812</v>
      </c>
      <c r="D7" s="223" t="s">
        <v>1813</v>
      </c>
      <c r="E7" s="223" t="s">
        <v>1814</v>
      </c>
      <c r="F7" s="223" t="s">
        <v>1815</v>
      </c>
    </row>
    <row r="8">
      <c r="A8" s="236">
        <v>2.0</v>
      </c>
      <c r="B8" s="223" t="s">
        <v>1615</v>
      </c>
      <c r="C8" s="223" t="s">
        <v>1812</v>
      </c>
      <c r="D8" s="223" t="s">
        <v>1816</v>
      </c>
      <c r="E8" s="223" t="s">
        <v>1817</v>
      </c>
      <c r="F8" s="223" t="s">
        <v>1815</v>
      </c>
    </row>
    <row r="9">
      <c r="A9" s="236">
        <v>3.0</v>
      </c>
      <c r="B9" s="223" t="s">
        <v>1819</v>
      </c>
      <c r="C9" s="223" t="s">
        <v>1812</v>
      </c>
      <c r="D9" s="237" t="s">
        <v>1821</v>
      </c>
      <c r="E9" s="223" t="s">
        <v>1824</v>
      </c>
      <c r="F9" s="223" t="s">
        <v>1815</v>
      </c>
    </row>
    <row r="10">
      <c r="A10" s="236">
        <v>4.0</v>
      </c>
      <c r="B10" s="236" t="s">
        <v>1825</v>
      </c>
      <c r="C10" s="236" t="s">
        <v>1826</v>
      </c>
      <c r="D10" s="223" t="s">
        <v>1827</v>
      </c>
      <c r="E10" s="223" t="s">
        <v>1828</v>
      </c>
      <c r="F10" s="223" t="s">
        <v>1815</v>
      </c>
    </row>
    <row r="11">
      <c r="A11" s="236">
        <v>5.0</v>
      </c>
      <c r="B11" s="237" t="s">
        <v>1829</v>
      </c>
      <c r="C11" s="238" t="s">
        <v>1830</v>
      </c>
      <c r="D11" s="237" t="s">
        <v>1831</v>
      </c>
      <c r="E11" s="223" t="s">
        <v>1832</v>
      </c>
      <c r="F11" s="223" t="s">
        <v>1833</v>
      </c>
    </row>
    <row r="12">
      <c r="A12" s="236">
        <v>6.0</v>
      </c>
      <c r="B12" s="227" t="s">
        <v>1619</v>
      </c>
      <c r="C12" s="238" t="s">
        <v>1830</v>
      </c>
      <c r="D12" s="227" t="s">
        <v>1834</v>
      </c>
      <c r="E12" s="236" t="s">
        <v>1835</v>
      </c>
      <c r="F12" s="227" t="s">
        <v>1836</v>
      </c>
    </row>
    <row r="13">
      <c r="A13" s="236">
        <v>7.0</v>
      </c>
      <c r="B13" s="227" t="s">
        <v>1837</v>
      </c>
      <c r="C13" s="236"/>
      <c r="D13" s="18" t="s">
        <v>1838</v>
      </c>
      <c r="E13" s="236"/>
      <c r="F13" s="223" t="s">
        <v>1815</v>
      </c>
    </row>
    <row r="14">
      <c r="A14" s="236">
        <v>8.0</v>
      </c>
      <c r="B14" s="236" t="s">
        <v>1622</v>
      </c>
      <c r="C14" s="223"/>
      <c r="D14" s="236" t="s">
        <v>1839</v>
      </c>
      <c r="E14" s="223"/>
      <c r="F14" s="236" t="s">
        <v>1836</v>
      </c>
    </row>
    <row r="15">
      <c r="A15" s="236">
        <v>9.0</v>
      </c>
      <c r="B15" s="236" t="s">
        <v>1624</v>
      </c>
      <c r="C15" s="223"/>
      <c r="D15" s="236" t="s">
        <v>1841</v>
      </c>
      <c r="E15" s="223"/>
      <c r="F15" s="227" t="s">
        <v>1843</v>
      </c>
    </row>
    <row r="16">
      <c r="A16" s="236">
        <v>10.0</v>
      </c>
      <c r="B16" s="236" t="s">
        <v>1628</v>
      </c>
      <c r="C16" s="223"/>
      <c r="D16" s="236" t="s">
        <v>1844</v>
      </c>
      <c r="E16" s="223"/>
      <c r="F16" s="227" t="s">
        <v>1843</v>
      </c>
    </row>
    <row r="17">
      <c r="A17" s="236">
        <v>11.0</v>
      </c>
      <c r="B17" s="239" t="s">
        <v>1630</v>
      </c>
      <c r="C17" s="239" t="s">
        <v>1845</v>
      </c>
      <c r="D17" s="236" t="s">
        <v>1846</v>
      </c>
      <c r="E17" s="239" t="s">
        <v>1847</v>
      </c>
      <c r="F17" s="239" t="s">
        <v>1843</v>
      </c>
    </row>
    <row r="18">
      <c r="A18" s="236">
        <v>12.0</v>
      </c>
      <c r="B18" s="18" t="s">
        <v>1848</v>
      </c>
      <c r="C18" s="18" t="s">
        <v>1849</v>
      </c>
      <c r="D18" s="18" t="s">
        <v>1850</v>
      </c>
      <c r="F18" s="18" t="s">
        <v>1851</v>
      </c>
    </row>
    <row r="19">
      <c r="A19" s="236">
        <v>13.0</v>
      </c>
      <c r="B19" s="18" t="s">
        <v>1852</v>
      </c>
      <c r="C19" s="18" t="s">
        <v>1853</v>
      </c>
      <c r="D19" s="240" t="s">
        <v>1855</v>
      </c>
      <c r="E19" s="18" t="s">
        <v>1857</v>
      </c>
      <c r="F19" s="239" t="s">
        <v>1858</v>
      </c>
    </row>
    <row r="20">
      <c r="A20" s="236">
        <v>14.0</v>
      </c>
      <c r="B20" s="236" t="s">
        <v>1859</v>
      </c>
      <c r="C20" s="223"/>
      <c r="D20" s="223"/>
      <c r="E20" s="223"/>
      <c r="F20" s="236" t="s">
        <v>1860</v>
      </c>
    </row>
    <row r="21">
      <c r="A21" s="236">
        <v>15.0</v>
      </c>
      <c r="B21" s="236" t="s">
        <v>1861</v>
      </c>
      <c r="C21" s="223"/>
      <c r="D21" s="223"/>
      <c r="E21" s="223"/>
      <c r="F21" s="236" t="s">
        <v>1860</v>
      </c>
    </row>
    <row r="23">
      <c r="A23" s="235"/>
      <c r="B23" s="223"/>
      <c r="C23" s="223"/>
      <c r="E23" s="223"/>
      <c r="F23" s="223"/>
    </row>
    <row r="24">
      <c r="A24" s="235" t="s">
        <v>1862</v>
      </c>
      <c r="B24" s="223"/>
      <c r="C24" s="223"/>
      <c r="D24" s="223"/>
      <c r="E24" s="223"/>
      <c r="F24" s="223"/>
    </row>
    <row r="25">
      <c r="A25" s="223"/>
      <c r="B25" s="223" t="s">
        <v>1863</v>
      </c>
      <c r="C25" s="223"/>
      <c r="D25" s="223"/>
      <c r="E25" s="223"/>
      <c r="F25" s="223"/>
    </row>
    <row r="26">
      <c r="A26" s="223"/>
      <c r="B26" s="223"/>
      <c r="C26" s="223"/>
      <c r="D26" s="223"/>
      <c r="E26" s="223"/>
      <c r="F26" s="223"/>
    </row>
    <row r="27">
      <c r="A27" s="235" t="s">
        <v>1864</v>
      </c>
      <c r="B27" s="237" t="s">
        <v>1865</v>
      </c>
      <c r="C27" s="223"/>
      <c r="D27" s="223"/>
      <c r="E27" s="223"/>
      <c r="F27" s="223"/>
    </row>
    <row r="28">
      <c r="A28" s="223"/>
      <c r="B28" s="241" t="s">
        <v>1867</v>
      </c>
      <c r="C28" s="223"/>
      <c r="D28" s="223"/>
      <c r="E28" s="223"/>
      <c r="F28" s="223"/>
    </row>
    <row r="29">
      <c r="A29" s="223"/>
      <c r="B29" s="241"/>
      <c r="C29" s="223"/>
      <c r="D29" s="223"/>
      <c r="E29" s="223"/>
      <c r="F29" s="223"/>
    </row>
    <row r="30">
      <c r="A30" s="223"/>
      <c r="B30" s="241"/>
      <c r="C30" s="223"/>
      <c r="D30" s="223"/>
      <c r="E30" s="223"/>
      <c r="F30" s="223"/>
    </row>
    <row r="31">
      <c r="A31" s="235" t="s">
        <v>1869</v>
      </c>
      <c r="B31" s="241"/>
      <c r="C31" s="223"/>
      <c r="D31" s="223"/>
      <c r="E31" s="223"/>
      <c r="F31" s="223"/>
    </row>
    <row r="32">
      <c r="A32" s="223">
        <v>1.0</v>
      </c>
      <c r="B32" s="241" t="s">
        <v>1870</v>
      </c>
      <c r="C32" s="223"/>
      <c r="D32" s="223"/>
      <c r="E32" s="223"/>
      <c r="F32" s="223"/>
    </row>
    <row r="33">
      <c r="A33" s="223">
        <v>2.0</v>
      </c>
      <c r="B33" s="241" t="s">
        <v>1871</v>
      </c>
      <c r="C33" s="223"/>
      <c r="D33" s="223"/>
      <c r="E33" s="223"/>
      <c r="F33" s="223"/>
    </row>
    <row r="34">
      <c r="A34" s="223">
        <v>3.0</v>
      </c>
      <c r="B34" s="241" t="s">
        <v>1872</v>
      </c>
      <c r="C34" s="223"/>
      <c r="D34" s="223"/>
      <c r="E34" s="223"/>
      <c r="F34" s="223"/>
    </row>
    <row r="35">
      <c r="A35" s="223">
        <v>4.0</v>
      </c>
      <c r="B35" s="241" t="s">
        <v>1873</v>
      </c>
      <c r="C35" s="223"/>
      <c r="D35" s="223"/>
      <c r="E35" s="223"/>
      <c r="F35" s="223"/>
    </row>
    <row r="36">
      <c r="A36" s="223">
        <v>5.0</v>
      </c>
      <c r="B36" s="241" t="s">
        <v>1874</v>
      </c>
      <c r="C36" s="223"/>
      <c r="D36" s="223"/>
      <c r="E36" s="223"/>
      <c r="F36" s="223"/>
    </row>
    <row r="37">
      <c r="A37" s="223">
        <v>6.0</v>
      </c>
      <c r="B37" s="241" t="s">
        <v>1875</v>
      </c>
      <c r="C37" s="223"/>
      <c r="D37" s="223"/>
      <c r="E37" s="223"/>
      <c r="F37" s="223"/>
    </row>
    <row r="38">
      <c r="A38" s="223">
        <v>7.0</v>
      </c>
      <c r="B38" s="223" t="s">
        <v>1876</v>
      </c>
      <c r="C38" s="223"/>
      <c r="D38" s="223"/>
      <c r="E38" s="223"/>
      <c r="F38" s="223"/>
    </row>
    <row r="39">
      <c r="A39" s="223">
        <v>8.0</v>
      </c>
      <c r="B39" s="223" t="s">
        <v>1879</v>
      </c>
      <c r="C39" s="223"/>
      <c r="D39" s="223"/>
      <c r="E39" s="223"/>
      <c r="F39" s="223"/>
    </row>
    <row r="40">
      <c r="A40" s="223">
        <v>9.0</v>
      </c>
      <c r="B40" s="223" t="s">
        <v>1880</v>
      </c>
      <c r="C40" s="223"/>
      <c r="D40" s="223"/>
      <c r="E40" s="223"/>
      <c r="F40" s="223"/>
    </row>
    <row r="41">
      <c r="A41" s="242">
        <v>10.0</v>
      </c>
      <c r="B41" s="243" t="s">
        <v>1881</v>
      </c>
      <c r="C41" s="223"/>
      <c r="D41" s="223"/>
      <c r="E41" s="223"/>
      <c r="F41" s="223"/>
    </row>
    <row r="42">
      <c r="A42" s="242">
        <v>11.0</v>
      </c>
      <c r="B42" s="243" t="s">
        <v>1884</v>
      </c>
      <c r="C42" s="223"/>
      <c r="D42" s="223"/>
      <c r="E42" s="223"/>
      <c r="F42" s="223"/>
    </row>
    <row r="43">
      <c r="A43" s="242">
        <v>12.0</v>
      </c>
      <c r="B43" s="243" t="s">
        <v>1885</v>
      </c>
      <c r="C43" s="223"/>
      <c r="D43" s="223"/>
      <c r="E43" s="223"/>
      <c r="F43" s="223"/>
    </row>
    <row r="44">
      <c r="A44" s="242">
        <v>13.0</v>
      </c>
      <c r="B44" s="244"/>
      <c r="C44" s="223"/>
      <c r="D44" s="223"/>
      <c r="E44" s="223"/>
      <c r="F44" s="223"/>
    </row>
    <row r="45">
      <c r="A45" s="223"/>
      <c r="B45" s="223"/>
      <c r="C45" s="223"/>
      <c r="D45" s="223"/>
      <c r="E45" s="223"/>
      <c r="F45" s="223"/>
    </row>
    <row r="46">
      <c r="A46" s="191"/>
      <c r="B46" s="191"/>
    </row>
    <row r="47">
      <c r="A47" s="245" t="s">
        <v>1888</v>
      </c>
      <c r="B47" s="246"/>
      <c r="D47" s="7"/>
      <c r="E47" s="7"/>
      <c r="F47" s="7"/>
    </row>
    <row r="48">
      <c r="A48" s="191"/>
      <c r="B48" s="247" t="s">
        <v>1891</v>
      </c>
      <c r="D48" s="7"/>
      <c r="E48" s="7"/>
      <c r="F48" s="7"/>
    </row>
    <row r="49">
      <c r="A49" s="191"/>
      <c r="B49" s="247" t="s">
        <v>1892</v>
      </c>
      <c r="D49" s="7"/>
      <c r="E49" s="7"/>
      <c r="F49" s="7"/>
    </row>
    <row r="50">
      <c r="A50" s="191"/>
      <c r="B50" s="248" t="s">
        <v>1894</v>
      </c>
      <c r="D50" s="7"/>
      <c r="E50" s="7"/>
      <c r="F50" s="7"/>
    </row>
    <row r="51">
      <c r="A51" s="191"/>
      <c r="B51" s="248" t="s">
        <v>1896</v>
      </c>
      <c r="D51" s="7"/>
      <c r="E51" s="7"/>
      <c r="F51" s="7"/>
    </row>
    <row r="52">
      <c r="A52" s="191"/>
      <c r="B52" s="248" t="s">
        <v>1897</v>
      </c>
      <c r="D52" s="7"/>
      <c r="E52" s="7"/>
      <c r="F52" s="7"/>
    </row>
    <row r="53">
      <c r="A53" s="191"/>
      <c r="B53" s="248" t="s">
        <v>1898</v>
      </c>
      <c r="D53" s="7"/>
      <c r="E53" s="7"/>
      <c r="F53" s="7"/>
    </row>
    <row r="54">
      <c r="A54" s="191"/>
      <c r="B54" s="249" t="s">
        <v>1899</v>
      </c>
      <c r="D54" s="7"/>
      <c r="E54" s="7"/>
      <c r="F54" s="7"/>
    </row>
    <row r="55">
      <c r="A55" s="191"/>
      <c r="B55" s="249" t="s">
        <v>1902</v>
      </c>
      <c r="D55" s="7"/>
      <c r="E55" s="7"/>
      <c r="F55" s="7"/>
    </row>
    <row r="56">
      <c r="A56" s="191"/>
      <c r="B56" s="249" t="s">
        <v>1903</v>
      </c>
      <c r="D56" s="7"/>
      <c r="E56" s="7"/>
      <c r="F56" s="7"/>
    </row>
    <row r="57">
      <c r="A57" s="191"/>
      <c r="B57" s="248" t="s">
        <v>1904</v>
      </c>
      <c r="D57" s="7"/>
      <c r="E57" s="7"/>
      <c r="F57" s="7"/>
    </row>
    <row r="58">
      <c r="A58" s="191"/>
      <c r="B58" s="248" t="s">
        <v>1905</v>
      </c>
      <c r="D58" s="7"/>
      <c r="E58" s="7"/>
      <c r="F58" s="7"/>
    </row>
    <row r="59">
      <c r="A59" s="246"/>
      <c r="B59" s="246"/>
      <c r="D59" s="7"/>
      <c r="E59" s="7"/>
      <c r="F59" s="7"/>
    </row>
    <row r="60">
      <c r="A60" s="223"/>
      <c r="B60" s="223"/>
      <c r="C60" s="223"/>
      <c r="D60" s="223"/>
      <c r="E60" s="223"/>
      <c r="F60" s="223"/>
    </row>
    <row r="61">
      <c r="A61" s="223" t="s">
        <v>1906</v>
      </c>
      <c r="B61" s="250">
        <v>43005.0</v>
      </c>
      <c r="C61" s="223"/>
      <c r="D61" s="223"/>
      <c r="E61" s="223"/>
      <c r="F61" s="223"/>
    </row>
    <row r="62">
      <c r="A62" s="223" t="s">
        <v>1909</v>
      </c>
      <c r="B62" s="223"/>
      <c r="C62" s="223"/>
      <c r="D62" s="223"/>
      <c r="E62" s="223"/>
      <c r="F62" s="223"/>
    </row>
    <row r="63">
      <c r="A63" s="223"/>
      <c r="B63" s="223"/>
      <c r="C63" s="223"/>
      <c r="D63" s="223"/>
      <c r="E63" s="223"/>
      <c r="F63" s="223"/>
    </row>
    <row r="64">
      <c r="A64" s="7"/>
      <c r="B64" s="7"/>
      <c r="D64" s="7"/>
      <c r="E64" s="7"/>
      <c r="F64" s="7"/>
    </row>
    <row r="65">
      <c r="A65" s="7"/>
      <c r="B65" s="7"/>
      <c r="D65" s="7"/>
      <c r="E65" s="7"/>
      <c r="F65" s="7"/>
    </row>
    <row r="66">
      <c r="A66" s="7"/>
      <c r="B66" s="7"/>
      <c r="D66" s="7"/>
      <c r="E66" s="7"/>
      <c r="F66" s="7"/>
    </row>
    <row r="67">
      <c r="A67" s="7"/>
      <c r="B67" s="7"/>
      <c r="D67" s="7"/>
      <c r="E67" s="7"/>
      <c r="F67" s="7"/>
    </row>
    <row r="68">
      <c r="A68" s="7"/>
      <c r="B68" s="7"/>
      <c r="D68" s="7"/>
      <c r="E68" s="7"/>
      <c r="F68" s="7"/>
    </row>
    <row r="69">
      <c r="A69" s="7"/>
      <c r="B69" s="7"/>
      <c r="D69" s="7"/>
      <c r="E69" s="7"/>
      <c r="F69" s="7"/>
    </row>
    <row r="70">
      <c r="A70" s="7"/>
      <c r="B70" s="7"/>
      <c r="D70" s="7"/>
      <c r="E70" s="7"/>
      <c r="F70" s="7"/>
    </row>
    <row r="71">
      <c r="A71" s="7"/>
      <c r="B71" s="7"/>
      <c r="D71" s="7"/>
      <c r="E71" s="7"/>
      <c r="F71" s="7"/>
    </row>
    <row r="72">
      <c r="A72" s="7"/>
      <c r="B72" s="7"/>
      <c r="D72" s="7"/>
      <c r="E72" s="7"/>
      <c r="F72" s="7"/>
    </row>
    <row r="73">
      <c r="A73" s="7"/>
      <c r="B73" s="7"/>
      <c r="D73" s="7"/>
      <c r="E73" s="7"/>
      <c r="F73" s="7"/>
    </row>
    <row r="74">
      <c r="A74" s="7"/>
      <c r="B74" s="7"/>
      <c r="D74" s="7"/>
      <c r="E74" s="7"/>
      <c r="F74" s="7"/>
    </row>
    <row r="75">
      <c r="A75" s="7"/>
      <c r="B75" s="7"/>
      <c r="D75" s="7"/>
      <c r="E75" s="7"/>
      <c r="F75" s="7"/>
    </row>
    <row r="76">
      <c r="A76" s="7"/>
      <c r="B76" s="7"/>
      <c r="D76" s="7"/>
      <c r="E76" s="7"/>
      <c r="F76" s="7"/>
    </row>
    <row r="77">
      <c r="A77" s="7"/>
      <c r="B77" s="7"/>
      <c r="D77" s="7"/>
      <c r="E77" s="7"/>
      <c r="F77" s="7"/>
    </row>
    <row r="78">
      <c r="A78" s="7"/>
      <c r="B78" s="7"/>
      <c r="D78" s="7"/>
      <c r="E78" s="7"/>
      <c r="F78" s="7"/>
    </row>
    <row r="79">
      <c r="A79" s="7"/>
      <c r="B79" s="7"/>
      <c r="D79" s="7"/>
      <c r="E79" s="7"/>
      <c r="F79" s="7"/>
    </row>
    <row r="80">
      <c r="A80" s="7"/>
      <c r="B80" s="7"/>
      <c r="D80" s="7"/>
      <c r="E80" s="7"/>
      <c r="F80" s="7"/>
    </row>
    <row r="81">
      <c r="A81" s="7"/>
      <c r="B81" s="7"/>
      <c r="D81" s="7"/>
      <c r="E81" s="7"/>
      <c r="F81" s="7"/>
    </row>
    <row r="82">
      <c r="A82" s="7"/>
      <c r="B82" s="7"/>
      <c r="D82" s="7"/>
      <c r="E82" s="7"/>
      <c r="F82" s="7"/>
    </row>
    <row r="83">
      <c r="A83" s="7"/>
      <c r="B83" s="7"/>
      <c r="D83" s="7"/>
      <c r="E83" s="7"/>
      <c r="F83" s="7"/>
    </row>
    <row r="84">
      <c r="A84" s="7"/>
      <c r="B84" s="7"/>
      <c r="D84" s="7"/>
      <c r="E84" s="7"/>
      <c r="F84" s="7"/>
    </row>
    <row r="85">
      <c r="A85" s="7"/>
      <c r="B85" s="7"/>
      <c r="D85" s="7"/>
      <c r="E85" s="7"/>
      <c r="F85" s="7"/>
    </row>
    <row r="86">
      <c r="A86" s="7"/>
      <c r="B86" s="7"/>
      <c r="D86" s="7"/>
      <c r="E86" s="7"/>
      <c r="F86" s="7"/>
    </row>
    <row r="87">
      <c r="A87" s="7"/>
      <c r="B87" s="7"/>
      <c r="D87" s="7"/>
      <c r="E87" s="7"/>
      <c r="F87" s="7"/>
    </row>
    <row r="88">
      <c r="A88" s="7"/>
      <c r="B88" s="7"/>
      <c r="D88" s="7"/>
      <c r="E88" s="7"/>
      <c r="F88" s="7"/>
    </row>
    <row r="89">
      <c r="A89" s="7"/>
      <c r="B89" s="7"/>
      <c r="D89" s="7"/>
      <c r="E89" s="7"/>
      <c r="F89" s="7"/>
    </row>
    <row r="90">
      <c r="A90" s="7"/>
      <c r="B90" s="7"/>
      <c r="D90" s="7"/>
      <c r="E90" s="7"/>
      <c r="F90" s="7"/>
    </row>
    <row r="91">
      <c r="A91" s="7"/>
      <c r="B91" s="7"/>
      <c r="D91" s="7"/>
      <c r="E91" s="7"/>
      <c r="F91" s="7"/>
    </row>
    <row r="92">
      <c r="A92" s="7"/>
      <c r="B92" s="7"/>
      <c r="D92" s="7"/>
      <c r="E92" s="7"/>
      <c r="F92" s="7"/>
    </row>
    <row r="93">
      <c r="A93" s="7"/>
      <c r="B93" s="7"/>
      <c r="D93" s="7"/>
      <c r="E93" s="7"/>
      <c r="F93" s="7"/>
    </row>
    <row r="94">
      <c r="A94" s="7"/>
      <c r="B94" s="7"/>
      <c r="D94" s="7"/>
      <c r="E94" s="7"/>
      <c r="F94" s="7"/>
    </row>
    <row r="95">
      <c r="A95" s="7"/>
      <c r="B95" s="7"/>
      <c r="D95" s="7"/>
      <c r="E95" s="7"/>
      <c r="F95" s="7"/>
    </row>
    <row r="96">
      <c r="A96" s="7"/>
      <c r="B96" s="7"/>
      <c r="D96" s="7"/>
      <c r="E96" s="7"/>
      <c r="F96" s="7"/>
    </row>
    <row r="97">
      <c r="A97" s="7"/>
      <c r="B97" s="7"/>
      <c r="D97" s="7"/>
      <c r="E97" s="7"/>
      <c r="F97" s="7"/>
    </row>
    <row r="98">
      <c r="A98" s="7"/>
      <c r="B98" s="7"/>
      <c r="D98" s="7"/>
      <c r="E98" s="7"/>
      <c r="F98" s="7"/>
    </row>
    <row r="99">
      <c r="A99" s="7"/>
      <c r="B99" s="7"/>
      <c r="D99" s="7"/>
      <c r="E99" s="7"/>
      <c r="F99" s="7"/>
    </row>
    <row r="100">
      <c r="A100" s="7"/>
      <c r="B100" s="7"/>
      <c r="D100" s="7"/>
      <c r="E100" s="7"/>
      <c r="F100" s="7"/>
    </row>
    <row r="101">
      <c r="A101" s="7"/>
      <c r="B101" s="7"/>
      <c r="D101" s="7"/>
      <c r="E101" s="7"/>
      <c r="F101" s="7"/>
    </row>
    <row r="102">
      <c r="A102" s="7"/>
      <c r="B102" s="7"/>
      <c r="D102" s="7"/>
      <c r="E102" s="7"/>
      <c r="F102" s="7"/>
    </row>
    <row r="103">
      <c r="A103" s="7"/>
      <c r="B103" s="7"/>
      <c r="D103" s="7"/>
      <c r="E103" s="7"/>
      <c r="F103" s="7"/>
    </row>
    <row r="104">
      <c r="A104" s="7"/>
      <c r="B104" s="7"/>
      <c r="D104" s="7"/>
      <c r="E104" s="7"/>
      <c r="F104" s="7"/>
    </row>
    <row r="105">
      <c r="A105" s="7"/>
      <c r="B105" s="7"/>
      <c r="D105" s="7"/>
      <c r="E105" s="7"/>
      <c r="F105" s="7"/>
    </row>
    <row r="106">
      <c r="A106" s="7"/>
      <c r="B106" s="7"/>
      <c r="D106" s="7"/>
      <c r="E106" s="7"/>
      <c r="F106" s="7"/>
    </row>
    <row r="107">
      <c r="A107" s="7"/>
      <c r="B107" s="7"/>
      <c r="D107" s="7"/>
      <c r="E107" s="7"/>
      <c r="F107" s="7"/>
    </row>
    <row r="108">
      <c r="A108" s="7"/>
      <c r="B108" s="7"/>
      <c r="D108" s="7"/>
      <c r="E108" s="7"/>
      <c r="F108" s="7"/>
    </row>
    <row r="109">
      <c r="A109" s="7"/>
      <c r="B109" s="7"/>
      <c r="D109" s="7"/>
      <c r="E109" s="7"/>
      <c r="F109" s="7"/>
    </row>
    <row r="110">
      <c r="A110" s="7"/>
      <c r="B110" s="7"/>
      <c r="D110" s="7"/>
      <c r="E110" s="7"/>
      <c r="F110" s="7"/>
    </row>
    <row r="111">
      <c r="A111" s="7"/>
      <c r="B111" s="7"/>
      <c r="D111" s="7"/>
      <c r="E111" s="7"/>
      <c r="F111" s="7"/>
    </row>
    <row r="112">
      <c r="A112" s="7"/>
      <c r="B112" s="7"/>
      <c r="D112" s="7"/>
      <c r="E112" s="7"/>
      <c r="F112" s="7"/>
    </row>
    <row r="113">
      <c r="A113" s="7"/>
      <c r="B113" s="7"/>
      <c r="D113" s="7"/>
      <c r="E113" s="7"/>
      <c r="F113" s="7"/>
    </row>
    <row r="114">
      <c r="A114" s="7"/>
      <c r="B114" s="7"/>
      <c r="D114" s="7"/>
      <c r="E114" s="7"/>
      <c r="F114" s="7"/>
    </row>
    <row r="115">
      <c r="A115" s="7"/>
      <c r="B115" s="7"/>
      <c r="D115" s="7"/>
      <c r="E115" s="7"/>
      <c r="F115" s="7"/>
    </row>
    <row r="116">
      <c r="A116" s="7"/>
      <c r="B116" s="7"/>
      <c r="D116" s="7"/>
      <c r="E116" s="7"/>
      <c r="F116" s="7"/>
    </row>
    <row r="117">
      <c r="A117" s="7"/>
      <c r="B117" s="7"/>
      <c r="D117" s="7"/>
      <c r="E117" s="7"/>
      <c r="F117" s="7"/>
    </row>
    <row r="118">
      <c r="A118" s="7"/>
      <c r="B118" s="7"/>
      <c r="D118" s="7"/>
      <c r="E118" s="7"/>
      <c r="F118" s="7"/>
    </row>
    <row r="119">
      <c r="A119" s="7"/>
      <c r="B119" s="7"/>
      <c r="D119" s="7"/>
      <c r="E119" s="7"/>
      <c r="F119" s="7"/>
    </row>
    <row r="120">
      <c r="A120" s="7"/>
      <c r="B120" s="7"/>
      <c r="D120" s="7"/>
      <c r="E120" s="7"/>
      <c r="F120" s="7"/>
    </row>
    <row r="121">
      <c r="A121" s="7"/>
      <c r="B121" s="7"/>
      <c r="D121" s="7"/>
      <c r="E121" s="7"/>
      <c r="F121" s="7"/>
    </row>
    <row r="122">
      <c r="A122" s="7"/>
      <c r="B122" s="7"/>
      <c r="D122" s="7"/>
      <c r="E122" s="7"/>
      <c r="F122" s="7"/>
    </row>
    <row r="123">
      <c r="A123" s="7"/>
      <c r="B123" s="7"/>
      <c r="D123" s="7"/>
      <c r="E123" s="7"/>
      <c r="F123" s="7"/>
    </row>
    <row r="124">
      <c r="A124" s="7"/>
      <c r="B124" s="7"/>
      <c r="D124" s="7"/>
      <c r="E124" s="7"/>
      <c r="F124" s="7"/>
    </row>
    <row r="125">
      <c r="A125" s="7"/>
      <c r="B125" s="7"/>
      <c r="D125" s="7"/>
      <c r="E125" s="7"/>
      <c r="F125" s="7"/>
    </row>
    <row r="126">
      <c r="A126" s="7"/>
      <c r="B126" s="7"/>
      <c r="D126" s="7"/>
      <c r="E126" s="7"/>
      <c r="F126" s="7"/>
    </row>
    <row r="127">
      <c r="A127" s="7"/>
      <c r="B127" s="7"/>
      <c r="D127" s="7"/>
      <c r="E127" s="7"/>
      <c r="F127" s="7"/>
    </row>
    <row r="128">
      <c r="A128" s="7"/>
      <c r="B128" s="7"/>
      <c r="D128" s="7"/>
      <c r="E128" s="7"/>
      <c r="F128" s="7"/>
    </row>
    <row r="129">
      <c r="A129" s="7"/>
      <c r="B129" s="7"/>
      <c r="D129" s="7"/>
      <c r="E129" s="7"/>
      <c r="F129" s="7"/>
    </row>
    <row r="130">
      <c r="A130" s="7"/>
      <c r="B130" s="7"/>
      <c r="D130" s="7"/>
      <c r="E130" s="7"/>
      <c r="F130" s="7"/>
    </row>
    <row r="131">
      <c r="A131" s="7"/>
      <c r="B131" s="7"/>
      <c r="D131" s="7"/>
      <c r="E131" s="7"/>
      <c r="F131" s="7"/>
    </row>
    <row r="132">
      <c r="A132" s="7"/>
      <c r="B132" s="7"/>
      <c r="D132" s="7"/>
      <c r="E132" s="7"/>
      <c r="F132" s="7"/>
    </row>
    <row r="133">
      <c r="A133" s="7"/>
      <c r="B133" s="7"/>
      <c r="D133" s="7"/>
      <c r="E133" s="7"/>
      <c r="F133" s="7"/>
    </row>
    <row r="134">
      <c r="A134" s="7"/>
      <c r="B134" s="7"/>
      <c r="D134" s="7"/>
      <c r="E134" s="7"/>
      <c r="F134" s="7"/>
    </row>
    <row r="135">
      <c r="A135" s="7"/>
      <c r="B135" s="7"/>
      <c r="D135" s="7"/>
      <c r="E135" s="7"/>
      <c r="F135" s="7"/>
    </row>
    <row r="136">
      <c r="A136" s="7"/>
      <c r="B136" s="7"/>
      <c r="D136" s="7"/>
      <c r="E136" s="7"/>
      <c r="F136" s="7"/>
    </row>
    <row r="137">
      <c r="A137" s="7"/>
      <c r="B137" s="7"/>
      <c r="D137" s="7"/>
      <c r="E137" s="7"/>
      <c r="F137" s="7"/>
    </row>
    <row r="138">
      <c r="A138" s="7"/>
      <c r="B138" s="7"/>
      <c r="D138" s="7"/>
      <c r="E138" s="7"/>
      <c r="F138" s="7"/>
    </row>
    <row r="139">
      <c r="A139" s="7"/>
      <c r="B139" s="7"/>
      <c r="D139" s="7"/>
      <c r="E139" s="7"/>
      <c r="F139" s="7"/>
    </row>
    <row r="140">
      <c r="A140" s="7"/>
      <c r="B140" s="7"/>
      <c r="D140" s="7"/>
      <c r="E140" s="7"/>
      <c r="F140" s="7"/>
    </row>
    <row r="141">
      <c r="A141" s="7"/>
      <c r="B141" s="7"/>
      <c r="D141" s="7"/>
      <c r="E141" s="7"/>
      <c r="F141" s="7"/>
    </row>
    <row r="142">
      <c r="A142" s="7"/>
      <c r="B142" s="7"/>
      <c r="D142" s="7"/>
      <c r="E142" s="7"/>
      <c r="F142" s="7"/>
    </row>
    <row r="143">
      <c r="A143" s="7"/>
      <c r="B143" s="7"/>
      <c r="D143" s="7"/>
      <c r="E143" s="7"/>
      <c r="F143" s="7"/>
    </row>
    <row r="144">
      <c r="A144" s="7"/>
      <c r="B144" s="7"/>
      <c r="D144" s="7"/>
      <c r="E144" s="7"/>
      <c r="F144" s="7"/>
    </row>
    <row r="145">
      <c r="A145" s="7"/>
      <c r="B145" s="7"/>
      <c r="D145" s="7"/>
      <c r="E145" s="7"/>
      <c r="F145" s="7"/>
    </row>
    <row r="146">
      <c r="A146" s="7"/>
      <c r="B146" s="7"/>
      <c r="D146" s="7"/>
      <c r="E146" s="7"/>
      <c r="F146" s="7"/>
    </row>
    <row r="147">
      <c r="A147" s="7"/>
      <c r="B147" s="7"/>
      <c r="D147" s="7"/>
      <c r="E147" s="7"/>
      <c r="F147" s="7"/>
    </row>
    <row r="148">
      <c r="A148" s="7"/>
      <c r="B148" s="7"/>
      <c r="D148" s="7"/>
      <c r="E148" s="7"/>
      <c r="F148" s="7"/>
    </row>
    <row r="149">
      <c r="A149" s="7"/>
      <c r="B149" s="7"/>
      <c r="D149" s="7"/>
      <c r="E149" s="7"/>
      <c r="F149" s="7"/>
    </row>
    <row r="150">
      <c r="A150" s="7"/>
      <c r="B150" s="7"/>
      <c r="D150" s="7"/>
      <c r="E150" s="7"/>
      <c r="F150" s="7"/>
    </row>
    <row r="151">
      <c r="A151" s="7"/>
      <c r="B151" s="7"/>
      <c r="D151" s="7"/>
      <c r="E151" s="7"/>
      <c r="F151" s="7"/>
    </row>
    <row r="152">
      <c r="A152" s="7"/>
      <c r="B152" s="7"/>
      <c r="D152" s="7"/>
      <c r="E152" s="7"/>
      <c r="F152" s="7"/>
    </row>
    <row r="153">
      <c r="A153" s="7"/>
      <c r="B153" s="7"/>
      <c r="D153" s="7"/>
      <c r="E153" s="7"/>
      <c r="F153" s="7"/>
    </row>
    <row r="154">
      <c r="A154" s="7"/>
      <c r="B154" s="7"/>
      <c r="D154" s="7"/>
      <c r="E154" s="7"/>
      <c r="F154" s="7"/>
    </row>
    <row r="155">
      <c r="A155" s="7"/>
      <c r="B155" s="7"/>
      <c r="D155" s="7"/>
      <c r="E155" s="7"/>
      <c r="F155" s="7"/>
    </row>
    <row r="156">
      <c r="A156" s="7"/>
      <c r="B156" s="7"/>
      <c r="D156" s="7"/>
      <c r="E156" s="7"/>
      <c r="F156" s="7"/>
    </row>
    <row r="157">
      <c r="A157" s="7"/>
      <c r="B157" s="7"/>
      <c r="D157" s="7"/>
      <c r="E157" s="7"/>
      <c r="F157" s="7"/>
    </row>
    <row r="158">
      <c r="A158" s="7"/>
      <c r="B158" s="7"/>
      <c r="D158" s="7"/>
      <c r="E158" s="7"/>
      <c r="F158" s="7"/>
    </row>
    <row r="159">
      <c r="A159" s="7"/>
      <c r="B159" s="7"/>
      <c r="D159" s="7"/>
      <c r="E159" s="7"/>
      <c r="F159" s="7"/>
    </row>
    <row r="160">
      <c r="A160" s="7"/>
      <c r="B160" s="7"/>
      <c r="D160" s="7"/>
      <c r="E160" s="7"/>
      <c r="F160" s="7"/>
    </row>
    <row r="161">
      <c r="A161" s="7"/>
      <c r="B161" s="7"/>
      <c r="D161" s="7"/>
      <c r="E161" s="7"/>
      <c r="F161" s="7"/>
    </row>
    <row r="162">
      <c r="A162" s="7"/>
      <c r="B162" s="7"/>
      <c r="D162" s="7"/>
      <c r="E162" s="7"/>
      <c r="F162" s="7"/>
    </row>
    <row r="163">
      <c r="A163" s="7"/>
      <c r="B163" s="7"/>
      <c r="D163" s="7"/>
      <c r="E163" s="7"/>
      <c r="F163" s="7"/>
    </row>
    <row r="164">
      <c r="A164" s="7"/>
      <c r="B164" s="7"/>
      <c r="D164" s="7"/>
      <c r="E164" s="7"/>
      <c r="F164" s="7"/>
    </row>
    <row r="165">
      <c r="A165" s="7"/>
      <c r="B165" s="7"/>
      <c r="D165" s="7"/>
      <c r="E165" s="7"/>
      <c r="F165" s="7"/>
    </row>
    <row r="166">
      <c r="A166" s="7"/>
      <c r="B166" s="7"/>
      <c r="D166" s="7"/>
      <c r="E166" s="7"/>
      <c r="F166" s="7"/>
    </row>
    <row r="167">
      <c r="A167" s="7"/>
      <c r="B167" s="7"/>
      <c r="D167" s="7"/>
      <c r="E167" s="7"/>
      <c r="F167" s="7"/>
    </row>
    <row r="168">
      <c r="A168" s="7"/>
      <c r="B168" s="7"/>
      <c r="D168" s="7"/>
      <c r="E168" s="7"/>
      <c r="F168" s="7"/>
    </row>
    <row r="169">
      <c r="A169" s="7"/>
      <c r="B169" s="7"/>
      <c r="D169" s="7"/>
      <c r="E169" s="7"/>
      <c r="F169" s="7"/>
    </row>
    <row r="170">
      <c r="A170" s="7"/>
      <c r="B170" s="7"/>
      <c r="D170" s="7"/>
      <c r="E170" s="7"/>
      <c r="F170" s="7"/>
    </row>
    <row r="171">
      <c r="A171" s="7"/>
      <c r="B171" s="7"/>
      <c r="D171" s="7"/>
      <c r="E171" s="7"/>
      <c r="F171" s="7"/>
    </row>
    <row r="172">
      <c r="A172" s="7"/>
      <c r="B172" s="7"/>
      <c r="D172" s="7"/>
      <c r="E172" s="7"/>
      <c r="F172" s="7"/>
    </row>
    <row r="173">
      <c r="A173" s="7"/>
      <c r="B173" s="7"/>
      <c r="D173" s="7"/>
      <c r="E173" s="7"/>
      <c r="F173" s="7"/>
    </row>
    <row r="174">
      <c r="A174" s="7"/>
      <c r="B174" s="7"/>
      <c r="D174" s="7"/>
      <c r="E174" s="7"/>
      <c r="F174" s="7"/>
    </row>
    <row r="175">
      <c r="A175" s="7"/>
      <c r="B175" s="7"/>
      <c r="D175" s="7"/>
      <c r="E175" s="7"/>
      <c r="F175" s="7"/>
    </row>
    <row r="176">
      <c r="A176" s="7"/>
      <c r="B176" s="7"/>
      <c r="D176" s="7"/>
      <c r="E176" s="7"/>
      <c r="F176" s="7"/>
    </row>
    <row r="177">
      <c r="A177" s="7"/>
      <c r="B177" s="7"/>
      <c r="D177" s="7"/>
      <c r="E177" s="7"/>
      <c r="F177" s="7"/>
    </row>
    <row r="178">
      <c r="A178" s="7"/>
      <c r="B178" s="7"/>
      <c r="D178" s="7"/>
      <c r="E178" s="7"/>
      <c r="F178" s="7"/>
    </row>
    <row r="179">
      <c r="A179" s="7"/>
      <c r="B179" s="7"/>
      <c r="D179" s="7"/>
      <c r="E179" s="7"/>
      <c r="F179" s="7"/>
    </row>
    <row r="180">
      <c r="A180" s="7"/>
      <c r="B180" s="7"/>
      <c r="D180" s="7"/>
      <c r="E180" s="7"/>
      <c r="F180" s="7"/>
    </row>
    <row r="181">
      <c r="A181" s="7"/>
      <c r="B181" s="7"/>
      <c r="D181" s="7"/>
      <c r="E181" s="7"/>
      <c r="F181" s="7"/>
    </row>
    <row r="182">
      <c r="A182" s="7"/>
      <c r="B182" s="7"/>
      <c r="D182" s="7"/>
      <c r="E182" s="7"/>
      <c r="F182" s="7"/>
    </row>
    <row r="183">
      <c r="A183" s="7"/>
      <c r="B183" s="7"/>
      <c r="D183" s="7"/>
      <c r="E183" s="7"/>
      <c r="F183" s="7"/>
    </row>
    <row r="184">
      <c r="A184" s="7"/>
      <c r="B184" s="7"/>
      <c r="D184" s="7"/>
      <c r="E184" s="7"/>
      <c r="F184" s="7"/>
    </row>
    <row r="185">
      <c r="A185" s="7"/>
      <c r="B185" s="7"/>
      <c r="D185" s="7"/>
      <c r="E185" s="7"/>
      <c r="F185" s="7"/>
    </row>
    <row r="186">
      <c r="A186" s="7"/>
      <c r="B186" s="7"/>
      <c r="D186" s="7"/>
      <c r="E186" s="7"/>
      <c r="F186" s="7"/>
    </row>
    <row r="187">
      <c r="A187" s="7"/>
      <c r="B187" s="7"/>
      <c r="D187" s="7"/>
      <c r="E187" s="7"/>
      <c r="F187" s="7"/>
    </row>
    <row r="188">
      <c r="A188" s="7"/>
      <c r="B188" s="7"/>
      <c r="D188" s="7"/>
      <c r="E188" s="7"/>
      <c r="F188" s="7"/>
    </row>
    <row r="189">
      <c r="A189" s="7"/>
      <c r="B189" s="7"/>
      <c r="D189" s="7"/>
      <c r="E189" s="7"/>
      <c r="F189" s="7"/>
    </row>
    <row r="190">
      <c r="A190" s="7"/>
      <c r="B190" s="7"/>
      <c r="D190" s="7"/>
      <c r="E190" s="7"/>
      <c r="F190" s="7"/>
    </row>
    <row r="191">
      <c r="A191" s="7"/>
      <c r="B191" s="7"/>
      <c r="D191" s="7"/>
      <c r="E191" s="7"/>
      <c r="F191" s="7"/>
    </row>
    <row r="192">
      <c r="A192" s="7"/>
      <c r="B192" s="7"/>
      <c r="D192" s="7"/>
      <c r="E192" s="7"/>
      <c r="F192" s="7"/>
    </row>
    <row r="193">
      <c r="A193" s="7"/>
      <c r="B193" s="7"/>
      <c r="D193" s="7"/>
      <c r="E193" s="7"/>
      <c r="F193" s="7"/>
    </row>
    <row r="194">
      <c r="A194" s="7"/>
      <c r="B194" s="7"/>
      <c r="D194" s="7"/>
      <c r="E194" s="7"/>
      <c r="F194" s="7"/>
    </row>
    <row r="195">
      <c r="A195" s="7"/>
      <c r="B195" s="7"/>
      <c r="D195" s="7"/>
      <c r="E195" s="7"/>
      <c r="F195" s="7"/>
    </row>
    <row r="196">
      <c r="A196" s="7"/>
      <c r="B196" s="7"/>
      <c r="D196" s="7"/>
      <c r="E196" s="7"/>
      <c r="F196" s="7"/>
    </row>
    <row r="197">
      <c r="A197" s="7"/>
      <c r="B197" s="7"/>
      <c r="D197" s="7"/>
      <c r="E197" s="7"/>
      <c r="F197" s="7"/>
    </row>
    <row r="198">
      <c r="A198" s="7"/>
      <c r="B198" s="7"/>
      <c r="D198" s="7"/>
      <c r="E198" s="7"/>
      <c r="F198" s="7"/>
    </row>
    <row r="199">
      <c r="A199" s="7"/>
      <c r="B199" s="7"/>
      <c r="D199" s="7"/>
      <c r="E199" s="7"/>
      <c r="F199" s="7"/>
    </row>
    <row r="200">
      <c r="A200" s="7"/>
      <c r="B200" s="7"/>
      <c r="D200" s="7"/>
      <c r="E200" s="7"/>
      <c r="F200" s="7"/>
    </row>
    <row r="201">
      <c r="A201" s="7"/>
      <c r="B201" s="7"/>
      <c r="D201" s="7"/>
      <c r="E201" s="7"/>
      <c r="F201" s="7"/>
    </row>
    <row r="202">
      <c r="A202" s="7"/>
      <c r="B202" s="7"/>
      <c r="D202" s="7"/>
      <c r="E202" s="7"/>
      <c r="F202" s="7"/>
    </row>
    <row r="203">
      <c r="A203" s="7"/>
      <c r="B203" s="7"/>
      <c r="D203" s="7"/>
      <c r="E203" s="7"/>
      <c r="F203" s="7"/>
    </row>
    <row r="204">
      <c r="A204" s="7"/>
      <c r="B204" s="7"/>
      <c r="D204" s="7"/>
      <c r="E204" s="7"/>
      <c r="F204" s="7"/>
    </row>
    <row r="205">
      <c r="A205" s="7"/>
      <c r="B205" s="7"/>
      <c r="D205" s="7"/>
      <c r="E205" s="7"/>
      <c r="F205" s="7"/>
    </row>
    <row r="206">
      <c r="A206" s="7"/>
      <c r="B206" s="7"/>
      <c r="D206" s="7"/>
      <c r="E206" s="7"/>
      <c r="F206" s="7"/>
    </row>
    <row r="207">
      <c r="A207" s="7"/>
      <c r="B207" s="7"/>
      <c r="D207" s="7"/>
      <c r="E207" s="7"/>
      <c r="F207" s="7"/>
    </row>
    <row r="208">
      <c r="A208" s="7"/>
      <c r="B208" s="7"/>
      <c r="D208" s="7"/>
      <c r="E208" s="7"/>
      <c r="F208" s="7"/>
    </row>
    <row r="209">
      <c r="A209" s="7"/>
      <c r="B209" s="7"/>
      <c r="D209" s="7"/>
      <c r="E209" s="7"/>
      <c r="F209" s="7"/>
    </row>
    <row r="210">
      <c r="A210" s="7"/>
      <c r="B210" s="7"/>
      <c r="D210" s="7"/>
      <c r="E210" s="7"/>
      <c r="F210" s="7"/>
    </row>
    <row r="211">
      <c r="A211" s="7"/>
      <c r="B211" s="7"/>
      <c r="D211" s="7"/>
      <c r="E211" s="7"/>
      <c r="F211" s="7"/>
    </row>
    <row r="212">
      <c r="A212" s="7"/>
      <c r="B212" s="7"/>
      <c r="D212" s="7"/>
      <c r="E212" s="7"/>
      <c r="F212" s="7"/>
    </row>
    <row r="213">
      <c r="A213" s="7"/>
      <c r="B213" s="7"/>
      <c r="D213" s="7"/>
      <c r="E213" s="7"/>
      <c r="F213" s="7"/>
    </row>
    <row r="214">
      <c r="A214" s="7"/>
      <c r="B214" s="7"/>
      <c r="D214" s="7"/>
      <c r="E214" s="7"/>
      <c r="F214" s="7"/>
    </row>
    <row r="215">
      <c r="A215" s="7"/>
      <c r="B215" s="7"/>
      <c r="D215" s="7"/>
      <c r="E215" s="7"/>
      <c r="F215" s="7"/>
    </row>
    <row r="216">
      <c r="A216" s="7"/>
      <c r="B216" s="7"/>
      <c r="D216" s="7"/>
      <c r="E216" s="7"/>
      <c r="F216" s="7"/>
    </row>
    <row r="217">
      <c r="A217" s="7"/>
      <c r="B217" s="7"/>
      <c r="D217" s="7"/>
      <c r="E217" s="7"/>
      <c r="F217" s="7"/>
    </row>
    <row r="218">
      <c r="A218" s="7"/>
      <c r="B218" s="7"/>
      <c r="D218" s="7"/>
      <c r="E218" s="7"/>
      <c r="F218" s="7"/>
    </row>
    <row r="219">
      <c r="A219" s="7"/>
      <c r="B219" s="7"/>
      <c r="D219" s="7"/>
      <c r="E219" s="7"/>
      <c r="F219" s="7"/>
    </row>
    <row r="220">
      <c r="A220" s="7"/>
      <c r="B220" s="7"/>
      <c r="D220" s="7"/>
      <c r="E220" s="7"/>
      <c r="F220" s="7"/>
    </row>
    <row r="221">
      <c r="A221" s="7"/>
      <c r="B221" s="7"/>
      <c r="D221" s="7"/>
      <c r="E221" s="7"/>
      <c r="F221" s="7"/>
    </row>
    <row r="222">
      <c r="A222" s="7"/>
      <c r="B222" s="7"/>
      <c r="D222" s="7"/>
      <c r="E222" s="7"/>
      <c r="F222" s="7"/>
    </row>
    <row r="223">
      <c r="A223" s="7"/>
      <c r="B223" s="7"/>
      <c r="D223" s="7"/>
      <c r="E223" s="7"/>
      <c r="F223" s="7"/>
    </row>
    <row r="224">
      <c r="A224" s="7"/>
      <c r="B224" s="7"/>
      <c r="D224" s="7"/>
      <c r="E224" s="7"/>
      <c r="F224" s="7"/>
    </row>
    <row r="225">
      <c r="A225" s="7"/>
      <c r="B225" s="7"/>
      <c r="D225" s="7"/>
      <c r="E225" s="7"/>
      <c r="F225" s="7"/>
    </row>
    <row r="226">
      <c r="A226" s="7"/>
      <c r="B226" s="7"/>
      <c r="D226" s="7"/>
      <c r="E226" s="7"/>
      <c r="F226" s="7"/>
    </row>
    <row r="227">
      <c r="A227" s="7"/>
      <c r="B227" s="7"/>
      <c r="D227" s="7"/>
      <c r="E227" s="7"/>
      <c r="F227" s="7"/>
    </row>
    <row r="228">
      <c r="A228" s="7"/>
      <c r="B228" s="7"/>
      <c r="D228" s="7"/>
      <c r="E228" s="7"/>
      <c r="F228" s="7"/>
    </row>
    <row r="229">
      <c r="A229" s="7"/>
      <c r="B229" s="7"/>
      <c r="D229" s="7"/>
      <c r="E229" s="7"/>
      <c r="F229" s="7"/>
    </row>
    <row r="230">
      <c r="A230" s="7"/>
      <c r="B230" s="7"/>
      <c r="D230" s="7"/>
      <c r="E230" s="7"/>
      <c r="F230" s="7"/>
    </row>
    <row r="231">
      <c r="A231" s="7"/>
      <c r="B231" s="7"/>
      <c r="D231" s="7"/>
      <c r="E231" s="7"/>
      <c r="F231" s="7"/>
    </row>
    <row r="232">
      <c r="A232" s="7"/>
      <c r="B232" s="7"/>
      <c r="D232" s="7"/>
      <c r="E232" s="7"/>
      <c r="F232" s="7"/>
    </row>
    <row r="233">
      <c r="A233" s="7"/>
      <c r="B233" s="7"/>
      <c r="D233" s="7"/>
      <c r="E233" s="7"/>
      <c r="F233" s="7"/>
    </row>
    <row r="234">
      <c r="A234" s="7"/>
      <c r="B234" s="7"/>
      <c r="D234" s="7"/>
      <c r="E234" s="7"/>
      <c r="F234" s="7"/>
    </row>
    <row r="235">
      <c r="A235" s="7"/>
      <c r="B235" s="7"/>
      <c r="D235" s="7"/>
      <c r="E235" s="7"/>
      <c r="F235" s="7"/>
    </row>
    <row r="236">
      <c r="A236" s="7"/>
      <c r="B236" s="7"/>
      <c r="D236" s="7"/>
      <c r="E236" s="7"/>
      <c r="F236" s="7"/>
    </row>
    <row r="237">
      <c r="A237" s="7"/>
      <c r="B237" s="7"/>
      <c r="D237" s="7"/>
      <c r="E237" s="7"/>
      <c r="F237" s="7"/>
    </row>
    <row r="238">
      <c r="A238" s="7"/>
      <c r="B238" s="7"/>
      <c r="D238" s="7"/>
      <c r="E238" s="7"/>
      <c r="F238" s="7"/>
    </row>
    <row r="239">
      <c r="A239" s="7"/>
      <c r="B239" s="7"/>
      <c r="D239" s="7"/>
      <c r="E239" s="7"/>
      <c r="F239" s="7"/>
    </row>
    <row r="240">
      <c r="A240" s="7"/>
      <c r="B240" s="7"/>
      <c r="D240" s="7"/>
      <c r="E240" s="7"/>
      <c r="F240" s="7"/>
    </row>
    <row r="241">
      <c r="A241" s="7"/>
      <c r="B241" s="7"/>
      <c r="D241" s="7"/>
      <c r="E241" s="7"/>
      <c r="F241" s="7"/>
    </row>
    <row r="242">
      <c r="A242" s="7"/>
      <c r="B242" s="7"/>
      <c r="D242" s="7"/>
      <c r="E242" s="7"/>
      <c r="F242" s="7"/>
    </row>
    <row r="243">
      <c r="A243" s="7"/>
      <c r="B243" s="7"/>
      <c r="D243" s="7"/>
      <c r="E243" s="7"/>
      <c r="F243" s="7"/>
    </row>
    <row r="244">
      <c r="A244" s="7"/>
      <c r="B244" s="7"/>
      <c r="D244" s="7"/>
      <c r="E244" s="7"/>
      <c r="F244" s="7"/>
    </row>
    <row r="245">
      <c r="A245" s="7"/>
      <c r="B245" s="7"/>
      <c r="D245" s="7"/>
      <c r="E245" s="7"/>
      <c r="F245" s="7"/>
    </row>
    <row r="246">
      <c r="A246" s="7"/>
      <c r="B246" s="7"/>
      <c r="D246" s="7"/>
      <c r="E246" s="7"/>
      <c r="F246" s="7"/>
    </row>
    <row r="247">
      <c r="A247" s="7"/>
      <c r="B247" s="7"/>
      <c r="D247" s="7"/>
      <c r="E247" s="7"/>
      <c r="F247" s="7"/>
    </row>
    <row r="248">
      <c r="A248" s="7"/>
      <c r="B248" s="7"/>
      <c r="D248" s="7"/>
      <c r="E248" s="7"/>
      <c r="F248" s="7"/>
    </row>
    <row r="249">
      <c r="A249" s="7"/>
      <c r="B249" s="7"/>
      <c r="D249" s="7"/>
      <c r="E249" s="7"/>
      <c r="F249" s="7"/>
    </row>
    <row r="250">
      <c r="A250" s="7"/>
      <c r="B250" s="7"/>
      <c r="D250" s="7"/>
      <c r="E250" s="7"/>
      <c r="F250" s="7"/>
    </row>
    <row r="251">
      <c r="A251" s="7"/>
      <c r="B251" s="7"/>
      <c r="D251" s="7"/>
      <c r="E251" s="7"/>
      <c r="F251" s="7"/>
    </row>
    <row r="252">
      <c r="A252" s="7"/>
      <c r="B252" s="7"/>
      <c r="D252" s="7"/>
      <c r="E252" s="7"/>
      <c r="F252" s="7"/>
    </row>
    <row r="253">
      <c r="A253" s="7"/>
      <c r="B253" s="7"/>
      <c r="D253" s="7"/>
      <c r="E253" s="7"/>
      <c r="F253" s="7"/>
    </row>
    <row r="254">
      <c r="A254" s="7"/>
      <c r="B254" s="7"/>
      <c r="D254" s="7"/>
      <c r="E254" s="7"/>
      <c r="F254" s="7"/>
    </row>
    <row r="255">
      <c r="A255" s="7"/>
      <c r="B255" s="7"/>
      <c r="D255" s="7"/>
      <c r="E255" s="7"/>
      <c r="F255" s="7"/>
    </row>
    <row r="256">
      <c r="A256" s="7"/>
      <c r="B256" s="7"/>
      <c r="D256" s="7"/>
      <c r="E256" s="7"/>
      <c r="F256" s="7"/>
    </row>
    <row r="257">
      <c r="A257" s="7"/>
      <c r="B257" s="7"/>
      <c r="D257" s="7"/>
      <c r="E257" s="7"/>
      <c r="F257" s="7"/>
    </row>
    <row r="258">
      <c r="A258" s="7"/>
      <c r="B258" s="7"/>
      <c r="D258" s="7"/>
      <c r="E258" s="7"/>
      <c r="F258" s="7"/>
    </row>
    <row r="259">
      <c r="A259" s="7"/>
      <c r="B259" s="7"/>
      <c r="D259" s="7"/>
      <c r="E259" s="7"/>
      <c r="F259" s="7"/>
    </row>
    <row r="260">
      <c r="A260" s="7"/>
      <c r="B260" s="7"/>
      <c r="D260" s="7"/>
      <c r="E260" s="7"/>
      <c r="F260" s="7"/>
    </row>
    <row r="261">
      <c r="A261" s="7"/>
      <c r="B261" s="7"/>
      <c r="D261" s="7"/>
      <c r="E261" s="7"/>
      <c r="F261" s="7"/>
    </row>
    <row r="262">
      <c r="A262" s="7"/>
      <c r="B262" s="7"/>
      <c r="D262" s="7"/>
      <c r="E262" s="7"/>
      <c r="F262" s="7"/>
    </row>
    <row r="263">
      <c r="A263" s="7"/>
      <c r="B263" s="7"/>
      <c r="D263" s="7"/>
      <c r="E263" s="7"/>
      <c r="F263" s="7"/>
    </row>
    <row r="264">
      <c r="A264" s="7"/>
      <c r="B264" s="7"/>
      <c r="D264" s="7"/>
      <c r="E264" s="7"/>
      <c r="F264" s="7"/>
    </row>
    <row r="265">
      <c r="A265" s="7"/>
      <c r="B265" s="7"/>
      <c r="D265" s="7"/>
      <c r="E265" s="7"/>
      <c r="F265" s="7"/>
    </row>
    <row r="266">
      <c r="A266" s="7"/>
      <c r="B266" s="7"/>
      <c r="D266" s="7"/>
      <c r="E266" s="7"/>
      <c r="F266" s="7"/>
    </row>
    <row r="267">
      <c r="A267" s="7"/>
      <c r="B267" s="7"/>
      <c r="D267" s="7"/>
      <c r="E267" s="7"/>
      <c r="F267" s="7"/>
    </row>
    <row r="268">
      <c r="A268" s="7"/>
      <c r="B268" s="7"/>
      <c r="D268" s="7"/>
      <c r="E268" s="7"/>
      <c r="F268" s="7"/>
    </row>
    <row r="269">
      <c r="A269" s="7"/>
      <c r="B269" s="7"/>
      <c r="D269" s="7"/>
      <c r="E269" s="7"/>
      <c r="F269" s="7"/>
    </row>
    <row r="270">
      <c r="A270" s="7"/>
      <c r="B270" s="7"/>
      <c r="D270" s="7"/>
      <c r="E270" s="7"/>
      <c r="F270" s="7"/>
    </row>
    <row r="271">
      <c r="A271" s="7"/>
      <c r="B271" s="7"/>
      <c r="D271" s="7"/>
      <c r="E271" s="7"/>
      <c r="F271" s="7"/>
    </row>
    <row r="272">
      <c r="A272" s="7"/>
      <c r="B272" s="7"/>
      <c r="D272" s="7"/>
      <c r="E272" s="7"/>
      <c r="F272" s="7"/>
    </row>
    <row r="273">
      <c r="A273" s="7"/>
      <c r="B273" s="7"/>
      <c r="D273" s="7"/>
      <c r="E273" s="7"/>
      <c r="F273" s="7"/>
    </row>
    <row r="274">
      <c r="A274" s="7"/>
      <c r="B274" s="7"/>
      <c r="D274" s="7"/>
      <c r="E274" s="7"/>
      <c r="F274" s="7"/>
    </row>
    <row r="275">
      <c r="A275" s="7"/>
      <c r="B275" s="7"/>
      <c r="D275" s="7"/>
      <c r="E275" s="7"/>
      <c r="F275" s="7"/>
    </row>
    <row r="276">
      <c r="A276" s="7"/>
      <c r="B276" s="7"/>
      <c r="D276" s="7"/>
      <c r="E276" s="7"/>
      <c r="F276" s="7"/>
    </row>
    <row r="277">
      <c r="A277" s="7"/>
      <c r="B277" s="7"/>
      <c r="D277" s="7"/>
      <c r="E277" s="7"/>
      <c r="F277" s="7"/>
    </row>
    <row r="278">
      <c r="A278" s="7"/>
      <c r="B278" s="7"/>
      <c r="D278" s="7"/>
      <c r="E278" s="7"/>
      <c r="F278" s="7"/>
    </row>
    <row r="279">
      <c r="A279" s="7"/>
      <c r="B279" s="7"/>
      <c r="D279" s="7"/>
      <c r="E279" s="7"/>
      <c r="F279" s="7"/>
    </row>
    <row r="280">
      <c r="A280" s="7"/>
      <c r="B280" s="7"/>
      <c r="D280" s="7"/>
      <c r="E280" s="7"/>
      <c r="F280" s="7"/>
    </row>
    <row r="281">
      <c r="A281" s="7"/>
      <c r="B281" s="7"/>
      <c r="D281" s="7"/>
      <c r="E281" s="7"/>
      <c r="F281" s="7"/>
    </row>
    <row r="282">
      <c r="A282" s="7"/>
      <c r="B282" s="7"/>
      <c r="D282" s="7"/>
      <c r="E282" s="7"/>
      <c r="F282" s="7"/>
    </row>
    <row r="283">
      <c r="A283" s="7"/>
      <c r="B283" s="7"/>
      <c r="D283" s="7"/>
      <c r="E283" s="7"/>
      <c r="F283" s="7"/>
    </row>
    <row r="284">
      <c r="A284" s="7"/>
      <c r="B284" s="7"/>
      <c r="D284" s="7"/>
      <c r="E284" s="7"/>
      <c r="F284" s="7"/>
    </row>
    <row r="285">
      <c r="A285" s="7"/>
      <c r="B285" s="7"/>
      <c r="D285" s="7"/>
      <c r="E285" s="7"/>
      <c r="F285" s="7"/>
    </row>
    <row r="286">
      <c r="A286" s="7"/>
      <c r="B286" s="7"/>
      <c r="D286" s="7"/>
      <c r="E286" s="7"/>
      <c r="F286" s="7"/>
    </row>
    <row r="287">
      <c r="A287" s="7"/>
      <c r="B287" s="7"/>
      <c r="D287" s="7"/>
      <c r="E287" s="7"/>
      <c r="F287" s="7"/>
    </row>
    <row r="288">
      <c r="A288" s="7"/>
      <c r="B288" s="7"/>
      <c r="D288" s="7"/>
      <c r="E288" s="7"/>
      <c r="F288" s="7"/>
    </row>
    <row r="289">
      <c r="A289" s="7"/>
      <c r="B289" s="7"/>
      <c r="D289" s="7"/>
      <c r="E289" s="7"/>
      <c r="F289" s="7"/>
    </row>
    <row r="290">
      <c r="A290" s="7"/>
      <c r="B290" s="7"/>
      <c r="D290" s="7"/>
      <c r="E290" s="7"/>
      <c r="F290" s="7"/>
    </row>
    <row r="291">
      <c r="A291" s="7"/>
      <c r="B291" s="7"/>
      <c r="D291" s="7"/>
      <c r="E291" s="7"/>
      <c r="F291" s="7"/>
    </row>
    <row r="292">
      <c r="A292" s="7"/>
      <c r="B292" s="7"/>
      <c r="D292" s="7"/>
      <c r="E292" s="7"/>
      <c r="F292" s="7"/>
    </row>
    <row r="293">
      <c r="A293" s="7"/>
      <c r="B293" s="7"/>
      <c r="D293" s="7"/>
      <c r="E293" s="7"/>
      <c r="F293" s="7"/>
    </row>
    <row r="294">
      <c r="A294" s="7"/>
      <c r="B294" s="7"/>
      <c r="D294" s="7"/>
      <c r="E294" s="7"/>
      <c r="F294" s="7"/>
    </row>
    <row r="295">
      <c r="A295" s="7"/>
      <c r="B295" s="7"/>
      <c r="D295" s="7"/>
      <c r="E295" s="7"/>
      <c r="F295" s="7"/>
    </row>
    <row r="296">
      <c r="A296" s="7"/>
      <c r="B296" s="7"/>
      <c r="D296" s="7"/>
      <c r="E296" s="7"/>
      <c r="F296" s="7"/>
    </row>
    <row r="297">
      <c r="A297" s="7"/>
      <c r="B297" s="7"/>
      <c r="D297" s="7"/>
      <c r="E297" s="7"/>
      <c r="F297" s="7"/>
    </row>
    <row r="298">
      <c r="A298" s="7"/>
      <c r="B298" s="7"/>
      <c r="D298" s="7"/>
      <c r="E298" s="7"/>
      <c r="F298" s="7"/>
    </row>
    <row r="299">
      <c r="A299" s="7"/>
      <c r="B299" s="7"/>
      <c r="D299" s="7"/>
      <c r="E299" s="7"/>
      <c r="F299" s="7"/>
    </row>
    <row r="300">
      <c r="A300" s="7"/>
      <c r="B300" s="7"/>
      <c r="D300" s="7"/>
      <c r="E300" s="7"/>
      <c r="F300" s="7"/>
    </row>
    <row r="301">
      <c r="A301" s="7"/>
      <c r="B301" s="7"/>
      <c r="D301" s="7"/>
      <c r="E301" s="7"/>
      <c r="F301" s="7"/>
    </row>
    <row r="302">
      <c r="A302" s="7"/>
      <c r="B302" s="7"/>
      <c r="D302" s="7"/>
      <c r="E302" s="7"/>
      <c r="F302" s="7"/>
    </row>
    <row r="303">
      <c r="A303" s="7"/>
      <c r="B303" s="7"/>
      <c r="D303" s="7"/>
      <c r="E303" s="7"/>
      <c r="F303" s="7"/>
    </row>
    <row r="304">
      <c r="A304" s="7"/>
      <c r="B304" s="7"/>
      <c r="D304" s="7"/>
      <c r="E304" s="7"/>
      <c r="F304" s="7"/>
    </row>
    <row r="305">
      <c r="A305" s="7"/>
      <c r="B305" s="7"/>
      <c r="D305" s="7"/>
      <c r="E305" s="7"/>
      <c r="F305" s="7"/>
    </row>
    <row r="306">
      <c r="A306" s="7"/>
      <c r="B306" s="7"/>
      <c r="D306" s="7"/>
      <c r="E306" s="7"/>
      <c r="F306" s="7"/>
    </row>
    <row r="307">
      <c r="A307" s="7"/>
      <c r="B307" s="7"/>
      <c r="D307" s="7"/>
      <c r="E307" s="7"/>
      <c r="F307" s="7"/>
    </row>
    <row r="308">
      <c r="A308" s="7"/>
      <c r="B308" s="7"/>
      <c r="D308" s="7"/>
      <c r="E308" s="7"/>
      <c r="F308" s="7"/>
    </row>
    <row r="309">
      <c r="A309" s="7"/>
      <c r="B309" s="7"/>
      <c r="D309" s="7"/>
      <c r="E309" s="7"/>
      <c r="F309" s="7"/>
    </row>
    <row r="310">
      <c r="A310" s="7"/>
      <c r="B310" s="7"/>
      <c r="D310" s="7"/>
      <c r="E310" s="7"/>
      <c r="F310" s="7"/>
    </row>
    <row r="311">
      <c r="A311" s="7"/>
      <c r="B311" s="7"/>
      <c r="D311" s="7"/>
      <c r="E311" s="7"/>
      <c r="F311" s="7"/>
    </row>
    <row r="312">
      <c r="A312" s="7"/>
      <c r="B312" s="7"/>
      <c r="D312" s="7"/>
      <c r="E312" s="7"/>
      <c r="F312" s="7"/>
    </row>
    <row r="313">
      <c r="A313" s="7"/>
      <c r="B313" s="7"/>
      <c r="D313" s="7"/>
      <c r="E313" s="7"/>
      <c r="F313" s="7"/>
    </row>
    <row r="314">
      <c r="A314" s="7"/>
      <c r="B314" s="7"/>
      <c r="D314" s="7"/>
      <c r="E314" s="7"/>
      <c r="F314" s="7"/>
    </row>
    <row r="315">
      <c r="A315" s="7"/>
      <c r="B315" s="7"/>
      <c r="D315" s="7"/>
      <c r="E315" s="7"/>
      <c r="F315" s="7"/>
    </row>
    <row r="316">
      <c r="A316" s="7"/>
      <c r="B316" s="7"/>
      <c r="D316" s="7"/>
      <c r="E316" s="7"/>
      <c r="F316" s="7"/>
    </row>
    <row r="317">
      <c r="A317" s="7"/>
      <c r="B317" s="7"/>
      <c r="D317" s="7"/>
      <c r="E317" s="7"/>
      <c r="F317" s="7"/>
    </row>
    <row r="318">
      <c r="A318" s="7"/>
      <c r="B318" s="7"/>
      <c r="D318" s="7"/>
      <c r="E318" s="7"/>
      <c r="F318" s="7"/>
    </row>
    <row r="319">
      <c r="A319" s="7"/>
      <c r="B319" s="7"/>
      <c r="D319" s="7"/>
      <c r="E319" s="7"/>
      <c r="F319" s="7"/>
    </row>
    <row r="320">
      <c r="A320" s="7"/>
      <c r="B320" s="7"/>
      <c r="D320" s="7"/>
      <c r="E320" s="7"/>
      <c r="F320" s="7"/>
    </row>
    <row r="321">
      <c r="A321" s="7"/>
      <c r="B321" s="7"/>
      <c r="D321" s="7"/>
      <c r="E321" s="7"/>
      <c r="F321" s="7"/>
    </row>
    <row r="322">
      <c r="A322" s="7"/>
      <c r="B322" s="7"/>
      <c r="D322" s="7"/>
      <c r="E322" s="7"/>
      <c r="F322" s="7"/>
    </row>
    <row r="323">
      <c r="A323" s="7"/>
      <c r="B323" s="7"/>
      <c r="D323" s="7"/>
      <c r="E323" s="7"/>
      <c r="F323" s="7"/>
    </row>
    <row r="324">
      <c r="A324" s="7"/>
      <c r="B324" s="7"/>
      <c r="D324" s="7"/>
      <c r="E324" s="7"/>
      <c r="F324" s="7"/>
    </row>
    <row r="325">
      <c r="A325" s="7"/>
      <c r="B325" s="7"/>
      <c r="D325" s="7"/>
      <c r="E325" s="7"/>
      <c r="F325" s="7"/>
    </row>
    <row r="326">
      <c r="A326" s="7"/>
      <c r="B326" s="7"/>
      <c r="D326" s="7"/>
      <c r="E326" s="7"/>
      <c r="F326" s="7"/>
    </row>
    <row r="327">
      <c r="A327" s="7"/>
      <c r="B327" s="7"/>
      <c r="D327" s="7"/>
      <c r="E327" s="7"/>
      <c r="F327" s="7"/>
    </row>
    <row r="328">
      <c r="A328" s="7"/>
      <c r="B328" s="7"/>
      <c r="D328" s="7"/>
      <c r="E328" s="7"/>
      <c r="F328" s="7"/>
    </row>
    <row r="329">
      <c r="A329" s="7"/>
      <c r="B329" s="7"/>
      <c r="D329" s="7"/>
      <c r="E329" s="7"/>
      <c r="F329" s="7"/>
    </row>
    <row r="330">
      <c r="A330" s="7"/>
      <c r="B330" s="7"/>
      <c r="D330" s="7"/>
      <c r="E330" s="7"/>
      <c r="F330" s="7"/>
    </row>
    <row r="331">
      <c r="A331" s="7"/>
      <c r="B331" s="7"/>
      <c r="D331" s="7"/>
      <c r="E331" s="7"/>
      <c r="F331" s="7"/>
    </row>
    <row r="332">
      <c r="A332" s="7"/>
      <c r="B332" s="7"/>
      <c r="D332" s="7"/>
      <c r="E332" s="7"/>
      <c r="F332" s="7"/>
    </row>
    <row r="333">
      <c r="A333" s="7"/>
      <c r="B333" s="7"/>
      <c r="D333" s="7"/>
      <c r="E333" s="7"/>
      <c r="F333" s="7"/>
    </row>
    <row r="334">
      <c r="A334" s="7"/>
      <c r="B334" s="7"/>
      <c r="D334" s="7"/>
      <c r="E334" s="7"/>
      <c r="F334" s="7"/>
    </row>
    <row r="335">
      <c r="A335" s="7"/>
      <c r="B335" s="7"/>
      <c r="D335" s="7"/>
      <c r="E335" s="7"/>
      <c r="F335" s="7"/>
    </row>
    <row r="336">
      <c r="A336" s="7"/>
      <c r="B336" s="7"/>
      <c r="D336" s="7"/>
      <c r="E336" s="7"/>
      <c r="F336" s="7"/>
    </row>
    <row r="337">
      <c r="A337" s="7"/>
      <c r="B337" s="7"/>
      <c r="D337" s="7"/>
      <c r="E337" s="7"/>
      <c r="F337" s="7"/>
    </row>
    <row r="338">
      <c r="A338" s="7"/>
      <c r="B338" s="7"/>
      <c r="D338" s="7"/>
      <c r="E338" s="7"/>
      <c r="F338" s="7"/>
    </row>
    <row r="339">
      <c r="A339" s="7"/>
      <c r="B339" s="7"/>
      <c r="D339" s="7"/>
      <c r="E339" s="7"/>
      <c r="F339" s="7"/>
    </row>
    <row r="340">
      <c r="A340" s="7"/>
      <c r="B340" s="7"/>
      <c r="D340" s="7"/>
      <c r="E340" s="7"/>
      <c r="F340" s="7"/>
    </row>
    <row r="341">
      <c r="A341" s="7"/>
      <c r="B341" s="7"/>
      <c r="D341" s="7"/>
      <c r="E341" s="7"/>
      <c r="F341" s="7"/>
    </row>
    <row r="342">
      <c r="A342" s="7"/>
      <c r="B342" s="7"/>
      <c r="D342" s="7"/>
      <c r="E342" s="7"/>
      <c r="F342" s="7"/>
    </row>
    <row r="343">
      <c r="A343" s="7"/>
      <c r="B343" s="7"/>
      <c r="D343" s="7"/>
      <c r="E343" s="7"/>
      <c r="F343" s="7"/>
    </row>
    <row r="344">
      <c r="A344" s="7"/>
      <c r="B344" s="7"/>
      <c r="D344" s="7"/>
      <c r="E344" s="7"/>
      <c r="F344" s="7"/>
    </row>
    <row r="345">
      <c r="A345" s="7"/>
      <c r="B345" s="7"/>
      <c r="D345" s="7"/>
      <c r="E345" s="7"/>
      <c r="F345" s="7"/>
    </row>
    <row r="346">
      <c r="A346" s="7"/>
      <c r="B346" s="7"/>
      <c r="D346" s="7"/>
      <c r="E346" s="7"/>
      <c r="F346" s="7"/>
    </row>
    <row r="347">
      <c r="A347" s="7"/>
      <c r="B347" s="7"/>
      <c r="D347" s="7"/>
      <c r="E347" s="7"/>
      <c r="F347" s="7"/>
    </row>
    <row r="348">
      <c r="A348" s="7"/>
      <c r="B348" s="7"/>
      <c r="D348" s="7"/>
      <c r="E348" s="7"/>
      <c r="F348" s="7"/>
    </row>
    <row r="349">
      <c r="A349" s="7"/>
      <c r="B349" s="7"/>
      <c r="D349" s="7"/>
      <c r="E349" s="7"/>
      <c r="F349" s="7"/>
    </row>
    <row r="350">
      <c r="A350" s="7"/>
      <c r="B350" s="7"/>
      <c r="D350" s="7"/>
      <c r="E350" s="7"/>
      <c r="F350" s="7"/>
    </row>
    <row r="351">
      <c r="A351" s="7"/>
      <c r="B351" s="7"/>
      <c r="D351" s="7"/>
      <c r="E351" s="7"/>
      <c r="F351" s="7"/>
    </row>
    <row r="352">
      <c r="A352" s="7"/>
      <c r="B352" s="7"/>
      <c r="D352" s="7"/>
      <c r="E352" s="7"/>
      <c r="F352" s="7"/>
    </row>
    <row r="353">
      <c r="A353" s="7"/>
      <c r="B353" s="7"/>
      <c r="D353" s="7"/>
      <c r="E353" s="7"/>
      <c r="F353" s="7"/>
    </row>
    <row r="354">
      <c r="A354" s="7"/>
      <c r="B354" s="7"/>
      <c r="D354" s="7"/>
      <c r="E354" s="7"/>
      <c r="F354" s="7"/>
    </row>
    <row r="355">
      <c r="A355" s="7"/>
      <c r="B355" s="7"/>
      <c r="D355" s="7"/>
      <c r="E355" s="7"/>
      <c r="F355" s="7"/>
    </row>
    <row r="356">
      <c r="A356" s="7"/>
      <c r="B356" s="7"/>
      <c r="D356" s="7"/>
      <c r="E356" s="7"/>
      <c r="F356" s="7"/>
    </row>
    <row r="357">
      <c r="A357" s="7"/>
      <c r="B357" s="7"/>
      <c r="D357" s="7"/>
      <c r="E357" s="7"/>
      <c r="F357" s="7"/>
    </row>
    <row r="358">
      <c r="A358" s="7"/>
      <c r="B358" s="7"/>
      <c r="D358" s="7"/>
      <c r="E358" s="7"/>
      <c r="F358" s="7"/>
    </row>
    <row r="359">
      <c r="A359" s="7"/>
      <c r="B359" s="7"/>
      <c r="D359" s="7"/>
      <c r="E359" s="7"/>
      <c r="F359" s="7"/>
    </row>
    <row r="360">
      <c r="A360" s="7"/>
      <c r="B360" s="7"/>
      <c r="D360" s="7"/>
      <c r="E360" s="7"/>
      <c r="F360" s="7"/>
    </row>
    <row r="361">
      <c r="A361" s="7"/>
      <c r="B361" s="7"/>
      <c r="D361" s="7"/>
      <c r="E361" s="7"/>
      <c r="F361" s="7"/>
    </row>
    <row r="362">
      <c r="A362" s="7"/>
      <c r="B362" s="7"/>
      <c r="D362" s="7"/>
      <c r="E362" s="7"/>
      <c r="F362" s="7"/>
    </row>
    <row r="363">
      <c r="A363" s="7"/>
      <c r="B363" s="7"/>
      <c r="D363" s="7"/>
      <c r="E363" s="7"/>
      <c r="F363" s="7"/>
    </row>
    <row r="364">
      <c r="A364" s="7"/>
      <c r="B364" s="7"/>
      <c r="D364" s="7"/>
      <c r="E364" s="7"/>
      <c r="F364" s="7"/>
    </row>
    <row r="365">
      <c r="A365" s="7"/>
      <c r="B365" s="7"/>
      <c r="D365" s="7"/>
      <c r="E365" s="7"/>
      <c r="F365" s="7"/>
    </row>
    <row r="366">
      <c r="A366" s="7"/>
      <c r="B366" s="7"/>
      <c r="D366" s="7"/>
      <c r="E366" s="7"/>
      <c r="F366" s="7"/>
    </row>
    <row r="367">
      <c r="A367" s="7"/>
      <c r="B367" s="7"/>
      <c r="D367" s="7"/>
      <c r="E367" s="7"/>
      <c r="F367" s="7"/>
    </row>
    <row r="368">
      <c r="A368" s="7"/>
      <c r="B368" s="7"/>
      <c r="D368" s="7"/>
      <c r="E368" s="7"/>
      <c r="F368" s="7"/>
    </row>
    <row r="369">
      <c r="A369" s="7"/>
      <c r="B369" s="7"/>
      <c r="D369" s="7"/>
      <c r="E369" s="7"/>
      <c r="F369" s="7"/>
    </row>
    <row r="370">
      <c r="A370" s="7"/>
      <c r="B370" s="7"/>
      <c r="D370" s="7"/>
      <c r="E370" s="7"/>
      <c r="F370" s="7"/>
    </row>
    <row r="371">
      <c r="A371" s="7"/>
      <c r="B371" s="7"/>
      <c r="D371" s="7"/>
      <c r="E371" s="7"/>
      <c r="F371" s="7"/>
    </row>
    <row r="372">
      <c r="A372" s="7"/>
      <c r="B372" s="7"/>
      <c r="D372" s="7"/>
      <c r="E372" s="7"/>
      <c r="F372" s="7"/>
    </row>
    <row r="373">
      <c r="A373" s="7"/>
      <c r="B373" s="7"/>
      <c r="D373" s="7"/>
      <c r="E373" s="7"/>
      <c r="F373" s="7"/>
    </row>
    <row r="374">
      <c r="A374" s="7"/>
      <c r="B374" s="7"/>
      <c r="D374" s="7"/>
      <c r="E374" s="7"/>
      <c r="F374" s="7"/>
    </row>
    <row r="375">
      <c r="A375" s="7"/>
      <c r="B375" s="7"/>
      <c r="D375" s="7"/>
      <c r="E375" s="7"/>
      <c r="F375" s="7"/>
    </row>
    <row r="376">
      <c r="A376" s="7"/>
      <c r="B376" s="7"/>
      <c r="D376" s="7"/>
      <c r="E376" s="7"/>
      <c r="F376" s="7"/>
    </row>
    <row r="377">
      <c r="A377" s="7"/>
      <c r="B377" s="7"/>
      <c r="D377" s="7"/>
      <c r="E377" s="7"/>
      <c r="F377" s="7"/>
    </row>
    <row r="378">
      <c r="A378" s="7"/>
      <c r="B378" s="7"/>
      <c r="D378" s="7"/>
      <c r="E378" s="7"/>
      <c r="F378" s="7"/>
    </row>
    <row r="379">
      <c r="A379" s="7"/>
      <c r="B379" s="7"/>
      <c r="D379" s="7"/>
      <c r="E379" s="7"/>
      <c r="F379" s="7"/>
    </row>
    <row r="380">
      <c r="A380" s="7"/>
      <c r="B380" s="7"/>
      <c r="D380" s="7"/>
      <c r="E380" s="7"/>
      <c r="F380" s="7"/>
    </row>
    <row r="381">
      <c r="A381" s="7"/>
      <c r="B381" s="7"/>
      <c r="D381" s="7"/>
      <c r="E381" s="7"/>
      <c r="F381" s="7"/>
    </row>
    <row r="382">
      <c r="A382" s="7"/>
      <c r="B382" s="7"/>
      <c r="D382" s="7"/>
      <c r="E382" s="7"/>
      <c r="F382" s="7"/>
    </row>
    <row r="383">
      <c r="A383" s="7"/>
      <c r="B383" s="7"/>
      <c r="D383" s="7"/>
      <c r="E383" s="7"/>
      <c r="F383" s="7"/>
    </row>
    <row r="384">
      <c r="A384" s="7"/>
      <c r="B384" s="7"/>
      <c r="D384" s="7"/>
      <c r="E384" s="7"/>
      <c r="F384" s="7"/>
    </row>
    <row r="385">
      <c r="A385" s="7"/>
      <c r="B385" s="7"/>
      <c r="D385" s="7"/>
      <c r="E385" s="7"/>
      <c r="F385" s="7"/>
    </row>
    <row r="386">
      <c r="A386" s="7"/>
      <c r="B386" s="7"/>
      <c r="D386" s="7"/>
      <c r="E386" s="7"/>
      <c r="F386" s="7"/>
    </row>
    <row r="387">
      <c r="A387" s="7"/>
      <c r="B387" s="7"/>
      <c r="D387" s="7"/>
      <c r="E387" s="7"/>
      <c r="F387" s="7"/>
    </row>
    <row r="388">
      <c r="A388" s="7"/>
      <c r="B388" s="7"/>
      <c r="D388" s="7"/>
      <c r="E388" s="7"/>
      <c r="F388" s="7"/>
    </row>
    <row r="389">
      <c r="A389" s="7"/>
      <c r="B389" s="7"/>
      <c r="D389" s="7"/>
      <c r="E389" s="7"/>
      <c r="F389" s="7"/>
    </row>
    <row r="390">
      <c r="A390" s="7"/>
      <c r="B390" s="7"/>
      <c r="D390" s="7"/>
      <c r="E390" s="7"/>
      <c r="F390" s="7"/>
    </row>
    <row r="391">
      <c r="A391" s="7"/>
      <c r="B391" s="7"/>
      <c r="D391" s="7"/>
      <c r="E391" s="7"/>
      <c r="F391" s="7"/>
    </row>
    <row r="392">
      <c r="A392" s="7"/>
      <c r="B392" s="7"/>
      <c r="D392" s="7"/>
      <c r="E392" s="7"/>
      <c r="F392" s="7"/>
    </row>
    <row r="393">
      <c r="A393" s="7"/>
      <c r="B393" s="7"/>
      <c r="D393" s="7"/>
      <c r="E393" s="7"/>
      <c r="F393" s="7"/>
    </row>
    <row r="394">
      <c r="A394" s="7"/>
      <c r="B394" s="7"/>
      <c r="D394" s="7"/>
      <c r="E394" s="7"/>
      <c r="F394" s="7"/>
    </row>
    <row r="395">
      <c r="A395" s="7"/>
      <c r="B395" s="7"/>
      <c r="D395" s="7"/>
      <c r="E395" s="7"/>
      <c r="F395" s="7"/>
    </row>
    <row r="396">
      <c r="A396" s="7"/>
      <c r="B396" s="7"/>
      <c r="D396" s="7"/>
      <c r="E396" s="7"/>
      <c r="F396" s="7"/>
    </row>
    <row r="397">
      <c r="A397" s="7"/>
      <c r="B397" s="7"/>
      <c r="D397" s="7"/>
      <c r="E397" s="7"/>
      <c r="F397" s="7"/>
    </row>
    <row r="398">
      <c r="A398" s="7"/>
      <c r="B398" s="7"/>
      <c r="D398" s="7"/>
      <c r="E398" s="7"/>
      <c r="F398" s="7"/>
    </row>
    <row r="399">
      <c r="A399" s="7"/>
      <c r="B399" s="7"/>
      <c r="D399" s="7"/>
      <c r="E399" s="7"/>
      <c r="F399" s="7"/>
    </row>
    <row r="400">
      <c r="A400" s="7"/>
      <c r="B400" s="7"/>
      <c r="D400" s="7"/>
      <c r="E400" s="7"/>
      <c r="F400" s="7"/>
    </row>
    <row r="401">
      <c r="A401" s="7"/>
      <c r="B401" s="7"/>
      <c r="D401" s="7"/>
      <c r="E401" s="7"/>
      <c r="F401" s="7"/>
    </row>
    <row r="402">
      <c r="A402" s="7"/>
      <c r="B402" s="7"/>
      <c r="D402" s="7"/>
      <c r="E402" s="7"/>
      <c r="F402" s="7"/>
    </row>
    <row r="403">
      <c r="A403" s="7"/>
      <c r="B403" s="7"/>
      <c r="D403" s="7"/>
      <c r="E403" s="7"/>
      <c r="F403" s="7"/>
    </row>
    <row r="404">
      <c r="A404" s="7"/>
      <c r="B404" s="7"/>
      <c r="D404" s="7"/>
      <c r="E404" s="7"/>
      <c r="F404" s="7"/>
    </row>
    <row r="405">
      <c r="A405" s="7"/>
      <c r="B405" s="7"/>
      <c r="D405" s="7"/>
      <c r="E405" s="7"/>
      <c r="F405" s="7"/>
    </row>
    <row r="406">
      <c r="A406" s="7"/>
      <c r="B406" s="7"/>
      <c r="D406" s="7"/>
      <c r="E406" s="7"/>
      <c r="F406" s="7"/>
    </row>
    <row r="407">
      <c r="A407" s="7"/>
      <c r="B407" s="7"/>
      <c r="D407" s="7"/>
      <c r="E407" s="7"/>
      <c r="F407" s="7"/>
    </row>
    <row r="408">
      <c r="A408" s="7"/>
      <c r="B408" s="7"/>
      <c r="D408" s="7"/>
      <c r="E408" s="7"/>
      <c r="F408" s="7"/>
    </row>
    <row r="409">
      <c r="A409" s="7"/>
      <c r="B409" s="7"/>
      <c r="D409" s="7"/>
      <c r="E409" s="7"/>
      <c r="F409" s="7"/>
    </row>
    <row r="410">
      <c r="A410" s="7"/>
      <c r="B410" s="7"/>
      <c r="D410" s="7"/>
      <c r="E410" s="7"/>
      <c r="F410" s="7"/>
    </row>
    <row r="411">
      <c r="A411" s="7"/>
      <c r="B411" s="7"/>
      <c r="D411" s="7"/>
      <c r="E411" s="7"/>
      <c r="F411" s="7"/>
    </row>
    <row r="412">
      <c r="A412" s="7"/>
      <c r="B412" s="7"/>
      <c r="D412" s="7"/>
      <c r="E412" s="7"/>
      <c r="F412" s="7"/>
    </row>
    <row r="413">
      <c r="A413" s="7"/>
      <c r="B413" s="7"/>
      <c r="D413" s="7"/>
      <c r="E413" s="7"/>
      <c r="F413" s="7"/>
    </row>
    <row r="414">
      <c r="A414" s="7"/>
      <c r="B414" s="7"/>
      <c r="D414" s="7"/>
      <c r="E414" s="7"/>
      <c r="F414" s="7"/>
    </row>
    <row r="415">
      <c r="A415" s="7"/>
      <c r="B415" s="7"/>
      <c r="D415" s="7"/>
      <c r="E415" s="7"/>
      <c r="F415" s="7"/>
    </row>
    <row r="416">
      <c r="A416" s="7"/>
      <c r="B416" s="7"/>
      <c r="D416" s="7"/>
      <c r="E416" s="7"/>
      <c r="F416" s="7"/>
    </row>
    <row r="417">
      <c r="A417" s="7"/>
      <c r="B417" s="7"/>
      <c r="D417" s="7"/>
      <c r="E417" s="7"/>
      <c r="F417" s="7"/>
    </row>
    <row r="418">
      <c r="A418" s="7"/>
      <c r="B418" s="7"/>
      <c r="D418" s="7"/>
      <c r="E418" s="7"/>
      <c r="F418" s="7"/>
    </row>
    <row r="419">
      <c r="A419" s="7"/>
      <c r="B419" s="7"/>
      <c r="D419" s="7"/>
      <c r="E419" s="7"/>
      <c r="F419" s="7"/>
    </row>
    <row r="420">
      <c r="A420" s="7"/>
      <c r="B420" s="7"/>
      <c r="D420" s="7"/>
      <c r="E420" s="7"/>
      <c r="F420" s="7"/>
    </row>
    <row r="421">
      <c r="A421" s="7"/>
      <c r="B421" s="7"/>
      <c r="D421" s="7"/>
      <c r="E421" s="7"/>
      <c r="F421" s="7"/>
    </row>
    <row r="422">
      <c r="A422" s="7"/>
      <c r="B422" s="7"/>
      <c r="D422" s="7"/>
      <c r="E422" s="7"/>
      <c r="F422" s="7"/>
    </row>
    <row r="423">
      <c r="A423" s="7"/>
      <c r="B423" s="7"/>
      <c r="D423" s="7"/>
      <c r="E423" s="7"/>
      <c r="F423" s="7"/>
    </row>
    <row r="424">
      <c r="A424" s="7"/>
      <c r="B424" s="7"/>
      <c r="D424" s="7"/>
      <c r="E424" s="7"/>
      <c r="F424" s="7"/>
    </row>
    <row r="425">
      <c r="A425" s="7"/>
      <c r="B425" s="7"/>
      <c r="D425" s="7"/>
      <c r="E425" s="7"/>
      <c r="F425" s="7"/>
    </row>
    <row r="426">
      <c r="A426" s="7"/>
      <c r="B426" s="7"/>
      <c r="D426" s="7"/>
      <c r="E426" s="7"/>
      <c r="F426" s="7"/>
    </row>
    <row r="427">
      <c r="A427" s="7"/>
      <c r="B427" s="7"/>
      <c r="D427" s="7"/>
      <c r="E427" s="7"/>
      <c r="F427" s="7"/>
    </row>
    <row r="428">
      <c r="A428" s="7"/>
      <c r="B428" s="7"/>
      <c r="D428" s="7"/>
      <c r="E428" s="7"/>
      <c r="F428" s="7"/>
    </row>
    <row r="429">
      <c r="A429" s="7"/>
      <c r="B429" s="7"/>
      <c r="D429" s="7"/>
      <c r="E429" s="7"/>
      <c r="F429" s="7"/>
    </row>
    <row r="430">
      <c r="A430" s="7"/>
      <c r="B430" s="7"/>
      <c r="D430" s="7"/>
      <c r="E430" s="7"/>
      <c r="F430" s="7"/>
    </row>
    <row r="431">
      <c r="A431" s="7"/>
      <c r="B431" s="7"/>
      <c r="D431" s="7"/>
      <c r="E431" s="7"/>
      <c r="F431" s="7"/>
    </row>
    <row r="432">
      <c r="A432" s="7"/>
      <c r="B432" s="7"/>
      <c r="D432" s="7"/>
      <c r="E432" s="7"/>
      <c r="F432" s="7"/>
    </row>
    <row r="433">
      <c r="A433" s="7"/>
      <c r="B433" s="7"/>
      <c r="D433" s="7"/>
      <c r="E433" s="7"/>
      <c r="F433" s="7"/>
    </row>
    <row r="434">
      <c r="A434" s="7"/>
      <c r="B434" s="7"/>
      <c r="D434" s="7"/>
      <c r="E434" s="7"/>
      <c r="F434" s="7"/>
    </row>
    <row r="435">
      <c r="A435" s="7"/>
      <c r="B435" s="7"/>
      <c r="D435" s="7"/>
      <c r="E435" s="7"/>
      <c r="F435" s="7"/>
    </row>
    <row r="436">
      <c r="A436" s="7"/>
      <c r="B436" s="7"/>
      <c r="D436" s="7"/>
      <c r="E436" s="7"/>
      <c r="F436" s="7"/>
    </row>
    <row r="437">
      <c r="A437" s="7"/>
      <c r="B437" s="7"/>
      <c r="D437" s="7"/>
      <c r="E437" s="7"/>
      <c r="F437" s="7"/>
    </row>
    <row r="438">
      <c r="A438" s="7"/>
      <c r="B438" s="7"/>
      <c r="D438" s="7"/>
      <c r="E438" s="7"/>
      <c r="F438" s="7"/>
    </row>
    <row r="439">
      <c r="A439" s="7"/>
      <c r="B439" s="7"/>
      <c r="D439" s="7"/>
      <c r="E439" s="7"/>
      <c r="F439" s="7"/>
    </row>
    <row r="440">
      <c r="A440" s="7"/>
      <c r="B440" s="7"/>
      <c r="D440" s="7"/>
      <c r="E440" s="7"/>
      <c r="F440" s="7"/>
    </row>
    <row r="441">
      <c r="A441" s="7"/>
      <c r="B441" s="7"/>
      <c r="D441" s="7"/>
      <c r="E441" s="7"/>
      <c r="F441" s="7"/>
    </row>
    <row r="442">
      <c r="A442" s="7"/>
      <c r="B442" s="7"/>
      <c r="D442" s="7"/>
      <c r="E442" s="7"/>
      <c r="F442" s="7"/>
    </row>
    <row r="443">
      <c r="A443" s="7"/>
      <c r="B443" s="7"/>
      <c r="D443" s="7"/>
      <c r="E443" s="7"/>
      <c r="F443" s="7"/>
    </row>
    <row r="444">
      <c r="A444" s="7"/>
      <c r="B444" s="7"/>
      <c r="D444" s="7"/>
      <c r="E444" s="7"/>
      <c r="F444" s="7"/>
    </row>
    <row r="445">
      <c r="A445" s="7"/>
      <c r="B445" s="7"/>
      <c r="D445" s="7"/>
      <c r="E445" s="7"/>
      <c r="F445" s="7"/>
    </row>
    <row r="446">
      <c r="A446" s="7"/>
      <c r="B446" s="7"/>
      <c r="D446" s="7"/>
      <c r="E446" s="7"/>
      <c r="F446" s="7"/>
    </row>
    <row r="447">
      <c r="A447" s="7"/>
      <c r="B447" s="7"/>
      <c r="D447" s="7"/>
      <c r="E447" s="7"/>
      <c r="F447" s="7"/>
    </row>
    <row r="448">
      <c r="A448" s="7"/>
      <c r="B448" s="7"/>
      <c r="D448" s="7"/>
      <c r="E448" s="7"/>
      <c r="F448" s="7"/>
    </row>
    <row r="449">
      <c r="A449" s="7"/>
      <c r="B449" s="7"/>
      <c r="D449" s="7"/>
      <c r="E449" s="7"/>
      <c r="F449" s="7"/>
    </row>
    <row r="450">
      <c r="A450" s="7"/>
      <c r="B450" s="7"/>
      <c r="D450" s="7"/>
      <c r="E450" s="7"/>
      <c r="F450" s="7"/>
    </row>
    <row r="451">
      <c r="A451" s="7"/>
      <c r="B451" s="7"/>
      <c r="D451" s="7"/>
      <c r="E451" s="7"/>
      <c r="F451" s="7"/>
    </row>
    <row r="452">
      <c r="A452" s="7"/>
      <c r="B452" s="7"/>
      <c r="D452" s="7"/>
      <c r="E452" s="7"/>
      <c r="F452" s="7"/>
    </row>
    <row r="453">
      <c r="A453" s="7"/>
      <c r="B453" s="7"/>
      <c r="D453" s="7"/>
      <c r="E453" s="7"/>
      <c r="F453" s="7"/>
    </row>
    <row r="454">
      <c r="A454" s="7"/>
      <c r="B454" s="7"/>
      <c r="D454" s="7"/>
      <c r="E454" s="7"/>
      <c r="F454" s="7"/>
    </row>
    <row r="455">
      <c r="A455" s="7"/>
      <c r="B455" s="7"/>
      <c r="D455" s="7"/>
      <c r="E455" s="7"/>
      <c r="F455" s="7"/>
    </row>
    <row r="456">
      <c r="A456" s="7"/>
      <c r="B456" s="7"/>
      <c r="D456" s="7"/>
      <c r="E456" s="7"/>
      <c r="F456" s="7"/>
    </row>
    <row r="457">
      <c r="A457" s="7"/>
      <c r="B457" s="7"/>
      <c r="D457" s="7"/>
      <c r="E457" s="7"/>
      <c r="F457" s="7"/>
    </row>
    <row r="458">
      <c r="A458" s="7"/>
      <c r="B458" s="7"/>
      <c r="D458" s="7"/>
      <c r="E458" s="7"/>
      <c r="F458" s="7"/>
    </row>
    <row r="459">
      <c r="A459" s="7"/>
      <c r="B459" s="7"/>
      <c r="D459" s="7"/>
      <c r="E459" s="7"/>
      <c r="F459" s="7"/>
    </row>
    <row r="460">
      <c r="A460" s="7"/>
      <c r="B460" s="7"/>
      <c r="D460" s="7"/>
      <c r="E460" s="7"/>
      <c r="F460" s="7"/>
    </row>
    <row r="461">
      <c r="A461" s="7"/>
      <c r="B461" s="7"/>
      <c r="D461" s="7"/>
      <c r="E461" s="7"/>
      <c r="F461" s="7"/>
    </row>
    <row r="462">
      <c r="A462" s="7"/>
      <c r="B462" s="7"/>
      <c r="D462" s="7"/>
      <c r="E462" s="7"/>
      <c r="F462" s="7"/>
    </row>
    <row r="463">
      <c r="A463" s="7"/>
      <c r="B463" s="7"/>
      <c r="D463" s="7"/>
      <c r="E463" s="7"/>
      <c r="F463" s="7"/>
    </row>
    <row r="464">
      <c r="A464" s="7"/>
      <c r="B464" s="7"/>
      <c r="D464" s="7"/>
      <c r="E464" s="7"/>
      <c r="F464" s="7"/>
    </row>
    <row r="465">
      <c r="A465" s="7"/>
      <c r="B465" s="7"/>
      <c r="D465" s="7"/>
      <c r="E465" s="7"/>
      <c r="F465" s="7"/>
    </row>
    <row r="466">
      <c r="A466" s="7"/>
      <c r="B466" s="7"/>
      <c r="D466" s="7"/>
      <c r="E466" s="7"/>
      <c r="F466" s="7"/>
    </row>
    <row r="467">
      <c r="A467" s="7"/>
      <c r="B467" s="7"/>
      <c r="D467" s="7"/>
      <c r="E467" s="7"/>
      <c r="F467" s="7"/>
    </row>
    <row r="468">
      <c r="A468" s="7"/>
      <c r="B468" s="7"/>
      <c r="D468" s="7"/>
      <c r="E468" s="7"/>
      <c r="F468" s="7"/>
    </row>
    <row r="469">
      <c r="A469" s="7"/>
      <c r="B469" s="7"/>
      <c r="D469" s="7"/>
      <c r="E469" s="7"/>
      <c r="F469" s="7"/>
    </row>
    <row r="470">
      <c r="A470" s="7"/>
      <c r="B470" s="7"/>
      <c r="D470" s="7"/>
      <c r="E470" s="7"/>
      <c r="F470" s="7"/>
    </row>
    <row r="471">
      <c r="A471" s="7"/>
      <c r="B471" s="7"/>
      <c r="D471" s="7"/>
      <c r="E471" s="7"/>
      <c r="F471" s="7"/>
    </row>
    <row r="472">
      <c r="A472" s="7"/>
      <c r="B472" s="7"/>
      <c r="D472" s="7"/>
      <c r="E472" s="7"/>
      <c r="F472" s="7"/>
    </row>
    <row r="473">
      <c r="A473" s="7"/>
      <c r="B473" s="7"/>
      <c r="D473" s="7"/>
      <c r="E473" s="7"/>
      <c r="F473" s="7"/>
    </row>
    <row r="474">
      <c r="A474" s="7"/>
      <c r="B474" s="7"/>
      <c r="D474" s="7"/>
      <c r="E474" s="7"/>
      <c r="F474" s="7"/>
    </row>
    <row r="475">
      <c r="A475" s="7"/>
      <c r="B475" s="7"/>
      <c r="D475" s="7"/>
      <c r="E475" s="7"/>
      <c r="F475" s="7"/>
    </row>
    <row r="476">
      <c r="A476" s="7"/>
      <c r="B476" s="7"/>
      <c r="D476" s="7"/>
      <c r="E476" s="7"/>
      <c r="F476" s="7"/>
    </row>
    <row r="477">
      <c r="A477" s="7"/>
      <c r="B477" s="7"/>
      <c r="D477" s="7"/>
      <c r="E477" s="7"/>
      <c r="F477" s="7"/>
    </row>
    <row r="478">
      <c r="A478" s="7"/>
      <c r="B478" s="7"/>
      <c r="D478" s="7"/>
      <c r="E478" s="7"/>
      <c r="F478" s="7"/>
    </row>
    <row r="479">
      <c r="A479" s="7"/>
      <c r="B479" s="7"/>
      <c r="D479" s="7"/>
      <c r="E479" s="7"/>
      <c r="F479" s="7"/>
    </row>
    <row r="480">
      <c r="A480" s="7"/>
      <c r="B480" s="7"/>
      <c r="D480" s="7"/>
      <c r="E480" s="7"/>
      <c r="F480" s="7"/>
    </row>
    <row r="481">
      <c r="A481" s="7"/>
      <c r="B481" s="7"/>
      <c r="D481" s="7"/>
      <c r="E481" s="7"/>
      <c r="F481" s="7"/>
    </row>
    <row r="482">
      <c r="A482" s="7"/>
      <c r="B482" s="7"/>
      <c r="D482" s="7"/>
      <c r="E482" s="7"/>
      <c r="F482" s="7"/>
    </row>
    <row r="483">
      <c r="A483" s="7"/>
      <c r="B483" s="7"/>
      <c r="D483" s="7"/>
      <c r="E483" s="7"/>
      <c r="F483" s="7"/>
    </row>
    <row r="484">
      <c r="A484" s="7"/>
      <c r="B484" s="7"/>
      <c r="D484" s="7"/>
      <c r="E484" s="7"/>
      <c r="F484" s="7"/>
    </row>
    <row r="485">
      <c r="A485" s="7"/>
      <c r="B485" s="7"/>
      <c r="D485" s="7"/>
      <c r="E485" s="7"/>
      <c r="F485" s="7"/>
    </row>
    <row r="486">
      <c r="A486" s="7"/>
      <c r="B486" s="7"/>
      <c r="D486" s="7"/>
      <c r="E486" s="7"/>
      <c r="F486" s="7"/>
    </row>
    <row r="487">
      <c r="A487" s="7"/>
      <c r="B487" s="7"/>
      <c r="D487" s="7"/>
      <c r="E487" s="7"/>
      <c r="F487" s="7"/>
    </row>
    <row r="488">
      <c r="A488" s="7"/>
      <c r="B488" s="7"/>
      <c r="D488" s="7"/>
      <c r="E488" s="7"/>
      <c r="F488" s="7"/>
    </row>
    <row r="489">
      <c r="A489" s="7"/>
      <c r="B489" s="7"/>
      <c r="D489" s="7"/>
      <c r="E489" s="7"/>
      <c r="F489" s="7"/>
    </row>
    <row r="490">
      <c r="A490" s="7"/>
      <c r="B490" s="7"/>
      <c r="D490" s="7"/>
      <c r="E490" s="7"/>
      <c r="F490" s="7"/>
    </row>
    <row r="491">
      <c r="A491" s="7"/>
      <c r="B491" s="7"/>
      <c r="D491" s="7"/>
      <c r="E491" s="7"/>
      <c r="F491" s="7"/>
    </row>
    <row r="492">
      <c r="A492" s="7"/>
      <c r="B492" s="7"/>
      <c r="D492" s="7"/>
      <c r="E492" s="7"/>
      <c r="F492" s="7"/>
    </row>
    <row r="493">
      <c r="A493" s="7"/>
      <c r="B493" s="7"/>
      <c r="D493" s="7"/>
      <c r="E493" s="7"/>
      <c r="F493" s="7"/>
    </row>
    <row r="494">
      <c r="A494" s="7"/>
      <c r="B494" s="7"/>
      <c r="D494" s="7"/>
      <c r="E494" s="7"/>
      <c r="F494" s="7"/>
    </row>
    <row r="495">
      <c r="A495" s="7"/>
      <c r="B495" s="7"/>
      <c r="D495" s="7"/>
      <c r="E495" s="7"/>
      <c r="F495" s="7"/>
    </row>
    <row r="496">
      <c r="A496" s="7"/>
      <c r="B496" s="7"/>
      <c r="D496" s="7"/>
      <c r="E496" s="7"/>
      <c r="F496" s="7"/>
    </row>
    <row r="497">
      <c r="A497" s="7"/>
      <c r="B497" s="7"/>
      <c r="D497" s="7"/>
      <c r="E497" s="7"/>
      <c r="F497" s="7"/>
    </row>
    <row r="498">
      <c r="A498" s="7"/>
      <c r="B498" s="7"/>
      <c r="D498" s="7"/>
      <c r="E498" s="7"/>
      <c r="F498" s="7"/>
    </row>
    <row r="499">
      <c r="A499" s="7"/>
      <c r="B499" s="7"/>
      <c r="D499" s="7"/>
      <c r="E499" s="7"/>
      <c r="F499" s="7"/>
    </row>
    <row r="500">
      <c r="A500" s="7"/>
      <c r="B500" s="7"/>
      <c r="D500" s="7"/>
      <c r="E500" s="7"/>
      <c r="F500" s="7"/>
    </row>
    <row r="501">
      <c r="A501" s="7"/>
      <c r="B501" s="7"/>
      <c r="D501" s="7"/>
      <c r="E501" s="7"/>
      <c r="F501" s="7"/>
    </row>
    <row r="502">
      <c r="A502" s="7"/>
      <c r="B502" s="7"/>
      <c r="D502" s="7"/>
      <c r="E502" s="7"/>
      <c r="F502" s="7"/>
    </row>
    <row r="503">
      <c r="A503" s="7"/>
      <c r="B503" s="7"/>
      <c r="D503" s="7"/>
      <c r="E503" s="7"/>
      <c r="F503" s="7"/>
    </row>
    <row r="504">
      <c r="A504" s="7"/>
      <c r="B504" s="7"/>
      <c r="D504" s="7"/>
      <c r="E504" s="7"/>
      <c r="F504" s="7"/>
    </row>
    <row r="505">
      <c r="A505" s="7"/>
      <c r="B505" s="7"/>
      <c r="D505" s="7"/>
      <c r="E505" s="7"/>
      <c r="F505" s="7"/>
    </row>
    <row r="506">
      <c r="A506" s="7"/>
      <c r="B506" s="7"/>
      <c r="D506" s="7"/>
      <c r="E506" s="7"/>
      <c r="F506" s="7"/>
    </row>
    <row r="507">
      <c r="A507" s="7"/>
      <c r="B507" s="7"/>
      <c r="D507" s="7"/>
      <c r="E507" s="7"/>
      <c r="F507" s="7"/>
    </row>
    <row r="508">
      <c r="A508" s="7"/>
      <c r="B508" s="7"/>
      <c r="D508" s="7"/>
      <c r="E508" s="7"/>
      <c r="F508" s="7"/>
    </row>
    <row r="509">
      <c r="A509" s="7"/>
      <c r="B509" s="7"/>
      <c r="D509" s="7"/>
      <c r="E509" s="7"/>
      <c r="F509" s="7"/>
    </row>
    <row r="510">
      <c r="A510" s="7"/>
      <c r="B510" s="7"/>
      <c r="D510" s="7"/>
      <c r="E510" s="7"/>
      <c r="F510" s="7"/>
    </row>
    <row r="511">
      <c r="A511" s="7"/>
      <c r="B511" s="7"/>
      <c r="D511" s="7"/>
      <c r="E511" s="7"/>
      <c r="F511" s="7"/>
    </row>
    <row r="512">
      <c r="A512" s="7"/>
      <c r="B512" s="7"/>
      <c r="D512" s="7"/>
      <c r="E512" s="7"/>
      <c r="F512" s="7"/>
    </row>
    <row r="513">
      <c r="A513" s="7"/>
      <c r="B513" s="7"/>
      <c r="D513" s="7"/>
      <c r="E513" s="7"/>
      <c r="F513" s="7"/>
    </row>
    <row r="514">
      <c r="A514" s="7"/>
      <c r="B514" s="7"/>
      <c r="D514" s="7"/>
      <c r="E514" s="7"/>
      <c r="F514" s="7"/>
    </row>
    <row r="515">
      <c r="A515" s="7"/>
      <c r="B515" s="7"/>
      <c r="D515" s="7"/>
      <c r="E515" s="7"/>
      <c r="F515" s="7"/>
    </row>
    <row r="516">
      <c r="A516" s="7"/>
      <c r="B516" s="7"/>
      <c r="D516" s="7"/>
      <c r="E516" s="7"/>
      <c r="F516" s="7"/>
    </row>
    <row r="517">
      <c r="A517" s="7"/>
      <c r="B517" s="7"/>
      <c r="D517" s="7"/>
      <c r="E517" s="7"/>
      <c r="F517" s="7"/>
    </row>
    <row r="518">
      <c r="A518" s="7"/>
      <c r="B518" s="7"/>
      <c r="D518" s="7"/>
      <c r="E518" s="7"/>
      <c r="F518" s="7"/>
    </row>
    <row r="519">
      <c r="A519" s="7"/>
      <c r="B519" s="7"/>
      <c r="D519" s="7"/>
      <c r="E519" s="7"/>
      <c r="F519" s="7"/>
    </row>
    <row r="520">
      <c r="A520" s="7"/>
      <c r="B520" s="7"/>
      <c r="D520" s="7"/>
      <c r="E520" s="7"/>
      <c r="F520" s="7"/>
    </row>
    <row r="521">
      <c r="A521" s="7"/>
      <c r="B521" s="7"/>
      <c r="D521" s="7"/>
      <c r="E521" s="7"/>
      <c r="F521" s="7"/>
    </row>
    <row r="522">
      <c r="A522" s="7"/>
      <c r="B522" s="7"/>
      <c r="D522" s="7"/>
      <c r="E522" s="7"/>
      <c r="F522" s="7"/>
    </row>
    <row r="523">
      <c r="A523" s="7"/>
      <c r="B523" s="7"/>
      <c r="D523" s="7"/>
      <c r="E523" s="7"/>
      <c r="F523" s="7"/>
    </row>
    <row r="524">
      <c r="A524" s="7"/>
      <c r="B524" s="7"/>
      <c r="D524" s="7"/>
      <c r="E524" s="7"/>
      <c r="F524" s="7"/>
    </row>
    <row r="525">
      <c r="A525" s="7"/>
      <c r="B525" s="7"/>
      <c r="D525" s="7"/>
      <c r="E525" s="7"/>
      <c r="F525" s="7"/>
    </row>
    <row r="526">
      <c r="A526" s="7"/>
      <c r="B526" s="7"/>
      <c r="D526" s="7"/>
      <c r="E526" s="7"/>
      <c r="F526" s="7"/>
    </row>
    <row r="527">
      <c r="A527" s="7"/>
      <c r="B527" s="7"/>
      <c r="D527" s="7"/>
      <c r="E527" s="7"/>
      <c r="F527" s="7"/>
    </row>
    <row r="528">
      <c r="A528" s="7"/>
      <c r="B528" s="7"/>
      <c r="D528" s="7"/>
      <c r="E528" s="7"/>
      <c r="F528" s="7"/>
    </row>
    <row r="529">
      <c r="A529" s="7"/>
      <c r="B529" s="7"/>
      <c r="D529" s="7"/>
      <c r="E529" s="7"/>
      <c r="F529" s="7"/>
    </row>
    <row r="530">
      <c r="A530" s="7"/>
      <c r="B530" s="7"/>
      <c r="D530" s="7"/>
      <c r="E530" s="7"/>
      <c r="F530" s="7"/>
    </row>
    <row r="531">
      <c r="A531" s="7"/>
      <c r="B531" s="7"/>
      <c r="D531" s="7"/>
      <c r="E531" s="7"/>
      <c r="F531" s="7"/>
    </row>
    <row r="532">
      <c r="A532" s="7"/>
      <c r="B532" s="7"/>
      <c r="D532" s="7"/>
      <c r="E532" s="7"/>
      <c r="F532" s="7"/>
    </row>
    <row r="533">
      <c r="A533" s="7"/>
      <c r="B533" s="7"/>
      <c r="D533" s="7"/>
      <c r="E533" s="7"/>
      <c r="F533" s="7"/>
    </row>
    <row r="534">
      <c r="A534" s="7"/>
      <c r="B534" s="7"/>
      <c r="D534" s="7"/>
      <c r="E534" s="7"/>
      <c r="F534" s="7"/>
    </row>
    <row r="535">
      <c r="A535" s="7"/>
      <c r="B535" s="7"/>
      <c r="D535" s="7"/>
      <c r="E535" s="7"/>
      <c r="F535" s="7"/>
    </row>
    <row r="536">
      <c r="A536" s="7"/>
      <c r="B536" s="7"/>
      <c r="D536" s="7"/>
      <c r="E536" s="7"/>
      <c r="F536" s="7"/>
    </row>
    <row r="537">
      <c r="A537" s="7"/>
      <c r="B537" s="7"/>
      <c r="D537" s="7"/>
      <c r="E537" s="7"/>
      <c r="F537" s="7"/>
    </row>
    <row r="538">
      <c r="A538" s="7"/>
      <c r="B538" s="7"/>
      <c r="D538" s="7"/>
      <c r="E538" s="7"/>
      <c r="F538" s="7"/>
    </row>
    <row r="539">
      <c r="A539" s="7"/>
      <c r="B539" s="7"/>
      <c r="D539" s="7"/>
      <c r="E539" s="7"/>
      <c r="F539" s="7"/>
    </row>
    <row r="540">
      <c r="A540" s="7"/>
      <c r="B540" s="7"/>
      <c r="D540" s="7"/>
      <c r="E540" s="7"/>
      <c r="F540" s="7"/>
    </row>
    <row r="541">
      <c r="A541" s="7"/>
      <c r="B541" s="7"/>
      <c r="D541" s="7"/>
      <c r="E541" s="7"/>
      <c r="F541" s="7"/>
    </row>
    <row r="542">
      <c r="A542" s="7"/>
      <c r="B542" s="7"/>
      <c r="D542" s="7"/>
      <c r="E542" s="7"/>
      <c r="F542" s="7"/>
    </row>
    <row r="543">
      <c r="A543" s="7"/>
      <c r="B543" s="7"/>
      <c r="D543" s="7"/>
      <c r="E543" s="7"/>
      <c r="F543" s="7"/>
    </row>
    <row r="544">
      <c r="A544" s="7"/>
      <c r="B544" s="7"/>
      <c r="D544" s="7"/>
      <c r="E544" s="7"/>
      <c r="F544" s="7"/>
    </row>
    <row r="545">
      <c r="A545" s="7"/>
      <c r="B545" s="7"/>
      <c r="D545" s="7"/>
      <c r="E545" s="7"/>
      <c r="F545" s="7"/>
    </row>
    <row r="546">
      <c r="A546" s="7"/>
      <c r="B546" s="7"/>
      <c r="D546" s="7"/>
      <c r="E546" s="7"/>
      <c r="F546" s="7"/>
    </row>
    <row r="547">
      <c r="A547" s="7"/>
      <c r="B547" s="7"/>
      <c r="D547" s="7"/>
      <c r="E547" s="7"/>
      <c r="F547" s="7"/>
    </row>
    <row r="548">
      <c r="A548" s="7"/>
      <c r="B548" s="7"/>
      <c r="D548" s="7"/>
      <c r="E548" s="7"/>
      <c r="F548" s="7"/>
    </row>
    <row r="549">
      <c r="A549" s="7"/>
      <c r="B549" s="7"/>
      <c r="D549" s="7"/>
      <c r="E549" s="7"/>
      <c r="F549" s="7"/>
    </row>
    <row r="550">
      <c r="A550" s="7"/>
      <c r="B550" s="7"/>
      <c r="D550" s="7"/>
      <c r="E550" s="7"/>
      <c r="F550" s="7"/>
    </row>
    <row r="551">
      <c r="A551" s="7"/>
      <c r="B551" s="7"/>
      <c r="D551" s="7"/>
      <c r="E551" s="7"/>
      <c r="F551" s="7"/>
    </row>
    <row r="552">
      <c r="A552" s="7"/>
      <c r="B552" s="7"/>
      <c r="D552" s="7"/>
      <c r="E552" s="7"/>
      <c r="F552" s="7"/>
    </row>
    <row r="553">
      <c r="A553" s="7"/>
      <c r="B553" s="7"/>
      <c r="D553" s="7"/>
      <c r="E553" s="7"/>
      <c r="F553" s="7"/>
    </row>
    <row r="554">
      <c r="A554" s="7"/>
      <c r="B554" s="7"/>
      <c r="D554" s="7"/>
      <c r="E554" s="7"/>
      <c r="F554" s="7"/>
    </row>
    <row r="555">
      <c r="A555" s="7"/>
      <c r="B555" s="7"/>
      <c r="D555" s="7"/>
      <c r="E555" s="7"/>
      <c r="F555" s="7"/>
    </row>
    <row r="556">
      <c r="A556" s="7"/>
      <c r="B556" s="7"/>
      <c r="D556" s="7"/>
      <c r="E556" s="7"/>
      <c r="F556" s="7"/>
    </row>
    <row r="557">
      <c r="A557" s="7"/>
      <c r="B557" s="7"/>
      <c r="D557" s="7"/>
      <c r="E557" s="7"/>
      <c r="F557" s="7"/>
    </row>
    <row r="558">
      <c r="A558" s="7"/>
      <c r="B558" s="7"/>
      <c r="D558" s="7"/>
      <c r="E558" s="7"/>
      <c r="F558" s="7"/>
    </row>
    <row r="559">
      <c r="A559" s="7"/>
      <c r="B559" s="7"/>
      <c r="D559" s="7"/>
      <c r="E559" s="7"/>
      <c r="F559" s="7"/>
    </row>
    <row r="560">
      <c r="A560" s="7"/>
      <c r="B560" s="7"/>
      <c r="D560" s="7"/>
      <c r="E560" s="7"/>
      <c r="F560" s="7"/>
    </row>
    <row r="561">
      <c r="A561" s="7"/>
      <c r="B561" s="7"/>
      <c r="D561" s="7"/>
      <c r="E561" s="7"/>
      <c r="F561" s="7"/>
    </row>
    <row r="562">
      <c r="A562" s="7"/>
      <c r="B562" s="7"/>
      <c r="D562" s="7"/>
      <c r="E562" s="7"/>
      <c r="F562" s="7"/>
    </row>
    <row r="563">
      <c r="A563" s="7"/>
      <c r="B563" s="7"/>
      <c r="D563" s="7"/>
      <c r="E563" s="7"/>
      <c r="F563" s="7"/>
    </row>
    <row r="564">
      <c r="A564" s="7"/>
      <c r="B564" s="7"/>
      <c r="D564" s="7"/>
      <c r="E564" s="7"/>
      <c r="F564" s="7"/>
    </row>
    <row r="565">
      <c r="A565" s="7"/>
      <c r="B565" s="7"/>
      <c r="D565" s="7"/>
      <c r="E565" s="7"/>
      <c r="F565" s="7"/>
    </row>
    <row r="566">
      <c r="A566" s="7"/>
      <c r="B566" s="7"/>
      <c r="D566" s="7"/>
      <c r="E566" s="7"/>
      <c r="F566" s="7"/>
    </row>
    <row r="567">
      <c r="A567" s="7"/>
      <c r="B567" s="7"/>
      <c r="D567" s="7"/>
      <c r="E567" s="7"/>
      <c r="F567" s="7"/>
    </row>
    <row r="568">
      <c r="A568" s="7"/>
      <c r="B568" s="7"/>
      <c r="D568" s="7"/>
      <c r="E568" s="7"/>
      <c r="F568" s="7"/>
    </row>
    <row r="569">
      <c r="A569" s="7"/>
      <c r="B569" s="7"/>
      <c r="D569" s="7"/>
      <c r="E569" s="7"/>
      <c r="F569" s="7"/>
    </row>
    <row r="570">
      <c r="A570" s="7"/>
      <c r="B570" s="7"/>
      <c r="D570" s="7"/>
      <c r="E570" s="7"/>
      <c r="F570" s="7"/>
    </row>
    <row r="571">
      <c r="A571" s="7"/>
      <c r="B571" s="7"/>
      <c r="D571" s="7"/>
      <c r="E571" s="7"/>
      <c r="F571" s="7"/>
    </row>
    <row r="572">
      <c r="A572" s="7"/>
      <c r="B572" s="7"/>
      <c r="D572" s="7"/>
      <c r="E572" s="7"/>
      <c r="F572" s="7"/>
    </row>
    <row r="573">
      <c r="A573" s="7"/>
      <c r="B573" s="7"/>
      <c r="D573" s="7"/>
      <c r="E573" s="7"/>
      <c r="F573" s="7"/>
    </row>
    <row r="574">
      <c r="A574" s="7"/>
      <c r="B574" s="7"/>
      <c r="D574" s="7"/>
      <c r="E574" s="7"/>
      <c r="F574" s="7"/>
    </row>
    <row r="575">
      <c r="A575" s="7"/>
      <c r="B575" s="7"/>
      <c r="D575" s="7"/>
      <c r="E575" s="7"/>
      <c r="F575" s="7"/>
    </row>
    <row r="576">
      <c r="A576" s="7"/>
      <c r="B576" s="7"/>
      <c r="D576" s="7"/>
      <c r="E576" s="7"/>
      <c r="F576" s="7"/>
    </row>
    <row r="577">
      <c r="A577" s="7"/>
      <c r="B577" s="7"/>
      <c r="D577" s="7"/>
      <c r="E577" s="7"/>
      <c r="F577" s="7"/>
    </row>
    <row r="578">
      <c r="A578" s="7"/>
      <c r="B578" s="7"/>
      <c r="D578" s="7"/>
      <c r="E578" s="7"/>
      <c r="F578" s="7"/>
    </row>
    <row r="579">
      <c r="A579" s="7"/>
      <c r="B579" s="7"/>
      <c r="D579" s="7"/>
      <c r="E579" s="7"/>
      <c r="F579" s="7"/>
    </row>
    <row r="580">
      <c r="A580" s="7"/>
      <c r="B580" s="7"/>
      <c r="D580" s="7"/>
      <c r="E580" s="7"/>
      <c r="F580" s="7"/>
    </row>
    <row r="581">
      <c r="A581" s="7"/>
      <c r="B581" s="7"/>
      <c r="D581" s="7"/>
      <c r="E581" s="7"/>
      <c r="F581" s="7"/>
    </row>
    <row r="582">
      <c r="A582" s="7"/>
      <c r="B582" s="7"/>
      <c r="D582" s="7"/>
      <c r="E582" s="7"/>
      <c r="F582" s="7"/>
    </row>
    <row r="583">
      <c r="A583" s="7"/>
      <c r="B583" s="7"/>
      <c r="D583" s="7"/>
      <c r="E583" s="7"/>
      <c r="F583" s="7"/>
    </row>
    <row r="584">
      <c r="A584" s="7"/>
      <c r="B584" s="7"/>
      <c r="D584" s="7"/>
      <c r="E584" s="7"/>
      <c r="F584" s="7"/>
    </row>
    <row r="585">
      <c r="A585" s="7"/>
      <c r="B585" s="7"/>
      <c r="D585" s="7"/>
      <c r="E585" s="7"/>
      <c r="F585" s="7"/>
    </row>
    <row r="586">
      <c r="A586" s="7"/>
      <c r="B586" s="7"/>
      <c r="D586" s="7"/>
      <c r="E586" s="7"/>
      <c r="F586" s="7"/>
    </row>
    <row r="587">
      <c r="A587" s="7"/>
      <c r="B587" s="7"/>
      <c r="D587" s="7"/>
      <c r="E587" s="7"/>
      <c r="F587" s="7"/>
    </row>
    <row r="588">
      <c r="A588" s="7"/>
      <c r="B588" s="7"/>
      <c r="D588" s="7"/>
      <c r="E588" s="7"/>
      <c r="F588" s="7"/>
    </row>
    <row r="589">
      <c r="A589" s="7"/>
      <c r="B589" s="7"/>
      <c r="D589" s="7"/>
      <c r="E589" s="7"/>
      <c r="F589" s="7"/>
    </row>
    <row r="590">
      <c r="A590" s="7"/>
      <c r="B590" s="7"/>
      <c r="D590" s="7"/>
      <c r="E590" s="7"/>
      <c r="F590" s="7"/>
    </row>
    <row r="591">
      <c r="A591" s="7"/>
      <c r="B591" s="7"/>
      <c r="D591" s="7"/>
      <c r="E591" s="7"/>
      <c r="F591" s="7"/>
    </row>
    <row r="592">
      <c r="A592" s="7"/>
      <c r="B592" s="7"/>
      <c r="D592" s="7"/>
      <c r="E592" s="7"/>
      <c r="F592" s="7"/>
    </row>
    <row r="593">
      <c r="A593" s="7"/>
      <c r="B593" s="7"/>
      <c r="D593" s="7"/>
      <c r="E593" s="7"/>
      <c r="F593" s="7"/>
    </row>
    <row r="594">
      <c r="A594" s="7"/>
      <c r="B594" s="7"/>
      <c r="D594" s="7"/>
      <c r="E594" s="7"/>
      <c r="F594" s="7"/>
    </row>
    <row r="595">
      <c r="A595" s="7"/>
      <c r="B595" s="7"/>
      <c r="D595" s="7"/>
      <c r="E595" s="7"/>
      <c r="F595" s="7"/>
    </row>
    <row r="596">
      <c r="A596" s="7"/>
      <c r="B596" s="7"/>
      <c r="D596" s="7"/>
      <c r="E596" s="7"/>
      <c r="F596" s="7"/>
    </row>
    <row r="597">
      <c r="A597" s="7"/>
      <c r="B597" s="7"/>
      <c r="D597" s="7"/>
      <c r="E597" s="7"/>
      <c r="F597" s="7"/>
    </row>
    <row r="598">
      <c r="A598" s="7"/>
      <c r="B598" s="7"/>
      <c r="D598" s="7"/>
      <c r="E598" s="7"/>
      <c r="F598" s="7"/>
    </row>
    <row r="599">
      <c r="A599" s="7"/>
      <c r="B599" s="7"/>
      <c r="D599" s="7"/>
      <c r="E599" s="7"/>
      <c r="F599" s="7"/>
    </row>
    <row r="600">
      <c r="A600" s="7"/>
      <c r="B600" s="7"/>
      <c r="D600" s="7"/>
      <c r="E600" s="7"/>
      <c r="F600" s="7"/>
    </row>
    <row r="601">
      <c r="A601" s="7"/>
      <c r="B601" s="7"/>
      <c r="D601" s="7"/>
      <c r="E601" s="7"/>
      <c r="F601" s="7"/>
    </row>
    <row r="602">
      <c r="A602" s="7"/>
      <c r="B602" s="7"/>
      <c r="D602" s="7"/>
      <c r="E602" s="7"/>
      <c r="F602" s="7"/>
    </row>
    <row r="603">
      <c r="A603" s="7"/>
      <c r="B603" s="7"/>
      <c r="D603" s="7"/>
      <c r="E603" s="7"/>
      <c r="F603" s="7"/>
    </row>
    <row r="604">
      <c r="A604" s="7"/>
      <c r="B604" s="7"/>
      <c r="D604" s="7"/>
      <c r="E604" s="7"/>
      <c r="F604" s="7"/>
    </row>
    <row r="605">
      <c r="A605" s="7"/>
      <c r="B605" s="7"/>
      <c r="D605" s="7"/>
      <c r="E605" s="7"/>
      <c r="F605" s="7"/>
    </row>
    <row r="606">
      <c r="A606" s="7"/>
      <c r="B606" s="7"/>
      <c r="D606" s="7"/>
      <c r="E606" s="7"/>
      <c r="F606" s="7"/>
    </row>
    <row r="607">
      <c r="A607" s="7"/>
      <c r="B607" s="7"/>
      <c r="D607" s="7"/>
      <c r="E607" s="7"/>
      <c r="F607" s="7"/>
    </row>
    <row r="608">
      <c r="A608" s="7"/>
      <c r="B608" s="7"/>
      <c r="D608" s="7"/>
      <c r="E608" s="7"/>
      <c r="F608" s="7"/>
    </row>
    <row r="609">
      <c r="A609" s="7"/>
      <c r="B609" s="7"/>
      <c r="D609" s="7"/>
      <c r="E609" s="7"/>
      <c r="F609" s="7"/>
    </row>
    <row r="610">
      <c r="A610" s="7"/>
      <c r="B610" s="7"/>
      <c r="D610" s="7"/>
      <c r="E610" s="7"/>
      <c r="F610" s="7"/>
    </row>
    <row r="611">
      <c r="A611" s="7"/>
      <c r="B611" s="7"/>
      <c r="D611" s="7"/>
      <c r="E611" s="7"/>
      <c r="F611" s="7"/>
    </row>
    <row r="612">
      <c r="A612" s="7"/>
      <c r="B612" s="7"/>
      <c r="D612" s="7"/>
      <c r="E612" s="7"/>
      <c r="F612" s="7"/>
    </row>
    <row r="613">
      <c r="A613" s="7"/>
      <c r="B613" s="7"/>
      <c r="D613" s="7"/>
      <c r="E613" s="7"/>
      <c r="F613" s="7"/>
    </row>
    <row r="614">
      <c r="A614" s="7"/>
      <c r="B614" s="7"/>
      <c r="D614" s="7"/>
      <c r="E614" s="7"/>
      <c r="F614" s="7"/>
    </row>
    <row r="615">
      <c r="A615" s="7"/>
      <c r="B615" s="7"/>
      <c r="D615" s="7"/>
      <c r="E615" s="7"/>
      <c r="F615" s="7"/>
    </row>
    <row r="616">
      <c r="A616" s="7"/>
      <c r="B616" s="7"/>
      <c r="D616" s="7"/>
      <c r="E616" s="7"/>
      <c r="F616" s="7"/>
    </row>
    <row r="617">
      <c r="A617" s="7"/>
      <c r="B617" s="7"/>
      <c r="D617" s="7"/>
      <c r="E617" s="7"/>
      <c r="F617" s="7"/>
    </row>
    <row r="618">
      <c r="A618" s="7"/>
      <c r="B618" s="7"/>
      <c r="D618" s="7"/>
      <c r="E618" s="7"/>
      <c r="F618" s="7"/>
    </row>
    <row r="619">
      <c r="A619" s="7"/>
      <c r="B619" s="7"/>
      <c r="D619" s="7"/>
      <c r="E619" s="7"/>
      <c r="F619" s="7"/>
    </row>
    <row r="620">
      <c r="A620" s="7"/>
      <c r="B620" s="7"/>
      <c r="D620" s="7"/>
      <c r="E620" s="7"/>
      <c r="F620" s="7"/>
    </row>
    <row r="621">
      <c r="A621" s="7"/>
      <c r="B621" s="7"/>
      <c r="D621" s="7"/>
      <c r="E621" s="7"/>
      <c r="F621" s="7"/>
    </row>
    <row r="622">
      <c r="A622" s="7"/>
      <c r="B622" s="7"/>
      <c r="D622" s="7"/>
      <c r="E622" s="7"/>
      <c r="F622" s="7"/>
    </row>
    <row r="623">
      <c r="A623" s="7"/>
      <c r="B623" s="7"/>
      <c r="D623" s="7"/>
      <c r="E623" s="7"/>
      <c r="F623" s="7"/>
    </row>
    <row r="624">
      <c r="A624" s="7"/>
      <c r="B624" s="7"/>
      <c r="D624" s="7"/>
      <c r="E624" s="7"/>
      <c r="F624" s="7"/>
    </row>
    <row r="625">
      <c r="A625" s="7"/>
      <c r="B625" s="7"/>
      <c r="D625" s="7"/>
      <c r="E625" s="7"/>
      <c r="F625" s="7"/>
    </row>
    <row r="626">
      <c r="A626" s="7"/>
      <c r="B626" s="7"/>
      <c r="D626" s="7"/>
      <c r="E626" s="7"/>
      <c r="F626" s="7"/>
    </row>
    <row r="627">
      <c r="A627" s="7"/>
      <c r="B627" s="7"/>
      <c r="D627" s="7"/>
      <c r="E627" s="7"/>
      <c r="F627" s="7"/>
    </row>
    <row r="628">
      <c r="A628" s="7"/>
      <c r="B628" s="7"/>
      <c r="D628" s="7"/>
      <c r="E628" s="7"/>
      <c r="F628" s="7"/>
    </row>
    <row r="629">
      <c r="A629" s="7"/>
      <c r="B629" s="7"/>
      <c r="D629" s="7"/>
      <c r="E629" s="7"/>
      <c r="F629" s="7"/>
    </row>
    <row r="630">
      <c r="A630" s="7"/>
      <c r="B630" s="7"/>
      <c r="D630" s="7"/>
      <c r="E630" s="7"/>
      <c r="F630" s="7"/>
    </row>
    <row r="631">
      <c r="A631" s="7"/>
      <c r="B631" s="7"/>
      <c r="D631" s="7"/>
      <c r="E631" s="7"/>
      <c r="F631" s="7"/>
    </row>
    <row r="632">
      <c r="A632" s="7"/>
      <c r="B632" s="7"/>
      <c r="D632" s="7"/>
      <c r="E632" s="7"/>
      <c r="F632" s="7"/>
    </row>
    <row r="633">
      <c r="A633" s="7"/>
      <c r="B633" s="7"/>
      <c r="D633" s="7"/>
      <c r="E633" s="7"/>
      <c r="F633" s="7"/>
    </row>
    <row r="634">
      <c r="A634" s="7"/>
      <c r="B634" s="7"/>
      <c r="D634" s="7"/>
      <c r="E634" s="7"/>
      <c r="F634" s="7"/>
    </row>
    <row r="635">
      <c r="A635" s="7"/>
      <c r="B635" s="7"/>
      <c r="D635" s="7"/>
      <c r="E635" s="7"/>
      <c r="F635" s="7"/>
    </row>
    <row r="636">
      <c r="A636" s="7"/>
      <c r="B636" s="7"/>
      <c r="D636" s="7"/>
      <c r="E636" s="7"/>
      <c r="F636" s="7"/>
    </row>
    <row r="637">
      <c r="A637" s="7"/>
      <c r="B637" s="7"/>
      <c r="D637" s="7"/>
      <c r="E637" s="7"/>
      <c r="F637" s="7"/>
    </row>
    <row r="638">
      <c r="A638" s="7"/>
      <c r="B638" s="7"/>
      <c r="D638" s="7"/>
      <c r="E638" s="7"/>
      <c r="F638" s="7"/>
    </row>
    <row r="639">
      <c r="A639" s="7"/>
      <c r="B639" s="7"/>
      <c r="D639" s="7"/>
      <c r="E639" s="7"/>
      <c r="F639" s="7"/>
    </row>
    <row r="640">
      <c r="A640" s="7"/>
      <c r="B640" s="7"/>
      <c r="D640" s="7"/>
      <c r="E640" s="7"/>
      <c r="F640" s="7"/>
    </row>
    <row r="641">
      <c r="A641" s="7"/>
      <c r="B641" s="7"/>
      <c r="D641" s="7"/>
      <c r="E641" s="7"/>
      <c r="F641" s="7"/>
    </row>
    <row r="642">
      <c r="A642" s="7"/>
      <c r="B642" s="7"/>
      <c r="D642" s="7"/>
      <c r="E642" s="7"/>
      <c r="F642" s="7"/>
    </row>
    <row r="643">
      <c r="A643" s="7"/>
      <c r="B643" s="7"/>
      <c r="D643" s="7"/>
      <c r="E643" s="7"/>
      <c r="F643" s="7"/>
    </row>
    <row r="644">
      <c r="A644" s="7"/>
      <c r="B644" s="7"/>
      <c r="D644" s="7"/>
      <c r="E644" s="7"/>
      <c r="F644" s="7"/>
    </row>
    <row r="645">
      <c r="A645" s="7"/>
      <c r="B645" s="7"/>
      <c r="D645" s="7"/>
      <c r="E645" s="7"/>
      <c r="F645" s="7"/>
    </row>
    <row r="646">
      <c r="A646" s="7"/>
      <c r="B646" s="7"/>
      <c r="D646" s="7"/>
      <c r="E646" s="7"/>
      <c r="F646" s="7"/>
    </row>
    <row r="647">
      <c r="A647" s="7"/>
      <c r="B647" s="7"/>
      <c r="D647" s="7"/>
      <c r="E647" s="7"/>
      <c r="F647" s="7"/>
    </row>
    <row r="648">
      <c r="A648" s="7"/>
      <c r="B648" s="7"/>
      <c r="D648" s="7"/>
      <c r="E648" s="7"/>
      <c r="F648" s="7"/>
    </row>
    <row r="649">
      <c r="A649" s="7"/>
      <c r="B649" s="7"/>
      <c r="D649" s="7"/>
      <c r="E649" s="7"/>
      <c r="F649" s="7"/>
    </row>
    <row r="650">
      <c r="A650" s="7"/>
      <c r="B650" s="7"/>
      <c r="D650" s="7"/>
      <c r="E650" s="7"/>
      <c r="F650" s="7"/>
    </row>
    <row r="651">
      <c r="A651" s="7"/>
      <c r="B651" s="7"/>
      <c r="D651" s="7"/>
      <c r="E651" s="7"/>
      <c r="F651" s="7"/>
    </row>
    <row r="652">
      <c r="A652" s="7"/>
      <c r="B652" s="7"/>
      <c r="D652" s="7"/>
      <c r="E652" s="7"/>
      <c r="F652" s="7"/>
    </row>
    <row r="653">
      <c r="A653" s="7"/>
      <c r="B653" s="7"/>
      <c r="D653" s="7"/>
      <c r="E653" s="7"/>
      <c r="F653" s="7"/>
    </row>
    <row r="654">
      <c r="A654" s="7"/>
      <c r="B654" s="7"/>
      <c r="D654" s="7"/>
      <c r="E654" s="7"/>
      <c r="F654" s="7"/>
    </row>
    <row r="655">
      <c r="A655" s="7"/>
      <c r="B655" s="7"/>
      <c r="D655" s="7"/>
      <c r="E655" s="7"/>
      <c r="F655" s="7"/>
    </row>
    <row r="656">
      <c r="A656" s="7"/>
      <c r="B656" s="7"/>
      <c r="D656" s="7"/>
      <c r="E656" s="7"/>
      <c r="F656" s="7"/>
    </row>
    <row r="657">
      <c r="A657" s="7"/>
      <c r="B657" s="7"/>
      <c r="D657" s="7"/>
      <c r="E657" s="7"/>
      <c r="F657" s="7"/>
    </row>
    <row r="658">
      <c r="A658" s="7"/>
      <c r="B658" s="7"/>
      <c r="D658" s="7"/>
      <c r="E658" s="7"/>
      <c r="F658" s="7"/>
    </row>
    <row r="659">
      <c r="A659" s="7"/>
      <c r="B659" s="7"/>
      <c r="D659" s="7"/>
      <c r="E659" s="7"/>
      <c r="F659" s="7"/>
    </row>
    <row r="660">
      <c r="A660" s="7"/>
      <c r="B660" s="7"/>
      <c r="D660" s="7"/>
      <c r="E660" s="7"/>
      <c r="F660" s="7"/>
    </row>
    <row r="661">
      <c r="A661" s="7"/>
      <c r="B661" s="7"/>
      <c r="D661" s="7"/>
      <c r="E661" s="7"/>
      <c r="F661" s="7"/>
    </row>
    <row r="662">
      <c r="A662" s="7"/>
      <c r="B662" s="7"/>
      <c r="D662" s="7"/>
      <c r="E662" s="7"/>
      <c r="F662" s="7"/>
    </row>
    <row r="663">
      <c r="A663" s="7"/>
      <c r="B663" s="7"/>
      <c r="D663" s="7"/>
      <c r="E663" s="7"/>
      <c r="F663" s="7"/>
    </row>
    <row r="664">
      <c r="A664" s="7"/>
      <c r="B664" s="7"/>
      <c r="D664" s="7"/>
      <c r="E664" s="7"/>
      <c r="F664" s="7"/>
    </row>
    <row r="665">
      <c r="A665" s="7"/>
      <c r="B665" s="7"/>
      <c r="D665" s="7"/>
      <c r="E665" s="7"/>
      <c r="F665" s="7"/>
    </row>
    <row r="666">
      <c r="A666" s="7"/>
      <c r="B666" s="7"/>
      <c r="D666" s="7"/>
      <c r="E666" s="7"/>
      <c r="F666" s="7"/>
    </row>
    <row r="667">
      <c r="A667" s="7"/>
      <c r="B667" s="7"/>
      <c r="D667" s="7"/>
      <c r="E667" s="7"/>
      <c r="F667" s="7"/>
    </row>
    <row r="668">
      <c r="A668" s="7"/>
      <c r="B668" s="7"/>
      <c r="D668" s="7"/>
      <c r="E668" s="7"/>
      <c r="F668" s="7"/>
    </row>
    <row r="669">
      <c r="A669" s="7"/>
      <c r="B669" s="7"/>
      <c r="D669" s="7"/>
      <c r="E669" s="7"/>
      <c r="F669" s="7"/>
    </row>
    <row r="670">
      <c r="A670" s="7"/>
      <c r="B670" s="7"/>
      <c r="D670" s="7"/>
      <c r="E670" s="7"/>
      <c r="F670" s="7"/>
    </row>
    <row r="671">
      <c r="A671" s="7"/>
      <c r="B671" s="7"/>
      <c r="D671" s="7"/>
      <c r="E671" s="7"/>
      <c r="F671" s="7"/>
    </row>
    <row r="672">
      <c r="A672" s="7"/>
      <c r="B672" s="7"/>
      <c r="D672" s="7"/>
      <c r="E672" s="7"/>
      <c r="F672" s="7"/>
    </row>
    <row r="673">
      <c r="A673" s="7"/>
      <c r="B673" s="7"/>
      <c r="D673" s="7"/>
      <c r="E673" s="7"/>
      <c r="F673" s="7"/>
    </row>
    <row r="674">
      <c r="A674" s="7"/>
      <c r="B674" s="7"/>
      <c r="D674" s="7"/>
      <c r="E674" s="7"/>
      <c r="F674" s="7"/>
    </row>
    <row r="675">
      <c r="A675" s="7"/>
      <c r="B675" s="7"/>
      <c r="D675" s="7"/>
      <c r="E675" s="7"/>
      <c r="F675" s="7"/>
    </row>
    <row r="676">
      <c r="A676" s="7"/>
      <c r="B676" s="7"/>
      <c r="D676" s="7"/>
      <c r="E676" s="7"/>
      <c r="F676" s="7"/>
    </row>
    <row r="677">
      <c r="A677" s="7"/>
      <c r="B677" s="7"/>
      <c r="D677" s="7"/>
      <c r="E677" s="7"/>
      <c r="F677" s="7"/>
    </row>
    <row r="678">
      <c r="A678" s="7"/>
      <c r="B678" s="7"/>
      <c r="D678" s="7"/>
      <c r="E678" s="7"/>
      <c r="F678" s="7"/>
    </row>
    <row r="679">
      <c r="A679" s="7"/>
      <c r="B679" s="7"/>
      <c r="D679" s="7"/>
      <c r="E679" s="7"/>
      <c r="F679" s="7"/>
    </row>
    <row r="680">
      <c r="A680" s="7"/>
      <c r="B680" s="7"/>
      <c r="D680" s="7"/>
      <c r="E680" s="7"/>
      <c r="F680" s="7"/>
    </row>
    <row r="681">
      <c r="A681" s="7"/>
      <c r="B681" s="7"/>
      <c r="D681" s="7"/>
      <c r="E681" s="7"/>
      <c r="F681" s="7"/>
    </row>
    <row r="682">
      <c r="A682" s="7"/>
      <c r="B682" s="7"/>
      <c r="D682" s="7"/>
      <c r="E682" s="7"/>
      <c r="F682" s="7"/>
    </row>
    <row r="683">
      <c r="A683" s="7"/>
      <c r="B683" s="7"/>
      <c r="D683" s="7"/>
      <c r="E683" s="7"/>
      <c r="F683" s="7"/>
    </row>
    <row r="684">
      <c r="A684" s="7"/>
      <c r="B684" s="7"/>
      <c r="D684" s="7"/>
      <c r="E684" s="7"/>
      <c r="F684" s="7"/>
    </row>
    <row r="685">
      <c r="A685" s="7"/>
      <c r="B685" s="7"/>
      <c r="D685" s="7"/>
      <c r="E685" s="7"/>
      <c r="F685" s="7"/>
    </row>
    <row r="686">
      <c r="A686" s="7"/>
      <c r="B686" s="7"/>
      <c r="D686" s="7"/>
      <c r="E686" s="7"/>
      <c r="F686" s="7"/>
    </row>
    <row r="687">
      <c r="A687" s="7"/>
      <c r="B687" s="7"/>
      <c r="D687" s="7"/>
      <c r="E687" s="7"/>
      <c r="F687" s="7"/>
    </row>
    <row r="688">
      <c r="A688" s="7"/>
      <c r="B688" s="7"/>
      <c r="D688" s="7"/>
      <c r="E688" s="7"/>
      <c r="F688" s="7"/>
    </row>
    <row r="689">
      <c r="A689" s="7"/>
      <c r="B689" s="7"/>
      <c r="D689" s="7"/>
      <c r="E689" s="7"/>
      <c r="F689" s="7"/>
    </row>
    <row r="690">
      <c r="A690" s="7"/>
      <c r="B690" s="7"/>
      <c r="D690" s="7"/>
      <c r="E690" s="7"/>
      <c r="F690" s="7"/>
    </row>
    <row r="691">
      <c r="A691" s="7"/>
      <c r="B691" s="7"/>
      <c r="D691" s="7"/>
      <c r="E691" s="7"/>
      <c r="F691" s="7"/>
    </row>
    <row r="692">
      <c r="A692" s="7"/>
      <c r="B692" s="7"/>
      <c r="D692" s="7"/>
      <c r="E692" s="7"/>
      <c r="F692" s="7"/>
    </row>
    <row r="693">
      <c r="A693" s="7"/>
      <c r="B693" s="7"/>
      <c r="D693" s="7"/>
      <c r="E693" s="7"/>
      <c r="F693" s="7"/>
    </row>
    <row r="694">
      <c r="A694" s="7"/>
      <c r="B694" s="7"/>
      <c r="D694" s="7"/>
      <c r="E694" s="7"/>
      <c r="F694" s="7"/>
    </row>
    <row r="695">
      <c r="A695" s="7"/>
      <c r="B695" s="7"/>
      <c r="D695" s="7"/>
      <c r="E695" s="7"/>
      <c r="F695" s="7"/>
    </row>
    <row r="696">
      <c r="A696" s="7"/>
      <c r="B696" s="7"/>
      <c r="D696" s="7"/>
      <c r="E696" s="7"/>
      <c r="F696" s="7"/>
    </row>
    <row r="697">
      <c r="A697" s="7"/>
      <c r="B697" s="7"/>
      <c r="D697" s="7"/>
      <c r="E697" s="7"/>
      <c r="F697" s="7"/>
    </row>
    <row r="698">
      <c r="A698" s="7"/>
      <c r="B698" s="7"/>
      <c r="D698" s="7"/>
      <c r="E698" s="7"/>
      <c r="F698" s="7"/>
    </row>
    <row r="699">
      <c r="A699" s="7"/>
      <c r="B699" s="7"/>
      <c r="D699" s="7"/>
      <c r="E699" s="7"/>
      <c r="F699" s="7"/>
    </row>
    <row r="700">
      <c r="A700" s="7"/>
      <c r="B700" s="7"/>
      <c r="D700" s="7"/>
      <c r="E700" s="7"/>
      <c r="F700" s="7"/>
    </row>
    <row r="701">
      <c r="A701" s="7"/>
      <c r="B701" s="7"/>
      <c r="D701" s="7"/>
      <c r="E701" s="7"/>
      <c r="F701" s="7"/>
    </row>
    <row r="702">
      <c r="A702" s="7"/>
      <c r="B702" s="7"/>
      <c r="D702" s="7"/>
      <c r="E702" s="7"/>
      <c r="F702" s="7"/>
    </row>
    <row r="703">
      <c r="A703" s="7"/>
      <c r="B703" s="7"/>
      <c r="D703" s="7"/>
      <c r="E703" s="7"/>
      <c r="F703" s="7"/>
    </row>
    <row r="704">
      <c r="A704" s="7"/>
      <c r="B704" s="7"/>
      <c r="D704" s="7"/>
      <c r="E704" s="7"/>
      <c r="F704" s="7"/>
    </row>
    <row r="705">
      <c r="A705" s="7"/>
      <c r="B705" s="7"/>
      <c r="D705" s="7"/>
      <c r="E705" s="7"/>
      <c r="F705" s="7"/>
    </row>
    <row r="706">
      <c r="A706" s="7"/>
      <c r="B706" s="7"/>
      <c r="D706" s="7"/>
      <c r="E706" s="7"/>
      <c r="F706" s="7"/>
    </row>
    <row r="707">
      <c r="A707" s="7"/>
      <c r="B707" s="7"/>
      <c r="D707" s="7"/>
      <c r="E707" s="7"/>
      <c r="F707" s="7"/>
    </row>
    <row r="708">
      <c r="A708" s="7"/>
      <c r="B708" s="7"/>
      <c r="D708" s="7"/>
      <c r="E708" s="7"/>
      <c r="F708" s="7"/>
    </row>
    <row r="709">
      <c r="A709" s="7"/>
      <c r="B709" s="7"/>
      <c r="D709" s="7"/>
      <c r="E709" s="7"/>
      <c r="F709" s="7"/>
    </row>
    <row r="710">
      <c r="A710" s="7"/>
      <c r="B710" s="7"/>
      <c r="D710" s="7"/>
      <c r="E710" s="7"/>
      <c r="F710" s="7"/>
    </row>
    <row r="711">
      <c r="A711" s="7"/>
      <c r="B711" s="7"/>
      <c r="D711" s="7"/>
      <c r="E711" s="7"/>
      <c r="F711" s="7"/>
    </row>
    <row r="712">
      <c r="A712" s="7"/>
      <c r="B712" s="7"/>
      <c r="D712" s="7"/>
      <c r="E712" s="7"/>
      <c r="F712" s="7"/>
    </row>
    <row r="713">
      <c r="A713" s="7"/>
      <c r="B713" s="7"/>
      <c r="D713" s="7"/>
      <c r="E713" s="7"/>
      <c r="F713" s="7"/>
    </row>
    <row r="714">
      <c r="A714" s="7"/>
      <c r="B714" s="7"/>
      <c r="D714" s="7"/>
      <c r="E714" s="7"/>
      <c r="F714" s="7"/>
    </row>
    <row r="715">
      <c r="A715" s="7"/>
      <c r="B715" s="7"/>
      <c r="D715" s="7"/>
      <c r="E715" s="7"/>
      <c r="F715" s="7"/>
    </row>
    <row r="716">
      <c r="A716" s="7"/>
      <c r="B716" s="7"/>
      <c r="D716" s="7"/>
      <c r="E716" s="7"/>
      <c r="F716" s="7"/>
    </row>
    <row r="717">
      <c r="A717" s="7"/>
      <c r="B717" s="7"/>
      <c r="D717" s="7"/>
      <c r="E717" s="7"/>
      <c r="F717" s="7"/>
    </row>
    <row r="718">
      <c r="A718" s="7"/>
      <c r="B718" s="7"/>
      <c r="D718" s="7"/>
      <c r="E718" s="7"/>
      <c r="F718" s="7"/>
    </row>
    <row r="719">
      <c r="A719" s="7"/>
      <c r="B719" s="7"/>
      <c r="D719" s="7"/>
      <c r="E719" s="7"/>
      <c r="F719" s="7"/>
    </row>
    <row r="720">
      <c r="A720" s="7"/>
      <c r="B720" s="7"/>
      <c r="D720" s="7"/>
      <c r="E720" s="7"/>
      <c r="F720" s="7"/>
    </row>
    <row r="721">
      <c r="A721" s="7"/>
      <c r="B721" s="7"/>
      <c r="D721" s="7"/>
      <c r="E721" s="7"/>
      <c r="F721" s="7"/>
    </row>
    <row r="722">
      <c r="A722" s="7"/>
      <c r="B722" s="7"/>
      <c r="D722" s="7"/>
      <c r="E722" s="7"/>
      <c r="F722" s="7"/>
    </row>
    <row r="723">
      <c r="A723" s="7"/>
      <c r="B723" s="7"/>
      <c r="D723" s="7"/>
      <c r="E723" s="7"/>
      <c r="F723" s="7"/>
    </row>
    <row r="724">
      <c r="A724" s="7"/>
      <c r="B724" s="7"/>
      <c r="D724" s="7"/>
      <c r="E724" s="7"/>
      <c r="F724" s="7"/>
    </row>
    <row r="725">
      <c r="A725" s="7"/>
      <c r="B725" s="7"/>
      <c r="D725" s="7"/>
      <c r="E725" s="7"/>
      <c r="F725" s="7"/>
    </row>
    <row r="726">
      <c r="A726" s="7"/>
      <c r="B726" s="7"/>
      <c r="D726" s="7"/>
      <c r="E726" s="7"/>
      <c r="F726" s="7"/>
    </row>
    <row r="727">
      <c r="A727" s="7"/>
      <c r="B727" s="7"/>
      <c r="D727" s="7"/>
      <c r="E727" s="7"/>
      <c r="F727" s="7"/>
    </row>
    <row r="728">
      <c r="A728" s="7"/>
      <c r="B728" s="7"/>
      <c r="D728" s="7"/>
      <c r="E728" s="7"/>
      <c r="F728" s="7"/>
    </row>
    <row r="729">
      <c r="A729" s="7"/>
      <c r="B729" s="7"/>
      <c r="D729" s="7"/>
      <c r="E729" s="7"/>
      <c r="F729" s="7"/>
    </row>
    <row r="730">
      <c r="A730" s="7"/>
      <c r="B730" s="7"/>
      <c r="D730" s="7"/>
      <c r="E730" s="7"/>
      <c r="F730" s="7"/>
    </row>
    <row r="731">
      <c r="A731" s="7"/>
      <c r="B731" s="7"/>
      <c r="D731" s="7"/>
      <c r="E731" s="7"/>
      <c r="F731" s="7"/>
    </row>
    <row r="732">
      <c r="A732" s="7"/>
      <c r="B732" s="7"/>
      <c r="D732" s="7"/>
      <c r="E732" s="7"/>
      <c r="F732" s="7"/>
    </row>
    <row r="733">
      <c r="A733" s="7"/>
      <c r="B733" s="7"/>
      <c r="D733" s="7"/>
      <c r="E733" s="7"/>
      <c r="F733" s="7"/>
    </row>
    <row r="734">
      <c r="A734" s="7"/>
      <c r="B734" s="7"/>
      <c r="D734" s="7"/>
      <c r="E734" s="7"/>
      <c r="F734" s="7"/>
    </row>
    <row r="735">
      <c r="A735" s="7"/>
      <c r="B735" s="7"/>
      <c r="D735" s="7"/>
      <c r="E735" s="7"/>
      <c r="F735" s="7"/>
    </row>
    <row r="736">
      <c r="A736" s="7"/>
      <c r="B736" s="7"/>
      <c r="D736" s="7"/>
      <c r="E736" s="7"/>
      <c r="F736" s="7"/>
    </row>
    <row r="737">
      <c r="A737" s="7"/>
      <c r="B737" s="7"/>
      <c r="D737" s="7"/>
      <c r="E737" s="7"/>
      <c r="F737" s="7"/>
    </row>
    <row r="738">
      <c r="A738" s="7"/>
      <c r="B738" s="7"/>
      <c r="D738" s="7"/>
      <c r="E738" s="7"/>
      <c r="F738" s="7"/>
    </row>
    <row r="739">
      <c r="A739" s="7"/>
      <c r="B739" s="7"/>
      <c r="D739" s="7"/>
      <c r="E739" s="7"/>
      <c r="F739" s="7"/>
    </row>
    <row r="740">
      <c r="A740" s="7"/>
      <c r="B740" s="7"/>
      <c r="D740" s="7"/>
      <c r="E740" s="7"/>
      <c r="F740" s="7"/>
    </row>
    <row r="741">
      <c r="A741" s="7"/>
      <c r="B741" s="7"/>
      <c r="D741" s="7"/>
      <c r="E741" s="7"/>
      <c r="F741" s="7"/>
    </row>
    <row r="742">
      <c r="A742" s="7"/>
      <c r="B742" s="7"/>
      <c r="D742" s="7"/>
      <c r="E742" s="7"/>
      <c r="F742" s="7"/>
    </row>
    <row r="743">
      <c r="A743" s="7"/>
      <c r="B743" s="7"/>
      <c r="D743" s="7"/>
      <c r="E743" s="7"/>
      <c r="F743" s="7"/>
    </row>
    <row r="744">
      <c r="A744" s="7"/>
      <c r="B744" s="7"/>
      <c r="D744" s="7"/>
      <c r="E744" s="7"/>
      <c r="F744" s="7"/>
    </row>
    <row r="745">
      <c r="A745" s="7"/>
      <c r="B745" s="7"/>
      <c r="D745" s="7"/>
      <c r="E745" s="7"/>
      <c r="F745" s="7"/>
    </row>
    <row r="746">
      <c r="A746" s="7"/>
      <c r="B746" s="7"/>
      <c r="D746" s="7"/>
      <c r="E746" s="7"/>
      <c r="F746" s="7"/>
    </row>
    <row r="747">
      <c r="A747" s="7"/>
      <c r="B747" s="7"/>
      <c r="D747" s="7"/>
      <c r="E747" s="7"/>
      <c r="F747" s="7"/>
    </row>
    <row r="748">
      <c r="A748" s="7"/>
      <c r="B748" s="7"/>
      <c r="D748" s="7"/>
      <c r="E748" s="7"/>
      <c r="F748" s="7"/>
    </row>
    <row r="749">
      <c r="A749" s="7"/>
      <c r="B749" s="7"/>
      <c r="D749" s="7"/>
      <c r="E749" s="7"/>
      <c r="F749" s="7"/>
    </row>
    <row r="750">
      <c r="A750" s="7"/>
      <c r="B750" s="7"/>
      <c r="D750" s="7"/>
      <c r="E750" s="7"/>
      <c r="F750" s="7"/>
    </row>
    <row r="751">
      <c r="A751" s="7"/>
      <c r="B751" s="7"/>
      <c r="D751" s="7"/>
      <c r="E751" s="7"/>
      <c r="F751" s="7"/>
    </row>
    <row r="752">
      <c r="A752" s="7"/>
      <c r="B752" s="7"/>
      <c r="D752" s="7"/>
      <c r="E752" s="7"/>
      <c r="F752" s="7"/>
    </row>
    <row r="753">
      <c r="A753" s="7"/>
      <c r="B753" s="7"/>
      <c r="D753" s="7"/>
      <c r="E753" s="7"/>
      <c r="F753" s="7"/>
    </row>
    <row r="754">
      <c r="A754" s="7"/>
      <c r="B754" s="7"/>
      <c r="D754" s="7"/>
      <c r="E754" s="7"/>
      <c r="F754" s="7"/>
    </row>
    <row r="755">
      <c r="A755" s="7"/>
      <c r="B755" s="7"/>
      <c r="D755" s="7"/>
      <c r="E755" s="7"/>
      <c r="F755" s="7"/>
    </row>
    <row r="756">
      <c r="A756" s="7"/>
      <c r="B756" s="7"/>
      <c r="D756" s="7"/>
      <c r="E756" s="7"/>
      <c r="F756" s="7"/>
    </row>
    <row r="757">
      <c r="A757" s="7"/>
      <c r="B757" s="7"/>
      <c r="D757" s="7"/>
      <c r="E757" s="7"/>
      <c r="F757" s="7"/>
    </row>
    <row r="758">
      <c r="A758" s="7"/>
      <c r="B758" s="7"/>
      <c r="D758" s="7"/>
      <c r="E758" s="7"/>
      <c r="F758" s="7"/>
    </row>
    <row r="759">
      <c r="A759" s="7"/>
      <c r="B759" s="7"/>
      <c r="D759" s="7"/>
      <c r="E759" s="7"/>
      <c r="F759" s="7"/>
    </row>
    <row r="760">
      <c r="A760" s="7"/>
      <c r="B760" s="7"/>
      <c r="D760" s="7"/>
      <c r="E760" s="7"/>
      <c r="F760" s="7"/>
    </row>
    <row r="761">
      <c r="A761" s="7"/>
      <c r="B761" s="7"/>
      <c r="D761" s="7"/>
      <c r="E761" s="7"/>
      <c r="F761" s="7"/>
    </row>
    <row r="762">
      <c r="A762" s="7"/>
      <c r="B762" s="7"/>
      <c r="D762" s="7"/>
      <c r="E762" s="7"/>
      <c r="F762" s="7"/>
    </row>
    <row r="763">
      <c r="A763" s="7"/>
      <c r="B763" s="7"/>
      <c r="D763" s="7"/>
      <c r="E763" s="7"/>
      <c r="F763" s="7"/>
    </row>
    <row r="764">
      <c r="A764" s="7"/>
      <c r="B764" s="7"/>
      <c r="D764" s="7"/>
      <c r="E764" s="7"/>
      <c r="F764" s="7"/>
    </row>
    <row r="765">
      <c r="A765" s="7"/>
      <c r="B765" s="7"/>
      <c r="D765" s="7"/>
      <c r="E765" s="7"/>
      <c r="F765" s="7"/>
    </row>
    <row r="766">
      <c r="A766" s="7"/>
      <c r="B766" s="7"/>
      <c r="D766" s="7"/>
      <c r="E766" s="7"/>
      <c r="F766" s="7"/>
    </row>
    <row r="767">
      <c r="A767" s="7"/>
      <c r="B767" s="7"/>
      <c r="D767" s="7"/>
      <c r="E767" s="7"/>
      <c r="F767" s="7"/>
    </row>
    <row r="768">
      <c r="A768" s="7"/>
      <c r="B768" s="7"/>
      <c r="D768" s="7"/>
      <c r="E768" s="7"/>
      <c r="F768" s="7"/>
    </row>
    <row r="769">
      <c r="A769" s="7"/>
      <c r="B769" s="7"/>
      <c r="D769" s="7"/>
      <c r="E769" s="7"/>
      <c r="F769" s="7"/>
    </row>
    <row r="770">
      <c r="A770" s="7"/>
      <c r="B770" s="7"/>
      <c r="D770" s="7"/>
      <c r="E770" s="7"/>
      <c r="F770" s="7"/>
    </row>
    <row r="771">
      <c r="A771" s="7"/>
      <c r="B771" s="7"/>
      <c r="D771" s="7"/>
      <c r="E771" s="7"/>
      <c r="F771" s="7"/>
    </row>
    <row r="772">
      <c r="A772" s="7"/>
      <c r="B772" s="7"/>
      <c r="D772" s="7"/>
      <c r="E772" s="7"/>
      <c r="F772" s="7"/>
    </row>
    <row r="773">
      <c r="A773" s="7"/>
      <c r="B773" s="7"/>
      <c r="D773" s="7"/>
      <c r="E773" s="7"/>
      <c r="F773" s="7"/>
    </row>
    <row r="774">
      <c r="A774" s="7"/>
      <c r="B774" s="7"/>
      <c r="D774" s="7"/>
      <c r="E774" s="7"/>
      <c r="F774" s="7"/>
    </row>
    <row r="775">
      <c r="A775" s="7"/>
      <c r="B775" s="7"/>
      <c r="D775" s="7"/>
      <c r="E775" s="7"/>
      <c r="F775" s="7"/>
    </row>
    <row r="776">
      <c r="A776" s="7"/>
      <c r="B776" s="7"/>
      <c r="D776" s="7"/>
      <c r="E776" s="7"/>
      <c r="F776" s="7"/>
    </row>
    <row r="777">
      <c r="A777" s="7"/>
      <c r="B777" s="7"/>
      <c r="D777" s="7"/>
      <c r="E777" s="7"/>
      <c r="F777" s="7"/>
    </row>
    <row r="778">
      <c r="A778" s="7"/>
      <c r="B778" s="7"/>
      <c r="D778" s="7"/>
      <c r="E778" s="7"/>
      <c r="F778" s="7"/>
    </row>
    <row r="779">
      <c r="A779" s="7"/>
      <c r="B779" s="7"/>
      <c r="D779" s="7"/>
      <c r="E779" s="7"/>
      <c r="F779" s="7"/>
    </row>
    <row r="780">
      <c r="A780" s="7"/>
      <c r="B780" s="7"/>
      <c r="D780" s="7"/>
      <c r="E780" s="7"/>
      <c r="F780" s="7"/>
    </row>
    <row r="781">
      <c r="A781" s="7"/>
      <c r="B781" s="7"/>
      <c r="D781" s="7"/>
      <c r="E781" s="7"/>
      <c r="F781" s="7"/>
    </row>
    <row r="782">
      <c r="A782" s="7"/>
      <c r="B782" s="7"/>
      <c r="D782" s="7"/>
      <c r="E782" s="7"/>
      <c r="F782" s="7"/>
    </row>
    <row r="783">
      <c r="A783" s="7"/>
      <c r="B783" s="7"/>
      <c r="D783" s="7"/>
      <c r="E783" s="7"/>
      <c r="F783" s="7"/>
    </row>
    <row r="784">
      <c r="A784" s="7"/>
      <c r="B784" s="7"/>
      <c r="D784" s="7"/>
      <c r="E784" s="7"/>
      <c r="F784" s="7"/>
    </row>
    <row r="785">
      <c r="A785" s="7"/>
      <c r="B785" s="7"/>
      <c r="D785" s="7"/>
      <c r="E785" s="7"/>
      <c r="F785" s="7"/>
    </row>
    <row r="786">
      <c r="A786" s="7"/>
      <c r="B786" s="7"/>
      <c r="D786" s="7"/>
      <c r="E786" s="7"/>
      <c r="F786" s="7"/>
    </row>
    <row r="787">
      <c r="A787" s="7"/>
      <c r="B787" s="7"/>
      <c r="D787" s="7"/>
      <c r="E787" s="7"/>
      <c r="F787" s="7"/>
    </row>
    <row r="788">
      <c r="A788" s="7"/>
      <c r="B788" s="7"/>
      <c r="D788" s="7"/>
      <c r="E788" s="7"/>
      <c r="F788" s="7"/>
    </row>
    <row r="789">
      <c r="A789" s="7"/>
      <c r="B789" s="7"/>
      <c r="D789" s="7"/>
      <c r="E789" s="7"/>
      <c r="F789" s="7"/>
    </row>
    <row r="790">
      <c r="A790" s="7"/>
      <c r="B790" s="7"/>
      <c r="D790" s="7"/>
      <c r="E790" s="7"/>
      <c r="F790" s="7"/>
    </row>
    <row r="791">
      <c r="A791" s="7"/>
      <c r="B791" s="7"/>
      <c r="D791" s="7"/>
      <c r="E791" s="7"/>
      <c r="F791" s="7"/>
    </row>
    <row r="792">
      <c r="A792" s="7"/>
      <c r="B792" s="7"/>
      <c r="D792" s="7"/>
      <c r="E792" s="7"/>
      <c r="F792" s="7"/>
    </row>
    <row r="793">
      <c r="A793" s="7"/>
      <c r="B793" s="7"/>
      <c r="D793" s="7"/>
      <c r="E793" s="7"/>
      <c r="F793" s="7"/>
    </row>
    <row r="794">
      <c r="A794" s="7"/>
      <c r="B794" s="7"/>
      <c r="D794" s="7"/>
      <c r="E794" s="7"/>
      <c r="F794" s="7"/>
    </row>
    <row r="795">
      <c r="A795" s="7"/>
      <c r="B795" s="7"/>
      <c r="D795" s="7"/>
      <c r="E795" s="7"/>
      <c r="F795" s="7"/>
    </row>
    <row r="796">
      <c r="A796" s="7"/>
      <c r="B796" s="7"/>
      <c r="D796" s="7"/>
      <c r="E796" s="7"/>
      <c r="F796" s="7"/>
    </row>
    <row r="797">
      <c r="A797" s="7"/>
      <c r="B797" s="7"/>
      <c r="D797" s="7"/>
      <c r="E797" s="7"/>
      <c r="F797" s="7"/>
    </row>
    <row r="798">
      <c r="A798" s="7"/>
      <c r="B798" s="7"/>
      <c r="D798" s="7"/>
      <c r="E798" s="7"/>
      <c r="F798" s="7"/>
    </row>
    <row r="799">
      <c r="A799" s="7"/>
      <c r="B799" s="7"/>
      <c r="D799" s="7"/>
      <c r="E799" s="7"/>
      <c r="F799" s="7"/>
    </row>
    <row r="800">
      <c r="A800" s="7"/>
      <c r="B800" s="7"/>
      <c r="D800" s="7"/>
      <c r="E800" s="7"/>
      <c r="F800" s="7"/>
    </row>
    <row r="801">
      <c r="A801" s="7"/>
      <c r="B801" s="7"/>
      <c r="D801" s="7"/>
      <c r="E801" s="7"/>
      <c r="F801" s="7"/>
    </row>
    <row r="802">
      <c r="A802" s="7"/>
      <c r="B802" s="7"/>
      <c r="D802" s="7"/>
      <c r="E802" s="7"/>
      <c r="F802" s="7"/>
    </row>
    <row r="803">
      <c r="A803" s="7"/>
      <c r="B803" s="7"/>
      <c r="D803" s="7"/>
      <c r="E803" s="7"/>
      <c r="F803" s="7"/>
    </row>
    <row r="804">
      <c r="A804" s="7"/>
      <c r="B804" s="7"/>
      <c r="D804" s="7"/>
      <c r="E804" s="7"/>
      <c r="F804" s="7"/>
    </row>
    <row r="805">
      <c r="A805" s="7"/>
      <c r="B805" s="7"/>
      <c r="D805" s="7"/>
      <c r="E805" s="7"/>
      <c r="F805" s="7"/>
    </row>
    <row r="806">
      <c r="A806" s="7"/>
      <c r="B806" s="7"/>
      <c r="D806" s="7"/>
      <c r="E806" s="7"/>
      <c r="F806" s="7"/>
    </row>
    <row r="807">
      <c r="A807" s="7"/>
      <c r="B807" s="7"/>
      <c r="D807" s="7"/>
      <c r="E807" s="7"/>
      <c r="F807" s="7"/>
    </row>
    <row r="808">
      <c r="A808" s="7"/>
      <c r="B808" s="7"/>
      <c r="D808" s="7"/>
      <c r="E808" s="7"/>
      <c r="F808" s="7"/>
    </row>
    <row r="809">
      <c r="A809" s="7"/>
      <c r="B809" s="7"/>
      <c r="D809" s="7"/>
      <c r="E809" s="7"/>
      <c r="F809" s="7"/>
    </row>
    <row r="810">
      <c r="A810" s="7"/>
      <c r="B810" s="7"/>
      <c r="D810" s="7"/>
      <c r="E810" s="7"/>
      <c r="F810" s="7"/>
    </row>
    <row r="811">
      <c r="A811" s="7"/>
      <c r="B811" s="7"/>
      <c r="D811" s="7"/>
      <c r="E811" s="7"/>
      <c r="F811" s="7"/>
    </row>
    <row r="812">
      <c r="A812" s="7"/>
      <c r="B812" s="7"/>
      <c r="D812" s="7"/>
      <c r="E812" s="7"/>
      <c r="F812" s="7"/>
    </row>
    <row r="813">
      <c r="A813" s="7"/>
      <c r="B813" s="7"/>
      <c r="D813" s="7"/>
      <c r="E813" s="7"/>
      <c r="F813" s="7"/>
    </row>
    <row r="814">
      <c r="A814" s="7"/>
      <c r="B814" s="7"/>
      <c r="D814" s="7"/>
      <c r="E814" s="7"/>
      <c r="F814" s="7"/>
    </row>
    <row r="815">
      <c r="A815" s="7"/>
      <c r="B815" s="7"/>
      <c r="D815" s="7"/>
      <c r="E815" s="7"/>
      <c r="F815" s="7"/>
    </row>
    <row r="816">
      <c r="A816" s="7"/>
      <c r="B816" s="7"/>
      <c r="D816" s="7"/>
      <c r="E816" s="7"/>
      <c r="F816" s="7"/>
    </row>
    <row r="817">
      <c r="A817" s="7"/>
      <c r="B817" s="7"/>
      <c r="D817" s="7"/>
      <c r="E817" s="7"/>
      <c r="F817" s="7"/>
    </row>
    <row r="818">
      <c r="A818" s="7"/>
      <c r="B818" s="7"/>
      <c r="D818" s="7"/>
      <c r="E818" s="7"/>
      <c r="F818" s="7"/>
    </row>
    <row r="819">
      <c r="A819" s="7"/>
      <c r="B819" s="7"/>
      <c r="D819" s="7"/>
      <c r="E819" s="7"/>
      <c r="F819" s="7"/>
    </row>
    <row r="820">
      <c r="A820" s="7"/>
      <c r="B820" s="7"/>
      <c r="D820" s="7"/>
      <c r="E820" s="7"/>
      <c r="F820" s="7"/>
    </row>
    <row r="821">
      <c r="A821" s="7"/>
      <c r="B821" s="7"/>
      <c r="D821" s="7"/>
      <c r="E821" s="7"/>
      <c r="F821" s="7"/>
    </row>
    <row r="822">
      <c r="A822" s="7"/>
      <c r="B822" s="7"/>
      <c r="D822" s="7"/>
      <c r="E822" s="7"/>
      <c r="F822" s="7"/>
    </row>
    <row r="823">
      <c r="A823" s="7"/>
      <c r="B823" s="7"/>
      <c r="D823" s="7"/>
      <c r="E823" s="7"/>
      <c r="F823" s="7"/>
    </row>
    <row r="824">
      <c r="A824" s="7"/>
      <c r="B824" s="7"/>
      <c r="D824" s="7"/>
      <c r="E824" s="7"/>
      <c r="F824" s="7"/>
    </row>
    <row r="825">
      <c r="A825" s="7"/>
      <c r="B825" s="7"/>
      <c r="D825" s="7"/>
      <c r="E825" s="7"/>
      <c r="F825" s="7"/>
    </row>
    <row r="826">
      <c r="A826" s="7"/>
      <c r="B826" s="7"/>
      <c r="D826" s="7"/>
      <c r="E826" s="7"/>
      <c r="F826" s="7"/>
    </row>
    <row r="827">
      <c r="A827" s="7"/>
      <c r="B827" s="7"/>
      <c r="D827" s="7"/>
      <c r="E827" s="7"/>
      <c r="F827" s="7"/>
    </row>
    <row r="828">
      <c r="A828" s="7"/>
      <c r="B828" s="7"/>
      <c r="D828" s="7"/>
      <c r="E828" s="7"/>
      <c r="F828" s="7"/>
    </row>
    <row r="829">
      <c r="A829" s="7"/>
      <c r="B829" s="7"/>
      <c r="D829" s="7"/>
      <c r="E829" s="7"/>
      <c r="F829" s="7"/>
    </row>
    <row r="830">
      <c r="A830" s="7"/>
      <c r="B830" s="7"/>
      <c r="D830" s="7"/>
      <c r="E830" s="7"/>
      <c r="F830" s="7"/>
    </row>
    <row r="831">
      <c r="A831" s="7"/>
      <c r="B831" s="7"/>
      <c r="D831" s="7"/>
      <c r="E831" s="7"/>
      <c r="F831" s="7"/>
    </row>
    <row r="832">
      <c r="A832" s="7"/>
      <c r="B832" s="7"/>
      <c r="D832" s="7"/>
      <c r="E832" s="7"/>
      <c r="F832" s="7"/>
    </row>
    <row r="833">
      <c r="A833" s="7"/>
      <c r="B833" s="7"/>
      <c r="D833" s="7"/>
      <c r="E833" s="7"/>
      <c r="F833" s="7"/>
    </row>
    <row r="834">
      <c r="A834" s="7"/>
      <c r="B834" s="7"/>
      <c r="D834" s="7"/>
      <c r="E834" s="7"/>
      <c r="F834" s="7"/>
    </row>
    <row r="835">
      <c r="A835" s="7"/>
      <c r="B835" s="7"/>
      <c r="D835" s="7"/>
      <c r="E835" s="7"/>
      <c r="F835" s="7"/>
    </row>
    <row r="836">
      <c r="A836" s="7"/>
      <c r="B836" s="7"/>
      <c r="D836" s="7"/>
      <c r="E836" s="7"/>
      <c r="F836" s="7"/>
    </row>
    <row r="837">
      <c r="A837" s="7"/>
      <c r="B837" s="7"/>
      <c r="D837" s="7"/>
      <c r="E837" s="7"/>
      <c r="F837" s="7"/>
    </row>
    <row r="838">
      <c r="A838" s="7"/>
      <c r="B838" s="7"/>
      <c r="D838" s="7"/>
      <c r="E838" s="7"/>
      <c r="F838" s="7"/>
    </row>
    <row r="839">
      <c r="A839" s="7"/>
      <c r="B839" s="7"/>
      <c r="D839" s="7"/>
      <c r="E839" s="7"/>
      <c r="F839" s="7"/>
    </row>
    <row r="840">
      <c r="A840" s="7"/>
      <c r="B840" s="7"/>
      <c r="D840" s="7"/>
      <c r="E840" s="7"/>
      <c r="F840" s="7"/>
    </row>
    <row r="841">
      <c r="A841" s="7"/>
      <c r="B841" s="7"/>
      <c r="D841" s="7"/>
      <c r="E841" s="7"/>
      <c r="F841" s="7"/>
    </row>
    <row r="842">
      <c r="A842" s="7"/>
      <c r="B842" s="7"/>
      <c r="D842" s="7"/>
      <c r="E842" s="7"/>
      <c r="F842" s="7"/>
    </row>
    <row r="843">
      <c r="A843" s="7"/>
      <c r="B843" s="7"/>
      <c r="D843" s="7"/>
      <c r="E843" s="7"/>
      <c r="F843" s="7"/>
    </row>
    <row r="844">
      <c r="A844" s="7"/>
      <c r="B844" s="7"/>
      <c r="D844" s="7"/>
      <c r="E844" s="7"/>
      <c r="F844" s="7"/>
    </row>
    <row r="845">
      <c r="A845" s="7"/>
      <c r="B845" s="7"/>
      <c r="D845" s="7"/>
      <c r="E845" s="7"/>
      <c r="F845" s="7"/>
    </row>
    <row r="846">
      <c r="A846" s="7"/>
      <c r="B846" s="7"/>
      <c r="D846" s="7"/>
      <c r="E846" s="7"/>
      <c r="F846" s="7"/>
    </row>
    <row r="847">
      <c r="A847" s="7"/>
      <c r="B847" s="7"/>
      <c r="D847" s="7"/>
      <c r="E847" s="7"/>
      <c r="F847" s="7"/>
    </row>
    <row r="848">
      <c r="A848" s="7"/>
      <c r="B848" s="7"/>
      <c r="D848" s="7"/>
      <c r="E848" s="7"/>
      <c r="F848" s="7"/>
    </row>
    <row r="849">
      <c r="A849" s="7"/>
      <c r="B849" s="7"/>
      <c r="D849" s="7"/>
      <c r="E849" s="7"/>
      <c r="F849" s="7"/>
    </row>
    <row r="850">
      <c r="A850" s="7"/>
      <c r="B850" s="7"/>
      <c r="D850" s="7"/>
      <c r="E850" s="7"/>
      <c r="F850" s="7"/>
    </row>
    <row r="851">
      <c r="A851" s="7"/>
      <c r="B851" s="7"/>
      <c r="D851" s="7"/>
      <c r="E851" s="7"/>
      <c r="F851" s="7"/>
    </row>
    <row r="852">
      <c r="A852" s="7"/>
      <c r="B852" s="7"/>
      <c r="D852" s="7"/>
      <c r="E852" s="7"/>
      <c r="F852" s="7"/>
    </row>
    <row r="853">
      <c r="A853" s="7"/>
      <c r="B853" s="7"/>
      <c r="D853" s="7"/>
      <c r="E853" s="7"/>
      <c r="F853" s="7"/>
    </row>
    <row r="854">
      <c r="A854" s="7"/>
      <c r="B854" s="7"/>
      <c r="D854" s="7"/>
      <c r="E854" s="7"/>
      <c r="F854" s="7"/>
    </row>
    <row r="855">
      <c r="A855" s="7"/>
      <c r="B855" s="7"/>
      <c r="D855" s="7"/>
      <c r="E855" s="7"/>
      <c r="F855" s="7"/>
    </row>
    <row r="856">
      <c r="A856" s="7"/>
      <c r="B856" s="7"/>
      <c r="D856" s="7"/>
      <c r="E856" s="7"/>
      <c r="F856" s="7"/>
    </row>
    <row r="857">
      <c r="A857" s="7"/>
      <c r="B857" s="7"/>
      <c r="D857" s="7"/>
      <c r="E857" s="7"/>
      <c r="F857" s="7"/>
    </row>
    <row r="858">
      <c r="A858" s="7"/>
      <c r="B858" s="7"/>
      <c r="D858" s="7"/>
      <c r="E858" s="7"/>
      <c r="F858" s="7"/>
    </row>
    <row r="859">
      <c r="A859" s="7"/>
      <c r="B859" s="7"/>
      <c r="D859" s="7"/>
      <c r="E859" s="7"/>
      <c r="F859" s="7"/>
    </row>
    <row r="860">
      <c r="A860" s="7"/>
      <c r="B860" s="7"/>
      <c r="D860" s="7"/>
      <c r="E860" s="7"/>
      <c r="F860" s="7"/>
    </row>
    <row r="861">
      <c r="A861" s="7"/>
      <c r="B861" s="7"/>
      <c r="D861" s="7"/>
      <c r="E861" s="7"/>
      <c r="F861" s="7"/>
    </row>
    <row r="862">
      <c r="A862" s="7"/>
      <c r="B862" s="7"/>
      <c r="D862" s="7"/>
      <c r="E862" s="7"/>
      <c r="F862" s="7"/>
    </row>
    <row r="863">
      <c r="A863" s="7"/>
      <c r="B863" s="7"/>
      <c r="D863" s="7"/>
      <c r="E863" s="7"/>
      <c r="F863" s="7"/>
    </row>
    <row r="864">
      <c r="A864" s="7"/>
      <c r="B864" s="7"/>
      <c r="D864" s="7"/>
      <c r="E864" s="7"/>
      <c r="F864" s="7"/>
    </row>
    <row r="865">
      <c r="A865" s="7"/>
      <c r="B865" s="7"/>
      <c r="D865" s="7"/>
      <c r="E865" s="7"/>
      <c r="F865" s="7"/>
    </row>
    <row r="866">
      <c r="A866" s="7"/>
      <c r="B866" s="7"/>
      <c r="D866" s="7"/>
      <c r="E866" s="7"/>
      <c r="F866" s="7"/>
    </row>
    <row r="867">
      <c r="A867" s="7"/>
      <c r="B867" s="7"/>
      <c r="D867" s="7"/>
      <c r="E867" s="7"/>
      <c r="F867" s="7"/>
    </row>
    <row r="868">
      <c r="A868" s="7"/>
      <c r="B868" s="7"/>
      <c r="D868" s="7"/>
      <c r="E868" s="7"/>
      <c r="F868" s="7"/>
    </row>
    <row r="869">
      <c r="A869" s="7"/>
      <c r="B869" s="7"/>
      <c r="D869" s="7"/>
      <c r="E869" s="7"/>
      <c r="F869" s="7"/>
    </row>
    <row r="870">
      <c r="A870" s="7"/>
      <c r="B870" s="7"/>
      <c r="D870" s="7"/>
      <c r="E870" s="7"/>
      <c r="F870" s="7"/>
    </row>
    <row r="871">
      <c r="A871" s="7"/>
      <c r="B871" s="7"/>
      <c r="D871" s="7"/>
      <c r="E871" s="7"/>
      <c r="F871" s="7"/>
    </row>
    <row r="872">
      <c r="A872" s="7"/>
      <c r="B872" s="7"/>
      <c r="D872" s="7"/>
      <c r="E872" s="7"/>
      <c r="F872" s="7"/>
    </row>
    <row r="873">
      <c r="A873" s="7"/>
      <c r="B873" s="7"/>
      <c r="D873" s="7"/>
      <c r="E873" s="7"/>
      <c r="F873" s="7"/>
    </row>
    <row r="874">
      <c r="A874" s="7"/>
      <c r="B874" s="7"/>
      <c r="D874" s="7"/>
      <c r="E874" s="7"/>
      <c r="F874" s="7"/>
    </row>
    <row r="875">
      <c r="A875" s="7"/>
      <c r="B875" s="7"/>
      <c r="D875" s="7"/>
      <c r="E875" s="7"/>
      <c r="F875" s="7"/>
    </row>
    <row r="876">
      <c r="A876" s="7"/>
      <c r="B876" s="7"/>
      <c r="D876" s="7"/>
      <c r="E876" s="7"/>
      <c r="F876" s="7"/>
    </row>
    <row r="877">
      <c r="A877" s="7"/>
      <c r="B877" s="7"/>
      <c r="D877" s="7"/>
      <c r="E877" s="7"/>
      <c r="F877" s="7"/>
    </row>
    <row r="878">
      <c r="A878" s="7"/>
      <c r="B878" s="7"/>
      <c r="D878" s="7"/>
      <c r="E878" s="7"/>
      <c r="F878" s="7"/>
    </row>
    <row r="879">
      <c r="A879" s="7"/>
      <c r="B879" s="7"/>
      <c r="D879" s="7"/>
      <c r="E879" s="7"/>
      <c r="F879" s="7"/>
    </row>
    <row r="880">
      <c r="A880" s="7"/>
      <c r="B880" s="7"/>
      <c r="D880" s="7"/>
      <c r="E880" s="7"/>
      <c r="F880" s="7"/>
    </row>
    <row r="881">
      <c r="A881" s="7"/>
      <c r="B881" s="7"/>
      <c r="D881" s="7"/>
      <c r="E881" s="7"/>
      <c r="F881" s="7"/>
    </row>
    <row r="882">
      <c r="A882" s="7"/>
      <c r="B882" s="7"/>
      <c r="D882" s="7"/>
      <c r="E882" s="7"/>
      <c r="F882" s="7"/>
    </row>
    <row r="883">
      <c r="A883" s="7"/>
      <c r="B883" s="7"/>
      <c r="D883" s="7"/>
      <c r="E883" s="7"/>
      <c r="F883" s="7"/>
    </row>
    <row r="884">
      <c r="A884" s="7"/>
      <c r="B884" s="7"/>
      <c r="D884" s="7"/>
      <c r="E884" s="7"/>
      <c r="F884" s="7"/>
    </row>
    <row r="885">
      <c r="A885" s="7"/>
      <c r="B885" s="7"/>
      <c r="D885" s="7"/>
      <c r="E885" s="7"/>
      <c r="F885" s="7"/>
    </row>
    <row r="886">
      <c r="A886" s="7"/>
      <c r="B886" s="7"/>
      <c r="D886" s="7"/>
      <c r="E886" s="7"/>
      <c r="F886" s="7"/>
    </row>
    <row r="887">
      <c r="A887" s="7"/>
      <c r="B887" s="7"/>
      <c r="D887" s="7"/>
      <c r="E887" s="7"/>
      <c r="F887" s="7"/>
    </row>
    <row r="888">
      <c r="A888" s="7"/>
      <c r="B888" s="7"/>
      <c r="D888" s="7"/>
      <c r="E888" s="7"/>
      <c r="F888" s="7"/>
    </row>
    <row r="889">
      <c r="A889" s="7"/>
      <c r="B889" s="7"/>
      <c r="D889" s="7"/>
      <c r="E889" s="7"/>
      <c r="F889" s="7"/>
    </row>
    <row r="890">
      <c r="A890" s="7"/>
      <c r="B890" s="7"/>
      <c r="D890" s="7"/>
      <c r="E890" s="7"/>
      <c r="F890" s="7"/>
    </row>
    <row r="891">
      <c r="A891" s="7"/>
      <c r="B891" s="7"/>
      <c r="D891" s="7"/>
      <c r="E891" s="7"/>
      <c r="F891" s="7"/>
    </row>
    <row r="892">
      <c r="A892" s="7"/>
      <c r="B892" s="7"/>
      <c r="D892" s="7"/>
      <c r="E892" s="7"/>
      <c r="F892" s="7"/>
    </row>
    <row r="893">
      <c r="A893" s="7"/>
      <c r="B893" s="7"/>
      <c r="D893" s="7"/>
      <c r="E893" s="7"/>
      <c r="F893" s="7"/>
    </row>
    <row r="894">
      <c r="A894" s="7"/>
      <c r="B894" s="7"/>
      <c r="D894" s="7"/>
      <c r="E894" s="7"/>
      <c r="F894" s="7"/>
    </row>
    <row r="895">
      <c r="A895" s="7"/>
      <c r="B895" s="7"/>
      <c r="D895" s="7"/>
      <c r="E895" s="7"/>
      <c r="F895" s="7"/>
    </row>
    <row r="896">
      <c r="A896" s="7"/>
      <c r="B896" s="7"/>
      <c r="D896" s="7"/>
      <c r="E896" s="7"/>
      <c r="F896" s="7"/>
    </row>
    <row r="897">
      <c r="A897" s="7"/>
      <c r="B897" s="7"/>
      <c r="D897" s="7"/>
      <c r="E897" s="7"/>
      <c r="F897" s="7"/>
    </row>
    <row r="898">
      <c r="A898" s="7"/>
      <c r="B898" s="7"/>
      <c r="D898" s="7"/>
      <c r="E898" s="7"/>
      <c r="F898" s="7"/>
    </row>
    <row r="899">
      <c r="A899" s="7"/>
      <c r="B899" s="7"/>
      <c r="D899" s="7"/>
      <c r="E899" s="7"/>
      <c r="F899" s="7"/>
    </row>
    <row r="900">
      <c r="A900" s="7"/>
      <c r="B900" s="7"/>
      <c r="D900" s="7"/>
      <c r="E900" s="7"/>
      <c r="F900" s="7"/>
    </row>
    <row r="901">
      <c r="A901" s="7"/>
      <c r="B901" s="7"/>
      <c r="D901" s="7"/>
      <c r="E901" s="7"/>
      <c r="F901" s="7"/>
    </row>
    <row r="902">
      <c r="A902" s="7"/>
      <c r="B902" s="7"/>
      <c r="D902" s="7"/>
      <c r="E902" s="7"/>
      <c r="F902" s="7"/>
    </row>
    <row r="903">
      <c r="A903" s="7"/>
      <c r="B903" s="7"/>
      <c r="D903" s="7"/>
      <c r="E903" s="7"/>
      <c r="F903" s="7"/>
    </row>
    <row r="904">
      <c r="A904" s="7"/>
      <c r="B904" s="7"/>
      <c r="D904" s="7"/>
      <c r="E904" s="7"/>
      <c r="F904" s="7"/>
    </row>
    <row r="905">
      <c r="A905" s="7"/>
      <c r="B905" s="7"/>
      <c r="D905" s="7"/>
      <c r="E905" s="7"/>
      <c r="F905" s="7"/>
    </row>
    <row r="906">
      <c r="A906" s="7"/>
      <c r="B906" s="7"/>
      <c r="D906" s="7"/>
      <c r="E906" s="7"/>
      <c r="F906" s="7"/>
    </row>
    <row r="907">
      <c r="A907" s="7"/>
      <c r="B907" s="7"/>
      <c r="D907" s="7"/>
      <c r="E907" s="7"/>
      <c r="F907" s="7"/>
    </row>
    <row r="908">
      <c r="A908" s="7"/>
      <c r="B908" s="7"/>
      <c r="D908" s="7"/>
      <c r="E908" s="7"/>
      <c r="F908" s="7"/>
    </row>
    <row r="909">
      <c r="A909" s="7"/>
      <c r="B909" s="7"/>
      <c r="D909" s="7"/>
      <c r="E909" s="7"/>
      <c r="F909" s="7"/>
    </row>
    <row r="910">
      <c r="A910" s="7"/>
      <c r="B910" s="7"/>
      <c r="D910" s="7"/>
      <c r="E910" s="7"/>
      <c r="F910" s="7"/>
    </row>
    <row r="911">
      <c r="A911" s="7"/>
      <c r="B911" s="7"/>
      <c r="D911" s="7"/>
      <c r="E911" s="7"/>
      <c r="F911" s="7"/>
    </row>
    <row r="912">
      <c r="A912" s="7"/>
      <c r="B912" s="7"/>
      <c r="D912" s="7"/>
      <c r="E912" s="7"/>
      <c r="F912" s="7"/>
    </row>
    <row r="913">
      <c r="A913" s="7"/>
      <c r="B913" s="7"/>
      <c r="D913" s="7"/>
      <c r="E913" s="7"/>
      <c r="F913" s="7"/>
    </row>
    <row r="914">
      <c r="A914" s="7"/>
      <c r="B914" s="7"/>
      <c r="D914" s="7"/>
      <c r="E914" s="7"/>
      <c r="F914" s="7"/>
    </row>
    <row r="915">
      <c r="A915" s="7"/>
      <c r="B915" s="7"/>
      <c r="D915" s="7"/>
      <c r="E915" s="7"/>
      <c r="F915" s="7"/>
    </row>
    <row r="916">
      <c r="A916" s="7"/>
      <c r="B916" s="7"/>
      <c r="D916" s="7"/>
      <c r="E916" s="7"/>
      <c r="F916" s="7"/>
    </row>
    <row r="917">
      <c r="A917" s="7"/>
      <c r="B917" s="7"/>
      <c r="D917" s="7"/>
      <c r="E917" s="7"/>
      <c r="F917" s="7"/>
    </row>
    <row r="918">
      <c r="A918" s="7"/>
      <c r="B918" s="7"/>
      <c r="D918" s="7"/>
      <c r="E918" s="7"/>
      <c r="F918" s="7"/>
    </row>
    <row r="919">
      <c r="A919" s="7"/>
      <c r="B919" s="7"/>
      <c r="D919" s="7"/>
      <c r="E919" s="7"/>
      <c r="F919" s="7"/>
    </row>
    <row r="920">
      <c r="A920" s="7"/>
      <c r="B920" s="7"/>
      <c r="D920" s="7"/>
      <c r="E920" s="7"/>
      <c r="F920" s="7"/>
    </row>
    <row r="921">
      <c r="A921" s="7"/>
      <c r="B921" s="7"/>
      <c r="D921" s="7"/>
      <c r="E921" s="7"/>
      <c r="F921" s="7"/>
    </row>
    <row r="922">
      <c r="A922" s="7"/>
      <c r="B922" s="7"/>
      <c r="D922" s="7"/>
      <c r="E922" s="7"/>
      <c r="F922" s="7"/>
    </row>
    <row r="923">
      <c r="A923" s="7"/>
      <c r="B923" s="7"/>
      <c r="D923" s="7"/>
      <c r="E923" s="7"/>
      <c r="F923" s="7"/>
    </row>
    <row r="924">
      <c r="A924" s="7"/>
      <c r="B924" s="7"/>
      <c r="D924" s="7"/>
      <c r="E924" s="7"/>
      <c r="F924" s="7"/>
    </row>
    <row r="925">
      <c r="A925" s="7"/>
      <c r="B925" s="7"/>
      <c r="D925" s="7"/>
      <c r="E925" s="7"/>
      <c r="F925" s="7"/>
    </row>
    <row r="926">
      <c r="A926" s="7"/>
      <c r="B926" s="7"/>
      <c r="D926" s="7"/>
      <c r="E926" s="7"/>
      <c r="F926" s="7"/>
    </row>
    <row r="927">
      <c r="A927" s="7"/>
      <c r="B927" s="7"/>
      <c r="D927" s="7"/>
      <c r="E927" s="7"/>
      <c r="F927" s="7"/>
    </row>
    <row r="928">
      <c r="A928" s="7"/>
      <c r="B928" s="7"/>
      <c r="D928" s="7"/>
      <c r="E928" s="7"/>
      <c r="F928" s="7"/>
    </row>
    <row r="929">
      <c r="A929" s="7"/>
      <c r="B929" s="7"/>
      <c r="D929" s="7"/>
      <c r="E929" s="7"/>
      <c r="F929" s="7"/>
    </row>
    <row r="930">
      <c r="A930" s="7"/>
      <c r="B930" s="7"/>
      <c r="D930" s="7"/>
      <c r="E930" s="7"/>
      <c r="F930" s="7"/>
    </row>
    <row r="931">
      <c r="A931" s="7"/>
      <c r="B931" s="7"/>
      <c r="D931" s="7"/>
      <c r="E931" s="7"/>
      <c r="F931" s="7"/>
    </row>
    <row r="932">
      <c r="A932" s="7"/>
      <c r="B932" s="7"/>
      <c r="D932" s="7"/>
      <c r="E932" s="7"/>
      <c r="F932" s="7"/>
    </row>
    <row r="933">
      <c r="A933" s="7"/>
      <c r="B933" s="7"/>
      <c r="D933" s="7"/>
      <c r="E933" s="7"/>
      <c r="F933" s="7"/>
    </row>
    <row r="934">
      <c r="A934" s="7"/>
      <c r="B934" s="7"/>
      <c r="D934" s="7"/>
      <c r="E934" s="7"/>
      <c r="F934" s="7"/>
    </row>
    <row r="935">
      <c r="A935" s="7"/>
      <c r="B935" s="7"/>
      <c r="D935" s="7"/>
      <c r="E935" s="7"/>
      <c r="F935" s="7"/>
    </row>
    <row r="936">
      <c r="A936" s="7"/>
      <c r="B936" s="7"/>
      <c r="D936" s="7"/>
      <c r="E936" s="7"/>
      <c r="F936" s="7"/>
    </row>
    <row r="937">
      <c r="A937" s="7"/>
      <c r="B937" s="7"/>
      <c r="D937" s="7"/>
      <c r="E937" s="7"/>
      <c r="F937" s="7"/>
    </row>
    <row r="938">
      <c r="A938" s="7"/>
      <c r="B938" s="7"/>
      <c r="D938" s="7"/>
      <c r="E938" s="7"/>
      <c r="F938" s="7"/>
    </row>
    <row r="939">
      <c r="A939" s="7"/>
      <c r="B939" s="7"/>
      <c r="D939" s="7"/>
      <c r="E939" s="7"/>
      <c r="F939" s="7"/>
    </row>
    <row r="940">
      <c r="A940" s="7"/>
      <c r="B940" s="7"/>
      <c r="D940" s="7"/>
      <c r="E940" s="7"/>
      <c r="F940" s="7"/>
    </row>
    <row r="941">
      <c r="A941" s="7"/>
      <c r="B941" s="7"/>
      <c r="D941" s="7"/>
      <c r="E941" s="7"/>
      <c r="F941" s="7"/>
    </row>
    <row r="942">
      <c r="A942" s="7"/>
      <c r="B942" s="7"/>
      <c r="D942" s="7"/>
      <c r="E942" s="7"/>
      <c r="F942" s="7"/>
    </row>
    <row r="943">
      <c r="A943" s="7"/>
      <c r="B943" s="7"/>
      <c r="D943" s="7"/>
      <c r="E943" s="7"/>
      <c r="F943" s="7"/>
    </row>
    <row r="944">
      <c r="A944" s="7"/>
      <c r="B944" s="7"/>
      <c r="D944" s="7"/>
      <c r="E944" s="7"/>
      <c r="F944" s="7"/>
    </row>
    <row r="945">
      <c r="A945" s="7"/>
      <c r="B945" s="7"/>
      <c r="D945" s="7"/>
      <c r="E945" s="7"/>
      <c r="F945" s="7"/>
    </row>
    <row r="946">
      <c r="A946" s="7"/>
      <c r="B946" s="7"/>
      <c r="D946" s="7"/>
      <c r="E946" s="7"/>
      <c r="F946" s="7"/>
    </row>
    <row r="947">
      <c r="A947" s="7"/>
      <c r="B947" s="7"/>
      <c r="D947" s="7"/>
      <c r="E947" s="7"/>
      <c r="F947" s="7"/>
    </row>
    <row r="948">
      <c r="A948" s="7"/>
      <c r="B948" s="7"/>
      <c r="D948" s="7"/>
      <c r="E948" s="7"/>
      <c r="F948" s="7"/>
    </row>
    <row r="949">
      <c r="A949" s="7"/>
      <c r="B949" s="7"/>
      <c r="D949" s="7"/>
      <c r="E949" s="7"/>
      <c r="F949" s="7"/>
    </row>
    <row r="950">
      <c r="A950" s="7"/>
      <c r="B950" s="7"/>
      <c r="D950" s="7"/>
      <c r="E950" s="7"/>
      <c r="F950" s="7"/>
    </row>
    <row r="951">
      <c r="A951" s="7"/>
      <c r="B951" s="7"/>
      <c r="D951" s="7"/>
      <c r="E951" s="7"/>
      <c r="F951" s="7"/>
    </row>
    <row r="952">
      <c r="A952" s="7"/>
      <c r="B952" s="7"/>
      <c r="D952" s="7"/>
      <c r="E952" s="7"/>
      <c r="F952" s="7"/>
    </row>
    <row r="953">
      <c r="A953" s="7"/>
      <c r="B953" s="7"/>
      <c r="D953" s="7"/>
      <c r="E953" s="7"/>
      <c r="F953" s="7"/>
    </row>
    <row r="954">
      <c r="A954" s="7"/>
      <c r="B954" s="7"/>
      <c r="D954" s="7"/>
      <c r="E954" s="7"/>
      <c r="F954" s="7"/>
    </row>
    <row r="955">
      <c r="A955" s="7"/>
      <c r="B955" s="7"/>
      <c r="D955" s="7"/>
      <c r="E955" s="7"/>
      <c r="F955" s="7"/>
    </row>
    <row r="956">
      <c r="A956" s="7"/>
      <c r="B956" s="7"/>
      <c r="D956" s="7"/>
      <c r="E956" s="7"/>
      <c r="F956" s="7"/>
    </row>
    <row r="957">
      <c r="A957" s="7"/>
      <c r="B957" s="7"/>
      <c r="D957" s="7"/>
      <c r="E957" s="7"/>
      <c r="F957" s="7"/>
    </row>
    <row r="958">
      <c r="A958" s="7"/>
      <c r="B958" s="7"/>
      <c r="D958" s="7"/>
      <c r="E958" s="7"/>
      <c r="F958" s="7"/>
    </row>
    <row r="959">
      <c r="A959" s="7"/>
      <c r="B959" s="7"/>
      <c r="D959" s="7"/>
      <c r="E959" s="7"/>
      <c r="F959" s="7"/>
    </row>
    <row r="960">
      <c r="A960" s="7"/>
      <c r="B960" s="7"/>
      <c r="D960" s="7"/>
      <c r="E960" s="7"/>
      <c r="F960" s="7"/>
    </row>
    <row r="961">
      <c r="A961" s="7"/>
      <c r="B961" s="7"/>
      <c r="D961" s="7"/>
      <c r="E961" s="7"/>
      <c r="F961" s="7"/>
    </row>
    <row r="962">
      <c r="A962" s="7"/>
      <c r="B962" s="7"/>
      <c r="D962" s="7"/>
      <c r="E962" s="7"/>
      <c r="F962" s="7"/>
    </row>
    <row r="963">
      <c r="A963" s="7"/>
      <c r="B963" s="7"/>
      <c r="D963" s="7"/>
      <c r="E963" s="7"/>
      <c r="F963" s="7"/>
    </row>
    <row r="964">
      <c r="A964" s="7"/>
      <c r="B964" s="7"/>
      <c r="D964" s="7"/>
      <c r="E964" s="7"/>
      <c r="F964" s="7"/>
    </row>
    <row r="965">
      <c r="A965" s="7"/>
      <c r="B965" s="7"/>
      <c r="D965" s="7"/>
      <c r="E965" s="7"/>
      <c r="F965" s="7"/>
    </row>
    <row r="966">
      <c r="A966" s="7"/>
      <c r="B966" s="7"/>
      <c r="D966" s="7"/>
      <c r="E966" s="7"/>
      <c r="F966" s="7"/>
    </row>
    <row r="967">
      <c r="A967" s="7"/>
      <c r="B967" s="7"/>
      <c r="D967" s="7"/>
      <c r="E967" s="7"/>
      <c r="F967" s="7"/>
    </row>
    <row r="968">
      <c r="A968" s="7"/>
      <c r="B968" s="7"/>
      <c r="D968" s="7"/>
      <c r="E968" s="7"/>
      <c r="F968" s="7"/>
    </row>
    <row r="969">
      <c r="A969" s="7"/>
      <c r="B969" s="7"/>
      <c r="D969" s="7"/>
      <c r="E969" s="7"/>
      <c r="F969" s="7"/>
    </row>
    <row r="970">
      <c r="A970" s="7"/>
      <c r="B970" s="7"/>
      <c r="D970" s="7"/>
      <c r="E970" s="7"/>
      <c r="F970" s="7"/>
    </row>
    <row r="971">
      <c r="A971" s="7"/>
      <c r="B971" s="7"/>
      <c r="D971" s="7"/>
      <c r="E971" s="7"/>
      <c r="F971" s="7"/>
    </row>
    <row r="972">
      <c r="A972" s="7"/>
      <c r="B972" s="7"/>
      <c r="D972" s="7"/>
      <c r="E972" s="7"/>
      <c r="F972" s="7"/>
    </row>
    <row r="973">
      <c r="A973" s="7"/>
      <c r="B973" s="7"/>
      <c r="D973" s="7"/>
      <c r="E973" s="7"/>
      <c r="F973" s="7"/>
    </row>
    <row r="974">
      <c r="A974" s="7"/>
      <c r="B974" s="7"/>
      <c r="D974" s="7"/>
      <c r="E974" s="7"/>
      <c r="F974" s="7"/>
    </row>
    <row r="975">
      <c r="A975" s="7"/>
      <c r="B975" s="7"/>
      <c r="D975" s="7"/>
      <c r="E975" s="7"/>
      <c r="F975" s="7"/>
    </row>
    <row r="976">
      <c r="A976" s="7"/>
      <c r="B976" s="7"/>
      <c r="D976" s="7"/>
      <c r="E976" s="7"/>
      <c r="F976" s="7"/>
    </row>
    <row r="977">
      <c r="A977" s="7"/>
      <c r="B977" s="7"/>
      <c r="D977" s="7"/>
      <c r="E977" s="7"/>
      <c r="F977" s="7"/>
    </row>
    <row r="978">
      <c r="A978" s="7"/>
      <c r="B978" s="7"/>
      <c r="D978" s="7"/>
      <c r="E978" s="7"/>
      <c r="F978" s="7"/>
    </row>
    <row r="979">
      <c r="A979" s="7"/>
      <c r="B979" s="7"/>
      <c r="D979" s="7"/>
      <c r="E979" s="7"/>
      <c r="F979" s="7"/>
    </row>
    <row r="980">
      <c r="A980" s="7"/>
      <c r="B980" s="7"/>
      <c r="D980" s="7"/>
      <c r="E980" s="7"/>
      <c r="F980" s="7"/>
    </row>
    <row r="981">
      <c r="A981" s="7"/>
      <c r="B981" s="7"/>
      <c r="D981" s="7"/>
      <c r="E981" s="7"/>
      <c r="F981" s="7"/>
    </row>
    <row r="982">
      <c r="A982" s="7"/>
      <c r="B982" s="7"/>
      <c r="D982" s="7"/>
      <c r="E982" s="7"/>
      <c r="F982" s="7"/>
    </row>
    <row r="983">
      <c r="A983" s="7"/>
      <c r="B983" s="7"/>
      <c r="D983" s="7"/>
      <c r="E983" s="7"/>
      <c r="F983" s="7"/>
    </row>
    <row r="984">
      <c r="A984" s="7"/>
      <c r="B984" s="7"/>
      <c r="D984" s="7"/>
      <c r="E984" s="7"/>
      <c r="F984" s="7"/>
    </row>
    <row r="985">
      <c r="A985" s="7"/>
      <c r="B985" s="7"/>
      <c r="D985" s="7"/>
      <c r="E985" s="7"/>
      <c r="F985" s="7"/>
    </row>
    <row r="986">
      <c r="A986" s="7"/>
      <c r="B986" s="7"/>
      <c r="D986" s="7"/>
      <c r="E986" s="7"/>
      <c r="F986" s="7"/>
    </row>
    <row r="987">
      <c r="A987" s="7"/>
      <c r="B987" s="7"/>
      <c r="D987" s="7"/>
      <c r="E987" s="7"/>
      <c r="F987" s="7"/>
    </row>
    <row r="988">
      <c r="A988" s="7"/>
      <c r="B988" s="7"/>
      <c r="D988" s="7"/>
      <c r="E988" s="7"/>
      <c r="F988" s="7"/>
    </row>
    <row r="989">
      <c r="A989" s="7"/>
      <c r="B989" s="7"/>
      <c r="D989" s="7"/>
      <c r="E989" s="7"/>
      <c r="F989" s="7"/>
    </row>
    <row r="990">
      <c r="A990" s="7"/>
      <c r="B990" s="7"/>
      <c r="D990" s="7"/>
      <c r="E990" s="7"/>
      <c r="F990" s="7"/>
    </row>
    <row r="991">
      <c r="A991" s="7"/>
      <c r="B991" s="7"/>
      <c r="D991" s="7"/>
      <c r="E991" s="7"/>
      <c r="F991" s="7"/>
    </row>
    <row r="992">
      <c r="A992" s="7"/>
      <c r="B992" s="7"/>
      <c r="D992" s="7"/>
      <c r="E992" s="7"/>
      <c r="F992" s="7"/>
    </row>
    <row r="993">
      <c r="A993" s="7"/>
      <c r="B993" s="7"/>
      <c r="D993" s="7"/>
      <c r="E993" s="7"/>
      <c r="F993" s="7"/>
    </row>
    <row r="994">
      <c r="A994" s="7"/>
      <c r="B994" s="7"/>
      <c r="D994" s="7"/>
      <c r="E994" s="7"/>
      <c r="F994" s="7"/>
    </row>
    <row r="995">
      <c r="A995" s="7"/>
      <c r="B995" s="7"/>
      <c r="D995" s="7"/>
      <c r="E995" s="7"/>
      <c r="F995" s="7"/>
    </row>
    <row r="996">
      <c r="A996" s="7"/>
      <c r="B996" s="7"/>
      <c r="D996" s="7"/>
      <c r="E996" s="7"/>
      <c r="F996" s="7"/>
    </row>
    <row r="997">
      <c r="A997" s="7"/>
      <c r="B997" s="7"/>
      <c r="D997" s="7"/>
      <c r="E997" s="7"/>
      <c r="F997" s="7"/>
    </row>
    <row r="998">
      <c r="A998" s="7"/>
      <c r="B998" s="7"/>
      <c r="D998" s="7"/>
      <c r="E998" s="7"/>
      <c r="F998" s="7"/>
    </row>
    <row r="999">
      <c r="A999" s="7"/>
      <c r="B999" s="7"/>
      <c r="D999" s="7"/>
      <c r="E999" s="7"/>
      <c r="F999" s="7"/>
    </row>
    <row r="1000">
      <c r="A1000" s="7"/>
      <c r="B1000" s="7"/>
      <c r="D1000" s="7"/>
      <c r="E1000" s="7"/>
      <c r="F1000" s="7"/>
    </row>
    <row r="1001">
      <c r="A1001" s="7"/>
      <c r="B1001" s="7"/>
      <c r="D1001" s="7"/>
      <c r="E1001" s="7"/>
      <c r="F1001" s="7"/>
    </row>
    <row r="1002">
      <c r="A1002" s="7"/>
      <c r="B1002" s="7"/>
      <c r="D1002" s="7"/>
      <c r="E1002" s="7"/>
      <c r="F1002" s="7"/>
    </row>
    <row r="1003">
      <c r="A1003" s="7"/>
      <c r="B1003" s="7"/>
      <c r="D1003" s="7"/>
      <c r="E1003" s="7"/>
      <c r="F1003" s="7"/>
    </row>
    <row r="1004">
      <c r="A1004" s="7"/>
      <c r="B1004" s="7"/>
      <c r="D1004" s="7"/>
      <c r="E1004" s="7"/>
      <c r="F1004"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2.63" defaultRowHeight="15.0"/>
  <cols>
    <col customWidth="1" min="1" max="1" width="3.75"/>
    <col customWidth="1" min="2" max="2" width="5.63"/>
    <col customWidth="1" min="3" max="3" width="5.5"/>
    <col customWidth="1" min="4" max="4" width="11.63"/>
    <col customWidth="1" min="5" max="5" width="3.13"/>
    <col customWidth="1" min="6" max="6" width="43.5"/>
    <col customWidth="1" min="7" max="7" width="17.88"/>
    <col customWidth="1" min="8" max="8" width="12.5"/>
    <col customWidth="1" min="9" max="10" width="7.38"/>
    <col customWidth="1" min="11" max="11" width="6.5"/>
    <col customWidth="1" min="12" max="12" width="8.5"/>
    <col customWidth="1" min="13" max="13" width="5.38"/>
    <col customWidth="1" min="14" max="14" width="4.75"/>
    <col customWidth="1" min="15" max="16" width="7.38"/>
    <col customWidth="1" min="17" max="17" width="18.25"/>
    <col customWidth="1" min="18" max="18" width="5.75"/>
    <col customWidth="1" min="19" max="19" width="5.63"/>
    <col customWidth="1" min="20" max="21" width="6.63"/>
    <col customWidth="1" min="22" max="22" width="6.0"/>
    <col customWidth="1" min="23" max="23" width="6.63"/>
    <col customWidth="1" min="24" max="24" width="7.38"/>
    <col customWidth="1" min="25" max="25" width="21.63"/>
    <col customWidth="1" min="26" max="28" width="31.88"/>
  </cols>
  <sheetData>
    <row r="1" ht="45.0" customHeight="1">
      <c r="A1" s="1" t="s">
        <v>0</v>
      </c>
      <c r="B1" s="8" t="str">
        <f>HYPERLINK("#rangeid=2086300674","Content Owner")</f>
        <v>Content Owner</v>
      </c>
      <c r="C1" s="10" t="str">
        <f>HYPERLINK("#rangeid=632369931","Video Owner")</f>
        <v>Video Owner</v>
      </c>
      <c r="D1" s="11" t="s">
        <v>4</v>
      </c>
      <c r="E1" s="12" t="s">
        <v>5</v>
      </c>
      <c r="F1" s="13" t="s">
        <v>6</v>
      </c>
      <c r="G1" s="1" t="s">
        <v>7</v>
      </c>
      <c r="H1" s="15" t="s">
        <v>8</v>
      </c>
      <c r="I1" s="17" t="s">
        <v>11</v>
      </c>
      <c r="J1" s="1" t="s">
        <v>15</v>
      </c>
      <c r="K1" s="19" t="s">
        <v>16</v>
      </c>
      <c r="L1" s="1" t="s">
        <v>22</v>
      </c>
      <c r="M1" s="25" t="s">
        <v>23</v>
      </c>
      <c r="N1" s="25" t="s">
        <v>25</v>
      </c>
      <c r="O1" s="1" t="s">
        <v>26</v>
      </c>
      <c r="P1" s="1" t="s">
        <v>27</v>
      </c>
      <c r="Q1" s="1" t="s">
        <v>28</v>
      </c>
      <c r="R1" s="23" t="s">
        <v>29</v>
      </c>
      <c r="S1" s="23" t="s">
        <v>31</v>
      </c>
      <c r="T1" s="23" t="s">
        <v>32</v>
      </c>
      <c r="U1" s="26" t="s">
        <v>33</v>
      </c>
      <c r="V1" s="29" t="s">
        <v>35</v>
      </c>
      <c r="W1" s="31" t="str">
        <f>HYPERLINK("#rangeid=120001109","Replay")</f>
        <v>Replay</v>
      </c>
      <c r="X1" s="33" t="s">
        <v>38</v>
      </c>
      <c r="Y1" s="34" t="s">
        <v>39</v>
      </c>
      <c r="Z1" s="36" t="s">
        <v>40</v>
      </c>
      <c r="AA1" s="37"/>
      <c r="AB1" s="37"/>
    </row>
    <row r="2">
      <c r="A2" s="38">
        <v>1.0</v>
      </c>
      <c r="B2" s="42" t="s">
        <v>49</v>
      </c>
      <c r="C2" s="44"/>
      <c r="D2" s="39" t="s">
        <v>55</v>
      </c>
      <c r="E2" s="38" t="s">
        <v>56</v>
      </c>
      <c r="F2" s="41" t="s">
        <v>57</v>
      </c>
      <c r="G2" s="43"/>
      <c r="H2" s="45"/>
      <c r="I2" s="38"/>
      <c r="J2" s="38">
        <f>7*1000</f>
        <v>7000</v>
      </c>
      <c r="K2" s="46">
        <v>0.00962962962962963</v>
      </c>
      <c r="L2" s="47" t="s">
        <v>60</v>
      </c>
      <c r="M2" s="48"/>
      <c r="N2" s="48"/>
      <c r="O2" s="48">
        <f t="shared" ref="O2:O758" si="1">N2-M2</f>
        <v>0</v>
      </c>
      <c r="P2" s="49">
        <v>42989.0</v>
      </c>
      <c r="Q2" s="12" t="str">
        <f t="shared" ref="Q2:Q758" si="2">HYPERLINK(IF(INT(A2)-A2=0,"",REPLACE(INDIRECT("MasterList!e"&amp;INT(A2)+1),25,8,"embed/")&amp;"?start="&amp;HOUR(M2)*3600+MINUTE(M2)*60+SECOND(M2)&amp;"&amp;end="&amp;HOUR(N2)*3600+MINUTE(N2)*60+SECOND(N2)&amp;"&amp;autoplay=1"))</f>
        <v/>
      </c>
      <c r="R2" s="42"/>
      <c r="S2" s="42"/>
      <c r="T2" s="42"/>
      <c r="U2" s="51"/>
      <c r="V2" s="52"/>
      <c r="W2" s="55"/>
      <c r="X2" s="57"/>
      <c r="Y2" s="38"/>
      <c r="Z2" s="38"/>
      <c r="AA2" s="38"/>
      <c r="AB2" s="38"/>
    </row>
    <row r="3">
      <c r="A3" s="38">
        <v>2.0</v>
      </c>
      <c r="B3" s="42" t="s">
        <v>49</v>
      </c>
      <c r="C3" s="44"/>
      <c r="D3" s="39" t="s">
        <v>55</v>
      </c>
      <c r="E3" s="38" t="s">
        <v>63</v>
      </c>
      <c r="F3" s="41" t="s">
        <v>64</v>
      </c>
      <c r="G3" s="43"/>
      <c r="H3" s="45"/>
      <c r="I3" s="38"/>
      <c r="J3" s="38">
        <f>4*1000</f>
        <v>4000</v>
      </c>
      <c r="K3" s="46">
        <v>0.010289351851851852</v>
      </c>
      <c r="L3" s="47" t="s">
        <v>60</v>
      </c>
      <c r="M3" s="48"/>
      <c r="N3" s="48"/>
      <c r="O3" s="48">
        <f t="shared" si="1"/>
        <v>0</v>
      </c>
      <c r="P3" s="49">
        <v>42989.0</v>
      </c>
      <c r="Q3" s="12" t="str">
        <f t="shared" si="2"/>
        <v/>
      </c>
      <c r="R3" s="42"/>
      <c r="S3" s="42"/>
      <c r="T3" s="42"/>
      <c r="U3" s="51"/>
      <c r="V3" s="52"/>
      <c r="W3" s="55"/>
      <c r="X3" s="57"/>
      <c r="Y3" s="38"/>
      <c r="Z3" s="38"/>
      <c r="AA3" s="38"/>
      <c r="AB3" s="38"/>
    </row>
    <row r="4">
      <c r="A4" s="38">
        <v>3.0</v>
      </c>
      <c r="B4" s="42" t="s">
        <v>49</v>
      </c>
      <c r="C4" s="44"/>
      <c r="D4" s="39" t="s">
        <v>55</v>
      </c>
      <c r="E4" s="38" t="s">
        <v>67</v>
      </c>
      <c r="F4" s="41" t="s">
        <v>68</v>
      </c>
      <c r="G4" s="43"/>
      <c r="H4" s="45"/>
      <c r="I4" s="38"/>
      <c r="J4" s="38">
        <f>826</f>
        <v>826</v>
      </c>
      <c r="K4" s="46">
        <v>0.0021643518518518518</v>
      </c>
      <c r="L4" s="47" t="s">
        <v>60</v>
      </c>
      <c r="M4" s="48"/>
      <c r="N4" s="48"/>
      <c r="O4" s="48">
        <f t="shared" si="1"/>
        <v>0</v>
      </c>
      <c r="P4" s="49">
        <v>42990.0</v>
      </c>
      <c r="Q4" s="12" t="str">
        <f t="shared" si="2"/>
        <v/>
      </c>
      <c r="R4" s="42"/>
      <c r="S4" s="42"/>
      <c r="T4" s="42"/>
      <c r="U4" s="51"/>
      <c r="V4" s="52"/>
      <c r="W4" s="55"/>
      <c r="X4" s="57"/>
      <c r="Y4" s="38"/>
      <c r="Z4" s="38"/>
      <c r="AA4" s="38"/>
      <c r="AB4" s="38"/>
    </row>
    <row r="5">
      <c r="A5" s="38">
        <v>4.0</v>
      </c>
      <c r="B5" s="42" t="s">
        <v>49</v>
      </c>
      <c r="C5" s="44"/>
      <c r="D5" s="39" t="s">
        <v>55</v>
      </c>
      <c r="E5" s="38" t="s">
        <v>72</v>
      </c>
      <c r="F5" s="41" t="s">
        <v>73</v>
      </c>
      <c r="G5" s="43"/>
      <c r="H5" s="45"/>
      <c r="I5" s="38"/>
      <c r="J5" s="38">
        <f>10*1000</f>
        <v>10000</v>
      </c>
      <c r="K5" s="46">
        <v>9.722222222222221E-4</v>
      </c>
      <c r="L5" s="47" t="s">
        <v>60</v>
      </c>
      <c r="M5" s="48"/>
      <c r="N5" s="48"/>
      <c r="O5" s="48">
        <f t="shared" si="1"/>
        <v>0</v>
      </c>
      <c r="P5" s="49">
        <v>42990.0</v>
      </c>
      <c r="Q5" s="12" t="str">
        <f t="shared" si="2"/>
        <v/>
      </c>
      <c r="R5" s="42"/>
      <c r="S5" s="42"/>
      <c r="T5" s="42"/>
      <c r="U5" s="51"/>
      <c r="V5" s="52"/>
      <c r="W5" s="55"/>
      <c r="X5" s="57"/>
      <c r="Y5" s="38"/>
      <c r="Z5" s="38"/>
      <c r="AA5" s="38"/>
      <c r="AB5" s="38"/>
    </row>
    <row r="6">
      <c r="A6" s="38">
        <v>5.0</v>
      </c>
      <c r="B6" s="42" t="s">
        <v>49</v>
      </c>
      <c r="C6" s="44"/>
      <c r="D6" s="39" t="s">
        <v>55</v>
      </c>
      <c r="E6" s="38" t="s">
        <v>77</v>
      </c>
      <c r="F6" s="41" t="s">
        <v>78</v>
      </c>
      <c r="G6" s="43"/>
      <c r="H6" s="45"/>
      <c r="I6" s="38"/>
      <c r="J6" s="38">
        <f>749</f>
        <v>749</v>
      </c>
      <c r="K6" s="46">
        <v>4.050925925925926E-4</v>
      </c>
      <c r="L6" s="47" t="s">
        <v>60</v>
      </c>
      <c r="M6" s="48"/>
      <c r="N6" s="48"/>
      <c r="O6" s="48">
        <f t="shared" si="1"/>
        <v>0</v>
      </c>
      <c r="P6" s="49">
        <v>42990.0</v>
      </c>
      <c r="Q6" s="12" t="str">
        <f t="shared" si="2"/>
        <v/>
      </c>
      <c r="R6" s="42"/>
      <c r="S6" s="42"/>
      <c r="T6" s="42"/>
      <c r="U6" s="51"/>
      <c r="V6" s="52"/>
      <c r="W6" s="55"/>
      <c r="X6" s="57"/>
      <c r="Y6" s="38"/>
      <c r="Z6" s="38"/>
      <c r="AA6" s="38"/>
      <c r="AB6" s="38"/>
    </row>
    <row r="7">
      <c r="A7" s="38">
        <v>6.0</v>
      </c>
      <c r="B7" s="42" t="s">
        <v>49</v>
      </c>
      <c r="C7" s="44"/>
      <c r="D7" s="39" t="s">
        <v>55</v>
      </c>
      <c r="E7" s="38" t="s">
        <v>80</v>
      </c>
      <c r="F7" s="41" t="s">
        <v>81</v>
      </c>
      <c r="G7" s="59"/>
      <c r="H7" s="45"/>
      <c r="I7" s="38"/>
      <c r="J7" s="38">
        <f>1.7*1000</f>
        <v>1700</v>
      </c>
      <c r="K7" s="46">
        <v>0.003993055555555556</v>
      </c>
      <c r="L7" s="47" t="s">
        <v>60</v>
      </c>
      <c r="M7" s="48"/>
      <c r="N7" s="48"/>
      <c r="O7" s="48">
        <f t="shared" si="1"/>
        <v>0</v>
      </c>
      <c r="P7" s="49">
        <v>42990.0</v>
      </c>
      <c r="Q7" s="12" t="str">
        <f t="shared" si="2"/>
        <v/>
      </c>
      <c r="R7" s="42"/>
      <c r="S7" s="42"/>
      <c r="T7" s="42"/>
      <c r="U7" s="51"/>
      <c r="V7" s="52"/>
      <c r="W7" s="55"/>
      <c r="X7" s="57"/>
      <c r="Y7" s="38"/>
      <c r="Z7" s="38"/>
      <c r="AA7" s="38"/>
      <c r="AB7" s="38"/>
    </row>
    <row r="8">
      <c r="A8" s="38">
        <v>7.0</v>
      </c>
      <c r="B8" s="42" t="s">
        <v>49</v>
      </c>
      <c r="C8" s="44"/>
      <c r="D8" s="39" t="s">
        <v>55</v>
      </c>
      <c r="E8" s="38" t="s">
        <v>84</v>
      </c>
      <c r="F8" s="41" t="s">
        <v>85</v>
      </c>
      <c r="G8" s="43"/>
      <c r="H8" s="45"/>
      <c r="I8" s="38"/>
      <c r="J8" s="38">
        <f>5.1*1000</f>
        <v>5100</v>
      </c>
      <c r="K8" s="46">
        <v>0.003368055555555555</v>
      </c>
      <c r="L8" s="47" t="s">
        <v>60</v>
      </c>
      <c r="M8" s="48"/>
      <c r="N8" s="48"/>
      <c r="O8" s="48">
        <f t="shared" si="1"/>
        <v>0</v>
      </c>
      <c r="P8" s="49">
        <v>42990.0</v>
      </c>
      <c r="Q8" s="12" t="str">
        <f t="shared" si="2"/>
        <v/>
      </c>
      <c r="R8" s="42"/>
      <c r="S8" s="42"/>
      <c r="T8" s="42"/>
      <c r="U8" s="51"/>
      <c r="V8" s="52"/>
      <c r="W8" s="55"/>
      <c r="X8" s="57"/>
      <c r="Y8" s="38"/>
      <c r="Z8" s="38"/>
      <c r="AA8" s="38"/>
      <c r="AB8" s="38"/>
    </row>
    <row r="9">
      <c r="A9" s="38">
        <v>8.0</v>
      </c>
      <c r="B9" s="42" t="s">
        <v>49</v>
      </c>
      <c r="C9" s="44"/>
      <c r="D9" s="39" t="s">
        <v>55</v>
      </c>
      <c r="E9" s="38" t="s">
        <v>87</v>
      </c>
      <c r="F9" s="41" t="s">
        <v>88</v>
      </c>
      <c r="G9" s="43"/>
      <c r="H9" s="45"/>
      <c r="I9" s="38"/>
      <c r="J9" s="38">
        <f>1.9*1000</f>
        <v>1900</v>
      </c>
      <c r="K9" s="46">
        <v>0.01037037037037037</v>
      </c>
      <c r="L9" s="47" t="s">
        <v>60</v>
      </c>
      <c r="M9" s="48"/>
      <c r="N9" s="48"/>
      <c r="O9" s="48">
        <f t="shared" si="1"/>
        <v>0</v>
      </c>
      <c r="P9" s="49">
        <v>42990.0</v>
      </c>
      <c r="Q9" s="12" t="str">
        <f t="shared" si="2"/>
        <v/>
      </c>
      <c r="R9" s="42"/>
      <c r="S9" s="42"/>
      <c r="T9" s="42"/>
      <c r="U9" s="51"/>
      <c r="V9" s="52"/>
      <c r="W9" s="55"/>
      <c r="X9" s="57"/>
      <c r="Y9" s="38"/>
      <c r="Z9" s="38"/>
      <c r="AA9" s="38"/>
      <c r="AB9" s="38"/>
    </row>
    <row r="10">
      <c r="A10" s="38">
        <v>9.0</v>
      </c>
      <c r="B10" s="42" t="s">
        <v>49</v>
      </c>
      <c r="C10" s="44"/>
      <c r="D10" s="39" t="s">
        <v>55</v>
      </c>
      <c r="E10" s="38" t="s">
        <v>94</v>
      </c>
      <c r="F10" s="41" t="s">
        <v>95</v>
      </c>
      <c r="G10" s="43"/>
      <c r="H10" s="45"/>
      <c r="I10" s="38"/>
      <c r="J10" s="38">
        <f>1.7*1000</f>
        <v>1700</v>
      </c>
      <c r="K10" s="46">
        <v>0.003472222222222222</v>
      </c>
      <c r="L10" s="47" t="s">
        <v>60</v>
      </c>
      <c r="M10" s="48"/>
      <c r="N10" s="48"/>
      <c r="O10" s="48">
        <f t="shared" si="1"/>
        <v>0</v>
      </c>
      <c r="P10" s="49">
        <v>42990.0</v>
      </c>
      <c r="Q10" s="12" t="str">
        <f t="shared" si="2"/>
        <v/>
      </c>
      <c r="R10" s="42"/>
      <c r="S10" s="42"/>
      <c r="T10" s="42"/>
      <c r="U10" s="51"/>
      <c r="V10" s="52"/>
      <c r="W10" s="55"/>
      <c r="X10" s="57"/>
      <c r="Y10" s="38"/>
      <c r="Z10" s="38"/>
      <c r="AA10" s="38"/>
      <c r="AB10" s="38"/>
    </row>
    <row r="11">
      <c r="A11" s="38">
        <v>10.0</v>
      </c>
      <c r="B11" s="42" t="s">
        <v>49</v>
      </c>
      <c r="C11" s="44"/>
      <c r="D11" s="39" t="s">
        <v>55</v>
      </c>
      <c r="E11" s="38" t="s">
        <v>99</v>
      </c>
      <c r="F11" s="41" t="s">
        <v>100</v>
      </c>
      <c r="G11" s="43"/>
      <c r="H11" s="45"/>
      <c r="I11" s="38"/>
      <c r="J11" s="38">
        <f>490</f>
        <v>490</v>
      </c>
      <c r="K11" s="46">
        <v>0.0030324074074074073</v>
      </c>
      <c r="L11" s="47" t="s">
        <v>60</v>
      </c>
      <c r="M11" s="48"/>
      <c r="N11" s="48"/>
      <c r="O11" s="48">
        <f t="shared" si="1"/>
        <v>0</v>
      </c>
      <c r="P11" s="49">
        <v>42990.0</v>
      </c>
      <c r="Q11" s="12" t="str">
        <f t="shared" si="2"/>
        <v/>
      </c>
      <c r="R11" s="42"/>
      <c r="S11" s="42"/>
      <c r="T11" s="42"/>
      <c r="U11" s="51"/>
      <c r="V11" s="52"/>
      <c r="W11" s="55"/>
      <c r="X11" s="57"/>
      <c r="Y11" s="38"/>
      <c r="Z11" s="38"/>
      <c r="AA11" s="38"/>
      <c r="AB11" s="38"/>
    </row>
    <row r="12">
      <c r="A12" s="38">
        <v>11.0</v>
      </c>
      <c r="B12" s="42" t="s">
        <v>49</v>
      </c>
      <c r="C12" s="44"/>
      <c r="D12" s="39" t="s">
        <v>55</v>
      </c>
      <c r="E12" s="38" t="s">
        <v>104</v>
      </c>
      <c r="F12" s="41" t="s">
        <v>105</v>
      </c>
      <c r="G12" s="43"/>
      <c r="H12" s="45"/>
      <c r="I12" s="38"/>
      <c r="J12" s="38">
        <f>551</f>
        <v>551</v>
      </c>
      <c r="K12" s="46">
        <v>0.0024189814814814816</v>
      </c>
      <c r="L12" s="47" t="s">
        <v>60</v>
      </c>
      <c r="M12" s="48"/>
      <c r="N12" s="48"/>
      <c r="O12" s="48">
        <f t="shared" si="1"/>
        <v>0</v>
      </c>
      <c r="P12" s="49">
        <v>42991.0</v>
      </c>
      <c r="Q12" s="12" t="str">
        <f t="shared" si="2"/>
        <v/>
      </c>
      <c r="R12" s="42"/>
      <c r="S12" s="42"/>
      <c r="T12" s="42"/>
      <c r="U12" s="51"/>
      <c r="V12" s="52"/>
      <c r="W12" s="55"/>
      <c r="X12" s="57"/>
      <c r="Y12" s="38"/>
      <c r="Z12" s="38"/>
      <c r="AA12" s="38"/>
      <c r="AB12" s="38"/>
    </row>
    <row r="13">
      <c r="A13" s="38">
        <v>12.0</v>
      </c>
      <c r="B13" s="42" t="s">
        <v>49</v>
      </c>
      <c r="C13" s="44"/>
      <c r="D13" s="39" t="s">
        <v>55</v>
      </c>
      <c r="E13" s="38" t="s">
        <v>111</v>
      </c>
      <c r="F13" s="41" t="s">
        <v>112</v>
      </c>
      <c r="G13" s="45"/>
      <c r="H13" s="43"/>
      <c r="I13" s="43"/>
      <c r="J13" s="43">
        <v>384.0</v>
      </c>
      <c r="K13" s="46">
        <v>0.0022222222222222222</v>
      </c>
      <c r="L13" s="47" t="s">
        <v>60</v>
      </c>
      <c r="M13" s="48"/>
      <c r="N13" s="48"/>
      <c r="O13" s="48">
        <f t="shared" si="1"/>
        <v>0</v>
      </c>
      <c r="P13" s="49">
        <v>42991.0</v>
      </c>
      <c r="Q13" s="12" t="str">
        <f t="shared" si="2"/>
        <v/>
      </c>
      <c r="R13" s="42"/>
      <c r="S13" s="42"/>
      <c r="T13" s="42"/>
      <c r="U13" s="51"/>
      <c r="V13" s="52"/>
      <c r="W13" s="55"/>
      <c r="X13" s="57"/>
      <c r="Y13" s="38"/>
      <c r="Z13" s="38"/>
      <c r="AA13" s="38"/>
      <c r="AB13" s="38"/>
    </row>
    <row r="14">
      <c r="A14" s="38">
        <v>13.0</v>
      </c>
      <c r="B14" s="42" t="s">
        <v>49</v>
      </c>
      <c r="C14" s="44"/>
      <c r="D14" s="39" t="s">
        <v>55</v>
      </c>
      <c r="E14" s="38" t="s">
        <v>114</v>
      </c>
      <c r="F14" s="41" t="s">
        <v>115</v>
      </c>
      <c r="G14" s="38"/>
      <c r="H14" s="45"/>
      <c r="I14" s="38"/>
      <c r="J14" s="38">
        <f>1.5*1000</f>
        <v>1500</v>
      </c>
      <c r="K14" s="46">
        <v>0.003530092592592592</v>
      </c>
      <c r="L14" s="47" t="s">
        <v>60</v>
      </c>
      <c r="M14" s="48"/>
      <c r="N14" s="48"/>
      <c r="O14" s="48">
        <f t="shared" si="1"/>
        <v>0</v>
      </c>
      <c r="P14" s="49">
        <v>42991.0</v>
      </c>
      <c r="Q14" s="12" t="str">
        <f t="shared" si="2"/>
        <v/>
      </c>
      <c r="R14" s="42"/>
      <c r="S14" s="42"/>
      <c r="T14" s="42"/>
      <c r="U14" s="51"/>
      <c r="V14" s="52"/>
      <c r="W14" s="55"/>
      <c r="X14" s="57"/>
      <c r="Y14" s="38"/>
      <c r="Z14" s="38"/>
      <c r="AA14" s="38"/>
      <c r="AB14" s="38"/>
    </row>
    <row r="15">
      <c r="A15" s="38">
        <v>14.0</v>
      </c>
      <c r="B15" s="42" t="s">
        <v>49</v>
      </c>
      <c r="C15" s="44"/>
      <c r="D15" s="39" t="s">
        <v>55</v>
      </c>
      <c r="E15" s="38" t="s">
        <v>122</v>
      </c>
      <c r="F15" s="41" t="s">
        <v>123</v>
      </c>
      <c r="G15" s="43"/>
      <c r="H15" s="45"/>
      <c r="I15" s="38"/>
      <c r="J15" s="38">
        <f>595</f>
        <v>595</v>
      </c>
      <c r="K15" s="46">
        <v>0.004074074074074075</v>
      </c>
      <c r="L15" s="47" t="s">
        <v>60</v>
      </c>
      <c r="M15" s="48"/>
      <c r="N15" s="48"/>
      <c r="O15" s="48">
        <f t="shared" si="1"/>
        <v>0</v>
      </c>
      <c r="P15" s="49">
        <v>42991.0</v>
      </c>
      <c r="Q15" s="12" t="str">
        <f t="shared" si="2"/>
        <v/>
      </c>
      <c r="R15" s="42"/>
      <c r="S15" s="42"/>
      <c r="T15" s="42"/>
      <c r="U15" s="51"/>
      <c r="V15" s="52"/>
      <c r="W15" s="55"/>
      <c r="X15" s="57"/>
      <c r="Y15" s="38"/>
      <c r="Z15" s="38"/>
      <c r="AA15" s="38"/>
      <c r="AB15" s="38"/>
    </row>
    <row r="16">
      <c r="A16" s="38">
        <v>15.0</v>
      </c>
      <c r="B16" s="42" t="s">
        <v>49</v>
      </c>
      <c r="C16" s="44"/>
      <c r="D16" s="39" t="s">
        <v>55</v>
      </c>
      <c r="E16" s="38" t="s">
        <v>128</v>
      </c>
      <c r="F16" s="41" t="s">
        <v>129</v>
      </c>
      <c r="G16" s="43"/>
      <c r="H16" s="45"/>
      <c r="I16" s="38"/>
      <c r="J16" s="38">
        <f>477</f>
        <v>477</v>
      </c>
      <c r="K16" s="46">
        <v>0.002673611111111111</v>
      </c>
      <c r="L16" s="47" t="s">
        <v>60</v>
      </c>
      <c r="M16" s="48"/>
      <c r="N16" s="48"/>
      <c r="O16" s="48">
        <f t="shared" si="1"/>
        <v>0</v>
      </c>
      <c r="P16" s="49">
        <v>42991.0</v>
      </c>
      <c r="Q16" s="12" t="str">
        <f t="shared" si="2"/>
        <v/>
      </c>
      <c r="R16" s="42"/>
      <c r="S16" s="42"/>
      <c r="T16" s="42"/>
      <c r="U16" s="51"/>
      <c r="V16" s="52"/>
      <c r="W16" s="55"/>
      <c r="X16" s="57"/>
      <c r="Y16" s="38"/>
      <c r="Z16" s="38"/>
      <c r="AA16" s="38"/>
      <c r="AB16" s="38"/>
    </row>
    <row r="17">
      <c r="A17" s="38">
        <v>16.0</v>
      </c>
      <c r="B17" s="42" t="s">
        <v>49</v>
      </c>
      <c r="C17" s="44"/>
      <c r="D17" s="39" t="s">
        <v>55</v>
      </c>
      <c r="E17" s="38" t="s">
        <v>133</v>
      </c>
      <c r="F17" s="41" t="s">
        <v>134</v>
      </c>
      <c r="G17" s="43"/>
      <c r="H17" s="45"/>
      <c r="I17" s="38"/>
      <c r="J17" s="38">
        <f>506</f>
        <v>506</v>
      </c>
      <c r="K17" s="46">
        <v>0.005717592592592593</v>
      </c>
      <c r="L17" s="47" t="s">
        <v>60</v>
      </c>
      <c r="M17" s="48"/>
      <c r="N17" s="48"/>
      <c r="O17" s="48">
        <f t="shared" si="1"/>
        <v>0</v>
      </c>
      <c r="P17" s="49">
        <v>42991.0</v>
      </c>
      <c r="Q17" s="12" t="str">
        <f t="shared" si="2"/>
        <v/>
      </c>
      <c r="R17" s="42"/>
      <c r="S17" s="42"/>
      <c r="T17" s="42"/>
      <c r="U17" s="51"/>
      <c r="V17" s="52"/>
      <c r="W17" s="55"/>
      <c r="X17" s="57"/>
      <c r="Y17" s="38"/>
      <c r="Z17" s="38"/>
      <c r="AA17" s="38"/>
      <c r="AB17" s="38"/>
    </row>
    <row r="18">
      <c r="A18" s="38">
        <v>17.0</v>
      </c>
      <c r="B18" s="63" t="s">
        <v>142</v>
      </c>
      <c r="C18" s="44"/>
      <c r="D18" s="39" t="s">
        <v>145</v>
      </c>
      <c r="E18" s="38" t="s">
        <v>146</v>
      </c>
      <c r="F18" s="41" t="s">
        <v>148</v>
      </c>
      <c r="G18" s="43"/>
      <c r="H18" s="45"/>
      <c r="I18" s="38"/>
      <c r="J18" s="38">
        <f>343</f>
        <v>343</v>
      </c>
      <c r="K18" s="46">
        <v>0.002743055555555556</v>
      </c>
      <c r="L18" s="47" t="s">
        <v>60</v>
      </c>
      <c r="M18" s="48"/>
      <c r="N18" s="48"/>
      <c r="O18" s="48">
        <f t="shared" si="1"/>
        <v>0</v>
      </c>
      <c r="P18" s="49"/>
      <c r="Q18" s="12" t="str">
        <f t="shared" si="2"/>
        <v/>
      </c>
      <c r="R18" s="42"/>
      <c r="S18" s="42"/>
      <c r="T18" s="42"/>
      <c r="U18" s="51"/>
      <c r="V18" s="52"/>
      <c r="W18" s="55"/>
      <c r="X18" s="57"/>
      <c r="Y18" s="38"/>
      <c r="Z18" s="38"/>
      <c r="AA18" s="38"/>
      <c r="AB18" s="38"/>
    </row>
    <row r="19">
      <c r="A19" s="38">
        <v>18.0</v>
      </c>
      <c r="B19" s="42"/>
      <c r="C19" s="44"/>
      <c r="D19" s="39"/>
      <c r="E19" s="38" t="s">
        <v>150</v>
      </c>
      <c r="F19" s="41" t="s">
        <v>151</v>
      </c>
      <c r="G19" s="43"/>
      <c r="H19" s="45"/>
      <c r="I19" s="38"/>
      <c r="J19" s="38">
        <f>1*1000</f>
        <v>1000</v>
      </c>
      <c r="K19" s="46">
        <v>0.0024652777777777776</v>
      </c>
      <c r="L19" s="47" t="s">
        <v>60</v>
      </c>
      <c r="M19" s="48"/>
      <c r="N19" s="48"/>
      <c r="O19" s="48">
        <f t="shared" si="1"/>
        <v>0</v>
      </c>
      <c r="P19" s="49"/>
      <c r="Q19" s="12" t="str">
        <f t="shared" si="2"/>
        <v/>
      </c>
      <c r="R19" s="42"/>
      <c r="S19" s="42"/>
      <c r="T19" s="42"/>
      <c r="U19" s="51"/>
      <c r="V19" s="52"/>
      <c r="W19" s="55"/>
      <c r="X19" s="57"/>
      <c r="Y19" s="38"/>
      <c r="Z19" s="38"/>
      <c r="AA19" s="38"/>
      <c r="AB19" s="38"/>
    </row>
    <row r="20">
      <c r="A20" s="38">
        <v>19.0</v>
      </c>
      <c r="B20" s="63" t="s">
        <v>142</v>
      </c>
      <c r="C20" s="44"/>
      <c r="D20" s="39" t="s">
        <v>145</v>
      </c>
      <c r="E20" s="38" t="s">
        <v>156</v>
      </c>
      <c r="F20" s="41" t="s">
        <v>157</v>
      </c>
      <c r="G20" s="43"/>
      <c r="H20" s="45"/>
      <c r="I20" s="38"/>
      <c r="J20" s="38">
        <f>378</f>
        <v>378</v>
      </c>
      <c r="K20" s="46">
        <v>0.0011226851851851851</v>
      </c>
      <c r="L20" s="47" t="s">
        <v>60</v>
      </c>
      <c r="M20" s="48"/>
      <c r="N20" s="48"/>
      <c r="O20" s="48">
        <f t="shared" si="1"/>
        <v>0</v>
      </c>
      <c r="P20" s="49"/>
      <c r="Q20" s="12" t="str">
        <f t="shared" si="2"/>
        <v/>
      </c>
      <c r="R20" s="42"/>
      <c r="S20" s="42"/>
      <c r="T20" s="42"/>
      <c r="U20" s="51"/>
      <c r="V20" s="52"/>
      <c r="W20" s="55"/>
      <c r="X20" s="57"/>
      <c r="Y20" s="38"/>
      <c r="Z20" s="38"/>
      <c r="AA20" s="38"/>
      <c r="AB20" s="38"/>
    </row>
    <row r="21">
      <c r="A21" s="38">
        <v>20.0</v>
      </c>
      <c r="B21" s="42" t="s">
        <v>107</v>
      </c>
      <c r="C21" s="44"/>
      <c r="D21" s="39" t="s">
        <v>55</v>
      </c>
      <c r="E21" s="38" t="s">
        <v>108</v>
      </c>
      <c r="F21" s="41" t="s">
        <v>109</v>
      </c>
      <c r="G21" s="43"/>
      <c r="H21" s="45"/>
      <c r="I21" s="38"/>
      <c r="J21" s="38">
        <f>8.5*1000</f>
        <v>8500</v>
      </c>
      <c r="K21" s="46">
        <v>0.0071874999999999994</v>
      </c>
      <c r="L21" s="47" t="s">
        <v>60</v>
      </c>
      <c r="M21" s="48"/>
      <c r="N21" s="48"/>
      <c r="O21" s="48">
        <f t="shared" si="1"/>
        <v>0</v>
      </c>
      <c r="P21" s="66">
        <v>42990.0</v>
      </c>
      <c r="Q21" s="12" t="str">
        <f t="shared" si="2"/>
        <v/>
      </c>
      <c r="R21" s="67"/>
      <c r="S21" s="67"/>
      <c r="T21" s="67"/>
      <c r="U21" s="51"/>
      <c r="V21" s="52"/>
      <c r="W21" s="55"/>
      <c r="X21" s="57"/>
      <c r="Y21" s="39"/>
      <c r="Z21" s="39"/>
      <c r="AA21" s="39"/>
      <c r="AB21" s="39"/>
    </row>
    <row r="22">
      <c r="A22" s="38">
        <v>21.0</v>
      </c>
      <c r="B22" s="42"/>
      <c r="C22" s="51"/>
      <c r="D22" s="38"/>
      <c r="E22" s="38" t="s">
        <v>172</v>
      </c>
      <c r="F22" s="41" t="s">
        <v>173</v>
      </c>
      <c r="G22" s="43"/>
      <c r="H22" s="45"/>
      <c r="I22" s="38"/>
      <c r="J22" s="38">
        <f>3.2*1000</f>
        <v>3200</v>
      </c>
      <c r="K22" s="46">
        <v>0.0013078703703703705</v>
      </c>
      <c r="L22" s="47" t="s">
        <v>60</v>
      </c>
      <c r="M22" s="48"/>
      <c r="N22" s="48"/>
      <c r="O22" s="48">
        <f t="shared" si="1"/>
        <v>0</v>
      </c>
      <c r="P22" s="38"/>
      <c r="Q22" s="12" t="str">
        <f t="shared" si="2"/>
        <v/>
      </c>
      <c r="R22" s="42"/>
      <c r="S22" s="42"/>
      <c r="T22" s="42"/>
      <c r="U22" s="51"/>
      <c r="V22" s="52"/>
      <c r="W22" s="55"/>
      <c r="X22" s="57"/>
      <c r="Y22" s="38"/>
      <c r="Z22" s="38"/>
      <c r="AA22" s="38"/>
      <c r="AB22" s="38"/>
    </row>
    <row r="23">
      <c r="A23" s="38">
        <v>22.0</v>
      </c>
      <c r="B23" s="42" t="s">
        <v>107</v>
      </c>
      <c r="C23" s="44"/>
      <c r="D23" s="39" t="s">
        <v>55</v>
      </c>
      <c r="E23" s="38" t="s">
        <v>137</v>
      </c>
      <c r="F23" s="41" t="s">
        <v>138</v>
      </c>
      <c r="G23" s="43"/>
      <c r="H23" s="45"/>
      <c r="I23" s="38"/>
      <c r="J23" s="38">
        <f>4.9*1000</f>
        <v>4900</v>
      </c>
      <c r="K23" s="46">
        <v>0.009293981481481481</v>
      </c>
      <c r="L23" s="47" t="s">
        <v>60</v>
      </c>
      <c r="M23" s="48"/>
      <c r="N23" s="48"/>
      <c r="O23" s="48">
        <f t="shared" si="1"/>
        <v>0</v>
      </c>
      <c r="P23" s="66">
        <v>42990.0</v>
      </c>
      <c r="Q23" s="12" t="str">
        <f t="shared" si="2"/>
        <v/>
      </c>
      <c r="R23" s="67"/>
      <c r="S23" s="67"/>
      <c r="T23" s="67"/>
      <c r="U23" s="51"/>
      <c r="V23" s="52"/>
      <c r="W23" s="55"/>
      <c r="X23" s="57"/>
      <c r="Y23" s="38"/>
      <c r="Z23" s="38"/>
      <c r="AA23" s="38"/>
      <c r="AB23" s="38"/>
    </row>
    <row r="24">
      <c r="A24" s="38">
        <v>23.0</v>
      </c>
      <c r="B24" s="42" t="s">
        <v>107</v>
      </c>
      <c r="C24" s="44"/>
      <c r="D24" s="39" t="s">
        <v>55</v>
      </c>
      <c r="E24" s="38" t="s">
        <v>176</v>
      </c>
      <c r="F24" s="41" t="s">
        <v>177</v>
      </c>
      <c r="G24" s="43"/>
      <c r="H24" s="45"/>
      <c r="I24" s="38"/>
      <c r="J24" s="38">
        <f>3.6*1000</f>
        <v>3600</v>
      </c>
      <c r="K24" s="46">
        <v>0.007476851851851853</v>
      </c>
      <c r="L24" s="47" t="s">
        <v>60</v>
      </c>
      <c r="M24" s="48"/>
      <c r="N24" s="48"/>
      <c r="O24" s="48">
        <f t="shared" si="1"/>
        <v>0</v>
      </c>
      <c r="P24" s="66">
        <v>42991.0</v>
      </c>
      <c r="Q24" s="12" t="str">
        <f t="shared" si="2"/>
        <v/>
      </c>
      <c r="R24" s="67"/>
      <c r="S24" s="67"/>
      <c r="T24" s="67"/>
      <c r="U24" s="51"/>
      <c r="V24" s="52"/>
      <c r="W24" s="55"/>
      <c r="X24" s="57"/>
      <c r="Y24" s="38"/>
      <c r="Z24" s="38"/>
      <c r="AA24" s="38"/>
      <c r="AB24" s="38"/>
    </row>
    <row r="25">
      <c r="A25" s="38">
        <v>24.0</v>
      </c>
      <c r="B25" s="63" t="s">
        <v>107</v>
      </c>
      <c r="C25" s="44"/>
      <c r="D25" s="39" t="s">
        <v>55</v>
      </c>
      <c r="E25" s="38" t="s">
        <v>188</v>
      </c>
      <c r="F25" s="41" t="s">
        <v>189</v>
      </c>
      <c r="G25" s="43"/>
      <c r="H25" s="45"/>
      <c r="I25" s="38"/>
      <c r="J25" s="38">
        <f>2.4*1000</f>
        <v>2400</v>
      </c>
      <c r="K25" s="46">
        <v>0.008252314814814815</v>
      </c>
      <c r="L25" s="47" t="s">
        <v>60</v>
      </c>
      <c r="M25" s="48"/>
      <c r="N25" s="48"/>
      <c r="O25" s="48">
        <f t="shared" si="1"/>
        <v>0</v>
      </c>
      <c r="P25" s="66">
        <v>43008.0</v>
      </c>
      <c r="Q25" s="12" t="str">
        <f t="shared" si="2"/>
        <v/>
      </c>
      <c r="R25" s="63"/>
      <c r="S25" s="63"/>
      <c r="T25" s="63"/>
      <c r="U25" s="51"/>
      <c r="V25" s="52"/>
      <c r="W25" s="55"/>
      <c r="X25" s="69"/>
      <c r="Y25" s="38"/>
      <c r="Z25" s="38"/>
      <c r="AA25" s="38"/>
      <c r="AB25" s="38"/>
    </row>
    <row r="26">
      <c r="A26" s="38">
        <v>25.0</v>
      </c>
      <c r="B26" s="63" t="s">
        <v>107</v>
      </c>
      <c r="C26" s="44"/>
      <c r="D26" s="39" t="s">
        <v>55</v>
      </c>
      <c r="E26" s="38" t="s">
        <v>196</v>
      </c>
      <c r="F26" s="41" t="s">
        <v>197</v>
      </c>
      <c r="G26" s="43"/>
      <c r="H26" s="45"/>
      <c r="I26" s="38"/>
      <c r="J26" s="38">
        <f>2.1*1000</f>
        <v>2100</v>
      </c>
      <c r="K26" s="46">
        <v>0.009618055555555555</v>
      </c>
      <c r="L26" s="47" t="s">
        <v>60</v>
      </c>
      <c r="M26" s="48"/>
      <c r="N26" s="48"/>
      <c r="O26" s="48">
        <f t="shared" si="1"/>
        <v>0</v>
      </c>
      <c r="P26" s="66">
        <v>43008.0</v>
      </c>
      <c r="Q26" s="12" t="str">
        <f t="shared" si="2"/>
        <v/>
      </c>
      <c r="R26" s="63"/>
      <c r="S26" s="63"/>
      <c r="T26" s="63"/>
      <c r="U26" s="51"/>
      <c r="V26" s="52"/>
      <c r="W26" s="55"/>
      <c r="X26" s="69"/>
      <c r="Y26" s="38"/>
      <c r="Z26" s="38"/>
      <c r="AA26" s="38"/>
      <c r="AB26" s="38"/>
    </row>
    <row r="27">
      <c r="A27" s="38">
        <v>26.0</v>
      </c>
      <c r="B27" s="42" t="s">
        <v>107</v>
      </c>
      <c r="C27" s="44"/>
      <c r="D27" s="39" t="s">
        <v>55</v>
      </c>
      <c r="E27" s="38" t="s">
        <v>194</v>
      </c>
      <c r="F27" s="41" t="s">
        <v>195</v>
      </c>
      <c r="G27" s="43"/>
      <c r="H27" s="45"/>
      <c r="I27" s="38"/>
      <c r="J27" s="38">
        <f>14*1000</f>
        <v>14000</v>
      </c>
      <c r="K27" s="46">
        <v>0.007488425925925926</v>
      </c>
      <c r="L27" s="47" t="s">
        <v>60</v>
      </c>
      <c r="M27" s="48"/>
      <c r="N27" s="48"/>
      <c r="O27" s="48">
        <f t="shared" si="1"/>
        <v>0</v>
      </c>
      <c r="P27" s="66">
        <v>42991.0</v>
      </c>
      <c r="Q27" s="12" t="str">
        <f t="shared" si="2"/>
        <v/>
      </c>
      <c r="R27" s="67"/>
      <c r="S27" s="67"/>
      <c r="T27" s="67"/>
      <c r="U27" s="51"/>
      <c r="V27" s="52"/>
      <c r="W27" s="55"/>
      <c r="X27" s="57"/>
      <c r="Y27" s="38"/>
      <c r="Z27" s="38"/>
      <c r="AA27" s="38"/>
      <c r="AB27" s="38"/>
    </row>
    <row r="28">
      <c r="A28" s="38">
        <v>27.0</v>
      </c>
      <c r="B28" s="42" t="s">
        <v>107</v>
      </c>
      <c r="C28" s="44"/>
      <c r="D28" s="39" t="s">
        <v>55</v>
      </c>
      <c r="E28" s="38" t="s">
        <v>209</v>
      </c>
      <c r="F28" s="41" t="s">
        <v>210</v>
      </c>
      <c r="G28" s="43"/>
      <c r="H28" s="45"/>
      <c r="I28" s="38"/>
      <c r="J28" s="38">
        <f>15*1000</f>
        <v>15000</v>
      </c>
      <c r="K28" s="46">
        <v>0.0032407407407407406</v>
      </c>
      <c r="L28" s="47" t="s">
        <v>60</v>
      </c>
      <c r="M28" s="48"/>
      <c r="N28" s="48"/>
      <c r="O28" s="48">
        <f t="shared" si="1"/>
        <v>0</v>
      </c>
      <c r="P28" s="38"/>
      <c r="Q28" s="12" t="str">
        <f t="shared" si="2"/>
        <v/>
      </c>
      <c r="R28" s="42"/>
      <c r="S28" s="42"/>
      <c r="T28" s="42"/>
      <c r="U28" s="51"/>
      <c r="V28" s="52"/>
      <c r="W28" s="55"/>
      <c r="X28" s="57"/>
      <c r="Y28" s="59"/>
      <c r="Z28" s="59"/>
      <c r="AA28" s="59"/>
      <c r="AB28" s="59"/>
    </row>
    <row r="29">
      <c r="A29" s="38">
        <v>28.0</v>
      </c>
      <c r="B29" s="42" t="s">
        <v>107</v>
      </c>
      <c r="C29" s="44"/>
      <c r="D29" s="39" t="s">
        <v>55</v>
      </c>
      <c r="E29" s="38" t="s">
        <v>215</v>
      </c>
      <c r="F29" s="41" t="s">
        <v>216</v>
      </c>
      <c r="G29" s="43"/>
      <c r="H29" s="45"/>
      <c r="I29" s="38"/>
      <c r="J29" s="38">
        <f>9.3*1000</f>
        <v>9300</v>
      </c>
      <c r="K29" s="46">
        <v>0.00806712962962963</v>
      </c>
      <c r="L29" s="47" t="s">
        <v>60</v>
      </c>
      <c r="M29" s="48"/>
      <c r="N29" s="48"/>
      <c r="O29" s="48">
        <f t="shared" si="1"/>
        <v>0</v>
      </c>
      <c r="P29" s="66">
        <v>42991.0</v>
      </c>
      <c r="Q29" s="12" t="str">
        <f t="shared" si="2"/>
        <v/>
      </c>
      <c r="R29" s="67"/>
      <c r="S29" s="67"/>
      <c r="T29" s="67"/>
      <c r="U29" s="51"/>
      <c r="V29" s="52"/>
      <c r="W29" s="55"/>
      <c r="X29" s="57"/>
      <c r="Y29" s="38"/>
      <c r="Z29" s="38"/>
      <c r="AA29" s="38"/>
      <c r="AB29" s="38"/>
    </row>
    <row r="30">
      <c r="A30" s="38">
        <v>29.0</v>
      </c>
      <c r="B30" s="42" t="s">
        <v>107</v>
      </c>
      <c r="C30" s="44"/>
      <c r="D30" s="39" t="s">
        <v>55</v>
      </c>
      <c r="E30" s="38" t="s">
        <v>217</v>
      </c>
      <c r="F30" s="41" t="s">
        <v>218</v>
      </c>
      <c r="G30" s="43"/>
      <c r="H30" s="45"/>
      <c r="I30" s="38"/>
      <c r="J30" s="38">
        <f>35*1000</f>
        <v>35000</v>
      </c>
      <c r="K30" s="46">
        <v>0.007685185185185185</v>
      </c>
      <c r="L30" s="47" t="s">
        <v>60</v>
      </c>
      <c r="M30" s="48"/>
      <c r="N30" s="48"/>
      <c r="O30" s="48">
        <f t="shared" si="1"/>
        <v>0</v>
      </c>
      <c r="P30" s="66">
        <v>42992.0</v>
      </c>
      <c r="Q30" s="12" t="str">
        <f t="shared" si="2"/>
        <v/>
      </c>
      <c r="R30" s="67"/>
      <c r="S30" s="67"/>
      <c r="T30" s="67"/>
      <c r="U30" s="51"/>
      <c r="V30" s="52"/>
      <c r="W30" s="55"/>
      <c r="X30" s="57"/>
      <c r="Y30" s="38"/>
      <c r="Z30" s="38"/>
      <c r="AA30" s="38"/>
      <c r="AB30" s="38"/>
    </row>
    <row r="31">
      <c r="A31" s="38">
        <v>30.0</v>
      </c>
      <c r="B31" s="63" t="s">
        <v>142</v>
      </c>
      <c r="C31" s="51"/>
      <c r="D31" s="39" t="s">
        <v>145</v>
      </c>
      <c r="E31" s="38" t="s">
        <v>224</v>
      </c>
      <c r="F31" s="41" t="s">
        <v>225</v>
      </c>
      <c r="G31" s="43"/>
      <c r="H31" s="45"/>
      <c r="I31" s="38"/>
      <c r="J31" s="38">
        <f>6.9*1000</f>
        <v>6900</v>
      </c>
      <c r="K31" s="46">
        <v>0.005208333333333333</v>
      </c>
      <c r="L31" s="47" t="s">
        <v>60</v>
      </c>
      <c r="M31" s="48"/>
      <c r="N31" s="48"/>
      <c r="O31" s="48">
        <f t="shared" si="1"/>
        <v>0</v>
      </c>
      <c r="P31" s="38"/>
      <c r="Q31" s="12" t="str">
        <f t="shared" si="2"/>
        <v/>
      </c>
      <c r="R31" s="42"/>
      <c r="S31" s="42"/>
      <c r="T31" s="42"/>
      <c r="U31" s="51"/>
      <c r="V31" s="52"/>
      <c r="W31" s="55"/>
      <c r="X31" s="57"/>
      <c r="Y31" s="38"/>
      <c r="Z31" s="38"/>
      <c r="AA31" s="38"/>
      <c r="AB31" s="38"/>
    </row>
    <row r="32">
      <c r="A32" s="38">
        <v>31.0</v>
      </c>
      <c r="B32" s="42"/>
      <c r="C32" s="51"/>
      <c r="D32" s="38"/>
      <c r="E32" s="38" t="s">
        <v>229</v>
      </c>
      <c r="F32" s="41" t="s">
        <v>230</v>
      </c>
      <c r="G32" s="43"/>
      <c r="H32" s="45"/>
      <c r="I32" s="38"/>
      <c r="J32" s="38">
        <f>645</f>
        <v>645</v>
      </c>
      <c r="K32" s="46">
        <v>0.004861111111111111</v>
      </c>
      <c r="L32" s="47" t="s">
        <v>60</v>
      </c>
      <c r="M32" s="48"/>
      <c r="N32" s="48"/>
      <c r="O32" s="48">
        <f t="shared" si="1"/>
        <v>0</v>
      </c>
      <c r="P32" s="38"/>
      <c r="Q32" s="12" t="str">
        <f t="shared" si="2"/>
        <v/>
      </c>
      <c r="R32" s="42"/>
      <c r="S32" s="42"/>
      <c r="T32" s="42"/>
      <c r="U32" s="51"/>
      <c r="V32" s="52"/>
      <c r="W32" s="55"/>
      <c r="X32" s="57"/>
      <c r="Y32" s="38"/>
      <c r="Z32" s="38"/>
      <c r="AA32" s="38"/>
      <c r="AB32" s="38"/>
    </row>
    <row r="33">
      <c r="A33" s="38">
        <v>32.0</v>
      </c>
      <c r="B33" s="63" t="s">
        <v>142</v>
      </c>
      <c r="C33" s="51"/>
      <c r="D33" s="39" t="s">
        <v>145</v>
      </c>
      <c r="E33" s="38" t="s">
        <v>232</v>
      </c>
      <c r="F33" s="41" t="s">
        <v>233</v>
      </c>
      <c r="G33" s="43"/>
      <c r="H33" s="45"/>
      <c r="I33" s="38"/>
      <c r="J33" s="38">
        <f>282</f>
        <v>282</v>
      </c>
      <c r="K33" s="46">
        <v>0.0012037037037037038</v>
      </c>
      <c r="L33" s="47" t="s">
        <v>60</v>
      </c>
      <c r="M33" s="48"/>
      <c r="N33" s="48"/>
      <c r="O33" s="48">
        <f t="shared" si="1"/>
        <v>0</v>
      </c>
      <c r="P33" s="38"/>
      <c r="Q33" s="12" t="str">
        <f t="shared" si="2"/>
        <v/>
      </c>
      <c r="R33" s="42"/>
      <c r="S33" s="42"/>
      <c r="T33" s="42"/>
      <c r="U33" s="51"/>
      <c r="V33" s="52"/>
      <c r="W33" s="55"/>
      <c r="X33" s="57"/>
      <c r="Y33" s="38"/>
      <c r="Z33" s="38"/>
      <c r="AA33" s="38"/>
      <c r="AB33" s="38"/>
    </row>
    <row r="34">
      <c r="A34" s="38">
        <v>33.0</v>
      </c>
      <c r="B34" s="63" t="s">
        <v>107</v>
      </c>
      <c r="C34" s="44"/>
      <c r="D34" s="39" t="s">
        <v>55</v>
      </c>
      <c r="E34" s="38" t="s">
        <v>239</v>
      </c>
      <c r="F34" s="41" t="s">
        <v>241</v>
      </c>
      <c r="G34" s="43"/>
      <c r="H34" s="45"/>
      <c r="I34" s="38"/>
      <c r="J34" s="38">
        <f>732</f>
        <v>732</v>
      </c>
      <c r="K34" s="46">
        <v>0.007337962962962963</v>
      </c>
      <c r="L34" s="47" t="s">
        <v>60</v>
      </c>
      <c r="M34" s="48"/>
      <c r="N34" s="48"/>
      <c r="O34" s="48">
        <f t="shared" si="1"/>
        <v>0</v>
      </c>
      <c r="P34" s="66">
        <v>43012.0</v>
      </c>
      <c r="Q34" s="12" t="str">
        <f t="shared" si="2"/>
        <v/>
      </c>
      <c r="R34" s="42"/>
      <c r="S34" s="42"/>
      <c r="T34" s="42"/>
      <c r="U34" s="51"/>
      <c r="V34" s="52"/>
      <c r="W34" s="55"/>
      <c r="X34" s="57"/>
      <c r="Y34" s="38"/>
      <c r="Z34" s="38"/>
      <c r="AA34" s="38"/>
      <c r="AB34" s="38"/>
    </row>
    <row r="35">
      <c r="A35" s="38">
        <v>34.0</v>
      </c>
      <c r="B35" s="63" t="s">
        <v>107</v>
      </c>
      <c r="C35" s="51"/>
      <c r="D35" s="39" t="s">
        <v>55</v>
      </c>
      <c r="E35" s="38" t="s">
        <v>247</v>
      </c>
      <c r="F35" s="41" t="s">
        <v>248</v>
      </c>
      <c r="G35" s="43"/>
      <c r="H35" s="45"/>
      <c r="I35" s="38"/>
      <c r="J35" s="38">
        <f>459</f>
        <v>459</v>
      </c>
      <c r="K35" s="46">
        <v>0.007638888888888889</v>
      </c>
      <c r="L35" s="47" t="s">
        <v>60</v>
      </c>
      <c r="M35" s="48"/>
      <c r="N35" s="48"/>
      <c r="O35" s="48">
        <f t="shared" si="1"/>
        <v>0</v>
      </c>
      <c r="P35" s="66">
        <v>43012.0</v>
      </c>
      <c r="Q35" s="12" t="str">
        <f t="shared" si="2"/>
        <v/>
      </c>
      <c r="R35" s="42"/>
      <c r="S35" s="42"/>
      <c r="T35" s="42"/>
      <c r="U35" s="51"/>
      <c r="V35" s="52"/>
      <c r="W35" s="55"/>
      <c r="X35" s="57"/>
      <c r="Y35" s="38"/>
      <c r="Z35" s="38"/>
      <c r="AA35" s="38"/>
      <c r="AB35" s="38"/>
    </row>
    <row r="36">
      <c r="A36" s="38">
        <v>35.0</v>
      </c>
      <c r="B36" s="63" t="s">
        <v>107</v>
      </c>
      <c r="C36" s="51"/>
      <c r="D36" s="39" t="s">
        <v>55</v>
      </c>
      <c r="E36" s="38" t="s">
        <v>253</v>
      </c>
      <c r="F36" s="41" t="s">
        <v>254</v>
      </c>
      <c r="G36" s="43"/>
      <c r="H36" s="45"/>
      <c r="I36" s="38"/>
      <c r="J36" s="38">
        <f>419</f>
        <v>419</v>
      </c>
      <c r="K36" s="46">
        <v>0.0059490740740740745</v>
      </c>
      <c r="L36" s="47" t="s">
        <v>60</v>
      </c>
      <c r="M36" s="48"/>
      <c r="N36" s="48"/>
      <c r="O36" s="48">
        <f t="shared" si="1"/>
        <v>0</v>
      </c>
      <c r="P36" s="66">
        <v>43012.0</v>
      </c>
      <c r="Q36" s="12" t="str">
        <f t="shared" si="2"/>
        <v/>
      </c>
      <c r="R36" s="42"/>
      <c r="S36" s="42"/>
      <c r="T36" s="42"/>
      <c r="U36" s="51"/>
      <c r="V36" s="52"/>
      <c r="W36" s="55"/>
      <c r="X36" s="57"/>
      <c r="Y36" s="38"/>
      <c r="Z36" s="38"/>
      <c r="AA36" s="38"/>
      <c r="AB36" s="38"/>
    </row>
    <row r="37">
      <c r="A37" s="38">
        <v>36.0</v>
      </c>
      <c r="B37" s="63" t="s">
        <v>107</v>
      </c>
      <c r="C37" s="51"/>
      <c r="D37" s="39" t="s">
        <v>55</v>
      </c>
      <c r="E37" s="38" t="s">
        <v>258</v>
      </c>
      <c r="F37" s="41" t="s">
        <v>259</v>
      </c>
      <c r="G37" s="43"/>
      <c r="H37" s="45"/>
      <c r="I37" s="38"/>
      <c r="J37" s="38">
        <f>755</f>
        <v>755</v>
      </c>
      <c r="K37" s="46">
        <v>0.008344907407407409</v>
      </c>
      <c r="L37" s="47" t="s">
        <v>60</v>
      </c>
      <c r="M37" s="48"/>
      <c r="N37" s="48"/>
      <c r="O37" s="48">
        <f t="shared" si="1"/>
        <v>0</v>
      </c>
      <c r="P37" s="66">
        <v>43013.0</v>
      </c>
      <c r="Q37" s="12" t="str">
        <f t="shared" si="2"/>
        <v/>
      </c>
      <c r="R37" s="42"/>
      <c r="S37" s="42"/>
      <c r="T37" s="42"/>
      <c r="U37" s="51"/>
      <c r="V37" s="52"/>
      <c r="W37" s="55"/>
      <c r="X37" s="57"/>
      <c r="Y37" s="38"/>
      <c r="Z37" s="38"/>
      <c r="AA37" s="38"/>
      <c r="AB37" s="38"/>
    </row>
    <row r="38">
      <c r="A38" s="38">
        <v>37.0</v>
      </c>
      <c r="B38" s="63" t="s">
        <v>107</v>
      </c>
      <c r="C38" s="51"/>
      <c r="D38" s="39" t="s">
        <v>55</v>
      </c>
      <c r="E38" s="38" t="s">
        <v>261</v>
      </c>
      <c r="F38" s="41" t="s">
        <v>262</v>
      </c>
      <c r="G38" s="43"/>
      <c r="H38" s="45"/>
      <c r="I38" s="38"/>
      <c r="J38" s="38">
        <f>773</f>
        <v>773</v>
      </c>
      <c r="K38" s="46">
        <v>0.00954861111111111</v>
      </c>
      <c r="L38" s="47" t="s">
        <v>60</v>
      </c>
      <c r="M38" s="48"/>
      <c r="N38" s="48"/>
      <c r="O38" s="48">
        <f t="shared" si="1"/>
        <v>0</v>
      </c>
      <c r="P38" s="66">
        <v>43013.0</v>
      </c>
      <c r="Q38" s="12" t="str">
        <f t="shared" si="2"/>
        <v/>
      </c>
      <c r="R38" s="42"/>
      <c r="S38" s="42"/>
      <c r="T38" s="42"/>
      <c r="U38" s="51"/>
      <c r="V38" s="52"/>
      <c r="W38" s="55"/>
      <c r="X38" s="57"/>
      <c r="Y38" s="38"/>
      <c r="Z38" s="38"/>
      <c r="AA38" s="38"/>
      <c r="AB38" s="38"/>
    </row>
    <row r="39">
      <c r="A39" s="38">
        <v>38.0</v>
      </c>
      <c r="B39" s="63" t="s">
        <v>107</v>
      </c>
      <c r="C39" s="51"/>
      <c r="D39" s="39" t="s">
        <v>71</v>
      </c>
      <c r="E39" s="38" t="s">
        <v>266</v>
      </c>
      <c r="F39" s="41" t="s">
        <v>268</v>
      </c>
      <c r="G39" s="43"/>
      <c r="H39" s="45"/>
      <c r="I39" s="38"/>
      <c r="J39" s="38">
        <f>427</f>
        <v>427</v>
      </c>
      <c r="K39" s="46">
        <v>0.003356481481481481</v>
      </c>
      <c r="L39" s="47" t="s">
        <v>60</v>
      </c>
      <c r="M39" s="48"/>
      <c r="N39" s="48"/>
      <c r="O39" s="48">
        <f t="shared" si="1"/>
        <v>0</v>
      </c>
      <c r="P39" s="66">
        <v>43013.0</v>
      </c>
      <c r="Q39" s="12" t="str">
        <f t="shared" si="2"/>
        <v/>
      </c>
      <c r="R39" s="42"/>
      <c r="S39" s="42"/>
      <c r="T39" s="42"/>
      <c r="U39" s="51"/>
      <c r="V39" s="52"/>
      <c r="W39" s="55"/>
      <c r="X39" s="57"/>
      <c r="Y39" s="38"/>
      <c r="Z39" s="38"/>
      <c r="AA39" s="38"/>
      <c r="AB39" s="38"/>
    </row>
    <row r="40">
      <c r="A40" s="38">
        <v>39.0</v>
      </c>
      <c r="B40" s="63" t="s">
        <v>274</v>
      </c>
      <c r="C40" s="44"/>
      <c r="D40" s="39" t="s">
        <v>55</v>
      </c>
      <c r="E40" s="38" t="s">
        <v>276</v>
      </c>
      <c r="F40" s="41" t="s">
        <v>277</v>
      </c>
      <c r="G40" s="43"/>
      <c r="H40" s="45"/>
      <c r="I40" s="38"/>
      <c r="J40" s="38">
        <f>5.9*1000</f>
        <v>5900</v>
      </c>
      <c r="K40" s="46">
        <v>0.006574074074074073</v>
      </c>
      <c r="L40" s="47" t="s">
        <v>60</v>
      </c>
      <c r="M40" s="48"/>
      <c r="N40" s="48"/>
      <c r="O40" s="48">
        <f t="shared" si="1"/>
        <v>0</v>
      </c>
      <c r="P40" s="66">
        <v>43015.0</v>
      </c>
      <c r="Q40" s="12" t="str">
        <f t="shared" si="2"/>
        <v/>
      </c>
      <c r="R40" s="42"/>
      <c r="S40" s="42"/>
      <c r="T40" s="42"/>
      <c r="U40" s="51"/>
      <c r="V40" s="52"/>
      <c r="W40" s="81"/>
      <c r="X40" s="57"/>
      <c r="Y40" s="38"/>
      <c r="Z40" s="38"/>
      <c r="AA40" s="38"/>
      <c r="AB40" s="38"/>
    </row>
    <row r="41">
      <c r="A41" s="38">
        <v>40.0</v>
      </c>
      <c r="B41" s="63" t="s">
        <v>274</v>
      </c>
      <c r="C41" s="51"/>
      <c r="D41" s="39" t="s">
        <v>55</v>
      </c>
      <c r="E41" s="38" t="s">
        <v>282</v>
      </c>
      <c r="F41" s="41" t="s">
        <v>283</v>
      </c>
      <c r="G41" s="43"/>
      <c r="H41" s="45"/>
      <c r="I41" s="38"/>
      <c r="J41" s="38">
        <f>3*1000</f>
        <v>3000</v>
      </c>
      <c r="K41" s="46">
        <v>0.003194444444444444</v>
      </c>
      <c r="L41" s="47" t="s">
        <v>60</v>
      </c>
      <c r="M41" s="48"/>
      <c r="N41" s="48"/>
      <c r="O41" s="48">
        <f t="shared" si="1"/>
        <v>0</v>
      </c>
      <c r="P41" s="66">
        <v>43015.0</v>
      </c>
      <c r="Q41" s="12" t="str">
        <f t="shared" si="2"/>
        <v/>
      </c>
      <c r="R41" s="42"/>
      <c r="S41" s="42"/>
      <c r="T41" s="42"/>
      <c r="U41" s="51"/>
      <c r="V41" s="52"/>
      <c r="W41" s="55"/>
      <c r="X41" s="57"/>
      <c r="Y41" s="38"/>
      <c r="Z41" s="38"/>
      <c r="AA41" s="38"/>
      <c r="AB41" s="38"/>
    </row>
    <row r="42">
      <c r="A42" s="38">
        <v>41.0</v>
      </c>
      <c r="B42" s="63" t="s">
        <v>274</v>
      </c>
      <c r="C42" s="51"/>
      <c r="D42" s="39" t="s">
        <v>55</v>
      </c>
      <c r="E42" s="38" t="s">
        <v>287</v>
      </c>
      <c r="F42" s="41" t="s">
        <v>288</v>
      </c>
      <c r="G42" s="43"/>
      <c r="H42" s="45"/>
      <c r="I42" s="38"/>
      <c r="J42" s="38">
        <f>3.3*1000</f>
        <v>3300</v>
      </c>
      <c r="K42" s="46">
        <v>0.008865740740740742</v>
      </c>
      <c r="L42" s="47" t="s">
        <v>60</v>
      </c>
      <c r="M42" s="48"/>
      <c r="N42" s="48"/>
      <c r="O42" s="48">
        <f t="shared" si="1"/>
        <v>0</v>
      </c>
      <c r="P42" s="66">
        <v>43015.0</v>
      </c>
      <c r="Q42" s="12" t="str">
        <f t="shared" si="2"/>
        <v/>
      </c>
      <c r="R42" s="42"/>
      <c r="S42" s="42"/>
      <c r="T42" s="42"/>
      <c r="U42" s="51"/>
      <c r="V42" s="52"/>
      <c r="W42" s="55"/>
      <c r="X42" s="57"/>
      <c r="Y42" s="38"/>
      <c r="Z42" s="38"/>
      <c r="AA42" s="38"/>
      <c r="AB42" s="38"/>
    </row>
    <row r="43">
      <c r="A43" s="38">
        <v>42.0</v>
      </c>
      <c r="B43" s="63" t="s">
        <v>274</v>
      </c>
      <c r="C43" s="51"/>
      <c r="D43" s="39" t="s">
        <v>55</v>
      </c>
      <c r="E43" s="38" t="s">
        <v>294</v>
      </c>
      <c r="F43" s="41" t="s">
        <v>295</v>
      </c>
      <c r="G43" s="43"/>
      <c r="H43" s="45"/>
      <c r="I43" s="38"/>
      <c r="J43" s="38">
        <f>1.7*1000</f>
        <v>1700</v>
      </c>
      <c r="K43" s="46">
        <v>0.0051967592592592595</v>
      </c>
      <c r="L43" s="47" t="s">
        <v>60</v>
      </c>
      <c r="M43" s="48"/>
      <c r="N43" s="48"/>
      <c r="O43" s="48">
        <f t="shared" si="1"/>
        <v>0</v>
      </c>
      <c r="P43" s="66">
        <v>43015.0</v>
      </c>
      <c r="Q43" s="12" t="str">
        <f t="shared" si="2"/>
        <v/>
      </c>
      <c r="R43" s="42"/>
      <c r="S43" s="42"/>
      <c r="T43" s="42"/>
      <c r="U43" s="51"/>
      <c r="V43" s="52"/>
      <c r="W43" s="55"/>
      <c r="X43" s="57"/>
      <c r="Y43" s="38"/>
      <c r="Z43" s="38"/>
      <c r="AA43" s="38"/>
      <c r="AB43" s="38"/>
    </row>
    <row r="44">
      <c r="A44" s="38">
        <v>43.0</v>
      </c>
      <c r="B44" s="63" t="s">
        <v>274</v>
      </c>
      <c r="C44" s="51"/>
      <c r="D44" s="39" t="s">
        <v>55</v>
      </c>
      <c r="E44" s="38" t="s">
        <v>299</v>
      </c>
      <c r="F44" s="41" t="s">
        <v>302</v>
      </c>
      <c r="G44" s="43"/>
      <c r="H44" s="45"/>
      <c r="I44" s="38"/>
      <c r="J44" s="38">
        <f>1*1000</f>
        <v>1000</v>
      </c>
      <c r="K44" s="46">
        <v>0.0034490740740740745</v>
      </c>
      <c r="L44" s="47" t="s">
        <v>60</v>
      </c>
      <c r="M44" s="48"/>
      <c r="N44" s="48"/>
      <c r="O44" s="48">
        <f t="shared" si="1"/>
        <v>0</v>
      </c>
      <c r="P44" s="66">
        <v>43015.0</v>
      </c>
      <c r="Q44" s="12" t="str">
        <f t="shared" si="2"/>
        <v/>
      </c>
      <c r="R44" s="42"/>
      <c r="S44" s="42"/>
      <c r="T44" s="42"/>
      <c r="U44" s="51"/>
      <c r="V44" s="52"/>
      <c r="W44" s="55"/>
      <c r="X44" s="57"/>
      <c r="Y44" s="38"/>
      <c r="Z44" s="38"/>
      <c r="AA44" s="38"/>
      <c r="AB44" s="38"/>
    </row>
    <row r="45">
      <c r="A45" s="38">
        <v>44.0</v>
      </c>
      <c r="B45" s="63" t="s">
        <v>274</v>
      </c>
      <c r="C45" s="51"/>
      <c r="D45" s="39" t="s">
        <v>55</v>
      </c>
      <c r="E45" s="38" t="s">
        <v>309</v>
      </c>
      <c r="F45" s="41" t="s">
        <v>310</v>
      </c>
      <c r="G45" s="43"/>
      <c r="H45" s="45"/>
      <c r="I45" s="38"/>
      <c r="J45" s="38">
        <f t="shared" ref="J45:J46" si="3">1.3*1000</f>
        <v>1300</v>
      </c>
      <c r="K45" s="46">
        <v>0.005324074074074075</v>
      </c>
      <c r="L45" s="47" t="s">
        <v>60</v>
      </c>
      <c r="M45" s="48"/>
      <c r="N45" s="48"/>
      <c r="O45" s="48">
        <f t="shared" si="1"/>
        <v>0</v>
      </c>
      <c r="P45" s="66">
        <v>43015.0</v>
      </c>
      <c r="Q45" s="12" t="str">
        <f t="shared" si="2"/>
        <v/>
      </c>
      <c r="R45" s="42"/>
      <c r="S45" s="42"/>
      <c r="T45" s="42"/>
      <c r="U45" s="51"/>
      <c r="V45" s="52"/>
      <c r="W45" s="55"/>
      <c r="X45" s="57"/>
      <c r="Y45" s="38"/>
      <c r="Z45" s="38"/>
      <c r="AA45" s="38"/>
      <c r="AB45" s="38"/>
    </row>
    <row r="46">
      <c r="A46" s="38">
        <v>45.0</v>
      </c>
      <c r="B46" s="63" t="s">
        <v>274</v>
      </c>
      <c r="C46" s="51"/>
      <c r="D46" s="39" t="s">
        <v>55</v>
      </c>
      <c r="E46" s="38" t="s">
        <v>318</v>
      </c>
      <c r="F46" s="41" t="s">
        <v>319</v>
      </c>
      <c r="G46" s="43"/>
      <c r="H46" s="45"/>
      <c r="I46" s="38"/>
      <c r="J46" s="38">
        <f t="shared" si="3"/>
        <v>1300</v>
      </c>
      <c r="K46" s="46">
        <v>0.008240740740740741</v>
      </c>
      <c r="L46" s="47" t="s">
        <v>60</v>
      </c>
      <c r="M46" s="48"/>
      <c r="N46" s="48"/>
      <c r="O46" s="48">
        <f t="shared" si="1"/>
        <v>0</v>
      </c>
      <c r="P46" s="66">
        <v>43015.0</v>
      </c>
      <c r="Q46" s="12" t="str">
        <f t="shared" si="2"/>
        <v/>
      </c>
      <c r="R46" s="42"/>
      <c r="S46" s="42"/>
      <c r="T46" s="42"/>
      <c r="U46" s="51"/>
      <c r="V46" s="52"/>
      <c r="W46" s="55"/>
      <c r="X46" s="57"/>
      <c r="Y46" s="38"/>
      <c r="Z46" s="38"/>
      <c r="AA46" s="38"/>
      <c r="AB46" s="38"/>
    </row>
    <row r="47">
      <c r="A47" s="38">
        <v>46.0</v>
      </c>
      <c r="B47" s="63" t="s">
        <v>274</v>
      </c>
      <c r="C47" s="51"/>
      <c r="D47" s="39" t="s">
        <v>55</v>
      </c>
      <c r="E47" s="38" t="s">
        <v>323</v>
      </c>
      <c r="F47" s="41" t="s">
        <v>324</v>
      </c>
      <c r="G47" s="43"/>
      <c r="H47" s="45"/>
      <c r="I47" s="38"/>
      <c r="J47" s="38">
        <f>940</f>
        <v>940</v>
      </c>
      <c r="K47" s="46">
        <v>0.0025925925925925925</v>
      </c>
      <c r="L47" s="47" t="s">
        <v>60</v>
      </c>
      <c r="M47" s="48"/>
      <c r="N47" s="48"/>
      <c r="O47" s="48">
        <f t="shared" si="1"/>
        <v>0</v>
      </c>
      <c r="P47" s="66">
        <v>43015.0</v>
      </c>
      <c r="Q47" s="12" t="str">
        <f t="shared" si="2"/>
        <v/>
      </c>
      <c r="R47" s="42"/>
      <c r="S47" s="42"/>
      <c r="T47" s="42"/>
      <c r="U47" s="51"/>
      <c r="V47" s="52"/>
      <c r="W47" s="55"/>
      <c r="X47" s="57"/>
      <c r="Y47" s="38"/>
      <c r="Z47" s="38"/>
      <c r="AA47" s="38"/>
      <c r="AB47" s="38"/>
    </row>
    <row r="48">
      <c r="A48" s="38">
        <v>47.0</v>
      </c>
      <c r="B48" s="63" t="s">
        <v>274</v>
      </c>
      <c r="C48" s="51"/>
      <c r="D48" s="39" t="s">
        <v>71</v>
      </c>
      <c r="E48" s="38" t="s">
        <v>328</v>
      </c>
      <c r="F48" s="41" t="s">
        <v>329</v>
      </c>
      <c r="G48" s="43"/>
      <c r="H48" s="45"/>
      <c r="I48" s="38"/>
      <c r="J48" s="38">
        <f>864</f>
        <v>864</v>
      </c>
      <c r="K48" s="46">
        <v>0.004189814814814815</v>
      </c>
      <c r="L48" s="47" t="s">
        <v>60</v>
      </c>
      <c r="M48" s="48"/>
      <c r="N48" s="48"/>
      <c r="O48" s="48">
        <f t="shared" si="1"/>
        <v>0</v>
      </c>
      <c r="P48" s="66">
        <v>43015.0</v>
      </c>
      <c r="Q48" s="12" t="str">
        <f t="shared" si="2"/>
        <v/>
      </c>
      <c r="R48" s="42"/>
      <c r="S48" s="42"/>
      <c r="T48" s="42"/>
      <c r="U48" s="51"/>
      <c r="V48" s="52"/>
      <c r="W48" s="55"/>
      <c r="X48" s="57"/>
      <c r="Y48" s="38"/>
      <c r="Z48" s="38"/>
      <c r="AA48" s="38"/>
      <c r="AB48" s="38"/>
    </row>
    <row r="49">
      <c r="A49" s="38">
        <v>48.0</v>
      </c>
      <c r="B49" s="63" t="s">
        <v>274</v>
      </c>
      <c r="C49" s="51"/>
      <c r="D49" s="39" t="s">
        <v>55</v>
      </c>
      <c r="E49" s="38" t="s">
        <v>333</v>
      </c>
      <c r="F49" s="41" t="s">
        <v>334</v>
      </c>
      <c r="G49" s="43"/>
      <c r="H49" s="45"/>
      <c r="I49" s="38"/>
      <c r="J49" s="38">
        <f>1.1*1000</f>
        <v>1100</v>
      </c>
      <c r="K49" s="46">
        <v>0.003298611111111111</v>
      </c>
      <c r="L49" s="47" t="s">
        <v>60</v>
      </c>
      <c r="M49" s="48"/>
      <c r="N49" s="48"/>
      <c r="O49" s="48">
        <f t="shared" si="1"/>
        <v>0</v>
      </c>
      <c r="P49" s="66">
        <v>43015.0</v>
      </c>
      <c r="Q49" s="12" t="str">
        <f t="shared" si="2"/>
        <v/>
      </c>
      <c r="R49" s="42"/>
      <c r="S49" s="42"/>
      <c r="T49" s="42"/>
      <c r="U49" s="51"/>
      <c r="V49" s="52"/>
      <c r="W49" s="55"/>
      <c r="X49" s="57"/>
      <c r="Y49" s="38"/>
      <c r="Z49" s="38"/>
      <c r="AA49" s="38"/>
      <c r="AB49" s="38"/>
    </row>
    <row r="50">
      <c r="A50" s="38">
        <v>49.0</v>
      </c>
      <c r="B50" s="63" t="s">
        <v>274</v>
      </c>
      <c r="C50" s="51"/>
      <c r="D50" s="39" t="s">
        <v>55</v>
      </c>
      <c r="E50" s="38" t="s">
        <v>338</v>
      </c>
      <c r="F50" s="41" t="s">
        <v>339</v>
      </c>
      <c r="G50" s="43"/>
      <c r="H50" s="45"/>
      <c r="I50" s="38"/>
      <c r="J50" s="38">
        <f>1.5*1000</f>
        <v>1500</v>
      </c>
      <c r="K50" s="46">
        <v>0.008946759259259258</v>
      </c>
      <c r="L50" s="47" t="s">
        <v>60</v>
      </c>
      <c r="M50" s="48"/>
      <c r="N50" s="48"/>
      <c r="O50" s="48">
        <f t="shared" si="1"/>
        <v>0</v>
      </c>
      <c r="P50" s="66">
        <v>43015.0</v>
      </c>
      <c r="Q50" s="12" t="str">
        <f t="shared" si="2"/>
        <v/>
      </c>
      <c r="R50" s="42"/>
      <c r="S50" s="42"/>
      <c r="T50" s="42"/>
      <c r="U50" s="51"/>
      <c r="V50" s="52"/>
      <c r="W50" s="55"/>
      <c r="X50" s="57"/>
      <c r="Y50" s="38"/>
      <c r="Z50" s="38"/>
      <c r="AA50" s="38"/>
      <c r="AB50" s="38"/>
    </row>
    <row r="51">
      <c r="A51" s="38">
        <v>50.0</v>
      </c>
      <c r="B51" s="63" t="s">
        <v>107</v>
      </c>
      <c r="C51" s="51"/>
      <c r="D51" s="39" t="s">
        <v>55</v>
      </c>
      <c r="E51" s="38" t="s">
        <v>343</v>
      </c>
      <c r="F51" s="41" t="s">
        <v>344</v>
      </c>
      <c r="G51" s="43"/>
      <c r="H51" s="45"/>
      <c r="I51" s="38"/>
      <c r="J51" s="38">
        <f>1.7*1000</f>
        <v>1700</v>
      </c>
      <c r="K51" s="46">
        <v>0.010266203703703703</v>
      </c>
      <c r="L51" s="47" t="s">
        <v>60</v>
      </c>
      <c r="M51" s="48"/>
      <c r="N51" s="48"/>
      <c r="O51" s="48">
        <f t="shared" si="1"/>
        <v>0</v>
      </c>
      <c r="P51" s="66">
        <v>43015.0</v>
      </c>
      <c r="Q51" s="12" t="str">
        <f t="shared" si="2"/>
        <v/>
      </c>
      <c r="R51" s="42"/>
      <c r="S51" s="42"/>
      <c r="T51" s="42"/>
      <c r="U51" s="51"/>
      <c r="V51" s="52"/>
      <c r="W51" s="55"/>
      <c r="X51" s="57"/>
      <c r="Y51" s="38"/>
      <c r="Z51" s="38"/>
      <c r="AA51" s="38"/>
      <c r="AB51" s="38"/>
    </row>
    <row r="52">
      <c r="A52" s="38">
        <v>51.0</v>
      </c>
      <c r="B52" s="63" t="s">
        <v>107</v>
      </c>
      <c r="C52" s="51"/>
      <c r="D52" s="39" t="s">
        <v>55</v>
      </c>
      <c r="E52" s="38" t="s">
        <v>347</v>
      </c>
      <c r="F52" s="41" t="s">
        <v>348</v>
      </c>
      <c r="G52" s="43"/>
      <c r="H52" s="45"/>
      <c r="I52" s="38"/>
      <c r="J52" s="38">
        <f>679</f>
        <v>679</v>
      </c>
      <c r="K52" s="46">
        <v>0.006087962962962964</v>
      </c>
      <c r="L52" s="47" t="s">
        <v>60</v>
      </c>
      <c r="M52" s="48"/>
      <c r="N52" s="48"/>
      <c r="O52" s="48">
        <f t="shared" si="1"/>
        <v>0</v>
      </c>
      <c r="P52" s="66">
        <v>43016.0</v>
      </c>
      <c r="Q52" s="12" t="str">
        <f t="shared" si="2"/>
        <v/>
      </c>
      <c r="R52" s="42"/>
      <c r="S52" s="42"/>
      <c r="T52" s="42"/>
      <c r="U52" s="51"/>
      <c r="V52" s="52"/>
      <c r="W52" s="55"/>
      <c r="X52" s="57"/>
      <c r="Y52" s="38"/>
      <c r="Z52" s="38"/>
      <c r="AA52" s="38"/>
      <c r="AB52" s="38"/>
    </row>
    <row r="53">
      <c r="A53" s="38">
        <v>52.0</v>
      </c>
      <c r="B53" s="63" t="s">
        <v>107</v>
      </c>
      <c r="C53" s="51"/>
      <c r="D53" s="39" t="s">
        <v>55</v>
      </c>
      <c r="E53" s="38" t="s">
        <v>353</v>
      </c>
      <c r="F53" s="41" t="s">
        <v>354</v>
      </c>
      <c r="G53" s="43"/>
      <c r="H53" s="45"/>
      <c r="I53" s="38"/>
      <c r="J53" s="38">
        <f>928</f>
        <v>928</v>
      </c>
      <c r="K53" s="46">
        <v>0.01</v>
      </c>
      <c r="L53" s="47" t="s">
        <v>60</v>
      </c>
      <c r="M53" s="48"/>
      <c r="N53" s="48"/>
      <c r="O53" s="48">
        <f t="shared" si="1"/>
        <v>0</v>
      </c>
      <c r="P53" s="66">
        <v>43016.0</v>
      </c>
      <c r="Q53" s="12" t="str">
        <f t="shared" si="2"/>
        <v/>
      </c>
      <c r="R53" s="42"/>
      <c r="S53" s="42"/>
      <c r="T53" s="42"/>
      <c r="U53" s="51"/>
      <c r="V53" s="52"/>
      <c r="W53" s="55"/>
      <c r="X53" s="57"/>
      <c r="Y53" s="38"/>
      <c r="Z53" s="38"/>
      <c r="AA53" s="38"/>
      <c r="AB53" s="38"/>
    </row>
    <row r="54">
      <c r="A54" s="38">
        <v>53.0</v>
      </c>
      <c r="B54" s="63" t="s">
        <v>107</v>
      </c>
      <c r="C54" s="51"/>
      <c r="D54" s="39" t="s">
        <v>55</v>
      </c>
      <c r="E54" s="38" t="s">
        <v>357</v>
      </c>
      <c r="F54" s="41" t="s">
        <v>358</v>
      </c>
      <c r="G54" s="43"/>
      <c r="H54" s="45"/>
      <c r="I54" s="38"/>
      <c r="J54" s="38">
        <f>961</f>
        <v>961</v>
      </c>
      <c r="K54" s="46">
        <v>0.008981481481481481</v>
      </c>
      <c r="L54" s="47" t="s">
        <v>60</v>
      </c>
      <c r="M54" s="48"/>
      <c r="N54" s="48"/>
      <c r="O54" s="48">
        <f t="shared" si="1"/>
        <v>0</v>
      </c>
      <c r="P54" s="66">
        <v>43017.0</v>
      </c>
      <c r="Q54" s="12" t="str">
        <f t="shared" si="2"/>
        <v/>
      </c>
      <c r="R54" s="42"/>
      <c r="S54" s="42"/>
      <c r="T54" s="42"/>
      <c r="U54" s="51"/>
      <c r="V54" s="52"/>
      <c r="W54" s="55"/>
      <c r="X54" s="57"/>
      <c r="Y54" s="38"/>
      <c r="Z54" s="38"/>
      <c r="AA54" s="38"/>
      <c r="AB54" s="38"/>
    </row>
    <row r="55">
      <c r="A55" s="38">
        <v>54.0</v>
      </c>
      <c r="B55" s="63" t="s">
        <v>142</v>
      </c>
      <c r="C55" s="51"/>
      <c r="D55" s="39" t="s">
        <v>145</v>
      </c>
      <c r="E55" s="38" t="s">
        <v>364</v>
      </c>
      <c r="F55" s="41" t="s">
        <v>366</v>
      </c>
      <c r="G55" s="43"/>
      <c r="H55" s="45"/>
      <c r="I55" s="38"/>
      <c r="J55" s="38">
        <f>1.3*1000</f>
        <v>1300</v>
      </c>
      <c r="K55" s="46">
        <v>0.009317129629629628</v>
      </c>
      <c r="L55" s="47" t="s">
        <v>60</v>
      </c>
      <c r="M55" s="48"/>
      <c r="N55" s="48"/>
      <c r="O55" s="48">
        <f t="shared" si="1"/>
        <v>0</v>
      </c>
      <c r="P55" s="38"/>
      <c r="Q55" s="12" t="str">
        <f t="shared" si="2"/>
        <v/>
      </c>
      <c r="R55" s="42"/>
      <c r="S55" s="42"/>
      <c r="T55" s="42"/>
      <c r="U55" s="51"/>
      <c r="V55" s="52"/>
      <c r="W55" s="55"/>
      <c r="X55" s="57"/>
      <c r="Y55" s="38"/>
      <c r="Z55" s="38"/>
      <c r="AA55" s="38"/>
      <c r="AB55" s="38"/>
    </row>
    <row r="56">
      <c r="A56" s="38">
        <v>55.0</v>
      </c>
      <c r="B56" s="63" t="s">
        <v>142</v>
      </c>
      <c r="C56" s="51"/>
      <c r="D56" s="39" t="s">
        <v>145</v>
      </c>
      <c r="E56" s="38" t="s">
        <v>369</v>
      </c>
      <c r="F56" s="41" t="s">
        <v>370</v>
      </c>
      <c r="G56" s="43"/>
      <c r="H56" s="45"/>
      <c r="I56" s="38"/>
      <c r="J56" s="38">
        <f>959</f>
        <v>959</v>
      </c>
      <c r="K56" s="46">
        <v>0.009074074074074073</v>
      </c>
      <c r="L56" s="47" t="s">
        <v>60</v>
      </c>
      <c r="M56" s="48"/>
      <c r="N56" s="48"/>
      <c r="O56" s="48">
        <f t="shared" si="1"/>
        <v>0</v>
      </c>
      <c r="P56" s="38"/>
      <c r="Q56" s="12" t="str">
        <f t="shared" si="2"/>
        <v/>
      </c>
      <c r="R56" s="42"/>
      <c r="S56" s="42"/>
      <c r="T56" s="42"/>
      <c r="U56" s="51"/>
      <c r="V56" s="52"/>
      <c r="W56" s="55"/>
      <c r="X56" s="57"/>
      <c r="Y56" s="38"/>
      <c r="Z56" s="38"/>
      <c r="AA56" s="38"/>
      <c r="AB56" s="38"/>
    </row>
    <row r="57">
      <c r="A57" s="38">
        <v>56.0</v>
      </c>
      <c r="B57" s="63" t="s">
        <v>142</v>
      </c>
      <c r="C57" s="51"/>
      <c r="D57" s="39" t="s">
        <v>145</v>
      </c>
      <c r="E57" s="38" t="s">
        <v>375</v>
      </c>
      <c r="F57" s="41" t="s">
        <v>376</v>
      </c>
      <c r="G57" s="43"/>
      <c r="H57" s="45"/>
      <c r="I57" s="38"/>
      <c r="J57" s="38">
        <f>1.1*1000</f>
        <v>1100</v>
      </c>
      <c r="K57" s="46">
        <v>0.005185185185185185</v>
      </c>
      <c r="L57" s="47" t="s">
        <v>60</v>
      </c>
      <c r="M57" s="48"/>
      <c r="N57" s="48"/>
      <c r="O57" s="48">
        <f t="shared" si="1"/>
        <v>0</v>
      </c>
      <c r="P57" s="38"/>
      <c r="Q57" s="12" t="str">
        <f t="shared" si="2"/>
        <v/>
      </c>
      <c r="R57" s="42"/>
      <c r="S57" s="42"/>
      <c r="T57" s="42"/>
      <c r="U57" s="51"/>
      <c r="V57" s="52"/>
      <c r="W57" s="55"/>
      <c r="X57" s="57"/>
      <c r="Y57" s="38"/>
      <c r="Z57" s="38"/>
      <c r="AA57" s="38"/>
      <c r="AB57" s="38"/>
    </row>
    <row r="58">
      <c r="A58" s="38">
        <v>57.0</v>
      </c>
      <c r="B58" s="63" t="s">
        <v>142</v>
      </c>
      <c r="C58" s="51"/>
      <c r="D58" s="39" t="s">
        <v>145</v>
      </c>
      <c r="E58" s="38" t="s">
        <v>378</v>
      </c>
      <c r="F58" s="41" t="s">
        <v>379</v>
      </c>
      <c r="G58" s="43"/>
      <c r="H58" s="45"/>
      <c r="I58" s="38"/>
      <c r="J58" s="38">
        <f>1*1000</f>
        <v>1000</v>
      </c>
      <c r="K58" s="46">
        <v>0.008599537037037036</v>
      </c>
      <c r="L58" s="47" t="s">
        <v>60</v>
      </c>
      <c r="M58" s="48"/>
      <c r="N58" s="48"/>
      <c r="O58" s="48">
        <f t="shared" si="1"/>
        <v>0</v>
      </c>
      <c r="P58" s="38"/>
      <c r="Q58" s="12" t="str">
        <f t="shared" si="2"/>
        <v/>
      </c>
      <c r="R58" s="42"/>
      <c r="S58" s="42"/>
      <c r="T58" s="42"/>
      <c r="U58" s="51"/>
      <c r="V58" s="52"/>
      <c r="W58" s="55"/>
      <c r="X58" s="57"/>
      <c r="Y58" s="38"/>
      <c r="Z58" s="38"/>
      <c r="AA58" s="38"/>
      <c r="AB58" s="38"/>
    </row>
    <row r="59">
      <c r="A59" s="38">
        <v>58.0</v>
      </c>
      <c r="B59" s="63" t="s">
        <v>142</v>
      </c>
      <c r="C59" s="51"/>
      <c r="D59" s="39" t="s">
        <v>145</v>
      </c>
      <c r="E59" s="38" t="s">
        <v>383</v>
      </c>
      <c r="F59" s="41" t="s">
        <v>384</v>
      </c>
      <c r="G59" s="43"/>
      <c r="H59" s="45"/>
      <c r="I59" s="38"/>
      <c r="J59" s="38">
        <f>1.5*1000</f>
        <v>1500</v>
      </c>
      <c r="K59" s="46">
        <v>0.01</v>
      </c>
      <c r="L59" s="47" t="s">
        <v>60</v>
      </c>
      <c r="M59" s="48"/>
      <c r="N59" s="48"/>
      <c r="O59" s="48">
        <f t="shared" si="1"/>
        <v>0</v>
      </c>
      <c r="P59" s="38"/>
      <c r="Q59" s="12" t="str">
        <f t="shared" si="2"/>
        <v/>
      </c>
      <c r="R59" s="42"/>
      <c r="S59" s="42"/>
      <c r="T59" s="42"/>
      <c r="U59" s="51"/>
      <c r="V59" s="52"/>
      <c r="W59" s="55"/>
      <c r="X59" s="57"/>
      <c r="Y59" s="38"/>
      <c r="Z59" s="38"/>
      <c r="AA59" s="38"/>
      <c r="AB59" s="38"/>
    </row>
    <row r="60">
      <c r="A60" s="38">
        <v>59.0</v>
      </c>
      <c r="B60" s="42" t="s">
        <v>49</v>
      </c>
      <c r="C60" s="44"/>
      <c r="D60" s="39" t="s">
        <v>55</v>
      </c>
      <c r="E60" s="38" t="s">
        <v>140</v>
      </c>
      <c r="F60" s="41" t="s">
        <v>141</v>
      </c>
      <c r="G60" s="43"/>
      <c r="H60" s="45"/>
      <c r="I60" s="38"/>
      <c r="J60" s="38">
        <f>3.6*1000</f>
        <v>3600</v>
      </c>
      <c r="K60" s="46">
        <v>0.036516203703703703</v>
      </c>
      <c r="L60" s="47" t="s">
        <v>60</v>
      </c>
      <c r="M60" s="48"/>
      <c r="N60" s="48"/>
      <c r="O60" s="48">
        <f t="shared" si="1"/>
        <v>0</v>
      </c>
      <c r="P60" s="49">
        <v>42989.0</v>
      </c>
      <c r="Q60" s="12" t="str">
        <f t="shared" si="2"/>
        <v/>
      </c>
      <c r="R60" s="87"/>
      <c r="S60" s="42"/>
      <c r="T60" s="42"/>
      <c r="U60" s="51"/>
      <c r="V60" s="52"/>
      <c r="W60" s="55"/>
      <c r="X60" s="57"/>
      <c r="Y60" s="38"/>
      <c r="Z60" s="38"/>
      <c r="AA60" s="38"/>
      <c r="AB60" s="38"/>
    </row>
    <row r="61">
      <c r="A61" s="38">
        <v>60.0</v>
      </c>
      <c r="B61" s="63" t="s">
        <v>142</v>
      </c>
      <c r="C61" s="51"/>
      <c r="D61" s="39" t="s">
        <v>145</v>
      </c>
      <c r="E61" s="38" t="s">
        <v>396</v>
      </c>
      <c r="F61" s="41" t="s">
        <v>397</v>
      </c>
      <c r="G61" s="43"/>
      <c r="H61" s="45"/>
      <c r="I61" s="38"/>
      <c r="J61" s="38">
        <f>2.3*1000</f>
        <v>2300</v>
      </c>
      <c r="K61" s="46">
        <v>0.005601851851851852</v>
      </c>
      <c r="L61" s="47" t="s">
        <v>211</v>
      </c>
      <c r="M61" s="48"/>
      <c r="N61" s="48"/>
      <c r="O61" s="48">
        <f t="shared" si="1"/>
        <v>0</v>
      </c>
      <c r="P61" s="38"/>
      <c r="Q61" s="12" t="str">
        <f t="shared" si="2"/>
        <v/>
      </c>
      <c r="R61" s="42"/>
      <c r="S61" s="42"/>
      <c r="T61" s="42"/>
      <c r="U61" s="51"/>
      <c r="V61" s="52"/>
      <c r="W61" s="55"/>
      <c r="X61" s="57"/>
      <c r="Y61" s="38"/>
      <c r="Z61" s="38"/>
      <c r="AA61" s="38"/>
      <c r="AB61" s="38"/>
    </row>
    <row r="62">
      <c r="A62" s="38">
        <v>61.0</v>
      </c>
      <c r="B62" s="63" t="s">
        <v>142</v>
      </c>
      <c r="C62" s="51"/>
      <c r="D62" s="39" t="s">
        <v>145</v>
      </c>
      <c r="E62" s="38" t="s">
        <v>401</v>
      </c>
      <c r="F62" s="41" t="s">
        <v>402</v>
      </c>
      <c r="G62" s="43"/>
      <c r="H62" s="45"/>
      <c r="I62" s="38"/>
      <c r="J62" s="38">
        <f>709</f>
        <v>709</v>
      </c>
      <c r="K62" s="46">
        <v>0.002013888888888889</v>
      </c>
      <c r="L62" s="47" t="s">
        <v>211</v>
      </c>
      <c r="M62" s="48"/>
      <c r="N62" s="48"/>
      <c r="O62" s="48">
        <f t="shared" si="1"/>
        <v>0</v>
      </c>
      <c r="P62" s="38"/>
      <c r="Q62" s="12" t="str">
        <f t="shared" si="2"/>
        <v/>
      </c>
      <c r="R62" s="42"/>
      <c r="S62" s="42"/>
      <c r="T62" s="42"/>
      <c r="U62" s="51"/>
      <c r="V62" s="52"/>
      <c r="W62" s="55"/>
      <c r="X62" s="57"/>
      <c r="Y62" s="38"/>
      <c r="Z62" s="38"/>
      <c r="AA62" s="38"/>
      <c r="AB62" s="38"/>
    </row>
    <row r="63">
      <c r="A63" s="38">
        <v>62.0</v>
      </c>
      <c r="B63" s="42" t="s">
        <v>49</v>
      </c>
      <c r="C63" s="44"/>
      <c r="D63" s="39" t="s">
        <v>55</v>
      </c>
      <c r="E63" s="38" t="s">
        <v>207</v>
      </c>
      <c r="F63" s="41" t="s">
        <v>208</v>
      </c>
      <c r="G63" s="43"/>
      <c r="H63" s="45"/>
      <c r="I63" s="38"/>
      <c r="J63" s="38">
        <f>6.1*1000</f>
        <v>6100</v>
      </c>
      <c r="K63" s="46">
        <v>0.036041666666666666</v>
      </c>
      <c r="L63" s="47" t="s">
        <v>211</v>
      </c>
      <c r="M63" s="48"/>
      <c r="N63" s="48"/>
      <c r="O63" s="48">
        <f t="shared" si="1"/>
        <v>0</v>
      </c>
      <c r="P63" s="49">
        <v>42997.0</v>
      </c>
      <c r="Q63" s="12" t="str">
        <f t="shared" si="2"/>
        <v/>
      </c>
      <c r="R63" s="42"/>
      <c r="S63" s="42"/>
      <c r="T63" s="42"/>
      <c r="U63" s="51"/>
      <c r="V63" s="52"/>
      <c r="W63" s="55"/>
      <c r="X63" s="57"/>
      <c r="Y63" s="38"/>
      <c r="Z63" s="38"/>
      <c r="AA63" s="38"/>
      <c r="AB63" s="38"/>
    </row>
    <row r="64">
      <c r="A64" s="38">
        <v>63.0</v>
      </c>
      <c r="B64" s="63" t="s">
        <v>410</v>
      </c>
      <c r="C64" s="51"/>
      <c r="D64" s="39" t="s">
        <v>55</v>
      </c>
      <c r="E64" s="38" t="s">
        <v>412</v>
      </c>
      <c r="F64" s="41" t="s">
        <v>413</v>
      </c>
      <c r="G64" s="43"/>
      <c r="H64" s="45"/>
      <c r="I64" s="38"/>
      <c r="J64" s="38">
        <f>1.2*1000</f>
        <v>1200</v>
      </c>
      <c r="K64" s="46">
        <v>0.01144675925925926</v>
      </c>
      <c r="L64" s="47" t="s">
        <v>211</v>
      </c>
      <c r="M64" s="48"/>
      <c r="N64" s="48"/>
      <c r="O64" s="48">
        <f t="shared" si="1"/>
        <v>0</v>
      </c>
      <c r="P64" s="38"/>
      <c r="Q64" s="12" t="str">
        <f t="shared" si="2"/>
        <v/>
      </c>
      <c r="R64" s="42"/>
      <c r="S64" s="42"/>
      <c r="T64" s="42"/>
      <c r="U64" s="51"/>
      <c r="V64" s="52"/>
      <c r="W64" s="55"/>
      <c r="X64" s="57"/>
      <c r="Y64" s="38"/>
      <c r="Z64" s="38"/>
      <c r="AA64" s="38"/>
      <c r="AB64" s="38"/>
    </row>
    <row r="65">
      <c r="A65" s="38">
        <v>64.0</v>
      </c>
      <c r="B65" s="63" t="s">
        <v>410</v>
      </c>
      <c r="C65" s="51"/>
      <c r="D65" s="39" t="s">
        <v>55</v>
      </c>
      <c r="E65" s="38" t="s">
        <v>421</v>
      </c>
      <c r="F65" s="41" t="s">
        <v>422</v>
      </c>
      <c r="G65" s="43"/>
      <c r="H65" s="45"/>
      <c r="I65" s="38"/>
      <c r="J65" s="38">
        <f>694</f>
        <v>694</v>
      </c>
      <c r="K65" s="46">
        <v>0.00912037037037037</v>
      </c>
      <c r="L65" s="47" t="s">
        <v>211</v>
      </c>
      <c r="M65" s="48"/>
      <c r="N65" s="48"/>
      <c r="O65" s="48">
        <f t="shared" si="1"/>
        <v>0</v>
      </c>
      <c r="P65" s="89">
        <v>43022.0</v>
      </c>
      <c r="Q65" s="12" t="str">
        <f t="shared" si="2"/>
        <v/>
      </c>
      <c r="R65" s="42"/>
      <c r="S65" s="42"/>
      <c r="T65" s="42"/>
      <c r="U65" s="51"/>
      <c r="V65" s="52"/>
      <c r="W65" s="55"/>
      <c r="X65" s="57"/>
      <c r="Y65" s="38"/>
      <c r="Z65" s="38"/>
      <c r="AA65" s="38"/>
      <c r="AB65" s="38"/>
    </row>
    <row r="66">
      <c r="A66" s="38">
        <v>65.0</v>
      </c>
      <c r="B66" s="63" t="s">
        <v>410</v>
      </c>
      <c r="C66" s="51"/>
      <c r="D66" s="39" t="s">
        <v>55</v>
      </c>
      <c r="E66" s="38" t="s">
        <v>426</v>
      </c>
      <c r="F66" s="41" t="s">
        <v>427</v>
      </c>
      <c r="G66" s="43"/>
      <c r="H66" s="45"/>
      <c r="I66" s="38"/>
      <c r="J66" s="38">
        <f>588</f>
        <v>588</v>
      </c>
      <c r="K66" s="46">
        <v>0.007199074074074074</v>
      </c>
      <c r="L66" s="47" t="s">
        <v>211</v>
      </c>
      <c r="M66" s="48"/>
      <c r="N66" s="48"/>
      <c r="O66" s="48">
        <f t="shared" si="1"/>
        <v>0</v>
      </c>
      <c r="P66" s="38"/>
      <c r="Q66" s="12" t="str">
        <f t="shared" si="2"/>
        <v/>
      </c>
      <c r="R66" s="42"/>
      <c r="S66" s="42"/>
      <c r="T66" s="42"/>
      <c r="U66" s="51"/>
      <c r="V66" s="52"/>
      <c r="W66" s="55"/>
      <c r="X66" s="57"/>
      <c r="Y66" s="38"/>
      <c r="Z66" s="38"/>
      <c r="AA66" s="38"/>
      <c r="AB66" s="38"/>
    </row>
    <row r="67">
      <c r="A67" s="38">
        <v>66.0</v>
      </c>
      <c r="B67" s="63" t="s">
        <v>142</v>
      </c>
      <c r="C67" s="51"/>
      <c r="D67" s="39" t="s">
        <v>145</v>
      </c>
      <c r="E67" s="38" t="s">
        <v>432</v>
      </c>
      <c r="F67" s="41" t="s">
        <v>434</v>
      </c>
      <c r="G67" s="43"/>
      <c r="H67" s="45"/>
      <c r="I67" s="38"/>
      <c r="J67" s="38">
        <f>2.9*1000</f>
        <v>2900</v>
      </c>
      <c r="K67" s="46">
        <v>0.027766203703703706</v>
      </c>
      <c r="L67" s="47" t="s">
        <v>211</v>
      </c>
      <c r="M67" s="48"/>
      <c r="N67" s="48"/>
      <c r="O67" s="48">
        <f t="shared" si="1"/>
        <v>0</v>
      </c>
      <c r="P67" s="38"/>
      <c r="Q67" s="12" t="str">
        <f t="shared" si="2"/>
        <v/>
      </c>
      <c r="R67" s="42"/>
      <c r="S67" s="42"/>
      <c r="T67" s="42"/>
      <c r="U67" s="51"/>
      <c r="V67" s="52"/>
      <c r="W67" s="55"/>
      <c r="X67" s="57"/>
      <c r="Y67" s="38"/>
      <c r="Z67" s="38"/>
      <c r="AA67" s="38"/>
      <c r="AB67" s="38"/>
    </row>
    <row r="68">
      <c r="A68" s="38">
        <v>67.0</v>
      </c>
      <c r="B68" s="63" t="s">
        <v>142</v>
      </c>
      <c r="C68" s="51"/>
      <c r="D68" s="39" t="s">
        <v>145</v>
      </c>
      <c r="E68" s="38" t="s">
        <v>439</v>
      </c>
      <c r="F68" s="41" t="s">
        <v>440</v>
      </c>
      <c r="G68" s="43"/>
      <c r="H68" s="45"/>
      <c r="I68" s="38"/>
      <c r="J68" s="38">
        <f>575</f>
        <v>575</v>
      </c>
      <c r="K68" s="46">
        <v>0.0050347222222222225</v>
      </c>
      <c r="L68" s="47" t="s">
        <v>211</v>
      </c>
      <c r="M68" s="48"/>
      <c r="N68" s="48"/>
      <c r="O68" s="48">
        <f t="shared" si="1"/>
        <v>0</v>
      </c>
      <c r="P68" s="38"/>
      <c r="Q68" s="12" t="str">
        <f t="shared" si="2"/>
        <v/>
      </c>
      <c r="R68" s="42"/>
      <c r="S68" s="42"/>
      <c r="T68" s="42"/>
      <c r="U68" s="51"/>
      <c r="V68" s="52"/>
      <c r="W68" s="55"/>
      <c r="X68" s="57"/>
      <c r="Y68" s="38"/>
      <c r="Z68" s="38"/>
      <c r="AA68" s="38"/>
      <c r="AB68" s="38"/>
    </row>
    <row r="69">
      <c r="A69" s="38">
        <v>68.0</v>
      </c>
      <c r="B69" s="63" t="s">
        <v>410</v>
      </c>
      <c r="C69" s="51"/>
      <c r="D69" s="39" t="s">
        <v>55</v>
      </c>
      <c r="E69" s="38" t="s">
        <v>443</v>
      </c>
      <c r="F69" s="41" t="s">
        <v>444</v>
      </c>
      <c r="G69" s="43"/>
      <c r="H69" s="45"/>
      <c r="I69" s="38"/>
      <c r="J69" s="38">
        <f t="shared" ref="J69:J70" si="4">2.5*1000</f>
        <v>2500</v>
      </c>
      <c r="K69" s="46">
        <v>0.024166666666666666</v>
      </c>
      <c r="L69" s="47" t="s">
        <v>211</v>
      </c>
      <c r="M69" s="48"/>
      <c r="N69" s="48"/>
      <c r="O69" s="48">
        <f t="shared" si="1"/>
        <v>0</v>
      </c>
      <c r="P69" s="38"/>
      <c r="Q69" s="12" t="str">
        <f t="shared" si="2"/>
        <v/>
      </c>
      <c r="R69" s="42"/>
      <c r="S69" s="42"/>
      <c r="T69" s="42"/>
      <c r="U69" s="51"/>
      <c r="V69" s="52"/>
      <c r="W69" s="55"/>
      <c r="X69" s="57"/>
      <c r="Y69" s="38"/>
      <c r="Z69" s="38"/>
      <c r="AA69" s="38"/>
      <c r="AB69" s="38"/>
    </row>
    <row r="70">
      <c r="A70" s="38">
        <v>69.0</v>
      </c>
      <c r="B70" s="63" t="s">
        <v>410</v>
      </c>
      <c r="C70" s="51"/>
      <c r="D70" s="39" t="s">
        <v>145</v>
      </c>
      <c r="E70" s="38" t="s">
        <v>448</v>
      </c>
      <c r="F70" s="41" t="s">
        <v>449</v>
      </c>
      <c r="G70" s="43"/>
      <c r="H70" s="45"/>
      <c r="I70" s="38"/>
      <c r="J70" s="38">
        <f t="shared" si="4"/>
        <v>2500</v>
      </c>
      <c r="K70" s="46">
        <v>0.03542824074074074</v>
      </c>
      <c r="L70" s="47" t="s">
        <v>211</v>
      </c>
      <c r="M70" s="48"/>
      <c r="N70" s="48"/>
      <c r="O70" s="48">
        <f t="shared" si="1"/>
        <v>0</v>
      </c>
      <c r="P70" s="38"/>
      <c r="Q70" s="12" t="str">
        <f t="shared" si="2"/>
        <v/>
      </c>
      <c r="R70" s="42"/>
      <c r="S70" s="42"/>
      <c r="T70" s="42"/>
      <c r="U70" s="51"/>
      <c r="V70" s="52"/>
      <c r="W70" s="55"/>
      <c r="X70" s="57"/>
      <c r="Y70" s="38"/>
      <c r="Z70" s="38"/>
      <c r="AA70" s="38"/>
      <c r="AB70" s="38"/>
    </row>
    <row r="71">
      <c r="A71" s="38">
        <v>70.0</v>
      </c>
      <c r="B71" s="42"/>
      <c r="C71" s="51"/>
      <c r="D71" s="38"/>
      <c r="E71" s="38" t="s">
        <v>451</v>
      </c>
      <c r="F71" s="41" t="s">
        <v>452</v>
      </c>
      <c r="G71" s="43"/>
      <c r="H71" s="45"/>
      <c r="I71" s="38"/>
      <c r="J71" s="38">
        <f>568</f>
        <v>568</v>
      </c>
      <c r="K71" s="46">
        <v>0.0035185185185185185</v>
      </c>
      <c r="L71" s="47" t="s">
        <v>211</v>
      </c>
      <c r="M71" s="48"/>
      <c r="N71" s="48"/>
      <c r="O71" s="48">
        <f t="shared" si="1"/>
        <v>0</v>
      </c>
      <c r="P71" s="38"/>
      <c r="Q71" s="12" t="str">
        <f t="shared" si="2"/>
        <v/>
      </c>
      <c r="R71" s="42"/>
      <c r="S71" s="42"/>
      <c r="T71" s="42"/>
      <c r="U71" s="51"/>
      <c r="V71" s="52"/>
      <c r="W71" s="55"/>
      <c r="X71" s="57"/>
      <c r="Y71" s="38"/>
      <c r="Z71" s="38"/>
      <c r="AA71" s="38"/>
      <c r="AB71" s="38"/>
    </row>
    <row r="72">
      <c r="A72" s="38">
        <v>71.0</v>
      </c>
      <c r="B72" s="42"/>
      <c r="C72" s="51"/>
      <c r="D72" s="38"/>
      <c r="E72" s="38" t="s">
        <v>459</v>
      </c>
      <c r="F72" s="41" t="s">
        <v>460</v>
      </c>
      <c r="G72" s="43"/>
      <c r="H72" s="45"/>
      <c r="I72" s="38"/>
      <c r="J72" s="38">
        <f>1.1*1000</f>
        <v>1100</v>
      </c>
      <c r="K72" s="46">
        <v>0.008553240740740741</v>
      </c>
      <c r="L72" s="47" t="s">
        <v>211</v>
      </c>
      <c r="M72" s="48"/>
      <c r="N72" s="48"/>
      <c r="O72" s="48">
        <f t="shared" si="1"/>
        <v>0</v>
      </c>
      <c r="P72" s="38"/>
      <c r="Q72" s="12" t="str">
        <f t="shared" si="2"/>
        <v/>
      </c>
      <c r="R72" s="42"/>
      <c r="S72" s="42"/>
      <c r="T72" s="42"/>
      <c r="U72" s="51"/>
      <c r="V72" s="52"/>
      <c r="W72" s="55"/>
      <c r="X72" s="57"/>
      <c r="Y72" s="38"/>
      <c r="Z72" s="38"/>
      <c r="AA72" s="38"/>
      <c r="AB72" s="38"/>
    </row>
    <row r="73">
      <c r="A73" s="38">
        <v>72.0</v>
      </c>
      <c r="B73" s="42"/>
      <c r="C73" s="51"/>
      <c r="D73" s="38"/>
      <c r="E73" s="38" t="s">
        <v>466</v>
      </c>
      <c r="F73" s="41" t="s">
        <v>467</v>
      </c>
      <c r="G73" s="43"/>
      <c r="H73" s="45"/>
      <c r="I73" s="38"/>
      <c r="J73" s="38">
        <f>868</f>
        <v>868</v>
      </c>
      <c r="K73" s="46">
        <v>0.01091435185185185</v>
      </c>
      <c r="L73" s="47" t="s">
        <v>211</v>
      </c>
      <c r="M73" s="48"/>
      <c r="N73" s="48"/>
      <c r="O73" s="48">
        <f t="shared" si="1"/>
        <v>0</v>
      </c>
      <c r="P73" s="38"/>
      <c r="Q73" s="12" t="str">
        <f t="shared" si="2"/>
        <v/>
      </c>
      <c r="R73" s="42"/>
      <c r="S73" s="42"/>
      <c r="T73" s="42"/>
      <c r="U73" s="51"/>
      <c r="V73" s="52"/>
      <c r="W73" s="55"/>
      <c r="X73" s="57"/>
      <c r="Y73" s="38"/>
      <c r="Z73" s="38"/>
      <c r="AA73" s="38"/>
      <c r="AB73" s="38"/>
    </row>
    <row r="74">
      <c r="A74" s="38">
        <v>73.0</v>
      </c>
      <c r="B74" s="63" t="s">
        <v>274</v>
      </c>
      <c r="C74" s="51"/>
      <c r="D74" s="39" t="s">
        <v>55</v>
      </c>
      <c r="E74" s="38" t="s">
        <v>469</v>
      </c>
      <c r="F74" s="41" t="s">
        <v>471</v>
      </c>
      <c r="G74" s="43"/>
      <c r="H74" s="45"/>
      <c r="I74" s="38"/>
      <c r="J74" s="38">
        <f>28*1000</f>
        <v>28000</v>
      </c>
      <c r="K74" s="46">
        <v>0.06715277777777778</v>
      </c>
      <c r="L74" s="47" t="s">
        <v>211</v>
      </c>
      <c r="M74" s="48"/>
      <c r="N74" s="48"/>
      <c r="O74" s="48">
        <f t="shared" si="1"/>
        <v>0</v>
      </c>
      <c r="P74" s="89">
        <v>43021.0</v>
      </c>
      <c r="Q74" s="12" t="str">
        <f t="shared" si="2"/>
        <v/>
      </c>
      <c r="R74" s="63" t="s">
        <v>61</v>
      </c>
      <c r="S74" s="63" t="s">
        <v>91</v>
      </c>
      <c r="T74" s="63" t="s">
        <v>61</v>
      </c>
      <c r="U74" s="51"/>
      <c r="V74" s="52"/>
      <c r="W74" s="81" t="s">
        <v>62</v>
      </c>
      <c r="X74" s="57"/>
      <c r="Y74" s="38"/>
      <c r="Z74" s="38"/>
      <c r="AA74" s="38"/>
      <c r="AB74" s="38"/>
    </row>
    <row r="75">
      <c r="A75" s="38">
        <v>74.0</v>
      </c>
      <c r="B75" s="42" t="s">
        <v>49</v>
      </c>
      <c r="C75" s="44"/>
      <c r="D75" s="39" t="s">
        <v>55</v>
      </c>
      <c r="E75" s="38" t="s">
        <v>243</v>
      </c>
      <c r="F75" s="41" t="s">
        <v>244</v>
      </c>
      <c r="G75" s="43"/>
      <c r="H75" s="45"/>
      <c r="I75" s="38"/>
      <c r="J75" s="38">
        <f>4.4*1000</f>
        <v>4400</v>
      </c>
      <c r="K75" s="46">
        <v>0.0422800925925926</v>
      </c>
      <c r="L75" s="47" t="s">
        <v>211</v>
      </c>
      <c r="M75" s="48"/>
      <c r="N75" s="48"/>
      <c r="O75" s="48">
        <f t="shared" si="1"/>
        <v>0</v>
      </c>
      <c r="P75" s="49">
        <v>43003.0</v>
      </c>
      <c r="Q75" s="12" t="str">
        <f t="shared" si="2"/>
        <v/>
      </c>
      <c r="R75" s="42"/>
      <c r="S75" s="42"/>
      <c r="T75" s="42"/>
      <c r="U75" s="51"/>
      <c r="V75" s="52"/>
      <c r="W75" s="55"/>
      <c r="X75" s="57"/>
      <c r="Y75" s="38"/>
      <c r="Z75" s="38"/>
      <c r="AA75" s="38"/>
      <c r="AB75" s="38"/>
    </row>
    <row r="76">
      <c r="A76" s="38">
        <v>75.0</v>
      </c>
      <c r="B76" s="42"/>
      <c r="C76" s="51"/>
      <c r="D76" s="38"/>
      <c r="E76" s="38" t="s">
        <v>476</v>
      </c>
      <c r="F76" s="41" t="s">
        <v>477</v>
      </c>
      <c r="G76" s="43"/>
      <c r="H76" s="45"/>
      <c r="I76" s="38"/>
      <c r="J76" s="38">
        <f>7.3*1000</f>
        <v>7300</v>
      </c>
      <c r="K76" s="46">
        <v>0.048854166666666664</v>
      </c>
      <c r="L76" s="47" t="s">
        <v>211</v>
      </c>
      <c r="M76" s="48"/>
      <c r="N76" s="48"/>
      <c r="O76" s="48">
        <f t="shared" si="1"/>
        <v>0</v>
      </c>
      <c r="P76" s="38"/>
      <c r="Q76" s="12" t="str">
        <f t="shared" si="2"/>
        <v/>
      </c>
      <c r="R76" s="42"/>
      <c r="S76" s="42"/>
      <c r="T76" s="42"/>
      <c r="U76" s="51"/>
      <c r="V76" s="52"/>
      <c r="W76" s="55"/>
      <c r="X76" s="57"/>
      <c r="Y76" s="38"/>
      <c r="Z76" s="38"/>
      <c r="AA76" s="38"/>
      <c r="AB76" s="38"/>
    </row>
    <row r="77">
      <c r="A77" s="38">
        <v>76.0</v>
      </c>
      <c r="B77" s="42"/>
      <c r="C77" s="51"/>
      <c r="D77" s="38"/>
      <c r="E77" s="38" t="s">
        <v>480</v>
      </c>
      <c r="F77" s="41" t="s">
        <v>481</v>
      </c>
      <c r="G77" s="43"/>
      <c r="H77" s="45"/>
      <c r="I77" s="38"/>
      <c r="J77" s="38">
        <f>7.9*1000</f>
        <v>7900</v>
      </c>
      <c r="K77" s="46">
        <v>0.02476851851851852</v>
      </c>
      <c r="L77" s="47" t="s">
        <v>211</v>
      </c>
      <c r="M77" s="48"/>
      <c r="N77" s="48"/>
      <c r="O77" s="48">
        <f t="shared" si="1"/>
        <v>0</v>
      </c>
      <c r="P77" s="38"/>
      <c r="Q77" s="12" t="str">
        <f t="shared" si="2"/>
        <v/>
      </c>
      <c r="R77" s="42"/>
      <c r="S77" s="42"/>
      <c r="T77" s="42"/>
      <c r="U77" s="51"/>
      <c r="V77" s="52"/>
      <c r="W77" s="55"/>
      <c r="X77" s="57"/>
      <c r="Y77" s="38"/>
      <c r="Z77" s="38"/>
      <c r="AA77" s="38"/>
      <c r="AB77" s="38"/>
    </row>
    <row r="78">
      <c r="A78" s="38">
        <v>77.0</v>
      </c>
      <c r="B78" s="42"/>
      <c r="C78" s="51"/>
      <c r="D78" s="38"/>
      <c r="E78" s="38" t="s">
        <v>482</v>
      </c>
      <c r="F78" s="41" t="s">
        <v>483</v>
      </c>
      <c r="G78" s="43"/>
      <c r="H78" s="45"/>
      <c r="I78" s="38"/>
      <c r="J78" s="38">
        <f>11*1000</f>
        <v>11000</v>
      </c>
      <c r="K78" s="46">
        <v>0.0375462962962963</v>
      </c>
      <c r="L78" s="47" t="s">
        <v>211</v>
      </c>
      <c r="M78" s="48"/>
      <c r="N78" s="48"/>
      <c r="O78" s="48">
        <f t="shared" si="1"/>
        <v>0</v>
      </c>
      <c r="P78" s="38"/>
      <c r="Q78" s="12" t="str">
        <f t="shared" si="2"/>
        <v/>
      </c>
      <c r="R78" s="42"/>
      <c r="S78" s="42"/>
      <c r="T78" s="42"/>
      <c r="U78" s="51"/>
      <c r="V78" s="52"/>
      <c r="W78" s="55"/>
      <c r="X78" s="57"/>
      <c r="Y78" s="38"/>
      <c r="Z78" s="38"/>
      <c r="AA78" s="38"/>
      <c r="AB78" s="38"/>
    </row>
    <row r="79">
      <c r="A79" s="38">
        <v>78.0</v>
      </c>
      <c r="B79" s="42"/>
      <c r="C79" s="51"/>
      <c r="D79" s="38"/>
      <c r="E79" s="38" t="s">
        <v>484</v>
      </c>
      <c r="F79" s="41" t="s">
        <v>486</v>
      </c>
      <c r="G79" s="43"/>
      <c r="H79" s="45"/>
      <c r="I79" s="38"/>
      <c r="J79" s="38">
        <f>6.6*1000</f>
        <v>6600</v>
      </c>
      <c r="K79" s="46">
        <v>0.024131944444444445</v>
      </c>
      <c r="L79" s="47" t="s">
        <v>211</v>
      </c>
      <c r="M79" s="48"/>
      <c r="N79" s="48"/>
      <c r="O79" s="48">
        <f t="shared" si="1"/>
        <v>0</v>
      </c>
      <c r="P79" s="38"/>
      <c r="Q79" s="12" t="str">
        <f t="shared" si="2"/>
        <v/>
      </c>
      <c r="R79" s="42"/>
      <c r="S79" s="42"/>
      <c r="T79" s="42"/>
      <c r="U79" s="51"/>
      <c r="V79" s="52"/>
      <c r="W79" s="55"/>
      <c r="X79" s="57"/>
      <c r="Y79" s="38"/>
      <c r="Z79" s="38"/>
      <c r="AA79" s="38"/>
      <c r="AB79" s="38"/>
    </row>
    <row r="80">
      <c r="A80" s="38">
        <v>79.0</v>
      </c>
      <c r="B80" s="63" t="s">
        <v>49</v>
      </c>
      <c r="C80" s="44"/>
      <c r="D80" s="39" t="s">
        <v>55</v>
      </c>
      <c r="E80" s="38" t="s">
        <v>478</v>
      </c>
      <c r="F80" s="41" t="s">
        <v>479</v>
      </c>
      <c r="G80" s="43"/>
      <c r="H80" s="45"/>
      <c r="I80" s="38"/>
      <c r="J80" s="38">
        <f>5.8*1000</f>
        <v>5800</v>
      </c>
      <c r="K80" s="46">
        <v>0.03253472222222222</v>
      </c>
      <c r="L80" s="47" t="s">
        <v>211</v>
      </c>
      <c r="M80" s="48"/>
      <c r="N80" s="48"/>
      <c r="O80" s="48">
        <f t="shared" si="1"/>
        <v>0</v>
      </c>
      <c r="P80" s="38"/>
      <c r="Q80" s="12" t="str">
        <f t="shared" si="2"/>
        <v/>
      </c>
      <c r="R80" s="42"/>
      <c r="S80" s="42"/>
      <c r="T80" s="42"/>
      <c r="U80" s="51"/>
      <c r="V80" s="52"/>
      <c r="W80" s="55"/>
      <c r="X80" s="57"/>
      <c r="Y80" s="38"/>
      <c r="Z80" s="38"/>
      <c r="AA80" s="38"/>
      <c r="AB80" s="38"/>
    </row>
    <row r="81">
      <c r="A81" s="38">
        <v>80.0</v>
      </c>
      <c r="B81" s="42"/>
      <c r="C81" s="51"/>
      <c r="D81" s="38"/>
      <c r="E81" s="38" t="s">
        <v>493</v>
      </c>
      <c r="F81" s="41" t="s">
        <v>494</v>
      </c>
      <c r="G81" s="43"/>
      <c r="H81" s="45"/>
      <c r="I81" s="38"/>
      <c r="J81" s="38">
        <f>4.5*1000</f>
        <v>4500</v>
      </c>
      <c r="K81" s="46">
        <v>0.009895833333333333</v>
      </c>
      <c r="L81" s="47" t="s">
        <v>211</v>
      </c>
      <c r="M81" s="48"/>
      <c r="N81" s="48"/>
      <c r="O81" s="48">
        <f t="shared" si="1"/>
        <v>0</v>
      </c>
      <c r="P81" s="38"/>
      <c r="Q81" s="12" t="str">
        <f t="shared" si="2"/>
        <v/>
      </c>
      <c r="R81" s="42"/>
      <c r="S81" s="42"/>
      <c r="T81" s="42"/>
      <c r="U81" s="51"/>
      <c r="V81" s="52"/>
      <c r="W81" s="55"/>
      <c r="X81" s="57"/>
      <c r="Y81" s="38"/>
      <c r="Z81" s="38"/>
      <c r="AA81" s="38"/>
      <c r="AB81" s="38"/>
    </row>
    <row r="82">
      <c r="A82" s="38">
        <v>81.0</v>
      </c>
      <c r="B82" s="42"/>
      <c r="C82" s="51"/>
      <c r="D82" s="38"/>
      <c r="E82" s="38" t="s">
        <v>497</v>
      </c>
      <c r="F82" s="41" t="s">
        <v>498</v>
      </c>
      <c r="G82" s="43"/>
      <c r="H82" s="45"/>
      <c r="I82" s="38"/>
      <c r="J82" s="38">
        <f>2*1000</f>
        <v>2000</v>
      </c>
      <c r="K82" s="46">
        <v>0.002789351851851852</v>
      </c>
      <c r="L82" s="47" t="s">
        <v>211</v>
      </c>
      <c r="M82" s="48"/>
      <c r="N82" s="48"/>
      <c r="O82" s="48">
        <f t="shared" si="1"/>
        <v>0</v>
      </c>
      <c r="P82" s="38"/>
      <c r="Q82" s="12" t="str">
        <f t="shared" si="2"/>
        <v/>
      </c>
      <c r="R82" s="42"/>
      <c r="S82" s="42"/>
      <c r="T82" s="42"/>
      <c r="U82" s="51"/>
      <c r="V82" s="52"/>
      <c r="W82" s="55"/>
      <c r="X82" s="57"/>
      <c r="Y82" s="38"/>
      <c r="Z82" s="38"/>
      <c r="AA82" s="38"/>
      <c r="AB82" s="38"/>
    </row>
    <row r="83">
      <c r="A83" s="38">
        <v>82.0</v>
      </c>
      <c r="B83" s="42"/>
      <c r="C83" s="51"/>
      <c r="D83" s="38"/>
      <c r="E83" s="38" t="s">
        <v>504</v>
      </c>
      <c r="F83" s="41" t="s">
        <v>505</v>
      </c>
      <c r="G83" s="43"/>
      <c r="H83" s="45"/>
      <c r="I83" s="38"/>
      <c r="J83" s="38">
        <f>3.7*1000</f>
        <v>3700</v>
      </c>
      <c r="K83" s="46">
        <v>0.011875000000000002</v>
      </c>
      <c r="L83" s="47" t="s">
        <v>211</v>
      </c>
      <c r="M83" s="48"/>
      <c r="N83" s="48"/>
      <c r="O83" s="48">
        <f t="shared" si="1"/>
        <v>0</v>
      </c>
      <c r="P83" s="38"/>
      <c r="Q83" s="12" t="str">
        <f t="shared" si="2"/>
        <v/>
      </c>
      <c r="R83" s="42"/>
      <c r="S83" s="42"/>
      <c r="T83" s="42"/>
      <c r="U83" s="51"/>
      <c r="V83" s="52"/>
      <c r="W83" s="55"/>
      <c r="X83" s="57"/>
      <c r="Y83" s="38"/>
      <c r="Z83" s="38"/>
      <c r="AA83" s="38"/>
      <c r="AB83" s="38"/>
    </row>
    <row r="84">
      <c r="A84" s="38">
        <v>83.0</v>
      </c>
      <c r="B84" s="42"/>
      <c r="C84" s="51"/>
      <c r="D84" s="38"/>
      <c r="E84" s="38" t="s">
        <v>510</v>
      </c>
      <c r="F84" s="41" t="s">
        <v>511</v>
      </c>
      <c r="G84" s="43"/>
      <c r="H84" s="45"/>
      <c r="I84" s="38"/>
      <c r="J84" s="38">
        <f>965</f>
        <v>965</v>
      </c>
      <c r="K84" s="46">
        <v>0.0016087962962962963</v>
      </c>
      <c r="L84" s="47" t="s">
        <v>211</v>
      </c>
      <c r="M84" s="48"/>
      <c r="N84" s="48"/>
      <c r="O84" s="48">
        <f t="shared" si="1"/>
        <v>0</v>
      </c>
      <c r="P84" s="38"/>
      <c r="Q84" s="12" t="str">
        <f t="shared" si="2"/>
        <v/>
      </c>
      <c r="R84" s="42"/>
      <c r="S84" s="42"/>
      <c r="T84" s="42"/>
      <c r="U84" s="51"/>
      <c r="V84" s="52"/>
      <c r="W84" s="55"/>
      <c r="X84" s="57"/>
      <c r="Y84" s="38"/>
      <c r="Z84" s="38"/>
      <c r="AA84" s="38"/>
      <c r="AB84" s="38"/>
    </row>
    <row r="85">
      <c r="A85" s="38">
        <v>84.0</v>
      </c>
      <c r="B85" s="63" t="s">
        <v>516</v>
      </c>
      <c r="C85" s="51"/>
      <c r="D85" s="39" t="s">
        <v>145</v>
      </c>
      <c r="E85" s="38" t="s">
        <v>519</v>
      </c>
      <c r="F85" s="41" t="s">
        <v>520</v>
      </c>
      <c r="G85" s="43"/>
      <c r="H85" s="45"/>
      <c r="I85" s="38"/>
      <c r="J85" s="38">
        <f>3.9*1000</f>
        <v>3900</v>
      </c>
      <c r="K85" s="46">
        <v>0.04215277777777778</v>
      </c>
      <c r="L85" s="47" t="s">
        <v>211</v>
      </c>
      <c r="M85" s="48"/>
      <c r="N85" s="48"/>
      <c r="O85" s="48">
        <f t="shared" si="1"/>
        <v>0</v>
      </c>
      <c r="P85" s="38"/>
      <c r="Q85" s="12" t="str">
        <f t="shared" si="2"/>
        <v/>
      </c>
      <c r="R85" s="42"/>
      <c r="S85" s="42"/>
      <c r="T85" s="42"/>
      <c r="U85" s="51"/>
      <c r="V85" s="52"/>
      <c r="W85" s="55"/>
      <c r="X85" s="57"/>
      <c r="Y85" s="38"/>
      <c r="Z85" s="38"/>
      <c r="AA85" s="38"/>
      <c r="AB85" s="38"/>
    </row>
    <row r="86">
      <c r="A86" s="38">
        <v>85.0</v>
      </c>
      <c r="B86" s="42"/>
      <c r="C86" s="51"/>
      <c r="D86" s="38"/>
      <c r="E86" s="38" t="s">
        <v>525</v>
      </c>
      <c r="F86" s="41" t="s">
        <v>527</v>
      </c>
      <c r="G86" s="43"/>
      <c r="H86" s="45"/>
      <c r="I86" s="38"/>
      <c r="J86" s="38">
        <f>3.5*1000</f>
        <v>3500</v>
      </c>
      <c r="K86" s="46">
        <v>0.007094907407407407</v>
      </c>
      <c r="L86" s="47" t="s">
        <v>211</v>
      </c>
      <c r="M86" s="48"/>
      <c r="N86" s="48"/>
      <c r="O86" s="48">
        <f t="shared" si="1"/>
        <v>0</v>
      </c>
      <c r="P86" s="38"/>
      <c r="Q86" s="12" t="str">
        <f t="shared" si="2"/>
        <v/>
      </c>
      <c r="R86" s="42"/>
      <c r="S86" s="42"/>
      <c r="T86" s="42"/>
      <c r="U86" s="51"/>
      <c r="V86" s="52"/>
      <c r="W86" s="55"/>
      <c r="X86" s="57"/>
      <c r="Y86" s="38"/>
      <c r="Z86" s="38"/>
      <c r="AA86" s="38"/>
      <c r="AB86" s="38"/>
    </row>
    <row r="87">
      <c r="A87" s="38">
        <v>86.0</v>
      </c>
      <c r="B87" s="42"/>
      <c r="C87" s="51"/>
      <c r="D87" s="38"/>
      <c r="E87" s="38" t="s">
        <v>535</v>
      </c>
      <c r="F87" s="41" t="s">
        <v>536</v>
      </c>
      <c r="G87" s="43"/>
      <c r="H87" s="45"/>
      <c r="I87" s="38"/>
      <c r="J87" s="38">
        <f>7.4*1000</f>
        <v>7400</v>
      </c>
      <c r="K87" s="46">
        <v>0.027337962962962963</v>
      </c>
      <c r="L87" s="47" t="s">
        <v>211</v>
      </c>
      <c r="M87" s="48"/>
      <c r="N87" s="48"/>
      <c r="O87" s="48">
        <f t="shared" si="1"/>
        <v>0</v>
      </c>
      <c r="P87" s="38"/>
      <c r="Q87" s="12" t="str">
        <f t="shared" si="2"/>
        <v/>
      </c>
      <c r="R87" s="42"/>
      <c r="S87" s="42"/>
      <c r="T87" s="42"/>
      <c r="U87" s="51"/>
      <c r="V87" s="52"/>
      <c r="W87" s="55"/>
      <c r="X87" s="57"/>
      <c r="Y87" s="38"/>
      <c r="Z87" s="38"/>
      <c r="AA87" s="38"/>
      <c r="AB87" s="38"/>
    </row>
    <row r="88">
      <c r="A88" s="38">
        <v>87.0</v>
      </c>
      <c r="B88" s="42"/>
      <c r="C88" s="51"/>
      <c r="D88" s="38"/>
      <c r="E88" s="38" t="s">
        <v>542</v>
      </c>
      <c r="F88" s="41" t="s">
        <v>543</v>
      </c>
      <c r="G88" s="43"/>
      <c r="H88" s="45"/>
      <c r="I88" s="38"/>
      <c r="J88" s="38">
        <f>4*1000</f>
        <v>4000</v>
      </c>
      <c r="K88" s="46">
        <v>0.01068287037037037</v>
      </c>
      <c r="L88" s="47" t="s">
        <v>211</v>
      </c>
      <c r="M88" s="48"/>
      <c r="N88" s="48"/>
      <c r="O88" s="48">
        <f t="shared" si="1"/>
        <v>0</v>
      </c>
      <c r="P88" s="38"/>
      <c r="Q88" s="12" t="str">
        <f t="shared" si="2"/>
        <v/>
      </c>
      <c r="R88" s="42"/>
      <c r="S88" s="42"/>
      <c r="T88" s="42"/>
      <c r="U88" s="51"/>
      <c r="V88" s="52"/>
      <c r="W88" s="55"/>
      <c r="X88" s="57"/>
      <c r="Y88" s="38"/>
      <c r="Z88" s="38"/>
      <c r="AA88" s="38"/>
      <c r="AB88" s="38"/>
    </row>
    <row r="89">
      <c r="A89" s="38">
        <v>88.0</v>
      </c>
      <c r="B89" s="42"/>
      <c r="C89" s="51"/>
      <c r="D89" s="38"/>
      <c r="E89" s="38" t="s">
        <v>549</v>
      </c>
      <c r="F89" s="41" t="s">
        <v>550</v>
      </c>
      <c r="G89" s="43"/>
      <c r="H89" s="45"/>
      <c r="I89" s="38"/>
      <c r="J89" s="38">
        <f>4.1*1000</f>
        <v>4100</v>
      </c>
      <c r="K89" s="46">
        <v>0.018055555555555557</v>
      </c>
      <c r="L89" s="47" t="s">
        <v>211</v>
      </c>
      <c r="M89" s="48"/>
      <c r="N89" s="48"/>
      <c r="O89" s="48">
        <f t="shared" si="1"/>
        <v>0</v>
      </c>
      <c r="P89" s="38"/>
      <c r="Q89" s="12" t="str">
        <f t="shared" si="2"/>
        <v/>
      </c>
      <c r="R89" s="42"/>
      <c r="S89" s="42"/>
      <c r="T89" s="42"/>
      <c r="U89" s="51"/>
      <c r="V89" s="52"/>
      <c r="W89" s="55"/>
      <c r="X89" s="57"/>
      <c r="Y89" s="38"/>
      <c r="Z89" s="38"/>
      <c r="AA89" s="38"/>
      <c r="AB89" s="38"/>
    </row>
    <row r="90">
      <c r="A90" s="38">
        <v>89.0</v>
      </c>
      <c r="B90" s="63" t="s">
        <v>49</v>
      </c>
      <c r="C90" s="51"/>
      <c r="D90" s="39" t="s">
        <v>55</v>
      </c>
      <c r="E90" s="38" t="s">
        <v>554</v>
      </c>
      <c r="F90" s="41" t="s">
        <v>555</v>
      </c>
      <c r="G90" s="43"/>
      <c r="H90" s="45"/>
      <c r="I90" s="38"/>
      <c r="J90" s="38">
        <f>15*1000</f>
        <v>15000</v>
      </c>
      <c r="K90" s="46">
        <v>0.0402662037037037</v>
      </c>
      <c r="L90" s="47" t="s">
        <v>211</v>
      </c>
      <c r="M90" s="48"/>
      <c r="N90" s="48"/>
      <c r="O90" s="48">
        <f t="shared" si="1"/>
        <v>0</v>
      </c>
      <c r="P90" s="89">
        <v>43020.0</v>
      </c>
      <c r="Q90" s="12" t="str">
        <f t="shared" si="2"/>
        <v/>
      </c>
      <c r="R90" s="42"/>
      <c r="S90" s="42"/>
      <c r="T90" s="42"/>
      <c r="U90" s="51"/>
      <c r="V90" s="52"/>
      <c r="W90" s="55"/>
      <c r="X90" s="57"/>
      <c r="Y90" s="38"/>
      <c r="Z90" s="38"/>
      <c r="AA90" s="38"/>
      <c r="AB90" s="38"/>
    </row>
    <row r="91">
      <c r="A91" s="38">
        <v>90.0</v>
      </c>
      <c r="B91" s="42"/>
      <c r="C91" s="51"/>
      <c r="D91" s="38"/>
      <c r="E91" s="38" t="s">
        <v>559</v>
      </c>
      <c r="F91" s="41" t="s">
        <v>560</v>
      </c>
      <c r="G91" s="43"/>
      <c r="H91" s="45"/>
      <c r="I91" s="38"/>
      <c r="J91" s="38">
        <f>4.4*1000</f>
        <v>4400</v>
      </c>
      <c r="K91" s="46">
        <v>0.0021643518518518518</v>
      </c>
      <c r="L91" s="47" t="s">
        <v>211</v>
      </c>
      <c r="M91" s="48"/>
      <c r="N91" s="48"/>
      <c r="O91" s="48">
        <f t="shared" si="1"/>
        <v>0</v>
      </c>
      <c r="P91" s="38"/>
      <c r="Q91" s="12" t="str">
        <f t="shared" si="2"/>
        <v/>
      </c>
      <c r="R91" s="42"/>
      <c r="S91" s="42"/>
      <c r="T91" s="42"/>
      <c r="U91" s="51"/>
      <c r="V91" s="52"/>
      <c r="W91" s="55"/>
      <c r="X91" s="57"/>
      <c r="Y91" s="106"/>
      <c r="Z91" s="106"/>
      <c r="AA91" s="106"/>
      <c r="AB91" s="106"/>
    </row>
    <row r="92">
      <c r="A92" s="38">
        <v>91.0</v>
      </c>
      <c r="B92" s="63" t="s">
        <v>107</v>
      </c>
      <c r="C92" s="44"/>
      <c r="D92" s="39" t="s">
        <v>55</v>
      </c>
      <c r="E92" s="38" t="s">
        <v>279</v>
      </c>
      <c r="F92" s="41" t="s">
        <v>281</v>
      </c>
      <c r="G92" s="43"/>
      <c r="H92" s="45"/>
      <c r="I92" s="38"/>
      <c r="J92" s="38">
        <f>44*1000</f>
        <v>44000</v>
      </c>
      <c r="K92" s="46">
        <v>0.02407407407407407</v>
      </c>
      <c r="L92" s="47" t="s">
        <v>211</v>
      </c>
      <c r="M92" s="48"/>
      <c r="N92" s="48"/>
      <c r="O92" s="48">
        <f t="shared" si="1"/>
        <v>0</v>
      </c>
      <c r="P92" s="89">
        <v>42998.0</v>
      </c>
      <c r="Q92" s="12" t="str">
        <f t="shared" si="2"/>
        <v/>
      </c>
      <c r="R92" s="63"/>
      <c r="S92" s="63"/>
      <c r="T92" s="63"/>
      <c r="U92" s="51"/>
      <c r="V92" s="52"/>
      <c r="W92" s="55"/>
      <c r="X92" s="57"/>
      <c r="Y92" s="106"/>
      <c r="Z92" s="106"/>
      <c r="AA92" s="106"/>
      <c r="AB92" s="106"/>
    </row>
    <row r="93">
      <c r="A93" s="38">
        <v>92.0</v>
      </c>
      <c r="B93" s="63" t="s">
        <v>107</v>
      </c>
      <c r="C93" s="51"/>
      <c r="D93" s="39" t="s">
        <v>55</v>
      </c>
      <c r="E93" s="38" t="s">
        <v>514</v>
      </c>
      <c r="F93" s="41" t="s">
        <v>515</v>
      </c>
      <c r="G93" s="43"/>
      <c r="H93" s="45"/>
      <c r="I93" s="38"/>
      <c r="J93" s="38">
        <f>6.3*1000</f>
        <v>6300</v>
      </c>
      <c r="K93" s="46">
        <v>0.026006944444444447</v>
      </c>
      <c r="L93" s="47" t="s">
        <v>211</v>
      </c>
      <c r="M93" s="48"/>
      <c r="N93" s="48"/>
      <c r="O93" s="48">
        <f t="shared" si="1"/>
        <v>0</v>
      </c>
      <c r="P93" s="66">
        <v>43020.0</v>
      </c>
      <c r="Q93" s="12" t="str">
        <f t="shared" si="2"/>
        <v/>
      </c>
      <c r="R93" s="42"/>
      <c r="S93" s="42"/>
      <c r="T93" s="42"/>
      <c r="U93" s="51"/>
      <c r="V93" s="52"/>
      <c r="W93" s="55"/>
      <c r="X93" s="57"/>
      <c r="Y93" s="106"/>
      <c r="Z93" s="106"/>
      <c r="AA93" s="106"/>
      <c r="AB93" s="106"/>
    </row>
    <row r="94">
      <c r="A94" s="38">
        <v>93.0</v>
      </c>
      <c r="B94" s="63" t="s">
        <v>107</v>
      </c>
      <c r="C94" s="51"/>
      <c r="D94" s="39" t="s">
        <v>55</v>
      </c>
      <c r="E94" s="38" t="s">
        <v>556</v>
      </c>
      <c r="F94" s="41" t="s">
        <v>557</v>
      </c>
      <c r="G94" s="43"/>
      <c r="H94" s="45"/>
      <c r="I94" s="38"/>
      <c r="J94" s="38">
        <f>986</f>
        <v>986</v>
      </c>
      <c r="K94" s="46">
        <v>0.03568287037037037</v>
      </c>
      <c r="L94" s="47" t="s">
        <v>211</v>
      </c>
      <c r="M94" s="48"/>
      <c r="N94" s="48"/>
      <c r="O94" s="48">
        <f t="shared" si="1"/>
        <v>0</v>
      </c>
      <c r="P94" s="66">
        <v>43027.0</v>
      </c>
      <c r="Q94" s="12" t="str">
        <f t="shared" si="2"/>
        <v/>
      </c>
      <c r="R94" s="42"/>
      <c r="S94" s="42"/>
      <c r="T94" s="42"/>
      <c r="U94" s="51"/>
      <c r="V94" s="52"/>
      <c r="W94" s="55"/>
      <c r="X94" s="57"/>
      <c r="Y94" s="106"/>
      <c r="Z94" s="106"/>
      <c r="AA94" s="106"/>
      <c r="AB94" s="106"/>
    </row>
    <row r="95">
      <c r="A95" s="38">
        <v>94.0</v>
      </c>
      <c r="B95" s="63" t="s">
        <v>49</v>
      </c>
      <c r="C95" s="44"/>
      <c r="D95" s="39" t="s">
        <v>55</v>
      </c>
      <c r="E95" s="38" t="s">
        <v>489</v>
      </c>
      <c r="F95" s="41" t="s">
        <v>490</v>
      </c>
      <c r="G95" s="43"/>
      <c r="H95" s="45"/>
      <c r="I95" s="38"/>
      <c r="J95" s="38">
        <f>2.5*1000</f>
        <v>2500</v>
      </c>
      <c r="K95" s="46">
        <v>0.06649305555555556</v>
      </c>
      <c r="L95" s="47" t="s">
        <v>211</v>
      </c>
      <c r="M95" s="48"/>
      <c r="N95" s="48"/>
      <c r="O95" s="48">
        <f t="shared" si="1"/>
        <v>0</v>
      </c>
      <c r="P95" s="89">
        <v>43010.0</v>
      </c>
      <c r="Q95" s="12" t="str">
        <f t="shared" si="2"/>
        <v/>
      </c>
      <c r="R95" s="42"/>
      <c r="S95" s="42"/>
      <c r="T95" s="42"/>
      <c r="U95" s="51"/>
      <c r="V95" s="52"/>
      <c r="W95" s="55"/>
      <c r="X95" s="57"/>
      <c r="Y95" s="106"/>
      <c r="Z95" s="106"/>
      <c r="AA95" s="106"/>
      <c r="AB95" s="106"/>
    </row>
    <row r="96">
      <c r="A96" s="38">
        <v>95.0</v>
      </c>
      <c r="B96" s="42"/>
      <c r="C96" s="51"/>
      <c r="D96" s="38"/>
      <c r="E96" s="38" t="s">
        <v>582</v>
      </c>
      <c r="F96" s="41" t="s">
        <v>583</v>
      </c>
      <c r="G96" s="43"/>
      <c r="H96" s="45"/>
      <c r="I96" s="38"/>
      <c r="J96" s="38">
        <f>1.5*1000</f>
        <v>1500</v>
      </c>
      <c r="K96" s="46">
        <v>0.005902777777777778</v>
      </c>
      <c r="L96" s="47" t="s">
        <v>211</v>
      </c>
      <c r="M96" s="48"/>
      <c r="N96" s="48"/>
      <c r="O96" s="48">
        <f t="shared" si="1"/>
        <v>0</v>
      </c>
      <c r="P96" s="38"/>
      <c r="Q96" s="12" t="str">
        <f t="shared" si="2"/>
        <v/>
      </c>
      <c r="R96" s="42"/>
      <c r="S96" s="42"/>
      <c r="T96" s="42"/>
      <c r="U96" s="51"/>
      <c r="V96" s="52"/>
      <c r="W96" s="55"/>
      <c r="X96" s="57"/>
      <c r="Y96" s="106"/>
      <c r="Z96" s="106"/>
      <c r="AA96" s="106"/>
      <c r="AB96" s="106"/>
    </row>
    <row r="97">
      <c r="A97" s="38">
        <v>96.0</v>
      </c>
      <c r="B97" s="42"/>
      <c r="C97" s="51"/>
      <c r="D97" s="38"/>
      <c r="E97" s="38" t="s">
        <v>589</v>
      </c>
      <c r="F97" s="41" t="s">
        <v>590</v>
      </c>
      <c r="G97" s="43"/>
      <c r="H97" s="45"/>
      <c r="I97" s="38"/>
      <c r="J97" s="38">
        <f>1.2*1000</f>
        <v>1200</v>
      </c>
      <c r="K97" s="46">
        <v>0.011655092592592594</v>
      </c>
      <c r="L97" s="47" t="s">
        <v>211</v>
      </c>
      <c r="M97" s="48"/>
      <c r="N97" s="48"/>
      <c r="O97" s="48">
        <f t="shared" si="1"/>
        <v>0</v>
      </c>
      <c r="P97" s="38"/>
      <c r="Q97" s="12" t="str">
        <f t="shared" si="2"/>
        <v/>
      </c>
      <c r="R97" s="42"/>
      <c r="S97" s="42"/>
      <c r="T97" s="42"/>
      <c r="U97" s="51"/>
      <c r="V97" s="52"/>
      <c r="W97" s="55"/>
      <c r="X97" s="57"/>
      <c r="Y97" s="106"/>
      <c r="Z97" s="106"/>
      <c r="AA97" s="106"/>
      <c r="AB97" s="106"/>
    </row>
    <row r="98">
      <c r="A98" s="38">
        <v>97.0</v>
      </c>
      <c r="B98" s="42"/>
      <c r="C98" s="51"/>
      <c r="D98" s="38"/>
      <c r="E98" s="38" t="s">
        <v>596</v>
      </c>
      <c r="F98" s="41" t="s">
        <v>597</v>
      </c>
      <c r="G98" s="43"/>
      <c r="H98" s="45"/>
      <c r="I98" s="38"/>
      <c r="J98" s="38">
        <f>1.9*1000</f>
        <v>1900</v>
      </c>
      <c r="K98" s="46">
        <v>0.02108796296296296</v>
      </c>
      <c r="L98" s="47" t="s">
        <v>211</v>
      </c>
      <c r="M98" s="48"/>
      <c r="N98" s="48"/>
      <c r="O98" s="48">
        <f t="shared" si="1"/>
        <v>0</v>
      </c>
      <c r="P98" s="38"/>
      <c r="Q98" s="12" t="str">
        <f t="shared" si="2"/>
        <v/>
      </c>
      <c r="R98" s="42"/>
      <c r="S98" s="42"/>
      <c r="T98" s="42"/>
      <c r="U98" s="51"/>
      <c r="V98" s="52"/>
      <c r="W98" s="55"/>
      <c r="X98" s="57"/>
      <c r="Y98" s="106"/>
      <c r="Z98" s="106"/>
      <c r="AA98" s="106"/>
      <c r="AB98" s="106"/>
    </row>
    <row r="99">
      <c r="A99" s="38">
        <v>98.0</v>
      </c>
      <c r="B99" s="42"/>
      <c r="C99" s="51"/>
      <c r="D99" s="38"/>
      <c r="E99" s="38" t="s">
        <v>603</v>
      </c>
      <c r="F99" s="41" t="s">
        <v>604</v>
      </c>
      <c r="G99" s="43"/>
      <c r="H99" s="45"/>
      <c r="I99" s="38"/>
      <c r="J99" s="38">
        <f>2.3*1000</f>
        <v>2300</v>
      </c>
      <c r="K99" s="46">
        <v>0.03446759259259259</v>
      </c>
      <c r="L99" s="47" t="s">
        <v>211</v>
      </c>
      <c r="M99" s="48"/>
      <c r="N99" s="48"/>
      <c r="O99" s="48">
        <f t="shared" si="1"/>
        <v>0</v>
      </c>
      <c r="P99" s="38"/>
      <c r="Q99" s="12" t="str">
        <f t="shared" si="2"/>
        <v/>
      </c>
      <c r="R99" s="42"/>
      <c r="S99" s="42"/>
      <c r="T99" s="42"/>
      <c r="U99" s="51"/>
      <c r="V99" s="52"/>
      <c r="W99" s="55"/>
      <c r="X99" s="57"/>
      <c r="Y99" s="106"/>
      <c r="Z99" s="106"/>
      <c r="AA99" s="106"/>
      <c r="AB99" s="106"/>
    </row>
    <row r="100">
      <c r="A100" s="38">
        <v>99.0</v>
      </c>
      <c r="B100" s="42"/>
      <c r="C100" s="51"/>
      <c r="D100" s="38"/>
      <c r="E100" s="38" t="s">
        <v>607</v>
      </c>
      <c r="F100" s="41" t="s">
        <v>608</v>
      </c>
      <c r="G100" s="43"/>
      <c r="H100" s="45"/>
      <c r="I100" s="38"/>
      <c r="J100" s="38">
        <f>1.4*1000</f>
        <v>1400</v>
      </c>
      <c r="K100" s="46">
        <v>0.028483796296296295</v>
      </c>
      <c r="L100" s="47" t="s">
        <v>211</v>
      </c>
      <c r="M100" s="48"/>
      <c r="N100" s="48"/>
      <c r="O100" s="48">
        <f t="shared" si="1"/>
        <v>0</v>
      </c>
      <c r="P100" s="38"/>
      <c r="Q100" s="12" t="str">
        <f t="shared" si="2"/>
        <v/>
      </c>
      <c r="R100" s="42"/>
      <c r="S100" s="42"/>
      <c r="T100" s="42"/>
      <c r="U100" s="51"/>
      <c r="V100" s="52"/>
      <c r="W100" s="55"/>
      <c r="X100" s="57"/>
      <c r="Y100" s="106"/>
      <c r="Z100" s="106"/>
      <c r="AA100" s="106"/>
      <c r="AB100" s="106"/>
    </row>
    <row r="101">
      <c r="A101" s="38">
        <v>100.0</v>
      </c>
      <c r="B101" s="42"/>
      <c r="C101" s="51"/>
      <c r="D101" s="38"/>
      <c r="E101" s="38" t="s">
        <v>610</v>
      </c>
      <c r="F101" s="41" t="s">
        <v>611</v>
      </c>
      <c r="G101" s="43"/>
      <c r="H101" s="45"/>
      <c r="I101" s="38"/>
      <c r="J101" s="38">
        <f>3.7*1000</f>
        <v>3700</v>
      </c>
      <c r="K101" s="46">
        <v>0.024837962962962964</v>
      </c>
      <c r="L101" s="47" t="s">
        <v>211</v>
      </c>
      <c r="M101" s="48"/>
      <c r="N101" s="48"/>
      <c r="O101" s="48">
        <f t="shared" si="1"/>
        <v>0</v>
      </c>
      <c r="P101" s="38"/>
      <c r="Q101" s="12" t="str">
        <f t="shared" si="2"/>
        <v/>
      </c>
      <c r="R101" s="42"/>
      <c r="S101" s="42"/>
      <c r="T101" s="42"/>
      <c r="U101" s="51"/>
      <c r="V101" s="52"/>
      <c r="W101" s="55"/>
      <c r="X101" s="57"/>
      <c r="Y101" s="106"/>
      <c r="Z101" s="106"/>
      <c r="AA101" s="106"/>
      <c r="AB101" s="106"/>
    </row>
    <row r="102">
      <c r="A102" s="38">
        <v>101.0</v>
      </c>
      <c r="B102" s="42"/>
      <c r="C102" s="51"/>
      <c r="D102" s="38"/>
      <c r="E102" s="38" t="s">
        <v>612</v>
      </c>
      <c r="F102" s="41" t="s">
        <v>613</v>
      </c>
      <c r="G102" s="43"/>
      <c r="H102" s="45"/>
      <c r="I102" s="38"/>
      <c r="J102" s="38">
        <f>22*1000</f>
        <v>22000</v>
      </c>
      <c r="K102" s="46">
        <v>0.04587962962962963</v>
      </c>
      <c r="L102" s="47" t="s">
        <v>211</v>
      </c>
      <c r="M102" s="48"/>
      <c r="N102" s="48"/>
      <c r="O102" s="48">
        <f t="shared" si="1"/>
        <v>0</v>
      </c>
      <c r="P102" s="38"/>
      <c r="Q102" s="12" t="str">
        <f t="shared" si="2"/>
        <v/>
      </c>
      <c r="R102" s="42"/>
      <c r="S102" s="42"/>
      <c r="T102" s="42"/>
      <c r="U102" s="51"/>
      <c r="V102" s="52"/>
      <c r="W102" s="55"/>
      <c r="X102" s="57"/>
      <c r="Y102" s="106"/>
      <c r="Z102" s="106"/>
      <c r="AA102" s="106"/>
      <c r="AB102" s="106"/>
    </row>
    <row r="103">
      <c r="A103" s="38">
        <v>102.0</v>
      </c>
      <c r="B103" s="42"/>
      <c r="C103" s="51"/>
      <c r="D103" s="38"/>
      <c r="E103" s="38" t="s">
        <v>298</v>
      </c>
      <c r="F103" s="41" t="s">
        <v>300</v>
      </c>
      <c r="G103" s="43"/>
      <c r="H103" s="45"/>
      <c r="I103" s="38"/>
      <c r="J103" s="38">
        <f>1.3*1000</f>
        <v>1300</v>
      </c>
      <c r="K103" s="46">
        <v>0.01199074074074074</v>
      </c>
      <c r="L103" s="47" t="s">
        <v>211</v>
      </c>
      <c r="M103" s="48"/>
      <c r="N103" s="48"/>
      <c r="O103" s="48">
        <f t="shared" si="1"/>
        <v>0</v>
      </c>
      <c r="P103" s="38"/>
      <c r="Q103" s="12" t="str">
        <f t="shared" si="2"/>
        <v/>
      </c>
      <c r="R103" s="42"/>
      <c r="S103" s="42"/>
      <c r="T103" s="42"/>
      <c r="U103" s="51"/>
      <c r="V103" s="52"/>
      <c r="W103" s="55"/>
      <c r="X103" s="57"/>
      <c r="Y103" s="106"/>
      <c r="Z103" s="106"/>
      <c r="AA103" s="106"/>
      <c r="AB103" s="106"/>
    </row>
    <row r="104">
      <c r="A104" s="38">
        <v>103.0</v>
      </c>
      <c r="B104" s="42"/>
      <c r="C104" s="51"/>
      <c r="D104" s="38"/>
      <c r="E104" s="38" t="s">
        <v>314</v>
      </c>
      <c r="F104" s="41" t="s">
        <v>315</v>
      </c>
      <c r="G104" s="43"/>
      <c r="H104" s="45"/>
      <c r="I104" s="38"/>
      <c r="J104" s="38">
        <f>7.9*1000</f>
        <v>7900</v>
      </c>
      <c r="K104" s="46">
        <v>0.0970023148148148</v>
      </c>
      <c r="L104" s="47" t="s">
        <v>211</v>
      </c>
      <c r="M104" s="48"/>
      <c r="N104" s="48"/>
      <c r="O104" s="48">
        <f t="shared" si="1"/>
        <v>0</v>
      </c>
      <c r="P104" s="38"/>
      <c r="Q104" s="12" t="str">
        <f t="shared" si="2"/>
        <v/>
      </c>
      <c r="R104" s="42"/>
      <c r="S104" s="42"/>
      <c r="T104" s="42"/>
      <c r="U104" s="51"/>
      <c r="V104" s="52"/>
      <c r="W104" s="55"/>
      <c r="X104" s="57"/>
      <c r="Y104" s="106"/>
      <c r="Z104" s="106"/>
      <c r="AA104" s="106"/>
      <c r="AB104" s="106"/>
    </row>
    <row r="105">
      <c r="A105" s="38">
        <v>104.0</v>
      </c>
      <c r="B105" s="63" t="s">
        <v>107</v>
      </c>
      <c r="C105" s="51"/>
      <c r="D105" s="39" t="s">
        <v>55</v>
      </c>
      <c r="E105" s="38" t="s">
        <v>579</v>
      </c>
      <c r="F105" s="41" t="s">
        <v>580</v>
      </c>
      <c r="G105" s="43"/>
      <c r="H105" s="45"/>
      <c r="I105" s="38"/>
      <c r="J105" s="38">
        <f>4*1000</f>
        <v>4000</v>
      </c>
      <c r="K105" s="46">
        <v>0.023530092592592592</v>
      </c>
      <c r="L105" s="47" t="s">
        <v>211</v>
      </c>
      <c r="M105" s="48"/>
      <c r="N105" s="48"/>
      <c r="O105" s="48">
        <f t="shared" si="1"/>
        <v>0</v>
      </c>
      <c r="P105" s="66">
        <v>43028.0</v>
      </c>
      <c r="Q105" s="12" t="str">
        <f t="shared" si="2"/>
        <v/>
      </c>
      <c r="R105" s="42"/>
      <c r="S105" s="42"/>
      <c r="T105" s="42"/>
      <c r="U105" s="51"/>
      <c r="V105" s="52"/>
      <c r="W105" s="55"/>
      <c r="X105" s="57"/>
      <c r="Y105" s="106"/>
      <c r="Z105" s="106"/>
      <c r="AA105" s="106"/>
      <c r="AB105" s="106"/>
    </row>
    <row r="106">
      <c r="A106" s="38">
        <v>105.0</v>
      </c>
      <c r="B106" s="63" t="s">
        <v>107</v>
      </c>
      <c r="C106" s="51"/>
      <c r="D106" s="39" t="s">
        <v>145</v>
      </c>
      <c r="E106" s="38" t="s">
        <v>605</v>
      </c>
      <c r="F106" s="41" t="s">
        <v>606</v>
      </c>
      <c r="G106" s="43"/>
      <c r="H106" s="45"/>
      <c r="I106" s="38"/>
      <c r="J106" s="38">
        <f>3.6*1000</f>
        <v>3600</v>
      </c>
      <c r="K106" s="46">
        <v>0.08958333333333333</v>
      </c>
      <c r="L106" s="47" t="s">
        <v>211</v>
      </c>
      <c r="M106" s="48"/>
      <c r="N106" s="48"/>
      <c r="O106" s="48">
        <f t="shared" si="1"/>
        <v>0</v>
      </c>
      <c r="P106" s="38"/>
      <c r="Q106" s="12" t="str">
        <f t="shared" si="2"/>
        <v/>
      </c>
      <c r="R106" s="42"/>
      <c r="S106" s="42"/>
      <c r="T106" s="42"/>
      <c r="U106" s="51"/>
      <c r="V106" s="52"/>
      <c r="W106" s="55"/>
      <c r="X106" s="57"/>
      <c r="Y106" s="106"/>
      <c r="Z106" s="106"/>
      <c r="AA106" s="106"/>
      <c r="AB106" s="106"/>
    </row>
    <row r="107">
      <c r="A107" s="38">
        <v>106.0</v>
      </c>
      <c r="B107" s="63" t="s">
        <v>619</v>
      </c>
      <c r="C107" s="51"/>
      <c r="D107" s="38"/>
      <c r="E107" s="38" t="s">
        <v>620</v>
      </c>
      <c r="F107" s="41" t="s">
        <v>621</v>
      </c>
      <c r="G107" s="43"/>
      <c r="H107" s="45"/>
      <c r="I107" s="38"/>
      <c r="J107" s="38">
        <f t="shared" ref="J107:J108" si="5">11*1000</f>
        <v>11000</v>
      </c>
      <c r="K107" s="46">
        <v>0.054884259259259265</v>
      </c>
      <c r="L107" s="47" t="s">
        <v>211</v>
      </c>
      <c r="M107" s="48"/>
      <c r="N107" s="48"/>
      <c r="O107" s="48">
        <f t="shared" si="1"/>
        <v>0</v>
      </c>
      <c r="P107" s="38"/>
      <c r="Q107" s="12" t="str">
        <f t="shared" si="2"/>
        <v/>
      </c>
      <c r="R107" s="42"/>
      <c r="S107" s="42"/>
      <c r="T107" s="42"/>
      <c r="U107" s="51"/>
      <c r="V107" s="52"/>
      <c r="W107" s="55"/>
      <c r="X107" s="57"/>
      <c r="Y107" s="106"/>
      <c r="Z107" s="106"/>
      <c r="AA107" s="106"/>
      <c r="AB107" s="106"/>
    </row>
    <row r="108">
      <c r="A108" s="38">
        <v>107.0</v>
      </c>
      <c r="B108" s="63" t="s">
        <v>49</v>
      </c>
      <c r="C108" s="44"/>
      <c r="D108" s="39" t="s">
        <v>55</v>
      </c>
      <c r="E108" s="38" t="s">
        <v>411</v>
      </c>
      <c r="F108" s="41" t="s">
        <v>414</v>
      </c>
      <c r="G108" s="43"/>
      <c r="H108" s="45"/>
      <c r="I108" s="38"/>
      <c r="J108" s="38">
        <f t="shared" si="5"/>
        <v>11000</v>
      </c>
      <c r="K108" s="46">
        <v>0.08446759259259258</v>
      </c>
      <c r="L108" s="47" t="s">
        <v>211</v>
      </c>
      <c r="M108" s="48"/>
      <c r="N108" s="48"/>
      <c r="O108" s="48">
        <f t="shared" si="1"/>
        <v>0</v>
      </c>
      <c r="P108" s="89">
        <v>43009.0</v>
      </c>
      <c r="Q108" s="12" t="str">
        <f t="shared" si="2"/>
        <v/>
      </c>
      <c r="R108" s="42"/>
      <c r="S108" s="42"/>
      <c r="T108" s="42"/>
      <c r="U108" s="51"/>
      <c r="V108" s="52"/>
      <c r="W108" s="55"/>
      <c r="X108" s="57"/>
      <c r="Y108" s="106"/>
      <c r="Z108" s="106"/>
      <c r="AA108" s="106"/>
      <c r="AB108" s="106"/>
    </row>
    <row r="109">
      <c r="A109" s="38">
        <v>108.0</v>
      </c>
      <c r="B109" s="63" t="s">
        <v>619</v>
      </c>
      <c r="C109" s="51"/>
      <c r="D109" s="38"/>
      <c r="E109" s="38" t="s">
        <v>624</v>
      </c>
      <c r="F109" s="41" t="s">
        <v>625</v>
      </c>
      <c r="G109" s="43"/>
      <c r="H109" s="45"/>
      <c r="I109" s="38"/>
      <c r="J109" s="38">
        <f>2.6*1000</f>
        <v>2600</v>
      </c>
      <c r="K109" s="46">
        <v>0.05289351851851851</v>
      </c>
      <c r="L109" s="47" t="s">
        <v>211</v>
      </c>
      <c r="M109" s="48"/>
      <c r="N109" s="48"/>
      <c r="O109" s="48">
        <f t="shared" si="1"/>
        <v>0</v>
      </c>
      <c r="P109" s="38"/>
      <c r="Q109" s="12" t="str">
        <f t="shared" si="2"/>
        <v/>
      </c>
      <c r="R109" s="42"/>
      <c r="S109" s="42"/>
      <c r="T109" s="42"/>
      <c r="U109" s="51"/>
      <c r="V109" s="52"/>
      <c r="W109" s="55"/>
      <c r="X109" s="57"/>
      <c r="Y109" s="106"/>
      <c r="Z109" s="106"/>
      <c r="AA109" s="106"/>
      <c r="AB109" s="106"/>
    </row>
    <row r="110">
      <c r="A110" s="38">
        <v>109.0</v>
      </c>
      <c r="B110" s="42"/>
      <c r="C110" s="51"/>
      <c r="D110" s="38"/>
      <c r="E110" s="38" t="s">
        <v>628</v>
      </c>
      <c r="F110" s="41" t="s">
        <v>629</v>
      </c>
      <c r="G110" s="43"/>
      <c r="H110" s="45"/>
      <c r="I110" s="38"/>
      <c r="J110" s="38">
        <f>1.4*1000</f>
        <v>1400</v>
      </c>
      <c r="K110" s="46">
        <v>0.03181712962962963</v>
      </c>
      <c r="L110" s="47" t="s">
        <v>211</v>
      </c>
      <c r="M110" s="48"/>
      <c r="N110" s="48"/>
      <c r="O110" s="48">
        <f t="shared" si="1"/>
        <v>0</v>
      </c>
      <c r="P110" s="38"/>
      <c r="Q110" s="12" t="str">
        <f t="shared" si="2"/>
        <v/>
      </c>
      <c r="R110" s="42"/>
      <c r="S110" s="42"/>
      <c r="T110" s="42"/>
      <c r="U110" s="51"/>
      <c r="V110" s="52"/>
      <c r="W110" s="55"/>
      <c r="X110" s="57"/>
      <c r="Y110" s="106"/>
      <c r="Z110" s="106"/>
      <c r="AA110" s="106"/>
      <c r="AB110" s="106"/>
    </row>
    <row r="111">
      <c r="A111" s="38">
        <v>110.0</v>
      </c>
      <c r="B111" s="63"/>
      <c r="C111" s="51"/>
      <c r="D111" s="39"/>
      <c r="E111" s="38" t="s">
        <v>631</v>
      </c>
      <c r="F111" s="41" t="s">
        <v>632</v>
      </c>
      <c r="G111" s="43"/>
      <c r="H111" s="45"/>
      <c r="I111" s="38"/>
      <c r="J111" s="38">
        <f>15*1000</f>
        <v>15000</v>
      </c>
      <c r="K111" s="46">
        <v>0.10678240740740741</v>
      </c>
      <c r="L111" s="47" t="s">
        <v>211</v>
      </c>
      <c r="M111" s="48"/>
      <c r="N111" s="48"/>
      <c r="O111" s="48">
        <f t="shared" si="1"/>
        <v>0</v>
      </c>
      <c r="P111" s="89"/>
      <c r="Q111" s="12" t="str">
        <f t="shared" si="2"/>
        <v/>
      </c>
      <c r="R111" s="42"/>
      <c r="S111" s="42"/>
      <c r="T111" s="42"/>
      <c r="U111" s="51"/>
      <c r="V111" s="52"/>
      <c r="W111" s="55"/>
      <c r="X111" s="57"/>
      <c r="Y111" s="106"/>
      <c r="Z111" s="106"/>
      <c r="AA111" s="106"/>
      <c r="AB111" s="106"/>
    </row>
    <row r="112">
      <c r="A112" s="38">
        <v>111.0</v>
      </c>
      <c r="B112" s="42"/>
      <c r="C112" s="51"/>
      <c r="D112" s="38"/>
      <c r="E112" s="38" t="s">
        <v>634</v>
      </c>
      <c r="F112" s="41" t="s">
        <v>635</v>
      </c>
      <c r="G112" s="43"/>
      <c r="H112" s="45"/>
      <c r="I112" s="38"/>
      <c r="J112" s="38">
        <f>888</f>
        <v>888</v>
      </c>
      <c r="K112" s="46">
        <v>0.0043055555555555555</v>
      </c>
      <c r="L112" s="47" t="s">
        <v>211</v>
      </c>
      <c r="M112" s="48"/>
      <c r="N112" s="48"/>
      <c r="O112" s="48">
        <f t="shared" si="1"/>
        <v>0</v>
      </c>
      <c r="P112" s="38"/>
      <c r="Q112" s="12" t="str">
        <f t="shared" si="2"/>
        <v/>
      </c>
      <c r="R112" s="42"/>
      <c r="S112" s="42"/>
      <c r="T112" s="42"/>
      <c r="U112" s="51"/>
      <c r="V112" s="52"/>
      <c r="W112" s="55"/>
      <c r="X112" s="57"/>
      <c r="Y112" s="106"/>
      <c r="Z112" s="106"/>
      <c r="AA112" s="106"/>
      <c r="AB112" s="106"/>
    </row>
    <row r="113">
      <c r="A113" s="38">
        <v>112.0</v>
      </c>
      <c r="B113" s="42"/>
      <c r="C113" s="51"/>
      <c r="D113" s="38"/>
      <c r="E113" s="38" t="s">
        <v>636</v>
      </c>
      <c r="F113" s="41" t="s">
        <v>637</v>
      </c>
      <c r="G113" s="43"/>
      <c r="H113" s="45"/>
      <c r="I113" s="38"/>
      <c r="J113" s="38">
        <f>466</f>
        <v>466</v>
      </c>
      <c r="K113" s="46">
        <v>0.026064814814814815</v>
      </c>
      <c r="L113" s="47" t="s">
        <v>211</v>
      </c>
      <c r="M113" s="48"/>
      <c r="N113" s="48"/>
      <c r="O113" s="48">
        <f t="shared" si="1"/>
        <v>0</v>
      </c>
      <c r="P113" s="38"/>
      <c r="Q113" s="12" t="str">
        <f t="shared" si="2"/>
        <v/>
      </c>
      <c r="R113" s="42"/>
      <c r="S113" s="42"/>
      <c r="T113" s="42"/>
      <c r="U113" s="51"/>
      <c r="V113" s="52"/>
      <c r="W113" s="55"/>
      <c r="X113" s="57"/>
      <c r="Y113" s="106"/>
      <c r="Z113" s="106"/>
      <c r="AA113" s="106"/>
      <c r="AB113" s="106"/>
    </row>
    <row r="114">
      <c r="A114" s="38">
        <v>113.0</v>
      </c>
      <c r="B114" s="42"/>
      <c r="C114" s="51"/>
      <c r="D114" s="38"/>
      <c r="E114" s="38" t="s">
        <v>638</v>
      </c>
      <c r="F114" s="41" t="s">
        <v>639</v>
      </c>
      <c r="G114" s="43"/>
      <c r="H114" s="45"/>
      <c r="I114" s="38"/>
      <c r="J114" s="38">
        <f>1*1000</f>
        <v>1000</v>
      </c>
      <c r="K114" s="46">
        <v>0.023506944444444445</v>
      </c>
      <c r="L114" s="47" t="s">
        <v>211</v>
      </c>
      <c r="M114" s="48"/>
      <c r="N114" s="48"/>
      <c r="O114" s="48">
        <f t="shared" si="1"/>
        <v>0</v>
      </c>
      <c r="P114" s="38"/>
      <c r="Q114" s="12" t="str">
        <f t="shared" si="2"/>
        <v/>
      </c>
      <c r="R114" s="42"/>
      <c r="S114" s="42"/>
      <c r="T114" s="42"/>
      <c r="U114" s="51"/>
      <c r="V114" s="52"/>
      <c r="W114" s="55"/>
      <c r="X114" s="57"/>
      <c r="Y114" s="106"/>
      <c r="Z114" s="106"/>
      <c r="AA114" s="106"/>
      <c r="AB114" s="106"/>
    </row>
    <row r="115">
      <c r="A115" s="38">
        <v>114.0</v>
      </c>
      <c r="B115" s="42"/>
      <c r="C115" s="51"/>
      <c r="D115" s="38"/>
      <c r="E115" s="38" t="s">
        <v>640</v>
      </c>
      <c r="F115" s="41" t="s">
        <v>641</v>
      </c>
      <c r="G115" s="43"/>
      <c r="H115" s="45"/>
      <c r="I115" s="38"/>
      <c r="J115" s="38">
        <f>1.4*1000</f>
        <v>1400</v>
      </c>
      <c r="K115" s="46">
        <v>0.011608796296296296</v>
      </c>
      <c r="L115" s="47" t="s">
        <v>211</v>
      </c>
      <c r="M115" s="48"/>
      <c r="N115" s="48"/>
      <c r="O115" s="48">
        <f t="shared" si="1"/>
        <v>0</v>
      </c>
      <c r="P115" s="38"/>
      <c r="Q115" s="12" t="str">
        <f t="shared" si="2"/>
        <v/>
      </c>
      <c r="R115" s="42"/>
      <c r="S115" s="42"/>
      <c r="T115" s="42"/>
      <c r="U115" s="51"/>
      <c r="V115" s="52"/>
      <c r="W115" s="55"/>
      <c r="X115" s="57"/>
      <c r="Y115" s="106"/>
      <c r="Z115" s="106"/>
      <c r="AA115" s="106"/>
      <c r="AB115" s="106"/>
    </row>
    <row r="116">
      <c r="A116" s="38">
        <v>115.0</v>
      </c>
      <c r="B116" s="42"/>
      <c r="C116" s="51"/>
      <c r="D116" s="38"/>
      <c r="E116" s="38" t="s">
        <v>642</v>
      </c>
      <c r="F116" s="41" t="s">
        <v>643</v>
      </c>
      <c r="G116" s="43"/>
      <c r="H116" s="45"/>
      <c r="I116" s="38"/>
      <c r="J116" s="38">
        <f>602</f>
        <v>602</v>
      </c>
      <c r="K116" s="46">
        <v>0.021805555555555554</v>
      </c>
      <c r="L116" s="47" t="s">
        <v>211</v>
      </c>
      <c r="M116" s="48"/>
      <c r="N116" s="48"/>
      <c r="O116" s="48">
        <f t="shared" si="1"/>
        <v>0</v>
      </c>
      <c r="P116" s="38"/>
      <c r="Q116" s="12" t="str">
        <f t="shared" si="2"/>
        <v/>
      </c>
      <c r="R116" s="42"/>
      <c r="S116" s="42"/>
      <c r="T116" s="42"/>
      <c r="U116" s="51"/>
      <c r="V116" s="52"/>
      <c r="W116" s="55"/>
      <c r="X116" s="57"/>
      <c r="Y116" s="106"/>
      <c r="Z116" s="106"/>
      <c r="AA116" s="106"/>
      <c r="AB116" s="106"/>
    </row>
    <row r="117">
      <c r="A117" s="38">
        <v>116.0</v>
      </c>
      <c r="B117" s="42"/>
      <c r="C117" s="51"/>
      <c r="D117" s="38"/>
      <c r="E117" s="38" t="s">
        <v>644</v>
      </c>
      <c r="F117" s="41" t="s">
        <v>645</v>
      </c>
      <c r="G117" s="43"/>
      <c r="H117" s="45"/>
      <c r="I117" s="38"/>
      <c r="J117" s="38">
        <f>317</f>
        <v>317</v>
      </c>
      <c r="K117" s="46">
        <v>0.029108796296296296</v>
      </c>
      <c r="L117" s="47" t="s">
        <v>211</v>
      </c>
      <c r="M117" s="48"/>
      <c r="N117" s="48"/>
      <c r="O117" s="48">
        <f t="shared" si="1"/>
        <v>0</v>
      </c>
      <c r="P117" s="38"/>
      <c r="Q117" s="12" t="str">
        <f t="shared" si="2"/>
        <v/>
      </c>
      <c r="R117" s="42"/>
      <c r="S117" s="42"/>
      <c r="T117" s="42"/>
      <c r="U117" s="51"/>
      <c r="V117" s="52"/>
      <c r="W117" s="55"/>
      <c r="X117" s="57"/>
      <c r="Y117" s="106"/>
      <c r="Z117" s="106"/>
      <c r="AA117" s="106"/>
      <c r="AB117" s="106"/>
    </row>
    <row r="118">
      <c r="A118" s="38">
        <v>117.0</v>
      </c>
      <c r="B118" s="42"/>
      <c r="C118" s="51"/>
      <c r="D118" s="38"/>
      <c r="E118" s="38" t="s">
        <v>646</v>
      </c>
      <c r="F118" s="41" t="s">
        <v>647</v>
      </c>
      <c r="G118" s="43"/>
      <c r="H118" s="45"/>
      <c r="I118" s="38"/>
      <c r="J118" s="38">
        <f>756</f>
        <v>756</v>
      </c>
      <c r="K118" s="46">
        <v>0.013333333333333334</v>
      </c>
      <c r="L118" s="47" t="s">
        <v>211</v>
      </c>
      <c r="M118" s="48"/>
      <c r="N118" s="48"/>
      <c r="O118" s="48">
        <f t="shared" si="1"/>
        <v>0</v>
      </c>
      <c r="P118" s="38"/>
      <c r="Q118" s="12" t="str">
        <f t="shared" si="2"/>
        <v/>
      </c>
      <c r="R118" s="42"/>
      <c r="S118" s="42"/>
      <c r="T118" s="42"/>
      <c r="U118" s="51"/>
      <c r="V118" s="52"/>
      <c r="W118" s="55"/>
      <c r="X118" s="57"/>
      <c r="Y118" s="106"/>
      <c r="Z118" s="106"/>
      <c r="AA118" s="106"/>
      <c r="AB118" s="106"/>
    </row>
    <row r="119">
      <c r="A119" s="38">
        <v>118.0</v>
      </c>
      <c r="B119" s="42"/>
      <c r="C119" s="51"/>
      <c r="D119" s="38"/>
      <c r="E119" s="38" t="s">
        <v>648</v>
      </c>
      <c r="F119" s="41" t="s">
        <v>649</v>
      </c>
      <c r="G119" s="43"/>
      <c r="H119" s="45"/>
      <c r="I119" s="38"/>
      <c r="J119" s="38">
        <f>493</f>
        <v>493</v>
      </c>
      <c r="K119" s="46">
        <v>0.01258101851851852</v>
      </c>
      <c r="L119" s="47" t="s">
        <v>211</v>
      </c>
      <c r="M119" s="48"/>
      <c r="N119" s="48"/>
      <c r="O119" s="48">
        <f t="shared" si="1"/>
        <v>0</v>
      </c>
      <c r="P119" s="38"/>
      <c r="Q119" s="12" t="str">
        <f t="shared" si="2"/>
        <v/>
      </c>
      <c r="R119" s="42"/>
      <c r="S119" s="42"/>
      <c r="T119" s="42"/>
      <c r="U119" s="51"/>
      <c r="V119" s="52"/>
      <c r="W119" s="55"/>
      <c r="X119" s="57"/>
      <c r="Y119" s="106"/>
      <c r="Z119" s="106"/>
      <c r="AA119" s="106"/>
      <c r="AB119" s="106"/>
    </row>
    <row r="120">
      <c r="A120" s="38">
        <v>119.0</v>
      </c>
      <c r="B120" s="42"/>
      <c r="C120" s="51"/>
      <c r="D120" s="38"/>
      <c r="E120" s="38" t="s">
        <v>650</v>
      </c>
      <c r="F120" s="41" t="s">
        <v>651</v>
      </c>
      <c r="G120" s="43"/>
      <c r="H120" s="45"/>
      <c r="I120" s="38"/>
      <c r="J120" s="38">
        <f>1*1000</f>
        <v>1000</v>
      </c>
      <c r="K120" s="46">
        <v>0.03648148148148148</v>
      </c>
      <c r="L120" s="47" t="s">
        <v>211</v>
      </c>
      <c r="M120" s="48"/>
      <c r="N120" s="48"/>
      <c r="O120" s="48">
        <f t="shared" si="1"/>
        <v>0</v>
      </c>
      <c r="P120" s="38"/>
      <c r="Q120" s="12" t="str">
        <f t="shared" si="2"/>
        <v/>
      </c>
      <c r="R120" s="42"/>
      <c r="S120" s="42"/>
      <c r="T120" s="42"/>
      <c r="U120" s="51"/>
      <c r="V120" s="52"/>
      <c r="W120" s="55"/>
      <c r="X120" s="57"/>
      <c r="Y120" s="106"/>
      <c r="Z120" s="106"/>
      <c r="AA120" s="106"/>
      <c r="AB120" s="106"/>
    </row>
    <row r="121">
      <c r="A121" s="38">
        <v>120.0</v>
      </c>
      <c r="B121" s="42"/>
      <c r="C121" s="51"/>
      <c r="D121" s="38"/>
      <c r="E121" s="38" t="s">
        <v>652</v>
      </c>
      <c r="F121" s="41" t="s">
        <v>653</v>
      </c>
      <c r="G121" s="43"/>
      <c r="H121" s="45"/>
      <c r="I121" s="38"/>
      <c r="J121" s="38">
        <f>619</f>
        <v>619</v>
      </c>
      <c r="K121" s="46">
        <v>0.03594907407407407</v>
      </c>
      <c r="L121" s="47" t="s">
        <v>211</v>
      </c>
      <c r="M121" s="48"/>
      <c r="N121" s="48"/>
      <c r="O121" s="48">
        <f t="shared" si="1"/>
        <v>0</v>
      </c>
      <c r="P121" s="38"/>
      <c r="Q121" s="12" t="str">
        <f t="shared" si="2"/>
        <v/>
      </c>
      <c r="R121" s="42"/>
      <c r="S121" s="42"/>
      <c r="T121" s="42"/>
      <c r="U121" s="51"/>
      <c r="V121" s="52"/>
      <c r="W121" s="55"/>
      <c r="X121" s="57"/>
      <c r="Y121" s="106"/>
      <c r="Z121" s="106"/>
      <c r="AA121" s="106"/>
      <c r="AB121" s="106"/>
    </row>
    <row r="122">
      <c r="A122" s="38">
        <v>121.0</v>
      </c>
      <c r="B122" s="42"/>
      <c r="C122" s="51"/>
      <c r="D122" s="38"/>
      <c r="E122" s="38" t="s">
        <v>654</v>
      </c>
      <c r="F122" s="41" t="s">
        <v>655</v>
      </c>
      <c r="G122" s="43"/>
      <c r="H122" s="45"/>
      <c r="I122" s="38"/>
      <c r="J122" s="38">
        <f>658</f>
        <v>658</v>
      </c>
      <c r="K122" s="46">
        <v>0.037592592592592594</v>
      </c>
      <c r="L122" s="47" t="s">
        <v>211</v>
      </c>
      <c r="M122" s="48"/>
      <c r="N122" s="48"/>
      <c r="O122" s="48">
        <f t="shared" si="1"/>
        <v>0</v>
      </c>
      <c r="P122" s="38"/>
      <c r="Q122" s="12" t="str">
        <f t="shared" si="2"/>
        <v/>
      </c>
      <c r="R122" s="42"/>
      <c r="S122" s="42"/>
      <c r="T122" s="42"/>
      <c r="U122" s="51"/>
      <c r="V122" s="52"/>
      <c r="W122" s="55"/>
      <c r="X122" s="57"/>
      <c r="Y122" s="106"/>
      <c r="Z122" s="106"/>
      <c r="AA122" s="106"/>
      <c r="AB122" s="106"/>
    </row>
    <row r="123">
      <c r="A123" s="38">
        <v>122.0</v>
      </c>
      <c r="B123" s="42"/>
      <c r="C123" s="51"/>
      <c r="D123" s="38"/>
      <c r="E123" s="38" t="s">
        <v>656</v>
      </c>
      <c r="F123" s="41" t="s">
        <v>657</v>
      </c>
      <c r="G123" s="43"/>
      <c r="H123" s="45"/>
      <c r="I123" s="38"/>
      <c r="J123" s="38">
        <f>1.5*1000</f>
        <v>1500</v>
      </c>
      <c r="K123" s="46">
        <v>0.04739583333333333</v>
      </c>
      <c r="L123" s="47" t="s">
        <v>211</v>
      </c>
      <c r="M123" s="48"/>
      <c r="N123" s="48"/>
      <c r="O123" s="48">
        <f t="shared" si="1"/>
        <v>0</v>
      </c>
      <c r="P123" s="38"/>
      <c r="Q123" s="12" t="str">
        <f t="shared" si="2"/>
        <v/>
      </c>
      <c r="R123" s="42"/>
      <c r="S123" s="42"/>
      <c r="T123" s="42"/>
      <c r="U123" s="51"/>
      <c r="V123" s="52"/>
      <c r="W123" s="55"/>
      <c r="X123" s="57"/>
      <c r="Y123" s="106"/>
      <c r="Z123" s="106"/>
      <c r="AA123" s="106"/>
      <c r="AB123" s="106"/>
    </row>
    <row r="124">
      <c r="A124" s="38">
        <v>123.0</v>
      </c>
      <c r="B124" s="42"/>
      <c r="C124" s="51"/>
      <c r="D124" s="38"/>
      <c r="E124" s="38" t="s">
        <v>658</v>
      </c>
      <c r="F124" s="41" t="s">
        <v>659</v>
      </c>
      <c r="G124" s="43"/>
      <c r="H124" s="45"/>
      <c r="I124" s="38"/>
      <c r="J124" s="38">
        <f>2.1*1000</f>
        <v>2100</v>
      </c>
      <c r="K124" s="46">
        <v>0.047511574074074074</v>
      </c>
      <c r="L124" s="47" t="s">
        <v>211</v>
      </c>
      <c r="M124" s="48"/>
      <c r="N124" s="48"/>
      <c r="O124" s="48">
        <f t="shared" si="1"/>
        <v>0</v>
      </c>
      <c r="P124" s="38"/>
      <c r="Q124" s="12" t="str">
        <f t="shared" si="2"/>
        <v/>
      </c>
      <c r="R124" s="42"/>
      <c r="S124" s="42"/>
      <c r="T124" s="42"/>
      <c r="U124" s="51"/>
      <c r="V124" s="52"/>
      <c r="W124" s="55"/>
      <c r="X124" s="57"/>
      <c r="Y124" s="106"/>
      <c r="Z124" s="106"/>
      <c r="AA124" s="106"/>
      <c r="AB124" s="106"/>
    </row>
    <row r="125">
      <c r="A125" s="38">
        <v>124.0</v>
      </c>
      <c r="B125" s="42"/>
      <c r="C125" s="51"/>
      <c r="D125" s="38"/>
      <c r="E125" s="38" t="s">
        <v>660</v>
      </c>
      <c r="F125" s="41" t="s">
        <v>661</v>
      </c>
      <c r="G125" s="43"/>
      <c r="H125" s="45"/>
      <c r="I125" s="38"/>
      <c r="J125" s="38">
        <f>1.1*1000</f>
        <v>1100</v>
      </c>
      <c r="K125" s="46">
        <v>0.015659722222222224</v>
      </c>
      <c r="L125" s="47" t="s">
        <v>211</v>
      </c>
      <c r="M125" s="48"/>
      <c r="N125" s="48"/>
      <c r="O125" s="48">
        <f t="shared" si="1"/>
        <v>0</v>
      </c>
      <c r="P125" s="38"/>
      <c r="Q125" s="12" t="str">
        <f t="shared" si="2"/>
        <v/>
      </c>
      <c r="R125" s="42"/>
      <c r="S125" s="42"/>
      <c r="T125" s="42"/>
      <c r="U125" s="51"/>
      <c r="V125" s="52"/>
      <c r="W125" s="55"/>
      <c r="X125" s="57"/>
      <c r="Y125" s="106"/>
      <c r="Z125" s="106"/>
      <c r="AA125" s="106"/>
      <c r="AB125" s="106"/>
    </row>
    <row r="126">
      <c r="A126" s="38">
        <v>125.0</v>
      </c>
      <c r="B126" s="42"/>
      <c r="C126" s="51"/>
      <c r="D126" s="38"/>
      <c r="E126" s="38" t="s">
        <v>662</v>
      </c>
      <c r="F126" s="41" t="s">
        <v>663</v>
      </c>
      <c r="G126" s="43"/>
      <c r="H126" s="45"/>
      <c r="I126" s="38"/>
      <c r="J126" s="38">
        <f>2.3*1000</f>
        <v>2300</v>
      </c>
      <c r="K126" s="46">
        <v>0.054293981481481485</v>
      </c>
      <c r="L126" s="47" t="s">
        <v>211</v>
      </c>
      <c r="M126" s="48"/>
      <c r="N126" s="48"/>
      <c r="O126" s="48">
        <f t="shared" si="1"/>
        <v>0</v>
      </c>
      <c r="P126" s="38"/>
      <c r="Q126" s="12" t="str">
        <f t="shared" si="2"/>
        <v/>
      </c>
      <c r="R126" s="42"/>
      <c r="S126" s="42"/>
      <c r="T126" s="42"/>
      <c r="U126" s="51"/>
      <c r="V126" s="52"/>
      <c r="W126" s="55"/>
      <c r="X126" s="57"/>
      <c r="Y126" s="106"/>
      <c r="Z126" s="106"/>
      <c r="AA126" s="106"/>
      <c r="AB126" s="106"/>
    </row>
    <row r="127">
      <c r="A127" s="38">
        <v>126.0</v>
      </c>
      <c r="B127" s="42"/>
      <c r="C127" s="51"/>
      <c r="D127" s="38"/>
      <c r="E127" s="38" t="s">
        <v>664</v>
      </c>
      <c r="F127" s="41" t="s">
        <v>665</v>
      </c>
      <c r="G127" s="43"/>
      <c r="H127" s="45"/>
      <c r="I127" s="38"/>
      <c r="J127" s="38">
        <f>2.1*1000</f>
        <v>2100</v>
      </c>
      <c r="K127" s="46">
        <v>0.02625</v>
      </c>
      <c r="L127" s="47" t="s">
        <v>211</v>
      </c>
      <c r="M127" s="48"/>
      <c r="N127" s="48"/>
      <c r="O127" s="48">
        <f t="shared" si="1"/>
        <v>0</v>
      </c>
      <c r="P127" s="38"/>
      <c r="Q127" s="12" t="str">
        <f t="shared" si="2"/>
        <v/>
      </c>
      <c r="R127" s="42"/>
      <c r="S127" s="42"/>
      <c r="T127" s="42"/>
      <c r="U127" s="51"/>
      <c r="V127" s="52"/>
      <c r="W127" s="55"/>
      <c r="X127" s="57"/>
      <c r="Y127" s="106"/>
      <c r="Z127" s="106"/>
      <c r="AA127" s="106"/>
      <c r="AB127" s="106"/>
    </row>
    <row r="128">
      <c r="A128" s="38">
        <v>127.0</v>
      </c>
      <c r="B128" s="42"/>
      <c r="C128" s="51"/>
      <c r="D128" s="38"/>
      <c r="E128" s="38" t="s">
        <v>666</v>
      </c>
      <c r="F128" s="41" t="s">
        <v>667</v>
      </c>
      <c r="G128" s="43"/>
      <c r="H128" s="45"/>
      <c r="I128" s="38"/>
      <c r="J128" s="38">
        <f>2.4*1000</f>
        <v>2400</v>
      </c>
      <c r="K128" s="46">
        <v>0.028645833333333332</v>
      </c>
      <c r="L128" s="47" t="s">
        <v>211</v>
      </c>
      <c r="M128" s="48"/>
      <c r="N128" s="48"/>
      <c r="O128" s="48">
        <f t="shared" si="1"/>
        <v>0</v>
      </c>
      <c r="P128" s="38"/>
      <c r="Q128" s="12" t="str">
        <f t="shared" si="2"/>
        <v/>
      </c>
      <c r="R128" s="42"/>
      <c r="S128" s="42"/>
      <c r="T128" s="42"/>
      <c r="U128" s="51"/>
      <c r="V128" s="52"/>
      <c r="W128" s="55"/>
      <c r="X128" s="57"/>
      <c r="Y128" s="106"/>
      <c r="Z128" s="106"/>
      <c r="AA128" s="106"/>
      <c r="AB128" s="106"/>
    </row>
    <row r="129">
      <c r="A129" s="38">
        <v>128.0</v>
      </c>
      <c r="B129" s="42"/>
      <c r="C129" s="51"/>
      <c r="D129" s="38"/>
      <c r="E129" s="38" t="s">
        <v>668</v>
      </c>
      <c r="F129" s="41" t="s">
        <v>669</v>
      </c>
      <c r="G129" s="43"/>
      <c r="H129" s="45"/>
      <c r="I129" s="38"/>
      <c r="J129" s="38">
        <f>1.4*1000</f>
        <v>1400</v>
      </c>
      <c r="K129" s="46">
        <v>0.03318287037037037</v>
      </c>
      <c r="L129" s="47" t="s">
        <v>211</v>
      </c>
      <c r="M129" s="48"/>
      <c r="N129" s="48"/>
      <c r="O129" s="48">
        <f t="shared" si="1"/>
        <v>0</v>
      </c>
      <c r="P129" s="38"/>
      <c r="Q129" s="12" t="str">
        <f t="shared" si="2"/>
        <v/>
      </c>
      <c r="R129" s="42"/>
      <c r="S129" s="42"/>
      <c r="T129" s="42"/>
      <c r="U129" s="51"/>
      <c r="V129" s="52"/>
      <c r="W129" s="55"/>
      <c r="X129" s="57"/>
      <c r="Y129" s="106"/>
      <c r="Z129" s="106"/>
      <c r="AA129" s="106"/>
      <c r="AB129" s="106"/>
    </row>
    <row r="130">
      <c r="A130" s="38">
        <v>129.0</v>
      </c>
      <c r="B130" s="42"/>
      <c r="C130" s="51"/>
      <c r="D130" s="38"/>
      <c r="E130" s="38" t="s">
        <v>670</v>
      </c>
      <c r="F130" s="41" t="s">
        <v>671</v>
      </c>
      <c r="G130" s="43"/>
      <c r="H130" s="45"/>
      <c r="I130" s="38"/>
      <c r="J130" s="38">
        <f>19*1000</f>
        <v>19000</v>
      </c>
      <c r="K130" s="46">
        <v>0.011620370370370371</v>
      </c>
      <c r="L130" s="47" t="s">
        <v>211</v>
      </c>
      <c r="M130" s="48"/>
      <c r="N130" s="48"/>
      <c r="O130" s="48">
        <f t="shared" si="1"/>
        <v>0</v>
      </c>
      <c r="P130" s="38"/>
      <c r="Q130" s="12" t="str">
        <f t="shared" si="2"/>
        <v/>
      </c>
      <c r="R130" s="42"/>
      <c r="S130" s="42"/>
      <c r="T130" s="42"/>
      <c r="U130" s="51"/>
      <c r="V130" s="52"/>
      <c r="W130" s="55"/>
      <c r="X130" s="57"/>
      <c r="Y130" s="106"/>
      <c r="Z130" s="106"/>
      <c r="AA130" s="106"/>
      <c r="AB130" s="106"/>
    </row>
    <row r="131">
      <c r="A131" s="38">
        <v>130.0</v>
      </c>
      <c r="B131" s="42"/>
      <c r="C131" s="51"/>
      <c r="D131" s="38"/>
      <c r="E131" s="38" t="s">
        <v>672</v>
      </c>
      <c r="F131" s="41" t="s">
        <v>673</v>
      </c>
      <c r="G131" s="43"/>
      <c r="H131" s="45"/>
      <c r="I131" s="38"/>
      <c r="J131" s="38">
        <f>651</f>
        <v>651</v>
      </c>
      <c r="K131" s="46">
        <v>0.003981481481481482</v>
      </c>
      <c r="L131" s="47" t="s">
        <v>211</v>
      </c>
      <c r="M131" s="48"/>
      <c r="N131" s="48"/>
      <c r="O131" s="48">
        <f t="shared" si="1"/>
        <v>0</v>
      </c>
      <c r="P131" s="38"/>
      <c r="Q131" s="12" t="str">
        <f t="shared" si="2"/>
        <v/>
      </c>
      <c r="R131" s="42"/>
      <c r="S131" s="42"/>
      <c r="T131" s="42"/>
      <c r="U131" s="51"/>
      <c r="V131" s="52"/>
      <c r="W131" s="55"/>
      <c r="X131" s="57"/>
      <c r="Y131" s="106"/>
      <c r="Z131" s="106"/>
      <c r="AA131" s="106"/>
      <c r="AB131" s="106"/>
    </row>
    <row r="132">
      <c r="A132" s="38">
        <v>131.0</v>
      </c>
      <c r="B132" s="42"/>
      <c r="C132" s="51"/>
      <c r="D132" s="38"/>
      <c r="E132" s="38" t="s">
        <v>674</v>
      </c>
      <c r="F132" s="41" t="s">
        <v>675</v>
      </c>
      <c r="G132" s="43"/>
      <c r="H132" s="45"/>
      <c r="I132" s="38"/>
      <c r="J132" s="38">
        <f>667</f>
        <v>667</v>
      </c>
      <c r="K132" s="46">
        <v>0.003009259259259259</v>
      </c>
      <c r="L132" s="47" t="s">
        <v>211</v>
      </c>
      <c r="M132" s="48"/>
      <c r="N132" s="48"/>
      <c r="O132" s="48">
        <f t="shared" si="1"/>
        <v>0</v>
      </c>
      <c r="P132" s="38"/>
      <c r="Q132" s="12" t="str">
        <f t="shared" si="2"/>
        <v/>
      </c>
      <c r="R132" s="42"/>
      <c r="S132" s="42"/>
      <c r="T132" s="42"/>
      <c r="U132" s="51"/>
      <c r="V132" s="52"/>
      <c r="W132" s="55"/>
      <c r="X132" s="57"/>
      <c r="Y132" s="106"/>
      <c r="Z132" s="106"/>
      <c r="AA132" s="106"/>
      <c r="AB132" s="106"/>
    </row>
    <row r="133">
      <c r="A133" s="38">
        <v>132.0</v>
      </c>
      <c r="B133" s="42"/>
      <c r="C133" s="51"/>
      <c r="D133" s="38"/>
      <c r="E133" s="38" t="s">
        <v>676</v>
      </c>
      <c r="F133" s="41" t="s">
        <v>677</v>
      </c>
      <c r="G133" s="43"/>
      <c r="H133" s="45"/>
      <c r="I133" s="38"/>
      <c r="J133" s="38">
        <f>446</f>
        <v>446</v>
      </c>
      <c r="K133" s="46">
        <v>0.0016087962962962963</v>
      </c>
      <c r="L133" s="47" t="s">
        <v>211</v>
      </c>
      <c r="M133" s="48"/>
      <c r="N133" s="48"/>
      <c r="O133" s="48">
        <f t="shared" si="1"/>
        <v>0</v>
      </c>
      <c r="P133" s="38"/>
      <c r="Q133" s="12" t="str">
        <f t="shared" si="2"/>
        <v/>
      </c>
      <c r="R133" s="42"/>
      <c r="S133" s="42"/>
      <c r="T133" s="42"/>
      <c r="U133" s="51"/>
      <c r="V133" s="52"/>
      <c r="W133" s="55"/>
      <c r="X133" s="57"/>
      <c r="Y133" s="106"/>
      <c r="Z133" s="106"/>
      <c r="AA133" s="106"/>
      <c r="AB133" s="106"/>
    </row>
    <row r="134">
      <c r="A134" s="38">
        <v>133.0</v>
      </c>
      <c r="B134" s="42"/>
      <c r="C134" s="51"/>
      <c r="D134" s="38"/>
      <c r="E134" s="38" t="s">
        <v>678</v>
      </c>
      <c r="F134" s="41" t="s">
        <v>679</v>
      </c>
      <c r="G134" s="43"/>
      <c r="H134" s="45"/>
      <c r="I134" s="38"/>
      <c r="J134" s="38">
        <f>1.5*1000</f>
        <v>1500</v>
      </c>
      <c r="K134" s="46">
        <v>0.020995370370370373</v>
      </c>
      <c r="L134" s="47" t="s">
        <v>211</v>
      </c>
      <c r="M134" s="48"/>
      <c r="N134" s="48"/>
      <c r="O134" s="48">
        <f t="shared" si="1"/>
        <v>0</v>
      </c>
      <c r="P134" s="38"/>
      <c r="Q134" s="12" t="str">
        <f t="shared" si="2"/>
        <v/>
      </c>
      <c r="R134" s="42"/>
      <c r="S134" s="42"/>
      <c r="T134" s="42"/>
      <c r="U134" s="51"/>
      <c r="V134" s="52"/>
      <c r="W134" s="55"/>
      <c r="X134" s="57"/>
      <c r="Y134" s="106"/>
      <c r="Z134" s="106"/>
      <c r="AA134" s="106"/>
      <c r="AB134" s="106"/>
    </row>
    <row r="135">
      <c r="A135" s="38">
        <v>134.0</v>
      </c>
      <c r="B135" s="42"/>
      <c r="C135" s="51"/>
      <c r="D135" s="38"/>
      <c r="E135" s="38" t="s">
        <v>680</v>
      </c>
      <c r="F135" s="41" t="s">
        <v>681</v>
      </c>
      <c r="G135" s="43"/>
      <c r="H135" s="45"/>
      <c r="I135" s="38"/>
      <c r="J135" s="38">
        <f>919</f>
        <v>919</v>
      </c>
      <c r="K135" s="46">
        <v>0.03947916666666667</v>
      </c>
      <c r="L135" s="47" t="s">
        <v>211</v>
      </c>
      <c r="M135" s="48"/>
      <c r="N135" s="48"/>
      <c r="O135" s="48">
        <f t="shared" si="1"/>
        <v>0</v>
      </c>
      <c r="P135" s="38"/>
      <c r="Q135" s="12" t="str">
        <f t="shared" si="2"/>
        <v/>
      </c>
      <c r="R135" s="42"/>
      <c r="S135" s="42"/>
      <c r="T135" s="42"/>
      <c r="U135" s="51"/>
      <c r="V135" s="52"/>
      <c r="W135" s="55"/>
      <c r="X135" s="57"/>
      <c r="Y135" s="106"/>
      <c r="Z135" s="106"/>
      <c r="AA135" s="106"/>
      <c r="AB135" s="106"/>
    </row>
    <row r="136">
      <c r="A136" s="38">
        <v>135.0</v>
      </c>
      <c r="B136" s="42"/>
      <c r="C136" s="51"/>
      <c r="D136" s="38"/>
      <c r="E136" s="38" t="s">
        <v>682</v>
      </c>
      <c r="F136" s="41" t="s">
        <v>683</v>
      </c>
      <c r="G136" s="43"/>
      <c r="H136" s="45"/>
      <c r="I136" s="38"/>
      <c r="J136" s="38">
        <f>1*1000</f>
        <v>1000</v>
      </c>
      <c r="K136" s="46">
        <v>0.012499999999999999</v>
      </c>
      <c r="L136" s="47" t="s">
        <v>211</v>
      </c>
      <c r="M136" s="48"/>
      <c r="N136" s="48"/>
      <c r="O136" s="48">
        <f t="shared" si="1"/>
        <v>0</v>
      </c>
      <c r="P136" s="38"/>
      <c r="Q136" s="12" t="str">
        <f t="shared" si="2"/>
        <v/>
      </c>
      <c r="R136" s="42"/>
      <c r="S136" s="42"/>
      <c r="T136" s="42"/>
      <c r="U136" s="51"/>
      <c r="V136" s="52"/>
      <c r="W136" s="55"/>
      <c r="X136" s="57"/>
      <c r="Y136" s="106"/>
      <c r="Z136" s="106"/>
      <c r="AA136" s="106"/>
      <c r="AB136" s="106"/>
    </row>
    <row r="137">
      <c r="A137" s="38">
        <v>136.0</v>
      </c>
      <c r="B137" s="42"/>
      <c r="C137" s="51"/>
      <c r="D137" s="38"/>
      <c r="E137" s="38" t="s">
        <v>684</v>
      </c>
      <c r="F137" s="41" t="s">
        <v>685</v>
      </c>
      <c r="G137" s="43"/>
      <c r="H137" s="45"/>
      <c r="I137" s="38"/>
      <c r="J137" s="38">
        <f>246</f>
        <v>246</v>
      </c>
      <c r="K137" s="46">
        <v>0.0018055555555555557</v>
      </c>
      <c r="L137" s="47" t="s">
        <v>211</v>
      </c>
      <c r="M137" s="48"/>
      <c r="N137" s="48"/>
      <c r="O137" s="48">
        <f t="shared" si="1"/>
        <v>0</v>
      </c>
      <c r="P137" s="38"/>
      <c r="Q137" s="12" t="str">
        <f t="shared" si="2"/>
        <v/>
      </c>
      <c r="R137" s="42"/>
      <c r="S137" s="42"/>
      <c r="T137" s="42"/>
      <c r="U137" s="51"/>
      <c r="V137" s="52"/>
      <c r="W137" s="55"/>
      <c r="X137" s="57"/>
      <c r="Y137" s="106"/>
      <c r="Z137" s="106"/>
      <c r="AA137" s="106"/>
      <c r="AB137" s="106"/>
    </row>
    <row r="138">
      <c r="A138" s="38">
        <v>137.0</v>
      </c>
      <c r="B138" s="42"/>
      <c r="C138" s="51"/>
      <c r="D138" s="38"/>
      <c r="E138" s="38" t="s">
        <v>686</v>
      </c>
      <c r="F138" s="41" t="s">
        <v>687</v>
      </c>
      <c r="G138" s="43"/>
      <c r="H138" s="45"/>
      <c r="I138" s="38"/>
      <c r="J138" s="38">
        <f>10*1000</f>
        <v>10000</v>
      </c>
      <c r="K138" s="46">
        <v>0.03175925925925926</v>
      </c>
      <c r="L138" s="47" t="s">
        <v>211</v>
      </c>
      <c r="M138" s="48"/>
      <c r="N138" s="48"/>
      <c r="O138" s="48">
        <f t="shared" si="1"/>
        <v>0</v>
      </c>
      <c r="P138" s="38"/>
      <c r="Q138" s="12" t="str">
        <f t="shared" si="2"/>
        <v/>
      </c>
      <c r="R138" s="42"/>
      <c r="S138" s="42"/>
      <c r="T138" s="42"/>
      <c r="U138" s="51"/>
      <c r="V138" s="52"/>
      <c r="W138" s="55"/>
      <c r="X138" s="57"/>
      <c r="Y138" s="106"/>
      <c r="Z138" s="106"/>
      <c r="AA138" s="106"/>
      <c r="AB138" s="106"/>
    </row>
    <row r="139">
      <c r="A139" s="38">
        <v>138.0</v>
      </c>
      <c r="B139" s="42"/>
      <c r="C139" s="51"/>
      <c r="D139" s="38"/>
      <c r="E139" s="38" t="s">
        <v>690</v>
      </c>
      <c r="F139" s="41" t="s">
        <v>691</v>
      </c>
      <c r="G139" s="43"/>
      <c r="H139" s="45"/>
      <c r="I139" s="38"/>
      <c r="J139" s="38">
        <f>955</f>
        <v>955</v>
      </c>
      <c r="K139" s="46">
        <v>0.005520833333333333</v>
      </c>
      <c r="L139" s="47" t="s">
        <v>211</v>
      </c>
      <c r="M139" s="48"/>
      <c r="N139" s="48"/>
      <c r="O139" s="48">
        <f t="shared" si="1"/>
        <v>0</v>
      </c>
      <c r="P139" s="38"/>
      <c r="Q139" s="12" t="str">
        <f t="shared" si="2"/>
        <v/>
      </c>
      <c r="R139" s="42"/>
      <c r="S139" s="42"/>
      <c r="T139" s="42"/>
      <c r="U139" s="51"/>
      <c r="V139" s="52"/>
      <c r="W139" s="55"/>
      <c r="X139" s="57"/>
      <c r="Y139" s="106"/>
      <c r="Z139" s="106"/>
      <c r="AA139" s="106"/>
      <c r="AB139" s="106"/>
    </row>
    <row r="140">
      <c r="A140" s="38">
        <v>139.0</v>
      </c>
      <c r="B140" s="42"/>
      <c r="C140" s="51"/>
      <c r="D140" s="38"/>
      <c r="E140" s="38" t="s">
        <v>696</v>
      </c>
      <c r="F140" s="41" t="s">
        <v>697</v>
      </c>
      <c r="G140" s="43"/>
      <c r="H140" s="45"/>
      <c r="I140" s="38"/>
      <c r="J140" s="38">
        <f>5.6*1000</f>
        <v>5600</v>
      </c>
      <c r="K140" s="46">
        <v>0.037083333333333336</v>
      </c>
      <c r="L140" s="47" t="s">
        <v>211</v>
      </c>
      <c r="M140" s="48"/>
      <c r="N140" s="48"/>
      <c r="O140" s="48">
        <f t="shared" si="1"/>
        <v>0</v>
      </c>
      <c r="P140" s="38"/>
      <c r="Q140" s="12" t="str">
        <f t="shared" si="2"/>
        <v/>
      </c>
      <c r="R140" s="42"/>
      <c r="S140" s="42"/>
      <c r="T140" s="42"/>
      <c r="U140" s="51"/>
      <c r="V140" s="52"/>
      <c r="W140" s="55"/>
      <c r="X140" s="57"/>
      <c r="Y140" s="106"/>
      <c r="Z140" s="106"/>
      <c r="AA140" s="106"/>
      <c r="AB140" s="106"/>
    </row>
    <row r="141">
      <c r="A141" s="38">
        <v>140.0</v>
      </c>
      <c r="B141" s="42"/>
      <c r="C141" s="51"/>
      <c r="D141" s="38"/>
      <c r="E141" s="38" t="s">
        <v>700</v>
      </c>
      <c r="F141" s="41" t="s">
        <v>701</v>
      </c>
      <c r="G141" s="43"/>
      <c r="H141" s="45"/>
      <c r="I141" s="38"/>
      <c r="J141" s="38">
        <f>1*1000</f>
        <v>1000</v>
      </c>
      <c r="K141" s="46">
        <v>0.03362268518518518</v>
      </c>
      <c r="L141" s="47" t="s">
        <v>211</v>
      </c>
      <c r="M141" s="48"/>
      <c r="N141" s="48"/>
      <c r="O141" s="48">
        <f t="shared" si="1"/>
        <v>0</v>
      </c>
      <c r="P141" s="38"/>
      <c r="Q141" s="12" t="str">
        <f t="shared" si="2"/>
        <v/>
      </c>
      <c r="R141" s="42"/>
      <c r="S141" s="42"/>
      <c r="T141" s="42"/>
      <c r="U141" s="51"/>
      <c r="V141" s="52"/>
      <c r="W141" s="55"/>
      <c r="X141" s="57"/>
      <c r="Y141" s="106"/>
      <c r="Z141" s="106"/>
      <c r="AA141" s="106"/>
      <c r="AB141" s="106"/>
    </row>
    <row r="142">
      <c r="A142" s="38">
        <v>141.0</v>
      </c>
      <c r="B142" s="42"/>
      <c r="C142" s="51"/>
      <c r="D142" s="38"/>
      <c r="E142" s="38" t="s">
        <v>708</v>
      </c>
      <c r="F142" s="41" t="s">
        <v>709</v>
      </c>
      <c r="G142" s="43"/>
      <c r="H142" s="45"/>
      <c r="I142" s="38"/>
      <c r="J142" s="38">
        <f>758</f>
        <v>758</v>
      </c>
      <c r="K142" s="46">
        <v>0.029050925925925928</v>
      </c>
      <c r="L142" s="47" t="s">
        <v>211</v>
      </c>
      <c r="M142" s="48"/>
      <c r="N142" s="48"/>
      <c r="O142" s="48">
        <f t="shared" si="1"/>
        <v>0</v>
      </c>
      <c r="P142" s="38"/>
      <c r="Q142" s="12" t="str">
        <f t="shared" si="2"/>
        <v/>
      </c>
      <c r="R142" s="42"/>
      <c r="S142" s="42"/>
      <c r="T142" s="42"/>
      <c r="U142" s="51"/>
      <c r="V142" s="52"/>
      <c r="W142" s="55"/>
      <c r="X142" s="57"/>
      <c r="Y142" s="106"/>
      <c r="Z142" s="106"/>
      <c r="AA142" s="106"/>
      <c r="AB142" s="106"/>
    </row>
    <row r="143">
      <c r="A143" s="38">
        <v>142.0</v>
      </c>
      <c r="B143" s="42"/>
      <c r="C143" s="51"/>
      <c r="D143" s="38"/>
      <c r="E143" s="38" t="s">
        <v>715</v>
      </c>
      <c r="F143" s="41" t="s">
        <v>717</v>
      </c>
      <c r="G143" s="43"/>
      <c r="H143" s="45"/>
      <c r="I143" s="38"/>
      <c r="J143" s="38">
        <f>483</f>
        <v>483</v>
      </c>
      <c r="K143" s="46">
        <v>0.021400462962962965</v>
      </c>
      <c r="L143" s="47" t="s">
        <v>211</v>
      </c>
      <c r="M143" s="48"/>
      <c r="N143" s="48"/>
      <c r="O143" s="48">
        <f t="shared" si="1"/>
        <v>0</v>
      </c>
      <c r="P143" s="38"/>
      <c r="Q143" s="12" t="str">
        <f t="shared" si="2"/>
        <v/>
      </c>
      <c r="R143" s="42"/>
      <c r="S143" s="42"/>
      <c r="T143" s="42"/>
      <c r="U143" s="51"/>
      <c r="V143" s="52"/>
      <c r="W143" s="55"/>
      <c r="X143" s="57"/>
      <c r="Y143" s="106"/>
      <c r="Z143" s="106"/>
      <c r="AA143" s="106"/>
      <c r="AB143" s="106"/>
    </row>
    <row r="144">
      <c r="A144" s="38">
        <v>143.0</v>
      </c>
      <c r="B144" s="42"/>
      <c r="C144" s="51"/>
      <c r="D144" s="38"/>
      <c r="E144" s="38" t="s">
        <v>722</v>
      </c>
      <c r="F144" s="41" t="s">
        <v>723</v>
      </c>
      <c r="G144" s="43"/>
      <c r="H144" s="45"/>
      <c r="I144" s="38"/>
      <c r="J144" s="38">
        <f>435</f>
        <v>435</v>
      </c>
      <c r="K144" s="46">
        <v>0.014490740740740742</v>
      </c>
      <c r="L144" s="47" t="s">
        <v>211</v>
      </c>
      <c r="M144" s="48"/>
      <c r="N144" s="48"/>
      <c r="O144" s="48">
        <f t="shared" si="1"/>
        <v>0</v>
      </c>
      <c r="P144" s="38"/>
      <c r="Q144" s="12" t="str">
        <f t="shared" si="2"/>
        <v/>
      </c>
      <c r="R144" s="42"/>
      <c r="S144" s="42"/>
      <c r="T144" s="42"/>
      <c r="U144" s="51"/>
      <c r="V144" s="52"/>
      <c r="W144" s="55"/>
      <c r="X144" s="57"/>
      <c r="Y144" s="106"/>
      <c r="Z144" s="106"/>
      <c r="AA144" s="106"/>
      <c r="AB144" s="106"/>
    </row>
    <row r="145">
      <c r="A145" s="38">
        <v>144.0</v>
      </c>
      <c r="B145" s="42"/>
      <c r="C145" s="51"/>
      <c r="D145" s="38"/>
      <c r="E145" s="38" t="s">
        <v>727</v>
      </c>
      <c r="F145" s="41" t="s">
        <v>728</v>
      </c>
      <c r="G145" s="43"/>
      <c r="H145" s="45"/>
      <c r="I145" s="38"/>
      <c r="J145" s="38">
        <f>409</f>
        <v>409</v>
      </c>
      <c r="K145" s="46">
        <v>0.01105324074074074</v>
      </c>
      <c r="L145" s="47" t="s">
        <v>211</v>
      </c>
      <c r="M145" s="48"/>
      <c r="N145" s="48"/>
      <c r="O145" s="48">
        <f t="shared" si="1"/>
        <v>0</v>
      </c>
      <c r="P145" s="38"/>
      <c r="Q145" s="12" t="str">
        <f t="shared" si="2"/>
        <v/>
      </c>
      <c r="R145" s="42"/>
      <c r="S145" s="42"/>
      <c r="T145" s="42"/>
      <c r="U145" s="51"/>
      <c r="V145" s="52"/>
      <c r="W145" s="55"/>
      <c r="X145" s="57"/>
      <c r="Y145" s="106"/>
      <c r="Z145" s="106"/>
      <c r="AA145" s="106"/>
      <c r="AB145" s="106"/>
    </row>
    <row r="146">
      <c r="A146" s="38">
        <v>145.0</v>
      </c>
      <c r="B146" s="42"/>
      <c r="C146" s="51"/>
      <c r="D146" s="38"/>
      <c r="E146" s="38" t="s">
        <v>732</v>
      </c>
      <c r="F146" s="41" t="s">
        <v>733</v>
      </c>
      <c r="G146" s="43"/>
      <c r="H146" s="45"/>
      <c r="I146" s="38"/>
      <c r="J146" s="38">
        <f>925</f>
        <v>925</v>
      </c>
      <c r="K146" s="46">
        <v>0.02017361111111111</v>
      </c>
      <c r="L146" s="47" t="s">
        <v>211</v>
      </c>
      <c r="M146" s="48"/>
      <c r="N146" s="48"/>
      <c r="O146" s="48">
        <f t="shared" si="1"/>
        <v>0</v>
      </c>
      <c r="P146" s="38"/>
      <c r="Q146" s="12" t="str">
        <f t="shared" si="2"/>
        <v/>
      </c>
      <c r="R146" s="42"/>
      <c r="S146" s="42"/>
      <c r="T146" s="42"/>
      <c r="U146" s="51"/>
      <c r="V146" s="52"/>
      <c r="W146" s="55"/>
      <c r="X146" s="57"/>
      <c r="Y146" s="106"/>
      <c r="Z146" s="106"/>
      <c r="AA146" s="106"/>
      <c r="AB146" s="106"/>
    </row>
    <row r="147">
      <c r="A147" s="38">
        <v>146.0</v>
      </c>
      <c r="B147" s="42"/>
      <c r="C147" s="51"/>
      <c r="D147" s="38"/>
      <c r="E147" s="38" t="s">
        <v>736</v>
      </c>
      <c r="F147" s="41" t="s">
        <v>737</v>
      </c>
      <c r="G147" s="43"/>
      <c r="H147" s="45"/>
      <c r="I147" s="38"/>
      <c r="J147" s="38">
        <f>427</f>
        <v>427</v>
      </c>
      <c r="K147" s="46">
        <v>0.0031249999999999997</v>
      </c>
      <c r="L147" s="47" t="s">
        <v>211</v>
      </c>
      <c r="M147" s="48"/>
      <c r="N147" s="48"/>
      <c r="O147" s="48">
        <f t="shared" si="1"/>
        <v>0</v>
      </c>
      <c r="P147" s="38"/>
      <c r="Q147" s="12" t="str">
        <f t="shared" si="2"/>
        <v/>
      </c>
      <c r="R147" s="42"/>
      <c r="S147" s="42"/>
      <c r="T147" s="42"/>
      <c r="U147" s="51"/>
      <c r="V147" s="52"/>
      <c r="W147" s="55"/>
      <c r="X147" s="57"/>
      <c r="Y147" s="106"/>
      <c r="Z147" s="106"/>
      <c r="AA147" s="106"/>
      <c r="AB147" s="106"/>
    </row>
    <row r="148">
      <c r="A148" s="38">
        <v>147.0</v>
      </c>
      <c r="B148" s="42"/>
      <c r="C148" s="51"/>
      <c r="D148" s="38"/>
      <c r="E148" s="38" t="s">
        <v>738</v>
      </c>
      <c r="F148" s="41" t="s">
        <v>739</v>
      </c>
      <c r="G148" s="43"/>
      <c r="H148" s="45"/>
      <c r="I148" s="38"/>
      <c r="J148" s="38">
        <f>3.5*1000</f>
        <v>3500</v>
      </c>
      <c r="K148" s="46">
        <v>0.025208333333333333</v>
      </c>
      <c r="L148" s="47" t="s">
        <v>211</v>
      </c>
      <c r="M148" s="48"/>
      <c r="N148" s="48"/>
      <c r="O148" s="48">
        <f t="shared" si="1"/>
        <v>0</v>
      </c>
      <c r="P148" s="38"/>
      <c r="Q148" s="12" t="str">
        <f t="shared" si="2"/>
        <v/>
      </c>
      <c r="R148" s="42"/>
      <c r="S148" s="42"/>
      <c r="T148" s="42"/>
      <c r="U148" s="51"/>
      <c r="V148" s="52"/>
      <c r="W148" s="55"/>
      <c r="X148" s="57"/>
      <c r="Y148" s="106"/>
      <c r="Z148" s="106"/>
      <c r="AA148" s="106"/>
      <c r="AB148" s="106"/>
    </row>
    <row r="149">
      <c r="A149" s="38">
        <v>148.0</v>
      </c>
      <c r="B149" s="42"/>
      <c r="C149" s="51"/>
      <c r="D149" s="38"/>
      <c r="E149" s="38" t="s">
        <v>742</v>
      </c>
      <c r="F149" s="41" t="s">
        <v>743</v>
      </c>
      <c r="G149" s="43"/>
      <c r="H149" s="45"/>
      <c r="I149" s="38"/>
      <c r="J149" s="38">
        <f>1.1*1000</f>
        <v>1100</v>
      </c>
      <c r="K149" s="46">
        <v>0.036597222222222225</v>
      </c>
      <c r="L149" s="47" t="s">
        <v>211</v>
      </c>
      <c r="M149" s="48"/>
      <c r="N149" s="48"/>
      <c r="O149" s="48">
        <f t="shared" si="1"/>
        <v>0</v>
      </c>
      <c r="P149" s="38"/>
      <c r="Q149" s="12" t="str">
        <f t="shared" si="2"/>
        <v/>
      </c>
      <c r="R149" s="42"/>
      <c r="S149" s="42"/>
      <c r="T149" s="42"/>
      <c r="U149" s="51"/>
      <c r="V149" s="52"/>
      <c r="W149" s="55"/>
      <c r="X149" s="57"/>
      <c r="Y149" s="106"/>
      <c r="Z149" s="106"/>
      <c r="AA149" s="106"/>
      <c r="AB149" s="106"/>
    </row>
    <row r="150">
      <c r="A150" s="38">
        <v>149.0</v>
      </c>
      <c r="B150" s="63" t="s">
        <v>274</v>
      </c>
      <c r="C150" s="51"/>
      <c r="D150" s="39" t="s">
        <v>55</v>
      </c>
      <c r="E150" s="38" t="s">
        <v>747</v>
      </c>
      <c r="F150" s="41" t="s">
        <v>748</v>
      </c>
      <c r="G150" s="43"/>
      <c r="H150" s="45"/>
      <c r="I150" s="38"/>
      <c r="J150" s="38">
        <f>1.2*1000</f>
        <v>1200</v>
      </c>
      <c r="K150" s="46">
        <v>0.04230324074074074</v>
      </c>
      <c r="L150" s="47" t="s">
        <v>211</v>
      </c>
      <c r="M150" s="48"/>
      <c r="N150" s="48"/>
      <c r="O150" s="48">
        <f t="shared" si="1"/>
        <v>0</v>
      </c>
      <c r="P150" s="89">
        <v>43025.0</v>
      </c>
      <c r="Q150" s="12" t="str">
        <f t="shared" si="2"/>
        <v/>
      </c>
      <c r="R150" s="63" t="s">
        <v>61</v>
      </c>
      <c r="S150" s="63" t="s">
        <v>61</v>
      </c>
      <c r="T150" s="63" t="s">
        <v>61</v>
      </c>
      <c r="U150" s="51"/>
      <c r="V150" s="52"/>
      <c r="W150" s="81" t="s">
        <v>62</v>
      </c>
      <c r="X150" s="57"/>
      <c r="Y150" s="106"/>
      <c r="Z150" s="106"/>
      <c r="AA150" s="106"/>
      <c r="AB150" s="106"/>
    </row>
    <row r="151">
      <c r="A151" s="38">
        <v>150.0</v>
      </c>
      <c r="B151" s="42"/>
      <c r="C151" s="51"/>
      <c r="D151" s="38"/>
      <c r="E151" s="38" t="s">
        <v>751</v>
      </c>
      <c r="F151" s="41" t="s">
        <v>752</v>
      </c>
      <c r="G151" s="43"/>
      <c r="H151" s="45"/>
      <c r="I151" s="38"/>
      <c r="J151" s="38">
        <f>1.3*1000</f>
        <v>1300</v>
      </c>
      <c r="K151" s="46">
        <v>0.04212962962962963</v>
      </c>
      <c r="L151" s="47" t="s">
        <v>211</v>
      </c>
      <c r="M151" s="48"/>
      <c r="N151" s="48"/>
      <c r="O151" s="48">
        <f t="shared" si="1"/>
        <v>0</v>
      </c>
      <c r="P151" s="38"/>
      <c r="Q151" s="12" t="str">
        <f t="shared" si="2"/>
        <v/>
      </c>
      <c r="R151" s="42"/>
      <c r="S151" s="42"/>
      <c r="T151" s="42"/>
      <c r="U151" s="51"/>
      <c r="V151" s="52"/>
      <c r="W151" s="55"/>
      <c r="X151" s="57"/>
      <c r="Y151" s="106"/>
      <c r="Z151" s="106"/>
      <c r="AA151" s="106"/>
      <c r="AB151" s="106"/>
    </row>
    <row r="152">
      <c r="A152" s="38">
        <v>151.0</v>
      </c>
      <c r="B152" s="42"/>
      <c r="C152" s="51"/>
      <c r="D152" s="38"/>
      <c r="E152" s="38" t="s">
        <v>754</v>
      </c>
      <c r="F152" s="41" t="s">
        <v>755</v>
      </c>
      <c r="G152" s="43"/>
      <c r="H152" s="45"/>
      <c r="I152" s="38"/>
      <c r="J152" s="38">
        <f>1*1000</f>
        <v>1000</v>
      </c>
      <c r="K152" s="46">
        <v>0.03302083333333333</v>
      </c>
      <c r="L152" s="47" t="s">
        <v>211</v>
      </c>
      <c r="M152" s="48"/>
      <c r="N152" s="48"/>
      <c r="O152" s="48">
        <f t="shared" si="1"/>
        <v>0</v>
      </c>
      <c r="P152" s="38"/>
      <c r="Q152" s="12" t="str">
        <f t="shared" si="2"/>
        <v/>
      </c>
      <c r="R152" s="42"/>
      <c r="S152" s="42"/>
      <c r="T152" s="42"/>
      <c r="U152" s="51"/>
      <c r="V152" s="52"/>
      <c r="W152" s="55"/>
      <c r="X152" s="57"/>
      <c r="Y152" s="106"/>
      <c r="Z152" s="106"/>
      <c r="AA152" s="106"/>
      <c r="AB152" s="106"/>
    </row>
    <row r="153">
      <c r="A153" s="38">
        <v>152.0</v>
      </c>
      <c r="B153" s="42"/>
      <c r="C153" s="51"/>
      <c r="D153" s="38"/>
      <c r="E153" s="38" t="s">
        <v>758</v>
      </c>
      <c r="F153" s="41" t="s">
        <v>759</v>
      </c>
      <c r="G153" s="43"/>
      <c r="H153" s="45"/>
      <c r="I153" s="38"/>
      <c r="J153" s="38">
        <f>503</f>
        <v>503</v>
      </c>
      <c r="K153" s="46">
        <v>0.07828703703703704</v>
      </c>
      <c r="L153" s="47" t="s">
        <v>211</v>
      </c>
      <c r="M153" s="48"/>
      <c r="N153" s="48"/>
      <c r="O153" s="48">
        <f t="shared" si="1"/>
        <v>0</v>
      </c>
      <c r="P153" s="38"/>
      <c r="Q153" s="12" t="str">
        <f t="shared" si="2"/>
        <v/>
      </c>
      <c r="R153" s="42"/>
      <c r="S153" s="42"/>
      <c r="T153" s="42"/>
      <c r="U153" s="51"/>
      <c r="V153" s="52"/>
      <c r="W153" s="55"/>
      <c r="X153" s="57"/>
      <c r="Y153" s="106"/>
      <c r="Z153" s="106"/>
      <c r="AA153" s="106"/>
      <c r="AB153" s="106"/>
    </row>
    <row r="154">
      <c r="A154" s="38">
        <v>153.0</v>
      </c>
      <c r="B154" s="42"/>
      <c r="C154" s="51"/>
      <c r="D154" s="38"/>
      <c r="E154" s="38" t="s">
        <v>762</v>
      </c>
      <c r="F154" s="41" t="s">
        <v>763</v>
      </c>
      <c r="G154" s="43"/>
      <c r="H154" s="45"/>
      <c r="I154" s="38"/>
      <c r="J154" s="38">
        <f>545</f>
        <v>545</v>
      </c>
      <c r="K154" s="46">
        <v>0.022743055555555555</v>
      </c>
      <c r="L154" s="47" t="s">
        <v>211</v>
      </c>
      <c r="M154" s="48"/>
      <c r="N154" s="48"/>
      <c r="O154" s="48">
        <f t="shared" si="1"/>
        <v>0</v>
      </c>
      <c r="P154" s="38"/>
      <c r="Q154" s="12" t="str">
        <f t="shared" si="2"/>
        <v/>
      </c>
      <c r="R154" s="42"/>
      <c r="S154" s="42"/>
      <c r="T154" s="42"/>
      <c r="U154" s="51"/>
      <c r="V154" s="52"/>
      <c r="W154" s="55"/>
      <c r="X154" s="57"/>
      <c r="Y154" s="106"/>
      <c r="Z154" s="106"/>
      <c r="AA154" s="106"/>
      <c r="AB154" s="106"/>
    </row>
    <row r="155">
      <c r="A155" s="38">
        <v>154.0</v>
      </c>
      <c r="B155" s="42"/>
      <c r="C155" s="51"/>
      <c r="D155" s="38"/>
      <c r="E155" s="38" t="s">
        <v>769</v>
      </c>
      <c r="F155" s="41" t="s">
        <v>770</v>
      </c>
      <c r="G155" s="43"/>
      <c r="H155" s="45"/>
      <c r="I155" s="38"/>
      <c r="J155" s="38">
        <f>1*1000</f>
        <v>1000</v>
      </c>
      <c r="K155" s="46">
        <v>0.04626157407407407</v>
      </c>
      <c r="L155" s="47" t="s">
        <v>211</v>
      </c>
      <c r="M155" s="48"/>
      <c r="N155" s="48"/>
      <c r="O155" s="48">
        <f t="shared" si="1"/>
        <v>0</v>
      </c>
      <c r="P155" s="38"/>
      <c r="Q155" s="12" t="str">
        <f t="shared" si="2"/>
        <v/>
      </c>
      <c r="R155" s="42"/>
      <c r="S155" s="42"/>
      <c r="T155" s="42"/>
      <c r="U155" s="51"/>
      <c r="V155" s="52"/>
      <c r="W155" s="55"/>
      <c r="X155" s="57"/>
      <c r="Y155" s="106"/>
      <c r="Z155" s="106"/>
      <c r="AA155" s="106"/>
      <c r="AB155" s="106"/>
    </row>
    <row r="156">
      <c r="A156" s="38">
        <v>155.0</v>
      </c>
      <c r="B156" s="63" t="s">
        <v>274</v>
      </c>
      <c r="C156" s="51"/>
      <c r="D156" s="39" t="s">
        <v>145</v>
      </c>
      <c r="E156" s="38" t="s">
        <v>771</v>
      </c>
      <c r="F156" s="41" t="s">
        <v>772</v>
      </c>
      <c r="G156" s="43"/>
      <c r="H156" s="45"/>
      <c r="I156" s="38"/>
      <c r="J156" s="38">
        <f>453</f>
        <v>453</v>
      </c>
      <c r="K156" s="46">
        <v>0.004918981481481482</v>
      </c>
      <c r="L156" s="47" t="s">
        <v>211</v>
      </c>
      <c r="M156" s="48"/>
      <c r="N156" s="48"/>
      <c r="O156" s="48">
        <f t="shared" si="1"/>
        <v>0</v>
      </c>
      <c r="P156" s="89">
        <v>43030.0</v>
      </c>
      <c r="Q156" s="12" t="str">
        <f t="shared" si="2"/>
        <v/>
      </c>
      <c r="R156" s="63" t="s">
        <v>61</v>
      </c>
      <c r="S156" s="63" t="s">
        <v>61</v>
      </c>
      <c r="T156" s="63" t="s">
        <v>61</v>
      </c>
      <c r="U156" s="51"/>
      <c r="V156" s="52"/>
      <c r="W156" s="81" t="s">
        <v>62</v>
      </c>
      <c r="X156" s="57"/>
      <c r="Y156" s="106"/>
      <c r="Z156" s="106"/>
      <c r="AA156" s="106"/>
      <c r="AB156" s="106"/>
    </row>
    <row r="157">
      <c r="A157" s="38">
        <v>156.0</v>
      </c>
      <c r="B157" s="63" t="s">
        <v>274</v>
      </c>
      <c r="C157" s="51"/>
      <c r="D157" s="39" t="s">
        <v>145</v>
      </c>
      <c r="E157" s="38" t="s">
        <v>773</v>
      </c>
      <c r="F157" s="41" t="s">
        <v>774</v>
      </c>
      <c r="G157" s="43"/>
      <c r="H157" s="45"/>
      <c r="I157" s="38"/>
      <c r="J157" s="38">
        <f>446</f>
        <v>446</v>
      </c>
      <c r="K157" s="46">
        <v>0.0022916666666666667</v>
      </c>
      <c r="L157" s="47" t="s">
        <v>211</v>
      </c>
      <c r="M157" s="48"/>
      <c r="N157" s="48"/>
      <c r="O157" s="48">
        <f t="shared" si="1"/>
        <v>0</v>
      </c>
      <c r="P157" s="38"/>
      <c r="Q157" s="12" t="str">
        <f t="shared" si="2"/>
        <v/>
      </c>
      <c r="R157" s="42"/>
      <c r="S157" s="42"/>
      <c r="T157" s="42"/>
      <c r="U157" s="51"/>
      <c r="V157" s="52"/>
      <c r="W157" s="55"/>
      <c r="X157" s="57"/>
      <c r="Y157" s="106"/>
      <c r="Z157" s="106"/>
      <c r="AA157" s="106"/>
      <c r="AB157" s="106"/>
    </row>
    <row r="158">
      <c r="A158" s="38">
        <v>157.0</v>
      </c>
      <c r="B158" s="63" t="s">
        <v>274</v>
      </c>
      <c r="C158" s="51"/>
      <c r="D158" s="39" t="s">
        <v>145</v>
      </c>
      <c r="E158" s="38" t="s">
        <v>777</v>
      </c>
      <c r="F158" s="41" t="s">
        <v>779</v>
      </c>
      <c r="G158" s="43"/>
      <c r="H158" s="45"/>
      <c r="I158" s="38"/>
      <c r="J158" s="38">
        <f>576</f>
        <v>576</v>
      </c>
      <c r="K158" s="46">
        <v>0.001736111111111111</v>
      </c>
      <c r="L158" s="47" t="s">
        <v>211</v>
      </c>
      <c r="M158" s="48"/>
      <c r="N158" s="48"/>
      <c r="O158" s="48">
        <f t="shared" si="1"/>
        <v>0</v>
      </c>
      <c r="P158" s="38"/>
      <c r="Q158" s="12" t="str">
        <f t="shared" si="2"/>
        <v/>
      </c>
      <c r="R158" s="42"/>
      <c r="S158" s="42"/>
      <c r="T158" s="42"/>
      <c r="U158" s="51"/>
      <c r="V158" s="52"/>
      <c r="W158" s="55"/>
      <c r="X158" s="57"/>
      <c r="Y158" s="106"/>
      <c r="Z158" s="106"/>
      <c r="AA158" s="106"/>
      <c r="AB158" s="106"/>
    </row>
    <row r="159">
      <c r="A159" s="38">
        <v>158.0</v>
      </c>
      <c r="B159" s="63" t="s">
        <v>274</v>
      </c>
      <c r="C159" s="51"/>
      <c r="D159" s="39" t="s">
        <v>145</v>
      </c>
      <c r="E159" s="38" t="s">
        <v>780</v>
      </c>
      <c r="F159" s="41" t="s">
        <v>781</v>
      </c>
      <c r="G159" s="43"/>
      <c r="H159" s="45"/>
      <c r="I159" s="38"/>
      <c r="J159" s="38">
        <f>435</f>
        <v>435</v>
      </c>
      <c r="K159" s="46">
        <v>0.002384259259259259</v>
      </c>
      <c r="L159" s="47" t="s">
        <v>211</v>
      </c>
      <c r="M159" s="48"/>
      <c r="N159" s="48"/>
      <c r="O159" s="48">
        <f t="shared" si="1"/>
        <v>0</v>
      </c>
      <c r="P159" s="38"/>
      <c r="Q159" s="12" t="str">
        <f t="shared" si="2"/>
        <v/>
      </c>
      <c r="R159" s="42"/>
      <c r="S159" s="42"/>
      <c r="T159" s="42"/>
      <c r="U159" s="51"/>
      <c r="V159" s="52"/>
      <c r="W159" s="55"/>
      <c r="X159" s="57"/>
      <c r="Y159" s="106"/>
      <c r="Z159" s="106"/>
      <c r="AA159" s="106"/>
      <c r="AB159" s="106"/>
    </row>
    <row r="160">
      <c r="A160" s="38">
        <v>159.0</v>
      </c>
      <c r="B160" s="63" t="s">
        <v>274</v>
      </c>
      <c r="C160" s="51"/>
      <c r="D160" s="39" t="s">
        <v>145</v>
      </c>
      <c r="E160" s="38" t="s">
        <v>784</v>
      </c>
      <c r="F160" s="41" t="s">
        <v>785</v>
      </c>
      <c r="G160" s="43"/>
      <c r="H160" s="45"/>
      <c r="I160" s="38"/>
      <c r="J160" s="38">
        <f>1.1*1000</f>
        <v>1100</v>
      </c>
      <c r="K160" s="46">
        <v>0.0011689814814814816</v>
      </c>
      <c r="L160" s="47" t="s">
        <v>211</v>
      </c>
      <c r="M160" s="48"/>
      <c r="N160" s="48"/>
      <c r="O160" s="48">
        <f t="shared" si="1"/>
        <v>0</v>
      </c>
      <c r="P160" s="38"/>
      <c r="Q160" s="12" t="str">
        <f t="shared" si="2"/>
        <v/>
      </c>
      <c r="R160" s="42"/>
      <c r="S160" s="42"/>
      <c r="T160" s="42"/>
      <c r="U160" s="51"/>
      <c r="V160" s="52"/>
      <c r="W160" s="55"/>
      <c r="X160" s="57"/>
      <c r="Y160" s="106"/>
      <c r="Z160" s="106"/>
      <c r="AA160" s="106"/>
      <c r="AB160" s="106"/>
    </row>
    <row r="161">
      <c r="A161" s="38">
        <v>160.0</v>
      </c>
      <c r="B161" s="63" t="s">
        <v>274</v>
      </c>
      <c r="C161" s="51"/>
      <c r="D161" s="39" t="s">
        <v>145</v>
      </c>
      <c r="E161" s="38" t="s">
        <v>786</v>
      </c>
      <c r="F161" s="41" t="s">
        <v>787</v>
      </c>
      <c r="G161" s="43"/>
      <c r="H161" s="45"/>
      <c r="I161" s="38"/>
      <c r="J161" s="38">
        <f>202</f>
        <v>202</v>
      </c>
      <c r="K161" s="46">
        <v>0.0021180555555555553</v>
      </c>
      <c r="L161" s="47" t="s">
        <v>211</v>
      </c>
      <c r="M161" s="48"/>
      <c r="N161" s="48"/>
      <c r="O161" s="48">
        <f t="shared" si="1"/>
        <v>0</v>
      </c>
      <c r="P161" s="38"/>
      <c r="Q161" s="12" t="str">
        <f t="shared" si="2"/>
        <v/>
      </c>
      <c r="R161" s="42"/>
      <c r="S161" s="42"/>
      <c r="T161" s="42"/>
      <c r="U161" s="51"/>
      <c r="V161" s="52"/>
      <c r="W161" s="55"/>
      <c r="X161" s="57"/>
      <c r="Y161" s="106"/>
      <c r="Z161" s="106"/>
      <c r="AA161" s="106"/>
      <c r="AB161" s="106"/>
    </row>
    <row r="162">
      <c r="A162" s="38">
        <v>161.0</v>
      </c>
      <c r="B162" s="63" t="s">
        <v>274</v>
      </c>
      <c r="C162" s="51"/>
      <c r="D162" s="39" t="s">
        <v>145</v>
      </c>
      <c r="E162" s="38" t="s">
        <v>790</v>
      </c>
      <c r="F162" s="41" t="s">
        <v>791</v>
      </c>
      <c r="G162" s="43"/>
      <c r="H162" s="45"/>
      <c r="I162" s="38"/>
      <c r="J162" s="38">
        <f>234</f>
        <v>234</v>
      </c>
      <c r="K162" s="46">
        <v>0.0014583333333333334</v>
      </c>
      <c r="L162" s="47" t="s">
        <v>211</v>
      </c>
      <c r="M162" s="48"/>
      <c r="N162" s="48"/>
      <c r="O162" s="48">
        <f t="shared" si="1"/>
        <v>0</v>
      </c>
      <c r="P162" s="38"/>
      <c r="Q162" s="12" t="str">
        <f t="shared" si="2"/>
        <v/>
      </c>
      <c r="R162" s="42"/>
      <c r="S162" s="42"/>
      <c r="T162" s="42"/>
      <c r="U162" s="51"/>
      <c r="V162" s="52"/>
      <c r="W162" s="55"/>
      <c r="X162" s="57"/>
      <c r="Y162" s="106"/>
      <c r="Z162" s="106"/>
      <c r="AA162" s="106"/>
      <c r="AB162" s="106"/>
    </row>
    <row r="163">
      <c r="A163" s="38">
        <v>162.0</v>
      </c>
      <c r="B163" s="63" t="s">
        <v>274</v>
      </c>
      <c r="C163" s="51"/>
      <c r="D163" s="39" t="s">
        <v>145</v>
      </c>
      <c r="E163" s="38" t="s">
        <v>792</v>
      </c>
      <c r="F163" s="41" t="s">
        <v>795</v>
      </c>
      <c r="G163" s="43"/>
      <c r="H163" s="45"/>
      <c r="I163" s="38"/>
      <c r="J163" s="38">
        <f>497</f>
        <v>497</v>
      </c>
      <c r="K163" s="46">
        <v>0.0014699074074074074</v>
      </c>
      <c r="L163" s="47" t="s">
        <v>211</v>
      </c>
      <c r="M163" s="48"/>
      <c r="N163" s="48"/>
      <c r="O163" s="48">
        <f t="shared" si="1"/>
        <v>0</v>
      </c>
      <c r="P163" s="38"/>
      <c r="Q163" s="12" t="str">
        <f t="shared" si="2"/>
        <v/>
      </c>
      <c r="R163" s="42"/>
      <c r="S163" s="42"/>
      <c r="T163" s="42"/>
      <c r="U163" s="51"/>
      <c r="V163" s="52"/>
      <c r="W163" s="55"/>
      <c r="X163" s="57"/>
      <c r="Y163" s="106"/>
      <c r="Z163" s="106"/>
      <c r="AA163" s="106"/>
      <c r="AB163" s="106"/>
    </row>
    <row r="164">
      <c r="A164" s="38">
        <v>163.0</v>
      </c>
      <c r="B164" s="63" t="s">
        <v>274</v>
      </c>
      <c r="C164" s="51"/>
      <c r="D164" s="39" t="s">
        <v>145</v>
      </c>
      <c r="E164" s="38" t="s">
        <v>797</v>
      </c>
      <c r="F164" s="41" t="s">
        <v>798</v>
      </c>
      <c r="G164" s="43"/>
      <c r="H164" s="45"/>
      <c r="I164" s="38"/>
      <c r="J164" s="38">
        <f>315</f>
        <v>315</v>
      </c>
      <c r="K164" s="46">
        <v>0.005694444444444444</v>
      </c>
      <c r="L164" s="47" t="s">
        <v>211</v>
      </c>
      <c r="M164" s="48"/>
      <c r="N164" s="48"/>
      <c r="O164" s="48">
        <f t="shared" si="1"/>
        <v>0</v>
      </c>
      <c r="P164" s="38"/>
      <c r="Q164" s="12" t="str">
        <f t="shared" si="2"/>
        <v/>
      </c>
      <c r="R164" s="42"/>
      <c r="S164" s="42"/>
      <c r="T164" s="42"/>
      <c r="U164" s="51"/>
      <c r="V164" s="52"/>
      <c r="W164" s="55"/>
      <c r="X164" s="57"/>
      <c r="Y164" s="106"/>
      <c r="Z164" s="106"/>
      <c r="AA164" s="106"/>
      <c r="AB164" s="106"/>
    </row>
    <row r="165">
      <c r="A165" s="38">
        <v>164.0</v>
      </c>
      <c r="B165" s="63" t="s">
        <v>274</v>
      </c>
      <c r="C165" s="51"/>
      <c r="D165" s="39" t="s">
        <v>145</v>
      </c>
      <c r="E165" s="38" t="s">
        <v>800</v>
      </c>
      <c r="F165" s="41" t="s">
        <v>802</v>
      </c>
      <c r="G165" s="43"/>
      <c r="H165" s="45"/>
      <c r="I165" s="38"/>
      <c r="J165" s="38">
        <f>535</f>
        <v>535</v>
      </c>
      <c r="K165" s="46">
        <v>0.0021527777777777778</v>
      </c>
      <c r="L165" s="47" t="s">
        <v>211</v>
      </c>
      <c r="M165" s="48"/>
      <c r="N165" s="48"/>
      <c r="O165" s="48">
        <f t="shared" si="1"/>
        <v>0</v>
      </c>
      <c r="P165" s="38"/>
      <c r="Q165" s="12" t="str">
        <f t="shared" si="2"/>
        <v/>
      </c>
      <c r="R165" s="42"/>
      <c r="S165" s="42"/>
      <c r="T165" s="42"/>
      <c r="U165" s="51"/>
      <c r="V165" s="52"/>
      <c r="W165" s="55"/>
      <c r="X165" s="57"/>
      <c r="Y165" s="106"/>
      <c r="Z165" s="106"/>
      <c r="AA165" s="106"/>
      <c r="AB165" s="106"/>
    </row>
    <row r="166">
      <c r="A166" s="38">
        <v>165.0</v>
      </c>
      <c r="B166" s="42"/>
      <c r="C166" s="51"/>
      <c r="D166" s="38"/>
      <c r="E166" s="38" t="s">
        <v>804</v>
      </c>
      <c r="F166" s="41" t="s">
        <v>805</v>
      </c>
      <c r="G166" s="43"/>
      <c r="H166" s="45"/>
      <c r="I166" s="38"/>
      <c r="J166" s="38">
        <f>2.7*1000</f>
        <v>2700</v>
      </c>
      <c r="K166" s="46">
        <v>0.010115740740740741</v>
      </c>
      <c r="L166" s="47" t="s">
        <v>211</v>
      </c>
      <c r="M166" s="48"/>
      <c r="N166" s="48"/>
      <c r="O166" s="48">
        <f t="shared" si="1"/>
        <v>0</v>
      </c>
      <c r="P166" s="38"/>
      <c r="Q166" s="12" t="str">
        <f t="shared" si="2"/>
        <v/>
      </c>
      <c r="R166" s="42"/>
      <c r="S166" s="42"/>
      <c r="T166" s="42"/>
      <c r="U166" s="51"/>
      <c r="V166" s="52"/>
      <c r="W166" s="55"/>
      <c r="X166" s="57"/>
      <c r="Y166" s="106"/>
      <c r="Z166" s="106"/>
      <c r="AA166" s="106"/>
      <c r="AB166" s="106"/>
    </row>
    <row r="167">
      <c r="A167" s="38">
        <v>166.0</v>
      </c>
      <c r="B167" s="42"/>
      <c r="C167" s="51"/>
      <c r="D167" s="38"/>
      <c r="E167" s="38" t="s">
        <v>808</v>
      </c>
      <c r="F167" s="41" t="s">
        <v>809</v>
      </c>
      <c r="G167" s="43"/>
      <c r="H167" s="45"/>
      <c r="I167" s="38"/>
      <c r="J167" s="38">
        <f>4.7*1000</f>
        <v>4700</v>
      </c>
      <c r="K167" s="46">
        <v>0.07560185185185185</v>
      </c>
      <c r="L167" s="47" t="s">
        <v>211</v>
      </c>
      <c r="M167" s="48"/>
      <c r="N167" s="48"/>
      <c r="O167" s="48">
        <f t="shared" si="1"/>
        <v>0</v>
      </c>
      <c r="P167" s="38"/>
      <c r="Q167" s="12" t="str">
        <f t="shared" si="2"/>
        <v/>
      </c>
      <c r="R167" s="42"/>
      <c r="S167" s="42"/>
      <c r="T167" s="42"/>
      <c r="U167" s="51"/>
      <c r="V167" s="52"/>
      <c r="W167" s="55"/>
      <c r="X167" s="57"/>
      <c r="Y167" s="106"/>
      <c r="Z167" s="106"/>
      <c r="AA167" s="106"/>
      <c r="AB167" s="106"/>
    </row>
    <row r="168">
      <c r="A168" s="38">
        <v>167.0</v>
      </c>
      <c r="B168" s="42"/>
      <c r="C168" s="51"/>
      <c r="D168" s="38"/>
      <c r="E168" s="38" t="s">
        <v>811</v>
      </c>
      <c r="F168" s="41" t="s">
        <v>812</v>
      </c>
      <c r="G168" s="43"/>
      <c r="H168" s="45"/>
      <c r="I168" s="38"/>
      <c r="J168" s="38">
        <f>7.5*1000</f>
        <v>7500</v>
      </c>
      <c r="K168" s="46">
        <v>0.09336805555555555</v>
      </c>
      <c r="L168" s="47" t="s">
        <v>211</v>
      </c>
      <c r="M168" s="48"/>
      <c r="N168" s="48"/>
      <c r="O168" s="48">
        <f t="shared" si="1"/>
        <v>0</v>
      </c>
      <c r="P168" s="38"/>
      <c r="Q168" s="12" t="str">
        <f t="shared" si="2"/>
        <v/>
      </c>
      <c r="R168" s="42"/>
      <c r="S168" s="42"/>
      <c r="T168" s="42"/>
      <c r="U168" s="51"/>
      <c r="V168" s="52"/>
      <c r="W168" s="55"/>
      <c r="X168" s="57"/>
      <c r="Y168" s="106"/>
      <c r="Z168" s="106"/>
      <c r="AA168" s="106"/>
      <c r="AB168" s="106"/>
    </row>
    <row r="169">
      <c r="A169" s="38">
        <v>168.0</v>
      </c>
      <c r="B169" s="42"/>
      <c r="C169" s="51"/>
      <c r="D169" s="38"/>
      <c r="E169" s="38" t="s">
        <v>815</v>
      </c>
      <c r="F169" s="41" t="s">
        <v>816</v>
      </c>
      <c r="G169" s="43"/>
      <c r="H169" s="45"/>
      <c r="I169" s="38"/>
      <c r="J169" s="38">
        <f>1.8*1000</f>
        <v>1800</v>
      </c>
      <c r="K169" s="46">
        <v>0.05296296296296296</v>
      </c>
      <c r="L169" s="47" t="s">
        <v>211</v>
      </c>
      <c r="M169" s="48"/>
      <c r="N169" s="48"/>
      <c r="O169" s="48">
        <f t="shared" si="1"/>
        <v>0</v>
      </c>
      <c r="P169" s="38"/>
      <c r="Q169" s="12" t="str">
        <f t="shared" si="2"/>
        <v/>
      </c>
      <c r="R169" s="42"/>
      <c r="S169" s="42"/>
      <c r="T169" s="42"/>
      <c r="U169" s="51"/>
      <c r="V169" s="52"/>
      <c r="W169" s="55"/>
      <c r="X169" s="57"/>
      <c r="Y169" s="106"/>
      <c r="Z169" s="106"/>
      <c r="AA169" s="106"/>
      <c r="AB169" s="106"/>
    </row>
    <row r="170">
      <c r="A170" s="38">
        <v>169.0</v>
      </c>
      <c r="B170" s="42"/>
      <c r="C170" s="51"/>
      <c r="D170" s="38"/>
      <c r="E170" s="38" t="s">
        <v>817</v>
      </c>
      <c r="F170" s="41" t="s">
        <v>818</v>
      </c>
      <c r="G170" s="43"/>
      <c r="H170" s="45"/>
      <c r="I170" s="38"/>
      <c r="J170" s="38">
        <f>343</f>
        <v>343</v>
      </c>
      <c r="K170" s="46">
        <v>0.002824074074074074</v>
      </c>
      <c r="L170" s="47" t="s">
        <v>211</v>
      </c>
      <c r="M170" s="48"/>
      <c r="N170" s="48"/>
      <c r="O170" s="48">
        <f t="shared" si="1"/>
        <v>0</v>
      </c>
      <c r="P170" s="38"/>
      <c r="Q170" s="12" t="str">
        <f t="shared" si="2"/>
        <v/>
      </c>
      <c r="R170" s="42"/>
      <c r="S170" s="42"/>
      <c r="T170" s="42"/>
      <c r="U170" s="51"/>
      <c r="V170" s="52"/>
      <c r="W170" s="55"/>
      <c r="X170" s="57"/>
      <c r="Y170" s="106"/>
      <c r="Z170" s="106"/>
      <c r="AA170" s="106"/>
      <c r="AB170" s="106"/>
    </row>
    <row r="171">
      <c r="A171" s="38">
        <v>170.0</v>
      </c>
      <c r="B171" s="42"/>
      <c r="C171" s="51"/>
      <c r="D171" s="38"/>
      <c r="E171" s="38" t="s">
        <v>821</v>
      </c>
      <c r="F171" s="41" t="s">
        <v>822</v>
      </c>
      <c r="G171" s="43"/>
      <c r="H171" s="45"/>
      <c r="I171" s="38"/>
      <c r="J171" s="38">
        <f>1.5*1000</f>
        <v>1500</v>
      </c>
      <c r="K171" s="46">
        <v>0.05959490740740741</v>
      </c>
      <c r="L171" s="47" t="s">
        <v>211</v>
      </c>
      <c r="M171" s="48"/>
      <c r="N171" s="48"/>
      <c r="O171" s="48">
        <f t="shared" si="1"/>
        <v>0</v>
      </c>
      <c r="P171" s="38"/>
      <c r="Q171" s="12" t="str">
        <f t="shared" si="2"/>
        <v/>
      </c>
      <c r="R171" s="42"/>
      <c r="S171" s="42"/>
      <c r="T171" s="42"/>
      <c r="U171" s="51"/>
      <c r="V171" s="52"/>
      <c r="W171" s="55"/>
      <c r="X171" s="57"/>
      <c r="Y171" s="106"/>
      <c r="Z171" s="106"/>
      <c r="AA171" s="106"/>
      <c r="AB171" s="106"/>
    </row>
    <row r="172">
      <c r="A172" s="38">
        <v>171.0</v>
      </c>
      <c r="B172" s="42"/>
      <c r="C172" s="51"/>
      <c r="D172" s="38"/>
      <c r="E172" s="38" t="s">
        <v>825</v>
      </c>
      <c r="F172" s="41" t="s">
        <v>826</v>
      </c>
      <c r="G172" s="43"/>
      <c r="H172" s="45"/>
      <c r="I172" s="38"/>
      <c r="J172" s="38">
        <f>463</f>
        <v>463</v>
      </c>
      <c r="K172" s="46">
        <v>0.02496527777777778</v>
      </c>
      <c r="L172" s="47" t="s">
        <v>211</v>
      </c>
      <c r="M172" s="48"/>
      <c r="N172" s="48"/>
      <c r="O172" s="48">
        <f t="shared" si="1"/>
        <v>0</v>
      </c>
      <c r="P172" s="38"/>
      <c r="Q172" s="12" t="str">
        <f t="shared" si="2"/>
        <v/>
      </c>
      <c r="R172" s="42"/>
      <c r="S172" s="42"/>
      <c r="T172" s="42"/>
      <c r="U172" s="51"/>
      <c r="V172" s="52"/>
      <c r="W172" s="55"/>
      <c r="X172" s="57"/>
      <c r="Y172" s="106"/>
      <c r="Z172" s="106"/>
      <c r="AA172" s="106"/>
      <c r="AB172" s="106"/>
    </row>
    <row r="173">
      <c r="A173" s="38">
        <v>172.0</v>
      </c>
      <c r="B173" s="42"/>
      <c r="C173" s="51"/>
      <c r="D173" s="38"/>
      <c r="E173" s="38" t="s">
        <v>829</v>
      </c>
      <c r="F173" s="41" t="s">
        <v>830</v>
      </c>
      <c r="G173" s="43"/>
      <c r="H173" s="45"/>
      <c r="I173" s="38"/>
      <c r="J173" s="38">
        <f>5.2*1000</f>
        <v>5200</v>
      </c>
      <c r="K173" s="46">
        <v>0.055775462962962964</v>
      </c>
      <c r="L173" s="47" t="s">
        <v>211</v>
      </c>
      <c r="M173" s="48"/>
      <c r="N173" s="48"/>
      <c r="O173" s="48">
        <f t="shared" si="1"/>
        <v>0</v>
      </c>
      <c r="P173" s="38"/>
      <c r="Q173" s="12" t="str">
        <f t="shared" si="2"/>
        <v/>
      </c>
      <c r="R173" s="42"/>
      <c r="S173" s="42"/>
      <c r="T173" s="42"/>
      <c r="U173" s="51"/>
      <c r="V173" s="52"/>
      <c r="W173" s="55"/>
      <c r="X173" s="57"/>
      <c r="Y173" s="106"/>
      <c r="Z173" s="106"/>
      <c r="AA173" s="106"/>
      <c r="AB173" s="106"/>
    </row>
    <row r="174">
      <c r="A174" s="38">
        <v>173.0</v>
      </c>
      <c r="B174" s="42"/>
      <c r="C174" s="51"/>
      <c r="D174" s="38"/>
      <c r="E174" s="38" t="s">
        <v>832</v>
      </c>
      <c r="F174" s="41" t="s">
        <v>833</v>
      </c>
      <c r="G174" s="43"/>
      <c r="H174" s="45"/>
      <c r="I174" s="38"/>
      <c r="J174" s="38">
        <f>624</f>
        <v>624</v>
      </c>
      <c r="K174" s="46">
        <v>0.025868055555555557</v>
      </c>
      <c r="L174" s="47" t="s">
        <v>211</v>
      </c>
      <c r="M174" s="48"/>
      <c r="N174" s="48"/>
      <c r="O174" s="48">
        <f t="shared" si="1"/>
        <v>0</v>
      </c>
      <c r="P174" s="38"/>
      <c r="Q174" s="12" t="str">
        <f t="shared" si="2"/>
        <v/>
      </c>
      <c r="R174" s="42"/>
      <c r="S174" s="42"/>
      <c r="T174" s="42"/>
      <c r="U174" s="51"/>
      <c r="V174" s="52"/>
      <c r="W174" s="55"/>
      <c r="X174" s="57"/>
      <c r="Y174" s="106"/>
      <c r="Z174" s="106"/>
      <c r="AA174" s="106"/>
      <c r="AB174" s="106"/>
    </row>
    <row r="175">
      <c r="A175" s="38">
        <v>174.0</v>
      </c>
      <c r="B175" s="42"/>
      <c r="C175" s="51"/>
      <c r="D175" s="38"/>
      <c r="E175" s="38" t="s">
        <v>836</v>
      </c>
      <c r="F175" s="41" t="s">
        <v>837</v>
      </c>
      <c r="G175" s="43"/>
      <c r="H175" s="45"/>
      <c r="I175" s="38"/>
      <c r="J175" s="38">
        <f>1.4*1000</f>
        <v>1400</v>
      </c>
      <c r="K175" s="46">
        <v>0.01775462962962963</v>
      </c>
      <c r="L175" s="47" t="s">
        <v>211</v>
      </c>
      <c r="M175" s="48"/>
      <c r="N175" s="48"/>
      <c r="O175" s="48">
        <f t="shared" si="1"/>
        <v>0</v>
      </c>
      <c r="P175" s="38"/>
      <c r="Q175" s="12" t="str">
        <f t="shared" si="2"/>
        <v/>
      </c>
      <c r="R175" s="42"/>
      <c r="S175" s="42"/>
      <c r="T175" s="42"/>
      <c r="U175" s="51"/>
      <c r="V175" s="52"/>
      <c r="W175" s="55"/>
      <c r="X175" s="57"/>
      <c r="Y175" s="106"/>
      <c r="Z175" s="106"/>
      <c r="AA175" s="106"/>
      <c r="AB175" s="106"/>
    </row>
    <row r="176">
      <c r="A176" s="38">
        <v>175.0</v>
      </c>
      <c r="B176" s="42"/>
      <c r="C176" s="51"/>
      <c r="D176" s="38"/>
      <c r="E176" s="38" t="s">
        <v>840</v>
      </c>
      <c r="F176" s="41" t="s">
        <v>842</v>
      </c>
      <c r="G176" s="43"/>
      <c r="H176" s="45"/>
      <c r="I176" s="38"/>
      <c r="J176" s="38">
        <f>3.1*1000</f>
        <v>3100</v>
      </c>
      <c r="K176" s="46">
        <v>0.08347222222222223</v>
      </c>
      <c r="L176" s="47" t="s">
        <v>211</v>
      </c>
      <c r="M176" s="48"/>
      <c r="N176" s="48"/>
      <c r="O176" s="48">
        <f t="shared" si="1"/>
        <v>0</v>
      </c>
      <c r="P176" s="38"/>
      <c r="Q176" s="12" t="str">
        <f t="shared" si="2"/>
        <v/>
      </c>
      <c r="R176" s="42"/>
      <c r="S176" s="42"/>
      <c r="T176" s="42"/>
      <c r="U176" s="51"/>
      <c r="V176" s="52"/>
      <c r="W176" s="55"/>
      <c r="X176" s="57"/>
      <c r="Y176" s="106"/>
      <c r="Z176" s="106"/>
      <c r="AA176" s="106"/>
      <c r="AB176" s="106"/>
    </row>
    <row r="177">
      <c r="A177" s="38">
        <v>176.0</v>
      </c>
      <c r="B177" s="42"/>
      <c r="C177" s="51"/>
      <c r="D177" s="38"/>
      <c r="E177" s="38" t="s">
        <v>845</v>
      </c>
      <c r="F177" s="41" t="s">
        <v>846</v>
      </c>
      <c r="G177" s="43"/>
      <c r="H177" s="45"/>
      <c r="I177" s="38"/>
      <c r="J177" s="38">
        <f>2*1000</f>
        <v>2000</v>
      </c>
      <c r="K177" s="46">
        <v>0.06116898148148148</v>
      </c>
      <c r="L177" s="47" t="s">
        <v>211</v>
      </c>
      <c r="M177" s="48"/>
      <c r="N177" s="48"/>
      <c r="O177" s="48">
        <f t="shared" si="1"/>
        <v>0</v>
      </c>
      <c r="P177" s="38"/>
      <c r="Q177" s="12" t="str">
        <f t="shared" si="2"/>
        <v/>
      </c>
      <c r="R177" s="42"/>
      <c r="S177" s="42"/>
      <c r="T177" s="42"/>
      <c r="U177" s="51"/>
      <c r="V177" s="52"/>
      <c r="W177" s="55"/>
      <c r="X177" s="57"/>
      <c r="Y177" s="106"/>
      <c r="Z177" s="106"/>
      <c r="AA177" s="106"/>
      <c r="AB177" s="106"/>
    </row>
    <row r="178">
      <c r="A178" s="38">
        <v>177.0</v>
      </c>
      <c r="B178" s="42"/>
      <c r="C178" s="51"/>
      <c r="D178" s="38"/>
      <c r="E178" s="38" t="s">
        <v>848</v>
      </c>
      <c r="F178" s="41" t="s">
        <v>850</v>
      </c>
      <c r="G178" s="43"/>
      <c r="H178" s="45"/>
      <c r="I178" s="38"/>
      <c r="J178" s="38">
        <f>7.3*1000</f>
        <v>7300</v>
      </c>
      <c r="K178" s="46">
        <v>0.031041666666666665</v>
      </c>
      <c r="L178" s="47" t="s">
        <v>551</v>
      </c>
      <c r="M178" s="48"/>
      <c r="N178" s="48"/>
      <c r="O178" s="48">
        <f t="shared" si="1"/>
        <v>0</v>
      </c>
      <c r="P178" s="38"/>
      <c r="Q178" s="12" t="str">
        <f t="shared" si="2"/>
        <v/>
      </c>
      <c r="R178" s="42"/>
      <c r="S178" s="42"/>
      <c r="T178" s="42"/>
      <c r="U178" s="51"/>
      <c r="V178" s="52"/>
      <c r="W178" s="55"/>
      <c r="X178" s="57"/>
      <c r="Y178" s="106"/>
      <c r="Z178" s="106"/>
      <c r="AA178" s="106"/>
      <c r="AB178" s="106"/>
    </row>
    <row r="179">
      <c r="A179" s="38">
        <v>178.0</v>
      </c>
      <c r="B179" s="63" t="s">
        <v>49</v>
      </c>
      <c r="C179" s="51"/>
      <c r="D179" s="39" t="s">
        <v>145</v>
      </c>
      <c r="E179" s="38" t="s">
        <v>546</v>
      </c>
      <c r="F179" s="41" t="s">
        <v>547</v>
      </c>
      <c r="G179" s="43"/>
      <c r="H179" s="45"/>
      <c r="I179" s="38"/>
      <c r="J179" s="38">
        <f>2.5*1000</f>
        <v>2500</v>
      </c>
      <c r="K179" s="46">
        <v>0.04719907407407407</v>
      </c>
      <c r="L179" s="47" t="s">
        <v>551</v>
      </c>
      <c r="M179" s="48"/>
      <c r="N179" s="48"/>
      <c r="O179" s="48">
        <f t="shared" si="1"/>
        <v>0</v>
      </c>
      <c r="P179" s="38"/>
      <c r="Q179" s="12" t="str">
        <f t="shared" si="2"/>
        <v/>
      </c>
      <c r="R179" s="42"/>
      <c r="S179" s="42"/>
      <c r="T179" s="42"/>
      <c r="U179" s="51"/>
      <c r="V179" s="52"/>
      <c r="W179" s="55"/>
      <c r="X179" s="57"/>
      <c r="Y179" s="106"/>
      <c r="Z179" s="106"/>
      <c r="AA179" s="106"/>
      <c r="AB179" s="106"/>
    </row>
    <row r="180">
      <c r="A180" s="38">
        <v>179.0</v>
      </c>
      <c r="B180" s="42"/>
      <c r="C180" s="51"/>
      <c r="D180" s="38"/>
      <c r="E180" s="38" t="s">
        <v>853</v>
      </c>
      <c r="F180" s="41" t="s">
        <v>854</v>
      </c>
      <c r="G180" s="43"/>
      <c r="H180" s="45"/>
      <c r="I180" s="38"/>
      <c r="J180" s="38">
        <f>1.2*1000</f>
        <v>1200</v>
      </c>
      <c r="K180" s="46">
        <v>0.01638888888888889</v>
      </c>
      <c r="L180" s="47" t="s">
        <v>551</v>
      </c>
      <c r="M180" s="48"/>
      <c r="N180" s="48"/>
      <c r="O180" s="48">
        <f t="shared" si="1"/>
        <v>0</v>
      </c>
      <c r="P180" s="38"/>
      <c r="Q180" s="12" t="str">
        <f t="shared" si="2"/>
        <v/>
      </c>
      <c r="R180" s="42"/>
      <c r="S180" s="42"/>
      <c r="T180" s="42"/>
      <c r="U180" s="51"/>
      <c r="V180" s="52"/>
      <c r="W180" s="55"/>
      <c r="X180" s="57"/>
      <c r="Y180" s="106"/>
      <c r="Z180" s="106"/>
      <c r="AA180" s="106"/>
      <c r="AB180" s="106"/>
    </row>
    <row r="181">
      <c r="A181" s="38">
        <v>180.0</v>
      </c>
      <c r="B181" s="42"/>
      <c r="C181" s="51"/>
      <c r="D181" s="38"/>
      <c r="E181" s="38" t="s">
        <v>856</v>
      </c>
      <c r="F181" s="41" t="s">
        <v>857</v>
      </c>
      <c r="G181" s="43"/>
      <c r="H181" s="45"/>
      <c r="I181" s="38"/>
      <c r="J181" s="38">
        <f>8.4*1000</f>
        <v>8400</v>
      </c>
      <c r="K181" s="46">
        <v>0.0032407407407407406</v>
      </c>
      <c r="L181" s="47" t="s">
        <v>551</v>
      </c>
      <c r="M181" s="48"/>
      <c r="N181" s="48"/>
      <c r="O181" s="48">
        <f t="shared" si="1"/>
        <v>0</v>
      </c>
      <c r="P181" s="38"/>
      <c r="Q181" s="12" t="str">
        <f t="shared" si="2"/>
        <v/>
      </c>
      <c r="R181" s="42"/>
      <c r="S181" s="42"/>
      <c r="T181" s="42"/>
      <c r="U181" s="51"/>
      <c r="V181" s="52"/>
      <c r="W181" s="55"/>
      <c r="X181" s="57"/>
      <c r="Y181" s="106"/>
      <c r="Z181" s="106"/>
      <c r="AA181" s="106"/>
      <c r="AB181" s="106"/>
    </row>
    <row r="182">
      <c r="A182" s="38">
        <v>181.0</v>
      </c>
      <c r="B182" s="42"/>
      <c r="C182" s="51"/>
      <c r="D182" s="38"/>
      <c r="E182" s="38" t="s">
        <v>859</v>
      </c>
      <c r="F182" s="41" t="s">
        <v>860</v>
      </c>
      <c r="G182" s="43"/>
      <c r="H182" s="45"/>
      <c r="I182" s="38"/>
      <c r="J182" s="38">
        <f>12*1000</f>
        <v>12000</v>
      </c>
      <c r="K182" s="46">
        <v>0.04083333333333333</v>
      </c>
      <c r="L182" s="47" t="s">
        <v>551</v>
      </c>
      <c r="M182" s="48"/>
      <c r="N182" s="48"/>
      <c r="O182" s="48">
        <f t="shared" si="1"/>
        <v>0</v>
      </c>
      <c r="P182" s="38"/>
      <c r="Q182" s="12" t="str">
        <f t="shared" si="2"/>
        <v/>
      </c>
      <c r="R182" s="42"/>
      <c r="S182" s="42"/>
      <c r="T182" s="42"/>
      <c r="U182" s="51"/>
      <c r="V182" s="52"/>
      <c r="W182" s="55"/>
      <c r="X182" s="57"/>
      <c r="Y182" s="106"/>
      <c r="Z182" s="106"/>
      <c r="AA182" s="106"/>
      <c r="AB182" s="106"/>
    </row>
    <row r="183">
      <c r="A183" s="38">
        <v>182.0</v>
      </c>
      <c r="B183" s="42"/>
      <c r="C183" s="51"/>
      <c r="D183" s="38"/>
      <c r="E183" s="38" t="s">
        <v>863</v>
      </c>
      <c r="F183" s="41" t="s">
        <v>864</v>
      </c>
      <c r="G183" s="43"/>
      <c r="H183" s="45"/>
      <c r="I183" s="38"/>
      <c r="J183" s="38">
        <f>7.6*1000</f>
        <v>7600</v>
      </c>
      <c r="K183" s="46">
        <v>0.006643518518518518</v>
      </c>
      <c r="L183" s="47" t="s">
        <v>551</v>
      </c>
      <c r="M183" s="48"/>
      <c r="N183" s="48"/>
      <c r="O183" s="48">
        <f t="shared" si="1"/>
        <v>0</v>
      </c>
      <c r="P183" s="38"/>
      <c r="Q183" s="12" t="str">
        <f t="shared" si="2"/>
        <v/>
      </c>
      <c r="R183" s="42"/>
      <c r="S183" s="42"/>
      <c r="T183" s="42"/>
      <c r="U183" s="51"/>
      <c r="V183" s="52"/>
      <c r="W183" s="55"/>
      <c r="X183" s="57"/>
      <c r="Y183" s="106"/>
      <c r="Z183" s="106"/>
      <c r="AA183" s="106"/>
      <c r="AB183" s="106"/>
    </row>
    <row r="184">
      <c r="A184" s="38">
        <v>183.0</v>
      </c>
      <c r="B184" s="42"/>
      <c r="C184" s="51"/>
      <c r="D184" s="38"/>
      <c r="E184" s="38" t="s">
        <v>866</v>
      </c>
      <c r="F184" s="41" t="s">
        <v>867</v>
      </c>
      <c r="G184" s="43"/>
      <c r="H184" s="45"/>
      <c r="I184" s="38"/>
      <c r="J184" s="38">
        <f>55*1000</f>
        <v>55000</v>
      </c>
      <c r="K184" s="46">
        <v>0.015949074074074074</v>
      </c>
      <c r="L184" s="47" t="s">
        <v>551</v>
      </c>
      <c r="M184" s="48"/>
      <c r="N184" s="48"/>
      <c r="O184" s="48">
        <f t="shared" si="1"/>
        <v>0</v>
      </c>
      <c r="P184" s="38"/>
      <c r="Q184" s="12" t="str">
        <f t="shared" si="2"/>
        <v/>
      </c>
      <c r="R184" s="42"/>
      <c r="S184" s="42"/>
      <c r="T184" s="42"/>
      <c r="U184" s="51"/>
      <c r="V184" s="52"/>
      <c r="W184" s="55"/>
      <c r="X184" s="57"/>
      <c r="Y184" s="106"/>
      <c r="Z184" s="106"/>
      <c r="AA184" s="106"/>
      <c r="AB184" s="106"/>
    </row>
    <row r="185">
      <c r="A185" s="38">
        <v>184.0</v>
      </c>
      <c r="B185" s="42"/>
      <c r="C185" s="51"/>
      <c r="D185" s="38"/>
      <c r="E185" s="38" t="s">
        <v>870</v>
      </c>
      <c r="F185" s="41" t="s">
        <v>871</v>
      </c>
      <c r="G185" s="43"/>
      <c r="H185" s="45"/>
      <c r="I185" s="38"/>
      <c r="J185" s="38">
        <f>6.8*1000</f>
        <v>6800</v>
      </c>
      <c r="K185" s="46">
        <v>0.012118055555555556</v>
      </c>
      <c r="L185" s="47" t="s">
        <v>551</v>
      </c>
      <c r="M185" s="48"/>
      <c r="N185" s="48"/>
      <c r="O185" s="48">
        <f t="shared" si="1"/>
        <v>0</v>
      </c>
      <c r="P185" s="38"/>
      <c r="Q185" s="12" t="str">
        <f t="shared" si="2"/>
        <v/>
      </c>
      <c r="R185" s="42"/>
      <c r="S185" s="42"/>
      <c r="T185" s="42"/>
      <c r="U185" s="51"/>
      <c r="V185" s="52"/>
      <c r="W185" s="55"/>
      <c r="X185" s="57"/>
      <c r="Y185" s="106"/>
      <c r="Z185" s="106"/>
      <c r="AA185" s="106"/>
      <c r="AB185" s="106"/>
    </row>
    <row r="186">
      <c r="A186" s="38">
        <v>185.0</v>
      </c>
      <c r="B186" s="42"/>
      <c r="C186" s="51"/>
      <c r="D186" s="38"/>
      <c r="E186" s="38" t="s">
        <v>874</v>
      </c>
      <c r="F186" s="41" t="s">
        <v>875</v>
      </c>
      <c r="G186" s="43"/>
      <c r="H186" s="45"/>
      <c r="I186" s="38"/>
      <c r="J186" s="38">
        <f>4*1000</f>
        <v>4000</v>
      </c>
      <c r="K186" s="46">
        <v>0.008402777777777778</v>
      </c>
      <c r="L186" s="47" t="s">
        <v>551</v>
      </c>
      <c r="M186" s="48"/>
      <c r="N186" s="48"/>
      <c r="O186" s="48">
        <f t="shared" si="1"/>
        <v>0</v>
      </c>
      <c r="P186" s="38"/>
      <c r="Q186" s="12" t="str">
        <f t="shared" si="2"/>
        <v/>
      </c>
      <c r="R186" s="42"/>
      <c r="S186" s="42"/>
      <c r="T186" s="42"/>
      <c r="U186" s="51"/>
      <c r="V186" s="52"/>
      <c r="W186" s="55"/>
      <c r="X186" s="57"/>
      <c r="Y186" s="106"/>
      <c r="Z186" s="106"/>
      <c r="AA186" s="106"/>
      <c r="AB186" s="106"/>
    </row>
    <row r="187">
      <c r="A187" s="38">
        <v>186.0</v>
      </c>
      <c r="B187" s="42"/>
      <c r="C187" s="51"/>
      <c r="D187" s="38"/>
      <c r="E187" s="38" t="s">
        <v>877</v>
      </c>
      <c r="F187" s="41" t="s">
        <v>878</v>
      </c>
      <c r="G187" s="43"/>
      <c r="H187" s="45"/>
      <c r="I187" s="38"/>
      <c r="J187" s="38">
        <f>3.9*1000</f>
        <v>3900</v>
      </c>
      <c r="K187" s="46">
        <v>0.0051736111111111115</v>
      </c>
      <c r="L187" s="47" t="s">
        <v>551</v>
      </c>
      <c r="M187" s="48"/>
      <c r="N187" s="48"/>
      <c r="O187" s="48">
        <f t="shared" si="1"/>
        <v>0</v>
      </c>
      <c r="P187" s="38"/>
      <c r="Q187" s="12" t="str">
        <f t="shared" si="2"/>
        <v/>
      </c>
      <c r="R187" s="42"/>
      <c r="S187" s="42"/>
      <c r="T187" s="42"/>
      <c r="U187" s="51"/>
      <c r="V187" s="52"/>
      <c r="W187" s="55"/>
      <c r="X187" s="57"/>
      <c r="Y187" s="106"/>
      <c r="Z187" s="106"/>
      <c r="AA187" s="106"/>
      <c r="AB187" s="106"/>
    </row>
    <row r="188">
      <c r="A188" s="38">
        <v>187.0</v>
      </c>
      <c r="B188" s="42"/>
      <c r="C188" s="51"/>
      <c r="D188" s="38"/>
      <c r="E188" s="38" t="s">
        <v>879</v>
      </c>
      <c r="F188" s="41" t="s">
        <v>880</v>
      </c>
      <c r="G188" s="43"/>
      <c r="H188" s="45"/>
      <c r="I188" s="38"/>
      <c r="J188" s="38">
        <f>3.8*1000</f>
        <v>3800</v>
      </c>
      <c r="K188" s="46">
        <v>0.005752314814814814</v>
      </c>
      <c r="L188" s="47" t="s">
        <v>551</v>
      </c>
      <c r="M188" s="48"/>
      <c r="N188" s="48"/>
      <c r="O188" s="48">
        <f t="shared" si="1"/>
        <v>0</v>
      </c>
      <c r="P188" s="38"/>
      <c r="Q188" s="12" t="str">
        <f t="shared" si="2"/>
        <v/>
      </c>
      <c r="R188" s="42"/>
      <c r="S188" s="42"/>
      <c r="T188" s="42"/>
      <c r="U188" s="51"/>
      <c r="V188" s="52"/>
      <c r="W188" s="55"/>
      <c r="X188" s="57"/>
      <c r="Y188" s="106"/>
      <c r="Z188" s="106"/>
      <c r="AA188" s="106"/>
      <c r="AB188" s="106"/>
    </row>
    <row r="189">
      <c r="A189" s="38">
        <v>188.0</v>
      </c>
      <c r="B189" s="42"/>
      <c r="C189" s="51"/>
      <c r="D189" s="38"/>
      <c r="E189" s="38" t="s">
        <v>882</v>
      </c>
      <c r="F189" s="41" t="s">
        <v>883</v>
      </c>
      <c r="G189" s="43"/>
      <c r="H189" s="45"/>
      <c r="I189" s="38"/>
      <c r="J189" s="38">
        <f>3.2*1000</f>
        <v>3200</v>
      </c>
      <c r="K189" s="46">
        <v>0.0015277777777777779</v>
      </c>
      <c r="L189" s="47" t="s">
        <v>551</v>
      </c>
      <c r="M189" s="48"/>
      <c r="N189" s="48"/>
      <c r="O189" s="48">
        <f t="shared" si="1"/>
        <v>0</v>
      </c>
      <c r="P189" s="38"/>
      <c r="Q189" s="12" t="str">
        <f t="shared" si="2"/>
        <v/>
      </c>
      <c r="R189" s="42"/>
      <c r="S189" s="42"/>
      <c r="T189" s="42"/>
      <c r="U189" s="51"/>
      <c r="V189" s="52"/>
      <c r="W189" s="55"/>
      <c r="X189" s="57"/>
      <c r="Y189" s="106"/>
      <c r="Z189" s="106"/>
      <c r="AA189" s="106"/>
      <c r="AB189" s="106"/>
    </row>
    <row r="190">
      <c r="A190" s="38">
        <v>189.0</v>
      </c>
      <c r="B190" s="42"/>
      <c r="C190" s="51"/>
      <c r="D190" s="38"/>
      <c r="E190" s="38" t="s">
        <v>884</v>
      </c>
      <c r="F190" s="41" t="s">
        <v>885</v>
      </c>
      <c r="G190" s="43"/>
      <c r="H190" s="45"/>
      <c r="I190" s="38"/>
      <c r="J190" s="38">
        <f>4.6*1000</f>
        <v>4600</v>
      </c>
      <c r="K190" s="46">
        <v>0.015011574074074075</v>
      </c>
      <c r="L190" s="47" t="s">
        <v>551</v>
      </c>
      <c r="M190" s="48"/>
      <c r="N190" s="48"/>
      <c r="O190" s="48">
        <f t="shared" si="1"/>
        <v>0</v>
      </c>
      <c r="P190" s="38"/>
      <c r="Q190" s="12" t="str">
        <f t="shared" si="2"/>
        <v/>
      </c>
      <c r="R190" s="42"/>
      <c r="S190" s="42"/>
      <c r="T190" s="42"/>
      <c r="U190" s="51"/>
      <c r="V190" s="52"/>
      <c r="W190" s="55"/>
      <c r="X190" s="57"/>
      <c r="Y190" s="106"/>
      <c r="Z190" s="106"/>
      <c r="AA190" s="106"/>
      <c r="AB190" s="106"/>
    </row>
    <row r="191">
      <c r="A191" s="38">
        <v>190.0</v>
      </c>
      <c r="B191" s="42"/>
      <c r="C191" s="51"/>
      <c r="D191" s="38"/>
      <c r="E191" s="38" t="s">
        <v>886</v>
      </c>
      <c r="F191" s="41" t="s">
        <v>887</v>
      </c>
      <c r="G191" s="43"/>
      <c r="H191" s="45"/>
      <c r="I191" s="38"/>
      <c r="J191" s="38">
        <f>3.7*1000</f>
        <v>3700</v>
      </c>
      <c r="K191" s="46">
        <v>0.03163194444444444</v>
      </c>
      <c r="L191" s="47" t="s">
        <v>551</v>
      </c>
      <c r="M191" s="48"/>
      <c r="N191" s="48"/>
      <c r="O191" s="48">
        <f t="shared" si="1"/>
        <v>0</v>
      </c>
      <c r="P191" s="38"/>
      <c r="Q191" s="12" t="str">
        <f t="shared" si="2"/>
        <v/>
      </c>
      <c r="R191" s="42"/>
      <c r="S191" s="42"/>
      <c r="T191" s="42"/>
      <c r="U191" s="51"/>
      <c r="V191" s="52"/>
      <c r="W191" s="55"/>
      <c r="X191" s="57"/>
      <c r="Y191" s="106"/>
      <c r="Z191" s="106"/>
      <c r="AA191" s="106"/>
      <c r="AB191" s="106"/>
    </row>
    <row r="192">
      <c r="A192" s="38">
        <v>191.0</v>
      </c>
      <c r="B192" s="42"/>
      <c r="C192" s="51"/>
      <c r="D192" s="38"/>
      <c r="E192" s="38" t="s">
        <v>889</v>
      </c>
      <c r="F192" s="41" t="s">
        <v>890</v>
      </c>
      <c r="G192" s="43"/>
      <c r="H192" s="45"/>
      <c r="I192" s="38"/>
      <c r="J192" s="38">
        <f>9.4*1000</f>
        <v>9400</v>
      </c>
      <c r="K192" s="46">
        <v>0.040844907407407406</v>
      </c>
      <c r="L192" s="47" t="s">
        <v>551</v>
      </c>
      <c r="M192" s="48"/>
      <c r="N192" s="48"/>
      <c r="O192" s="48">
        <f t="shared" si="1"/>
        <v>0</v>
      </c>
      <c r="P192" s="38"/>
      <c r="Q192" s="12" t="str">
        <f t="shared" si="2"/>
        <v/>
      </c>
      <c r="R192" s="42"/>
      <c r="S192" s="42"/>
      <c r="T192" s="42"/>
      <c r="U192" s="51"/>
      <c r="V192" s="52"/>
      <c r="W192" s="55"/>
      <c r="X192" s="57"/>
      <c r="Y192" s="106"/>
      <c r="Z192" s="106"/>
      <c r="AA192" s="106"/>
      <c r="AB192" s="106"/>
    </row>
    <row r="193">
      <c r="A193" s="38">
        <v>192.0</v>
      </c>
      <c r="B193" s="42"/>
      <c r="C193" s="51"/>
      <c r="D193" s="38"/>
      <c r="E193" s="38" t="s">
        <v>891</v>
      </c>
      <c r="F193" s="41" t="s">
        <v>892</v>
      </c>
      <c r="G193" s="43"/>
      <c r="H193" s="45"/>
      <c r="I193" s="38"/>
      <c r="J193" s="38">
        <f>938</f>
        <v>938</v>
      </c>
      <c r="K193" s="46">
        <v>0.0013541666666666667</v>
      </c>
      <c r="L193" s="47" t="s">
        <v>551</v>
      </c>
      <c r="M193" s="48"/>
      <c r="N193" s="48"/>
      <c r="O193" s="48">
        <f t="shared" si="1"/>
        <v>0</v>
      </c>
      <c r="P193" s="38"/>
      <c r="Q193" s="12" t="str">
        <f t="shared" si="2"/>
        <v/>
      </c>
      <c r="R193" s="42"/>
      <c r="S193" s="42"/>
      <c r="T193" s="42"/>
      <c r="U193" s="51"/>
      <c r="V193" s="52"/>
      <c r="W193" s="55"/>
      <c r="X193" s="57"/>
      <c r="Y193" s="106"/>
      <c r="Z193" s="106"/>
      <c r="AA193" s="106"/>
      <c r="AB193" s="106"/>
    </row>
    <row r="194">
      <c r="A194" s="38">
        <v>193.0</v>
      </c>
      <c r="B194" s="42"/>
      <c r="C194" s="51"/>
      <c r="D194" s="38"/>
      <c r="E194" s="38" t="s">
        <v>894</v>
      </c>
      <c r="F194" s="41" t="s">
        <v>895</v>
      </c>
      <c r="G194" s="43"/>
      <c r="H194" s="45"/>
      <c r="I194" s="38"/>
      <c r="J194" s="38">
        <f>1.8*1000</f>
        <v>1800</v>
      </c>
      <c r="K194" s="46">
        <v>0.009918981481481482</v>
      </c>
      <c r="L194" s="47" t="s">
        <v>551</v>
      </c>
      <c r="M194" s="48"/>
      <c r="N194" s="48"/>
      <c r="O194" s="48">
        <f t="shared" si="1"/>
        <v>0</v>
      </c>
      <c r="P194" s="38"/>
      <c r="Q194" s="12" t="str">
        <f t="shared" si="2"/>
        <v/>
      </c>
      <c r="R194" s="42"/>
      <c r="S194" s="42"/>
      <c r="T194" s="42"/>
      <c r="U194" s="51"/>
      <c r="V194" s="52"/>
      <c r="W194" s="55"/>
      <c r="X194" s="57"/>
      <c r="Y194" s="106"/>
      <c r="Z194" s="106"/>
      <c r="AA194" s="106"/>
      <c r="AB194" s="106"/>
    </row>
    <row r="195">
      <c r="A195" s="38">
        <v>194.0</v>
      </c>
      <c r="B195" s="42"/>
      <c r="C195" s="51"/>
      <c r="D195" s="38"/>
      <c r="E195" s="38" t="s">
        <v>896</v>
      </c>
      <c r="F195" s="41" t="s">
        <v>897</v>
      </c>
      <c r="G195" s="43"/>
      <c r="H195" s="45"/>
      <c r="I195" s="38"/>
      <c r="J195" s="38">
        <f>4.4*1000</f>
        <v>4400</v>
      </c>
      <c r="K195" s="46">
        <v>0.025416666666666667</v>
      </c>
      <c r="L195" s="47" t="s">
        <v>551</v>
      </c>
      <c r="M195" s="48"/>
      <c r="N195" s="48"/>
      <c r="O195" s="48">
        <f t="shared" si="1"/>
        <v>0</v>
      </c>
      <c r="P195" s="38"/>
      <c r="Q195" s="12" t="str">
        <f t="shared" si="2"/>
        <v/>
      </c>
      <c r="R195" s="42"/>
      <c r="S195" s="42"/>
      <c r="T195" s="42"/>
      <c r="U195" s="51"/>
      <c r="V195" s="52"/>
      <c r="W195" s="55"/>
      <c r="X195" s="57"/>
      <c r="Y195" s="106"/>
      <c r="Z195" s="106"/>
      <c r="AA195" s="106"/>
      <c r="AB195" s="106"/>
    </row>
    <row r="196">
      <c r="A196" s="38">
        <v>195.0</v>
      </c>
      <c r="B196" s="42"/>
      <c r="C196" s="51"/>
      <c r="D196" s="38"/>
      <c r="E196" s="38" t="s">
        <v>898</v>
      </c>
      <c r="F196" s="41" t="s">
        <v>899</v>
      </c>
      <c r="G196" s="43"/>
      <c r="H196" s="45"/>
      <c r="I196" s="38"/>
      <c r="J196" s="38">
        <f t="shared" ref="J196:J197" si="6">1*1000</f>
        <v>1000</v>
      </c>
      <c r="K196" s="46">
        <v>0.00474537037037037</v>
      </c>
      <c r="L196" s="47" t="s">
        <v>551</v>
      </c>
      <c r="M196" s="48"/>
      <c r="N196" s="48"/>
      <c r="O196" s="48">
        <f t="shared" si="1"/>
        <v>0</v>
      </c>
      <c r="P196" s="38"/>
      <c r="Q196" s="12" t="str">
        <f t="shared" si="2"/>
        <v/>
      </c>
      <c r="R196" s="42"/>
      <c r="S196" s="42"/>
      <c r="T196" s="42"/>
      <c r="U196" s="51"/>
      <c r="V196" s="52"/>
      <c r="W196" s="55"/>
      <c r="X196" s="57"/>
      <c r="Y196" s="106"/>
      <c r="Z196" s="106"/>
      <c r="AA196" s="106"/>
      <c r="AB196" s="106"/>
    </row>
    <row r="197">
      <c r="A197" s="38">
        <v>196.0</v>
      </c>
      <c r="B197" s="42"/>
      <c r="C197" s="51"/>
      <c r="D197" s="38"/>
      <c r="E197" s="38" t="s">
        <v>900</v>
      </c>
      <c r="F197" s="41" t="s">
        <v>901</v>
      </c>
      <c r="G197" s="43"/>
      <c r="H197" s="45"/>
      <c r="I197" s="38"/>
      <c r="J197" s="38">
        <f t="shared" si="6"/>
        <v>1000</v>
      </c>
      <c r="K197" s="46">
        <v>0.0030671296296296297</v>
      </c>
      <c r="L197" s="47" t="s">
        <v>551</v>
      </c>
      <c r="M197" s="48"/>
      <c r="N197" s="48"/>
      <c r="O197" s="48">
        <f t="shared" si="1"/>
        <v>0</v>
      </c>
      <c r="P197" s="38"/>
      <c r="Q197" s="12" t="str">
        <f t="shared" si="2"/>
        <v/>
      </c>
      <c r="R197" s="42"/>
      <c r="S197" s="42"/>
      <c r="T197" s="42"/>
      <c r="U197" s="51"/>
      <c r="V197" s="52"/>
      <c r="W197" s="55"/>
      <c r="X197" s="57"/>
      <c r="Y197" s="106"/>
      <c r="Z197" s="106"/>
      <c r="AA197" s="106"/>
      <c r="AB197" s="106"/>
    </row>
    <row r="198">
      <c r="A198" s="38">
        <v>197.0</v>
      </c>
      <c r="B198" s="42"/>
      <c r="C198" s="51"/>
      <c r="D198" s="38"/>
      <c r="E198" s="38" t="s">
        <v>902</v>
      </c>
      <c r="F198" s="41" t="s">
        <v>903</v>
      </c>
      <c r="G198" s="43"/>
      <c r="H198" s="45"/>
      <c r="I198" s="38"/>
      <c r="J198" s="38">
        <f>1.8*1000</f>
        <v>1800</v>
      </c>
      <c r="K198" s="46">
        <v>0.0018750000000000001</v>
      </c>
      <c r="L198" s="47" t="s">
        <v>551</v>
      </c>
      <c r="M198" s="48"/>
      <c r="N198" s="48"/>
      <c r="O198" s="48">
        <f t="shared" si="1"/>
        <v>0</v>
      </c>
      <c r="P198" s="38"/>
      <c r="Q198" s="12" t="str">
        <f t="shared" si="2"/>
        <v/>
      </c>
      <c r="R198" s="42"/>
      <c r="S198" s="42"/>
      <c r="T198" s="42"/>
      <c r="U198" s="51"/>
      <c r="V198" s="52"/>
      <c r="W198" s="55"/>
      <c r="X198" s="57"/>
      <c r="Y198" s="106"/>
      <c r="Z198" s="106"/>
      <c r="AA198" s="106"/>
      <c r="AB198" s="106"/>
    </row>
    <row r="199">
      <c r="A199" s="38">
        <v>198.0</v>
      </c>
      <c r="B199" s="42"/>
      <c r="C199" s="51"/>
      <c r="D199" s="38"/>
      <c r="E199" s="38" t="s">
        <v>904</v>
      </c>
      <c r="F199" s="41" t="s">
        <v>905</v>
      </c>
      <c r="G199" s="43"/>
      <c r="H199" s="45"/>
      <c r="I199" s="38"/>
      <c r="J199" s="38">
        <f>2*1000</f>
        <v>2000</v>
      </c>
      <c r="K199" s="46">
        <v>0.008819444444444444</v>
      </c>
      <c r="L199" s="47" t="s">
        <v>551</v>
      </c>
      <c r="M199" s="48"/>
      <c r="N199" s="48"/>
      <c r="O199" s="48">
        <f t="shared" si="1"/>
        <v>0</v>
      </c>
      <c r="P199" s="38"/>
      <c r="Q199" s="12" t="str">
        <f t="shared" si="2"/>
        <v/>
      </c>
      <c r="R199" s="42"/>
      <c r="S199" s="42"/>
      <c r="T199" s="42"/>
      <c r="U199" s="51"/>
      <c r="V199" s="52"/>
      <c r="W199" s="55"/>
      <c r="X199" s="57"/>
      <c r="Y199" s="106"/>
      <c r="Z199" s="106"/>
      <c r="AA199" s="106"/>
      <c r="AB199" s="106"/>
    </row>
    <row r="200">
      <c r="A200" s="38">
        <v>199.0</v>
      </c>
      <c r="B200" s="42"/>
      <c r="C200" s="51"/>
      <c r="D200" s="38"/>
      <c r="E200" s="38" t="s">
        <v>906</v>
      </c>
      <c r="F200" s="41" t="s">
        <v>907</v>
      </c>
      <c r="G200" s="43"/>
      <c r="H200" s="45"/>
      <c r="I200" s="38"/>
      <c r="J200" s="38">
        <f>3.1*1000</f>
        <v>3100</v>
      </c>
      <c r="K200" s="46">
        <v>0.008993055555555554</v>
      </c>
      <c r="L200" s="47" t="s">
        <v>551</v>
      </c>
      <c r="M200" s="48"/>
      <c r="N200" s="48"/>
      <c r="O200" s="48">
        <f t="shared" si="1"/>
        <v>0</v>
      </c>
      <c r="P200" s="38"/>
      <c r="Q200" s="12" t="str">
        <f t="shared" si="2"/>
        <v/>
      </c>
      <c r="R200" s="42"/>
      <c r="S200" s="42"/>
      <c r="T200" s="42"/>
      <c r="U200" s="51"/>
      <c r="V200" s="52"/>
      <c r="W200" s="55"/>
      <c r="X200" s="57"/>
      <c r="Y200" s="106"/>
      <c r="Z200" s="106"/>
      <c r="AA200" s="106"/>
      <c r="AB200" s="106"/>
    </row>
    <row r="201">
      <c r="A201" s="38">
        <v>200.0</v>
      </c>
      <c r="B201" s="42"/>
      <c r="C201" s="51"/>
      <c r="D201" s="38"/>
      <c r="E201" s="38" t="s">
        <v>908</v>
      </c>
      <c r="F201" s="41" t="s">
        <v>909</v>
      </c>
      <c r="G201" s="43"/>
      <c r="H201" s="45"/>
      <c r="I201" s="38"/>
      <c r="J201" s="38">
        <f>2.4*1000</f>
        <v>2400</v>
      </c>
      <c r="K201" s="46">
        <v>0.00925925925925926</v>
      </c>
      <c r="L201" s="47" t="s">
        <v>551</v>
      </c>
      <c r="M201" s="48"/>
      <c r="N201" s="48"/>
      <c r="O201" s="48">
        <f t="shared" si="1"/>
        <v>0</v>
      </c>
      <c r="P201" s="38"/>
      <c r="Q201" s="12" t="str">
        <f t="shared" si="2"/>
        <v/>
      </c>
      <c r="R201" s="42"/>
      <c r="S201" s="42"/>
      <c r="T201" s="42"/>
      <c r="U201" s="51"/>
      <c r="V201" s="52"/>
      <c r="W201" s="55"/>
      <c r="X201" s="57"/>
      <c r="Y201" s="106"/>
      <c r="Z201" s="106"/>
      <c r="AA201" s="106"/>
      <c r="AB201" s="106"/>
    </row>
    <row r="202">
      <c r="A202" s="38">
        <v>201.0</v>
      </c>
      <c r="B202" s="42"/>
      <c r="C202" s="51"/>
      <c r="D202" s="38"/>
      <c r="E202" s="38" t="s">
        <v>910</v>
      </c>
      <c r="F202" s="41" t="s">
        <v>911</v>
      </c>
      <c r="G202" s="43"/>
      <c r="H202" s="45"/>
      <c r="I202" s="38"/>
      <c r="J202" s="38">
        <f>8.1*1000</f>
        <v>8100</v>
      </c>
      <c r="K202" s="46">
        <v>0.0026388888888888885</v>
      </c>
      <c r="L202" s="47" t="s">
        <v>912</v>
      </c>
      <c r="M202" s="48"/>
      <c r="N202" s="48"/>
      <c r="O202" s="48">
        <f t="shared" si="1"/>
        <v>0</v>
      </c>
      <c r="P202" s="38"/>
      <c r="Q202" s="12" t="str">
        <f t="shared" si="2"/>
        <v/>
      </c>
      <c r="R202" s="42"/>
      <c r="S202" s="42"/>
      <c r="T202" s="42"/>
      <c r="U202" s="51"/>
      <c r="V202" s="52"/>
      <c r="W202" s="55"/>
      <c r="X202" s="57"/>
      <c r="Y202" s="106"/>
      <c r="Z202" s="106"/>
      <c r="AA202" s="106"/>
      <c r="AB202" s="106"/>
    </row>
    <row r="203">
      <c r="A203" s="38">
        <v>202.0</v>
      </c>
      <c r="B203" s="42"/>
      <c r="C203" s="51"/>
      <c r="D203" s="38"/>
      <c r="E203" s="38" t="s">
        <v>913</v>
      </c>
      <c r="F203" s="41" t="s">
        <v>914</v>
      </c>
      <c r="G203" s="43"/>
      <c r="H203" s="45"/>
      <c r="I203" s="38"/>
      <c r="J203" s="38">
        <f>2.7*1000</f>
        <v>2700</v>
      </c>
      <c r="K203" s="46">
        <v>0.0027199074074074074</v>
      </c>
      <c r="L203" s="47" t="s">
        <v>912</v>
      </c>
      <c r="M203" s="48"/>
      <c r="N203" s="48"/>
      <c r="O203" s="48">
        <f t="shared" si="1"/>
        <v>0</v>
      </c>
      <c r="P203" s="38"/>
      <c r="Q203" s="12" t="str">
        <f t="shared" si="2"/>
        <v/>
      </c>
      <c r="R203" s="42"/>
      <c r="S203" s="42"/>
      <c r="T203" s="42"/>
      <c r="U203" s="51"/>
      <c r="V203" s="52"/>
      <c r="W203" s="55"/>
      <c r="X203" s="57"/>
      <c r="Y203" s="106"/>
      <c r="Z203" s="106"/>
      <c r="AA203" s="106"/>
      <c r="AB203" s="106"/>
    </row>
    <row r="204">
      <c r="A204" s="38">
        <v>203.0</v>
      </c>
      <c r="B204" s="42"/>
      <c r="C204" s="51"/>
      <c r="D204" s="38"/>
      <c r="E204" s="38" t="s">
        <v>915</v>
      </c>
      <c r="F204" s="41" t="s">
        <v>916</v>
      </c>
      <c r="G204" s="43"/>
      <c r="H204" s="45"/>
      <c r="I204" s="38"/>
      <c r="J204" s="38">
        <f>2.9*1000</f>
        <v>2900</v>
      </c>
      <c r="K204" s="46">
        <v>0.0022800925925925927</v>
      </c>
      <c r="L204" s="47" t="s">
        <v>912</v>
      </c>
      <c r="M204" s="48"/>
      <c r="N204" s="48"/>
      <c r="O204" s="48">
        <f t="shared" si="1"/>
        <v>0</v>
      </c>
      <c r="P204" s="38"/>
      <c r="Q204" s="12" t="str">
        <f t="shared" si="2"/>
        <v/>
      </c>
      <c r="R204" s="42"/>
      <c r="S204" s="42"/>
      <c r="T204" s="42"/>
      <c r="U204" s="51"/>
      <c r="V204" s="52"/>
      <c r="W204" s="55"/>
      <c r="X204" s="57"/>
      <c r="Y204" s="106"/>
      <c r="Z204" s="106"/>
      <c r="AA204" s="106"/>
      <c r="AB204" s="106"/>
    </row>
    <row r="205">
      <c r="A205" s="38">
        <v>204.0</v>
      </c>
      <c r="B205" s="42"/>
      <c r="C205" s="51"/>
      <c r="D205" s="38"/>
      <c r="E205" s="38" t="s">
        <v>917</v>
      </c>
      <c r="F205" s="41" t="s">
        <v>918</v>
      </c>
      <c r="G205" s="43"/>
      <c r="H205" s="45"/>
      <c r="I205" s="38"/>
      <c r="J205" s="38">
        <f t="shared" ref="J205:J206" si="7">3.9*1000</f>
        <v>3900</v>
      </c>
      <c r="K205" s="46">
        <v>0.0043518518518518515</v>
      </c>
      <c r="L205" s="47" t="s">
        <v>912</v>
      </c>
      <c r="M205" s="48"/>
      <c r="N205" s="48"/>
      <c r="O205" s="48">
        <f t="shared" si="1"/>
        <v>0</v>
      </c>
      <c r="P205" s="38"/>
      <c r="Q205" s="12" t="str">
        <f t="shared" si="2"/>
        <v/>
      </c>
      <c r="R205" s="42"/>
      <c r="S205" s="42"/>
      <c r="T205" s="42"/>
      <c r="U205" s="51"/>
      <c r="V205" s="52"/>
      <c r="W205" s="55"/>
      <c r="X205" s="57"/>
      <c r="Y205" s="106"/>
      <c r="Z205" s="106"/>
      <c r="AA205" s="106"/>
      <c r="AB205" s="106"/>
    </row>
    <row r="206">
      <c r="A206" s="38">
        <v>205.0</v>
      </c>
      <c r="B206" s="42"/>
      <c r="C206" s="51"/>
      <c r="D206" s="38"/>
      <c r="E206" s="38" t="s">
        <v>919</v>
      </c>
      <c r="F206" s="41" t="s">
        <v>920</v>
      </c>
      <c r="G206" s="43"/>
      <c r="H206" s="45"/>
      <c r="I206" s="38"/>
      <c r="J206" s="38">
        <f t="shared" si="7"/>
        <v>3900</v>
      </c>
      <c r="K206" s="46">
        <v>0.006493055555555555</v>
      </c>
      <c r="L206" s="47" t="s">
        <v>912</v>
      </c>
      <c r="M206" s="48"/>
      <c r="N206" s="48"/>
      <c r="O206" s="48">
        <f t="shared" si="1"/>
        <v>0</v>
      </c>
      <c r="P206" s="38"/>
      <c r="Q206" s="12" t="str">
        <f t="shared" si="2"/>
        <v/>
      </c>
      <c r="R206" s="42"/>
      <c r="S206" s="42"/>
      <c r="T206" s="42"/>
      <c r="U206" s="51"/>
      <c r="V206" s="52"/>
      <c r="W206" s="55"/>
      <c r="X206" s="57"/>
      <c r="Y206" s="106"/>
      <c r="Z206" s="106"/>
      <c r="AA206" s="106"/>
      <c r="AB206" s="106"/>
    </row>
    <row r="207">
      <c r="A207" s="38">
        <v>206.0</v>
      </c>
      <c r="B207" s="63"/>
      <c r="C207" s="51"/>
      <c r="D207" s="38"/>
      <c r="E207" s="38" t="s">
        <v>921</v>
      </c>
      <c r="F207" s="41" t="s">
        <v>922</v>
      </c>
      <c r="G207" s="43"/>
      <c r="H207" s="45"/>
      <c r="I207" s="38"/>
      <c r="J207" s="38">
        <f>4.4*1000</f>
        <v>4400</v>
      </c>
      <c r="K207" s="46">
        <v>0.009212962962962963</v>
      </c>
      <c r="L207" s="47" t="s">
        <v>912</v>
      </c>
      <c r="M207" s="48"/>
      <c r="N207" s="48"/>
      <c r="O207" s="48">
        <f t="shared" si="1"/>
        <v>0</v>
      </c>
      <c r="P207" s="38"/>
      <c r="Q207" s="12" t="str">
        <f t="shared" si="2"/>
        <v/>
      </c>
      <c r="R207" s="42"/>
      <c r="S207" s="42"/>
      <c r="T207" s="42"/>
      <c r="U207" s="51"/>
      <c r="V207" s="52"/>
      <c r="W207" s="55"/>
      <c r="X207" s="57"/>
      <c r="Y207" s="106"/>
      <c r="Z207" s="106"/>
      <c r="AA207" s="106"/>
      <c r="AB207" s="106"/>
    </row>
    <row r="208">
      <c r="A208" s="38">
        <v>207.0</v>
      </c>
      <c r="B208" s="42"/>
      <c r="C208" s="51"/>
      <c r="D208" s="38"/>
      <c r="E208" s="38" t="s">
        <v>923</v>
      </c>
      <c r="F208" s="41" t="s">
        <v>924</v>
      </c>
      <c r="G208" s="43"/>
      <c r="H208" s="45"/>
      <c r="I208" s="38"/>
      <c r="J208" s="38">
        <f>4.2*1000</f>
        <v>4200</v>
      </c>
      <c r="K208" s="46">
        <v>0.007233796296296296</v>
      </c>
      <c r="L208" s="47" t="s">
        <v>912</v>
      </c>
      <c r="M208" s="48"/>
      <c r="N208" s="48"/>
      <c r="O208" s="48">
        <f t="shared" si="1"/>
        <v>0</v>
      </c>
      <c r="P208" s="38"/>
      <c r="Q208" s="12" t="str">
        <f t="shared" si="2"/>
        <v/>
      </c>
      <c r="R208" s="42"/>
      <c r="S208" s="42"/>
      <c r="T208" s="42"/>
      <c r="U208" s="51"/>
      <c r="V208" s="52"/>
      <c r="W208" s="55"/>
      <c r="X208" s="57"/>
      <c r="Y208" s="106"/>
      <c r="Z208" s="106"/>
      <c r="AA208" s="106"/>
      <c r="AB208" s="106"/>
    </row>
    <row r="209">
      <c r="A209" s="38">
        <v>208.0</v>
      </c>
      <c r="B209" s="42"/>
      <c r="C209" s="51"/>
      <c r="D209" s="38"/>
      <c r="E209" s="38" t="s">
        <v>925</v>
      </c>
      <c r="F209" s="41" t="s">
        <v>926</v>
      </c>
      <c r="G209" s="43"/>
      <c r="H209" s="45"/>
      <c r="I209" s="38"/>
      <c r="J209" s="38">
        <f>1.9*1000</f>
        <v>1900</v>
      </c>
      <c r="K209" s="46">
        <v>0.004398148148148148</v>
      </c>
      <c r="L209" s="47" t="s">
        <v>912</v>
      </c>
      <c r="M209" s="48"/>
      <c r="N209" s="48"/>
      <c r="O209" s="48">
        <f t="shared" si="1"/>
        <v>0</v>
      </c>
      <c r="P209" s="38"/>
      <c r="Q209" s="12" t="str">
        <f t="shared" si="2"/>
        <v/>
      </c>
      <c r="R209" s="42"/>
      <c r="S209" s="42"/>
      <c r="T209" s="42"/>
      <c r="U209" s="51"/>
      <c r="V209" s="52"/>
      <c r="W209" s="55"/>
      <c r="X209" s="57"/>
      <c r="Y209" s="106"/>
      <c r="Z209" s="106"/>
      <c r="AA209" s="106"/>
      <c r="AB209" s="106"/>
    </row>
    <row r="210">
      <c r="A210" s="38">
        <v>209.0</v>
      </c>
      <c r="B210" s="42"/>
      <c r="C210" s="51"/>
      <c r="D210" s="38"/>
      <c r="E210" s="38" t="s">
        <v>927</v>
      </c>
      <c r="F210" s="41" t="s">
        <v>928</v>
      </c>
      <c r="G210" s="43"/>
      <c r="H210" s="45"/>
      <c r="I210" s="38"/>
      <c r="J210" s="38">
        <f>2.8*1000</f>
        <v>2800</v>
      </c>
      <c r="K210" s="46">
        <v>0.006539351851851852</v>
      </c>
      <c r="L210" s="47" t="s">
        <v>912</v>
      </c>
      <c r="M210" s="48"/>
      <c r="N210" s="48"/>
      <c r="O210" s="48">
        <f t="shared" si="1"/>
        <v>0</v>
      </c>
      <c r="P210" s="38"/>
      <c r="Q210" s="12" t="str">
        <f t="shared" si="2"/>
        <v/>
      </c>
      <c r="R210" s="42"/>
      <c r="S210" s="42"/>
      <c r="T210" s="42"/>
      <c r="U210" s="51"/>
      <c r="V210" s="52"/>
      <c r="W210" s="55"/>
      <c r="X210" s="57"/>
      <c r="Y210" s="106"/>
      <c r="Z210" s="106"/>
      <c r="AA210" s="106"/>
      <c r="AB210" s="106"/>
    </row>
    <row r="211">
      <c r="A211" s="38">
        <v>210.0</v>
      </c>
      <c r="B211" s="42"/>
      <c r="C211" s="51"/>
      <c r="D211" s="38"/>
      <c r="E211" s="38" t="s">
        <v>929</v>
      </c>
      <c r="F211" s="41" t="s">
        <v>930</v>
      </c>
      <c r="G211" s="43"/>
      <c r="H211" s="45"/>
      <c r="I211" s="38"/>
      <c r="J211" s="38">
        <f>1.3*1000</f>
        <v>1300</v>
      </c>
      <c r="K211" s="46">
        <v>0.0032175925925925926</v>
      </c>
      <c r="L211" s="47" t="s">
        <v>912</v>
      </c>
      <c r="M211" s="48"/>
      <c r="N211" s="48"/>
      <c r="O211" s="48">
        <f t="shared" si="1"/>
        <v>0</v>
      </c>
      <c r="P211" s="38"/>
      <c r="Q211" s="12" t="str">
        <f t="shared" si="2"/>
        <v/>
      </c>
      <c r="R211" s="42"/>
      <c r="S211" s="42"/>
      <c r="T211" s="42"/>
      <c r="U211" s="51"/>
      <c r="V211" s="52"/>
      <c r="W211" s="55"/>
      <c r="X211" s="57"/>
      <c r="Y211" s="106"/>
      <c r="Z211" s="106"/>
      <c r="AA211" s="106"/>
      <c r="AB211" s="106"/>
    </row>
    <row r="212">
      <c r="A212" s="38">
        <v>211.0</v>
      </c>
      <c r="B212" s="42"/>
      <c r="C212" s="51"/>
      <c r="D212" s="38"/>
      <c r="E212" s="38" t="s">
        <v>931</v>
      </c>
      <c r="F212" s="41" t="s">
        <v>932</v>
      </c>
      <c r="G212" s="43"/>
      <c r="H212" s="45"/>
      <c r="I212" s="38"/>
      <c r="J212" s="38">
        <f>8.7*1000</f>
        <v>8700</v>
      </c>
      <c r="K212" s="46">
        <v>0.013078703703703703</v>
      </c>
      <c r="L212" s="47" t="s">
        <v>912</v>
      </c>
      <c r="M212" s="48"/>
      <c r="N212" s="48"/>
      <c r="O212" s="48">
        <f t="shared" si="1"/>
        <v>0</v>
      </c>
      <c r="P212" s="38"/>
      <c r="Q212" s="12" t="str">
        <f t="shared" si="2"/>
        <v/>
      </c>
      <c r="R212" s="42"/>
      <c r="S212" s="42"/>
      <c r="T212" s="42"/>
      <c r="U212" s="51"/>
      <c r="V212" s="52"/>
      <c r="W212" s="55"/>
      <c r="X212" s="57"/>
      <c r="Y212" s="106"/>
      <c r="Z212" s="106"/>
      <c r="AA212" s="106"/>
      <c r="AB212" s="106"/>
    </row>
    <row r="213">
      <c r="A213" s="38">
        <v>212.0</v>
      </c>
      <c r="B213" s="42"/>
      <c r="C213" s="51"/>
      <c r="D213" s="38"/>
      <c r="E213" s="38" t="s">
        <v>933</v>
      </c>
      <c r="F213" s="41" t="s">
        <v>934</v>
      </c>
      <c r="G213" s="43"/>
      <c r="H213" s="45"/>
      <c r="I213" s="38"/>
      <c r="J213" s="38">
        <f>2.4*1000</f>
        <v>2400</v>
      </c>
      <c r="K213" s="46">
        <v>0.00800925925925926</v>
      </c>
      <c r="L213" s="47" t="s">
        <v>912</v>
      </c>
      <c r="M213" s="48"/>
      <c r="N213" s="48"/>
      <c r="O213" s="48">
        <f t="shared" si="1"/>
        <v>0</v>
      </c>
      <c r="P213" s="38"/>
      <c r="Q213" s="12" t="str">
        <f t="shared" si="2"/>
        <v/>
      </c>
      <c r="R213" s="42"/>
      <c r="S213" s="42"/>
      <c r="T213" s="42"/>
      <c r="U213" s="51"/>
      <c r="V213" s="52"/>
      <c r="W213" s="55"/>
      <c r="X213" s="57"/>
      <c r="Y213" s="106"/>
      <c r="Z213" s="106"/>
      <c r="AA213" s="106"/>
      <c r="AB213" s="106"/>
    </row>
    <row r="214">
      <c r="A214" s="38">
        <v>213.0</v>
      </c>
      <c r="B214" s="42"/>
      <c r="C214" s="51"/>
      <c r="D214" s="38"/>
      <c r="E214" s="38" t="s">
        <v>935</v>
      </c>
      <c r="F214" s="41" t="s">
        <v>936</v>
      </c>
      <c r="G214" s="43"/>
      <c r="H214" s="45"/>
      <c r="I214" s="38"/>
      <c r="J214" s="38">
        <f>2.8*1000</f>
        <v>2800</v>
      </c>
      <c r="K214" s="46">
        <v>0.002546296296296296</v>
      </c>
      <c r="L214" s="47" t="s">
        <v>912</v>
      </c>
      <c r="M214" s="48"/>
      <c r="N214" s="48"/>
      <c r="O214" s="48">
        <f t="shared" si="1"/>
        <v>0</v>
      </c>
      <c r="P214" s="38"/>
      <c r="Q214" s="12" t="str">
        <f t="shared" si="2"/>
        <v/>
      </c>
      <c r="R214" s="42"/>
      <c r="S214" s="42"/>
      <c r="T214" s="42"/>
      <c r="U214" s="51"/>
      <c r="V214" s="52"/>
      <c r="W214" s="55"/>
      <c r="X214" s="57"/>
      <c r="Y214" s="106"/>
      <c r="Z214" s="106"/>
      <c r="AA214" s="106"/>
      <c r="AB214" s="106"/>
    </row>
    <row r="215">
      <c r="A215" s="38">
        <v>214.0</v>
      </c>
      <c r="B215" s="42"/>
      <c r="C215" s="51"/>
      <c r="D215" s="38"/>
      <c r="E215" s="38" t="s">
        <v>937</v>
      </c>
      <c r="F215" s="41" t="s">
        <v>938</v>
      </c>
      <c r="G215" s="43"/>
      <c r="H215" s="45"/>
      <c r="I215" s="38"/>
      <c r="J215" s="38">
        <f>8.1*1000</f>
        <v>8100</v>
      </c>
      <c r="K215" s="46">
        <v>0.02981481481481481</v>
      </c>
      <c r="L215" s="47" t="s">
        <v>912</v>
      </c>
      <c r="M215" s="48"/>
      <c r="N215" s="48"/>
      <c r="O215" s="48">
        <f t="shared" si="1"/>
        <v>0</v>
      </c>
      <c r="P215" s="38"/>
      <c r="Q215" s="12" t="str">
        <f t="shared" si="2"/>
        <v/>
      </c>
      <c r="R215" s="42"/>
      <c r="S215" s="42"/>
      <c r="T215" s="42"/>
      <c r="U215" s="51"/>
      <c r="V215" s="52"/>
      <c r="W215" s="55"/>
      <c r="X215" s="57"/>
      <c r="Y215" s="106"/>
      <c r="Z215" s="106"/>
      <c r="AA215" s="106"/>
      <c r="AB215" s="106"/>
    </row>
    <row r="216">
      <c r="A216" s="38">
        <v>215.0</v>
      </c>
      <c r="B216" s="42"/>
      <c r="C216" s="51"/>
      <c r="D216" s="38"/>
      <c r="E216" s="38" t="s">
        <v>939</v>
      </c>
      <c r="F216" s="41" t="s">
        <v>940</v>
      </c>
      <c r="G216" s="43"/>
      <c r="H216" s="45"/>
      <c r="I216" s="38"/>
      <c r="J216" s="38">
        <f>1.7*1000</f>
        <v>1700</v>
      </c>
      <c r="K216" s="46">
        <v>0.006793981481481482</v>
      </c>
      <c r="L216" s="47" t="s">
        <v>912</v>
      </c>
      <c r="M216" s="48"/>
      <c r="N216" s="48"/>
      <c r="O216" s="48">
        <f t="shared" si="1"/>
        <v>0</v>
      </c>
      <c r="P216" s="38"/>
      <c r="Q216" s="12" t="str">
        <f t="shared" si="2"/>
        <v/>
      </c>
      <c r="R216" s="42"/>
      <c r="S216" s="42"/>
      <c r="T216" s="42"/>
      <c r="U216" s="51"/>
      <c r="V216" s="52"/>
      <c r="W216" s="55"/>
      <c r="X216" s="57"/>
      <c r="Y216" s="106"/>
      <c r="Z216" s="106"/>
      <c r="AA216" s="106"/>
      <c r="AB216" s="106"/>
    </row>
    <row r="217">
      <c r="A217" s="38">
        <v>216.0</v>
      </c>
      <c r="B217" s="42"/>
      <c r="C217" s="51"/>
      <c r="D217" s="38"/>
      <c r="E217" s="38" t="s">
        <v>941</v>
      </c>
      <c r="F217" s="41" t="s">
        <v>942</v>
      </c>
      <c r="G217" s="43"/>
      <c r="H217" s="45"/>
      <c r="I217" s="38"/>
      <c r="J217" s="38">
        <f>3.9*1000</f>
        <v>3900</v>
      </c>
      <c r="K217" s="46">
        <v>0.003090277777777778</v>
      </c>
      <c r="L217" s="47" t="s">
        <v>912</v>
      </c>
      <c r="M217" s="48"/>
      <c r="N217" s="48"/>
      <c r="O217" s="48">
        <f t="shared" si="1"/>
        <v>0</v>
      </c>
      <c r="P217" s="38"/>
      <c r="Q217" s="12" t="str">
        <f t="shared" si="2"/>
        <v/>
      </c>
      <c r="R217" s="42"/>
      <c r="S217" s="42"/>
      <c r="T217" s="42"/>
      <c r="U217" s="51"/>
      <c r="V217" s="52"/>
      <c r="W217" s="55"/>
      <c r="X217" s="57"/>
      <c r="Y217" s="106"/>
      <c r="Z217" s="106"/>
      <c r="AA217" s="106"/>
      <c r="AB217" s="106"/>
    </row>
    <row r="218">
      <c r="A218" s="38">
        <v>217.0</v>
      </c>
      <c r="B218" s="42"/>
      <c r="C218" s="51"/>
      <c r="D218" s="38"/>
      <c r="E218" s="38" t="s">
        <v>943</v>
      </c>
      <c r="F218" s="41" t="s">
        <v>944</v>
      </c>
      <c r="G218" s="43"/>
      <c r="H218" s="45"/>
      <c r="I218" s="38"/>
      <c r="J218" s="38">
        <f>254</f>
        <v>254</v>
      </c>
      <c r="K218" s="46">
        <v>0.002731481481481482</v>
      </c>
      <c r="L218" s="47" t="s">
        <v>912</v>
      </c>
      <c r="M218" s="48"/>
      <c r="N218" s="48"/>
      <c r="O218" s="48">
        <f t="shared" si="1"/>
        <v>0</v>
      </c>
      <c r="P218" s="38"/>
      <c r="Q218" s="12" t="str">
        <f t="shared" si="2"/>
        <v/>
      </c>
      <c r="R218" s="42"/>
      <c r="S218" s="42"/>
      <c r="T218" s="42"/>
      <c r="U218" s="51"/>
      <c r="V218" s="52"/>
      <c r="W218" s="55"/>
      <c r="X218" s="57"/>
      <c r="Y218" s="106"/>
      <c r="Z218" s="106"/>
      <c r="AA218" s="106"/>
      <c r="AB218" s="106"/>
    </row>
    <row r="219">
      <c r="A219" s="38">
        <v>218.0</v>
      </c>
      <c r="B219" s="42"/>
      <c r="C219" s="51"/>
      <c r="D219" s="38"/>
      <c r="E219" s="38" t="s">
        <v>945</v>
      </c>
      <c r="F219" s="41" t="s">
        <v>946</v>
      </c>
      <c r="G219" s="43"/>
      <c r="H219" s="45"/>
      <c r="I219" s="38"/>
      <c r="J219" s="38">
        <f>10*1000</f>
        <v>10000</v>
      </c>
      <c r="K219" s="46">
        <v>0.018865740740740742</v>
      </c>
      <c r="L219" s="47" t="s">
        <v>912</v>
      </c>
      <c r="M219" s="48"/>
      <c r="N219" s="48"/>
      <c r="O219" s="48">
        <f t="shared" si="1"/>
        <v>0</v>
      </c>
      <c r="P219" s="38"/>
      <c r="Q219" s="12" t="str">
        <f t="shared" si="2"/>
        <v/>
      </c>
      <c r="R219" s="42"/>
      <c r="S219" s="42"/>
      <c r="T219" s="42"/>
      <c r="U219" s="51"/>
      <c r="V219" s="52"/>
      <c r="W219" s="55"/>
      <c r="X219" s="57"/>
      <c r="Y219" s="106"/>
      <c r="Z219" s="106"/>
      <c r="AA219" s="106"/>
      <c r="AB219" s="106"/>
    </row>
    <row r="220">
      <c r="A220" s="38">
        <v>219.0</v>
      </c>
      <c r="B220" s="42"/>
      <c r="C220" s="51"/>
      <c r="D220" s="38"/>
      <c r="E220" s="38" t="s">
        <v>947</v>
      </c>
      <c r="F220" s="41" t="s">
        <v>948</v>
      </c>
      <c r="G220" s="43"/>
      <c r="H220" s="45"/>
      <c r="I220" s="38"/>
      <c r="J220" s="38">
        <f>7.8*1000</f>
        <v>7800</v>
      </c>
      <c r="K220" s="46">
        <v>0.025567129629629634</v>
      </c>
      <c r="L220" s="47" t="s">
        <v>912</v>
      </c>
      <c r="M220" s="48"/>
      <c r="N220" s="48"/>
      <c r="O220" s="48">
        <f t="shared" si="1"/>
        <v>0</v>
      </c>
      <c r="P220" s="38"/>
      <c r="Q220" s="12" t="str">
        <f t="shared" si="2"/>
        <v/>
      </c>
      <c r="R220" s="42"/>
      <c r="S220" s="42"/>
      <c r="T220" s="42"/>
      <c r="U220" s="51"/>
      <c r="V220" s="52"/>
      <c r="W220" s="55"/>
      <c r="X220" s="57"/>
      <c r="Y220" s="106"/>
      <c r="Z220" s="106"/>
      <c r="AA220" s="106"/>
      <c r="AB220" s="106"/>
    </row>
    <row r="221">
      <c r="A221" s="38">
        <v>220.0</v>
      </c>
      <c r="B221" s="42"/>
      <c r="C221" s="51"/>
      <c r="D221" s="38"/>
      <c r="E221" s="38" t="s">
        <v>949</v>
      </c>
      <c r="F221" s="41" t="s">
        <v>950</v>
      </c>
      <c r="G221" s="43"/>
      <c r="H221" s="45"/>
      <c r="I221" s="38"/>
      <c r="J221" s="38">
        <f>499</f>
        <v>499</v>
      </c>
      <c r="K221" s="46">
        <v>0.012291666666666666</v>
      </c>
      <c r="L221" s="47" t="s">
        <v>912</v>
      </c>
      <c r="M221" s="48"/>
      <c r="N221" s="48"/>
      <c r="O221" s="48">
        <f t="shared" si="1"/>
        <v>0</v>
      </c>
      <c r="P221" s="38"/>
      <c r="Q221" s="12" t="str">
        <f t="shared" si="2"/>
        <v/>
      </c>
      <c r="R221" s="42"/>
      <c r="S221" s="42"/>
      <c r="T221" s="42"/>
      <c r="U221" s="51"/>
      <c r="V221" s="52"/>
      <c r="W221" s="55"/>
      <c r="X221" s="57"/>
      <c r="Y221" s="106"/>
      <c r="Z221" s="106"/>
      <c r="AA221" s="106"/>
      <c r="AB221" s="106"/>
    </row>
    <row r="222">
      <c r="A222" s="38">
        <v>221.0</v>
      </c>
      <c r="B222" s="42"/>
      <c r="C222" s="51"/>
      <c r="D222" s="38"/>
      <c r="E222" s="38" t="s">
        <v>951</v>
      </c>
      <c r="F222" s="41" t="s">
        <v>952</v>
      </c>
      <c r="G222" s="43"/>
      <c r="H222" s="45"/>
      <c r="I222" s="38"/>
      <c r="J222" s="38">
        <f>2.6*1000</f>
        <v>2600</v>
      </c>
      <c r="K222" s="46">
        <v>0.0022916666666666667</v>
      </c>
      <c r="L222" s="47" t="s">
        <v>912</v>
      </c>
      <c r="M222" s="48"/>
      <c r="N222" s="48"/>
      <c r="O222" s="48">
        <f t="shared" si="1"/>
        <v>0</v>
      </c>
      <c r="P222" s="38"/>
      <c r="Q222" s="12" t="str">
        <f t="shared" si="2"/>
        <v/>
      </c>
      <c r="R222" s="42"/>
      <c r="S222" s="42"/>
      <c r="T222" s="42"/>
      <c r="U222" s="51"/>
      <c r="V222" s="52"/>
      <c r="W222" s="55"/>
      <c r="X222" s="57"/>
      <c r="Y222" s="106"/>
      <c r="Z222" s="106"/>
      <c r="AA222" s="106"/>
      <c r="AB222" s="106"/>
    </row>
    <row r="223">
      <c r="A223" s="38">
        <v>222.0</v>
      </c>
      <c r="B223" s="42"/>
      <c r="C223" s="51"/>
      <c r="D223" s="38"/>
      <c r="E223" s="38" t="s">
        <v>953</v>
      </c>
      <c r="F223" s="41" t="s">
        <v>954</v>
      </c>
      <c r="G223" s="43"/>
      <c r="H223" s="45"/>
      <c r="I223" s="38"/>
      <c r="J223" s="38">
        <f>1.1*1000</f>
        <v>1100</v>
      </c>
      <c r="K223" s="46">
        <v>0.004155092592592593</v>
      </c>
      <c r="L223" s="47" t="s">
        <v>912</v>
      </c>
      <c r="M223" s="48"/>
      <c r="N223" s="48"/>
      <c r="O223" s="48">
        <f t="shared" si="1"/>
        <v>0</v>
      </c>
      <c r="P223" s="38"/>
      <c r="Q223" s="12" t="str">
        <f t="shared" si="2"/>
        <v/>
      </c>
      <c r="R223" s="42"/>
      <c r="S223" s="42"/>
      <c r="T223" s="42"/>
      <c r="U223" s="51"/>
      <c r="V223" s="52"/>
      <c r="W223" s="55"/>
      <c r="X223" s="57"/>
      <c r="Y223" s="106"/>
      <c r="Z223" s="106"/>
      <c r="AA223" s="106"/>
      <c r="AB223" s="106"/>
    </row>
    <row r="224">
      <c r="A224" s="38">
        <v>223.0</v>
      </c>
      <c r="B224" s="42"/>
      <c r="C224" s="51"/>
      <c r="D224" s="38"/>
      <c r="E224" s="38" t="s">
        <v>955</v>
      </c>
      <c r="F224" s="41" t="s">
        <v>956</v>
      </c>
      <c r="G224" s="43"/>
      <c r="H224" s="45"/>
      <c r="I224" s="38"/>
      <c r="J224" s="38">
        <f t="shared" ref="J224:J225" si="8">1.4*1000</f>
        <v>1400</v>
      </c>
      <c r="K224" s="46">
        <v>0.0014814814814814814</v>
      </c>
      <c r="L224" s="47" t="s">
        <v>912</v>
      </c>
      <c r="M224" s="48"/>
      <c r="N224" s="48"/>
      <c r="O224" s="48">
        <f t="shared" si="1"/>
        <v>0</v>
      </c>
      <c r="P224" s="38"/>
      <c r="Q224" s="12" t="str">
        <f t="shared" si="2"/>
        <v/>
      </c>
      <c r="R224" s="42"/>
      <c r="S224" s="42"/>
      <c r="T224" s="42"/>
      <c r="U224" s="51"/>
      <c r="V224" s="52"/>
      <c r="W224" s="55"/>
      <c r="X224" s="57"/>
      <c r="Y224" s="106"/>
      <c r="Z224" s="106"/>
      <c r="AA224" s="106"/>
      <c r="AB224" s="106"/>
    </row>
    <row r="225">
      <c r="A225" s="38">
        <v>224.0</v>
      </c>
      <c r="B225" s="42"/>
      <c r="C225" s="51"/>
      <c r="D225" s="38"/>
      <c r="E225" s="38" t="s">
        <v>957</v>
      </c>
      <c r="F225" s="41" t="s">
        <v>958</v>
      </c>
      <c r="G225" s="43"/>
      <c r="H225" s="45"/>
      <c r="I225" s="38"/>
      <c r="J225" s="38">
        <f t="shared" si="8"/>
        <v>1400</v>
      </c>
      <c r="K225" s="46">
        <v>0.001574074074074074</v>
      </c>
      <c r="L225" s="47" t="s">
        <v>912</v>
      </c>
      <c r="M225" s="48"/>
      <c r="N225" s="48"/>
      <c r="O225" s="48">
        <f t="shared" si="1"/>
        <v>0</v>
      </c>
      <c r="P225" s="38"/>
      <c r="Q225" s="12" t="str">
        <f t="shared" si="2"/>
        <v/>
      </c>
      <c r="R225" s="42"/>
      <c r="S225" s="42"/>
      <c r="T225" s="42"/>
      <c r="U225" s="51"/>
      <c r="V225" s="52"/>
      <c r="W225" s="55"/>
      <c r="X225" s="57"/>
      <c r="Y225" s="106"/>
      <c r="Z225" s="106"/>
      <c r="AA225" s="106"/>
      <c r="AB225" s="106"/>
    </row>
    <row r="226">
      <c r="A226" s="38">
        <v>225.0</v>
      </c>
      <c r="B226" s="42"/>
      <c r="C226" s="51"/>
      <c r="D226" s="38"/>
      <c r="E226" s="38" t="s">
        <v>959</v>
      </c>
      <c r="F226" s="41" t="s">
        <v>960</v>
      </c>
      <c r="G226" s="43"/>
      <c r="H226" s="45"/>
      <c r="I226" s="38"/>
      <c r="J226" s="38">
        <f>3.6*1000</f>
        <v>3600</v>
      </c>
      <c r="K226" s="46">
        <v>0.007349537037037037</v>
      </c>
      <c r="L226" s="47" t="s">
        <v>912</v>
      </c>
      <c r="M226" s="48"/>
      <c r="N226" s="48"/>
      <c r="O226" s="48">
        <f t="shared" si="1"/>
        <v>0</v>
      </c>
      <c r="P226" s="38"/>
      <c r="Q226" s="12" t="str">
        <f t="shared" si="2"/>
        <v/>
      </c>
      <c r="R226" s="42"/>
      <c r="S226" s="42"/>
      <c r="T226" s="42"/>
      <c r="U226" s="51"/>
      <c r="V226" s="52"/>
      <c r="W226" s="55"/>
      <c r="X226" s="57"/>
      <c r="Y226" s="106"/>
      <c r="Z226" s="106"/>
      <c r="AA226" s="106"/>
      <c r="AB226" s="106"/>
    </row>
    <row r="227">
      <c r="A227" s="38">
        <v>226.0</v>
      </c>
      <c r="B227" s="42"/>
      <c r="C227" s="51"/>
      <c r="D227" s="38"/>
      <c r="E227" s="38" t="s">
        <v>961</v>
      </c>
      <c r="F227" s="41" t="s">
        <v>962</v>
      </c>
      <c r="G227" s="43"/>
      <c r="H227" s="45"/>
      <c r="I227" s="38"/>
      <c r="J227" s="38">
        <f>7.8*1000</f>
        <v>7800</v>
      </c>
      <c r="K227" s="46">
        <v>0.0025925925925925925</v>
      </c>
      <c r="L227" s="47" t="s">
        <v>912</v>
      </c>
      <c r="M227" s="48"/>
      <c r="N227" s="48"/>
      <c r="O227" s="48">
        <f t="shared" si="1"/>
        <v>0</v>
      </c>
      <c r="P227" s="38"/>
      <c r="Q227" s="12" t="str">
        <f t="shared" si="2"/>
        <v/>
      </c>
      <c r="R227" s="42"/>
      <c r="S227" s="42"/>
      <c r="T227" s="42"/>
      <c r="U227" s="51"/>
      <c r="V227" s="52"/>
      <c r="W227" s="55"/>
      <c r="X227" s="57"/>
      <c r="Y227" s="106"/>
      <c r="Z227" s="106"/>
      <c r="AA227" s="106"/>
      <c r="AB227" s="106"/>
    </row>
    <row r="228">
      <c r="A228" s="38">
        <v>227.0</v>
      </c>
      <c r="B228" s="42"/>
      <c r="C228" s="51"/>
      <c r="D228" s="38"/>
      <c r="E228" s="38" t="s">
        <v>963</v>
      </c>
      <c r="F228" s="41" t="s">
        <v>964</v>
      </c>
      <c r="G228" s="43"/>
      <c r="H228" s="45"/>
      <c r="I228" s="38"/>
      <c r="J228" s="38">
        <f>489</f>
        <v>489</v>
      </c>
      <c r="K228" s="46">
        <v>0.004432870370370371</v>
      </c>
      <c r="L228" s="47" t="s">
        <v>912</v>
      </c>
      <c r="M228" s="48"/>
      <c r="N228" s="48"/>
      <c r="O228" s="48">
        <f t="shared" si="1"/>
        <v>0</v>
      </c>
      <c r="P228" s="38"/>
      <c r="Q228" s="12" t="str">
        <f t="shared" si="2"/>
        <v/>
      </c>
      <c r="R228" s="42"/>
      <c r="S228" s="42"/>
      <c r="T228" s="42"/>
      <c r="U228" s="51"/>
      <c r="V228" s="52"/>
      <c r="W228" s="55"/>
      <c r="X228" s="57"/>
      <c r="Y228" s="106"/>
      <c r="Z228" s="106"/>
      <c r="AA228" s="106"/>
      <c r="AB228" s="106"/>
    </row>
    <row r="229">
      <c r="A229" s="38">
        <v>228.0</v>
      </c>
      <c r="B229" s="42"/>
      <c r="C229" s="51"/>
      <c r="D229" s="38"/>
      <c r="E229" s="38" t="s">
        <v>965</v>
      </c>
      <c r="F229" s="41" t="s">
        <v>966</v>
      </c>
      <c r="G229" s="43"/>
      <c r="H229" s="45"/>
      <c r="I229" s="38"/>
      <c r="J229" s="38">
        <f>413</f>
        <v>413</v>
      </c>
      <c r="K229" s="46">
        <v>0.0026388888888888885</v>
      </c>
      <c r="L229" s="47" t="s">
        <v>912</v>
      </c>
      <c r="M229" s="48"/>
      <c r="N229" s="48"/>
      <c r="O229" s="48">
        <f t="shared" si="1"/>
        <v>0</v>
      </c>
      <c r="P229" s="38"/>
      <c r="Q229" s="12" t="str">
        <f t="shared" si="2"/>
        <v/>
      </c>
      <c r="R229" s="42"/>
      <c r="S229" s="42"/>
      <c r="T229" s="42"/>
      <c r="U229" s="51"/>
      <c r="V229" s="52"/>
      <c r="W229" s="55"/>
      <c r="X229" s="57"/>
      <c r="Y229" s="106"/>
      <c r="Z229" s="106"/>
      <c r="AA229" s="106"/>
      <c r="AB229" s="106"/>
    </row>
    <row r="230">
      <c r="A230" s="38">
        <v>229.0</v>
      </c>
      <c r="B230" s="42"/>
      <c r="C230" s="51"/>
      <c r="D230" s="38"/>
      <c r="E230" s="38" t="s">
        <v>967</v>
      </c>
      <c r="F230" s="41" t="s">
        <v>968</v>
      </c>
      <c r="G230" s="43"/>
      <c r="H230" s="45"/>
      <c r="I230" s="38"/>
      <c r="J230" s="38">
        <f>11*1000</f>
        <v>11000</v>
      </c>
      <c r="K230" s="46">
        <v>0.034409722222222223</v>
      </c>
      <c r="L230" s="47" t="s">
        <v>912</v>
      </c>
      <c r="M230" s="48"/>
      <c r="N230" s="48"/>
      <c r="O230" s="48">
        <f t="shared" si="1"/>
        <v>0</v>
      </c>
      <c r="P230" s="38"/>
      <c r="Q230" s="12" t="str">
        <f t="shared" si="2"/>
        <v/>
      </c>
      <c r="R230" s="42"/>
      <c r="S230" s="42"/>
      <c r="T230" s="42"/>
      <c r="U230" s="51"/>
      <c r="V230" s="52"/>
      <c r="W230" s="55"/>
      <c r="X230" s="57"/>
      <c r="Y230" s="106"/>
      <c r="Z230" s="106"/>
      <c r="AA230" s="106"/>
      <c r="AB230" s="106"/>
    </row>
    <row r="231">
      <c r="A231" s="38">
        <v>230.0</v>
      </c>
      <c r="B231" s="42"/>
      <c r="C231" s="51"/>
      <c r="D231" s="38"/>
      <c r="E231" s="38" t="s">
        <v>969</v>
      </c>
      <c r="F231" s="41" t="s">
        <v>970</v>
      </c>
      <c r="G231" s="43"/>
      <c r="H231" s="45"/>
      <c r="I231" s="38"/>
      <c r="J231" s="38">
        <f>3.9*1000</f>
        <v>3900</v>
      </c>
      <c r="K231" s="46">
        <v>0.010289351851851852</v>
      </c>
      <c r="L231" s="47" t="s">
        <v>912</v>
      </c>
      <c r="M231" s="48"/>
      <c r="N231" s="48"/>
      <c r="O231" s="48">
        <f t="shared" si="1"/>
        <v>0</v>
      </c>
      <c r="P231" s="38"/>
      <c r="Q231" s="12" t="str">
        <f t="shared" si="2"/>
        <v/>
      </c>
      <c r="R231" s="42"/>
      <c r="S231" s="42"/>
      <c r="T231" s="42"/>
      <c r="U231" s="51"/>
      <c r="V231" s="52"/>
      <c r="W231" s="55"/>
      <c r="X231" s="57"/>
      <c r="Y231" s="106"/>
      <c r="Z231" s="106"/>
      <c r="AA231" s="106"/>
      <c r="AB231" s="106"/>
    </row>
    <row r="232">
      <c r="A232" s="38">
        <v>231.0</v>
      </c>
      <c r="B232" s="42"/>
      <c r="C232" s="51"/>
      <c r="D232" s="38"/>
      <c r="E232" s="38" t="s">
        <v>971</v>
      </c>
      <c r="F232" s="41" t="s">
        <v>972</v>
      </c>
      <c r="G232" s="43"/>
      <c r="H232" s="45"/>
      <c r="I232" s="38"/>
      <c r="J232" s="38">
        <f>2*1000</f>
        <v>2000</v>
      </c>
      <c r="K232" s="46">
        <v>0.01136574074074074</v>
      </c>
      <c r="L232" s="47" t="s">
        <v>912</v>
      </c>
      <c r="M232" s="48"/>
      <c r="N232" s="48"/>
      <c r="O232" s="48">
        <f t="shared" si="1"/>
        <v>0</v>
      </c>
      <c r="P232" s="38"/>
      <c r="Q232" s="12" t="str">
        <f t="shared" si="2"/>
        <v/>
      </c>
      <c r="R232" s="42"/>
      <c r="S232" s="42"/>
      <c r="T232" s="42"/>
      <c r="U232" s="51"/>
      <c r="V232" s="52"/>
      <c r="W232" s="55"/>
      <c r="X232" s="57"/>
      <c r="Y232" s="106"/>
      <c r="Z232" s="106"/>
      <c r="AA232" s="106"/>
      <c r="AB232" s="106"/>
    </row>
    <row r="233">
      <c r="A233" s="38">
        <v>232.0</v>
      </c>
      <c r="B233" s="42"/>
      <c r="C233" s="51"/>
      <c r="D233" s="38"/>
      <c r="E233" s="38" t="s">
        <v>973</v>
      </c>
      <c r="F233" s="41" t="s">
        <v>974</v>
      </c>
      <c r="G233" s="43"/>
      <c r="H233" s="45"/>
      <c r="I233" s="38"/>
      <c r="J233" s="38">
        <f>769</f>
        <v>769</v>
      </c>
      <c r="K233" s="46">
        <v>0.008391203703703705</v>
      </c>
      <c r="L233" s="47" t="s">
        <v>912</v>
      </c>
      <c r="M233" s="48"/>
      <c r="N233" s="48"/>
      <c r="O233" s="48">
        <f t="shared" si="1"/>
        <v>0</v>
      </c>
      <c r="P233" s="38"/>
      <c r="Q233" s="12" t="str">
        <f t="shared" si="2"/>
        <v/>
      </c>
      <c r="R233" s="42"/>
      <c r="S233" s="42"/>
      <c r="T233" s="42"/>
      <c r="U233" s="51"/>
      <c r="V233" s="52"/>
      <c r="W233" s="55"/>
      <c r="X233" s="57"/>
      <c r="Y233" s="106"/>
      <c r="Z233" s="106"/>
      <c r="AA233" s="106"/>
      <c r="AB233" s="106"/>
    </row>
    <row r="234">
      <c r="A234" s="38">
        <v>233.0</v>
      </c>
      <c r="B234" s="42"/>
      <c r="C234" s="51"/>
      <c r="D234" s="38"/>
      <c r="E234" s="38" t="s">
        <v>975</v>
      </c>
      <c r="F234" s="41" t="s">
        <v>976</v>
      </c>
      <c r="G234" s="43"/>
      <c r="H234" s="45"/>
      <c r="I234" s="38"/>
      <c r="J234" s="38">
        <f>651</f>
        <v>651</v>
      </c>
      <c r="K234" s="46">
        <v>0.004236111111111111</v>
      </c>
      <c r="L234" s="47" t="s">
        <v>912</v>
      </c>
      <c r="M234" s="48"/>
      <c r="N234" s="48"/>
      <c r="O234" s="48">
        <f t="shared" si="1"/>
        <v>0</v>
      </c>
      <c r="P234" s="38"/>
      <c r="Q234" s="12" t="str">
        <f t="shared" si="2"/>
        <v/>
      </c>
      <c r="R234" s="42"/>
      <c r="S234" s="42"/>
      <c r="T234" s="42"/>
      <c r="U234" s="51"/>
      <c r="V234" s="52"/>
      <c r="W234" s="55"/>
      <c r="X234" s="57"/>
      <c r="Y234" s="106"/>
      <c r="Z234" s="106"/>
      <c r="AA234" s="106"/>
      <c r="AB234" s="106"/>
    </row>
    <row r="235">
      <c r="A235" s="38">
        <v>234.0</v>
      </c>
      <c r="B235" s="42"/>
      <c r="C235" s="51"/>
      <c r="D235" s="38"/>
      <c r="E235" s="38" t="s">
        <v>977</v>
      </c>
      <c r="F235" s="41" t="s">
        <v>978</v>
      </c>
      <c r="G235" s="43"/>
      <c r="H235" s="45"/>
      <c r="I235" s="38"/>
      <c r="J235" s="38">
        <f>957</f>
        <v>957</v>
      </c>
      <c r="K235" s="46">
        <v>0.0026504629629629625</v>
      </c>
      <c r="L235" s="47" t="s">
        <v>912</v>
      </c>
      <c r="M235" s="48"/>
      <c r="N235" s="48"/>
      <c r="O235" s="48">
        <f t="shared" si="1"/>
        <v>0</v>
      </c>
      <c r="P235" s="38"/>
      <c r="Q235" s="12" t="str">
        <f t="shared" si="2"/>
        <v/>
      </c>
      <c r="R235" s="42"/>
      <c r="S235" s="42"/>
      <c r="T235" s="42"/>
      <c r="U235" s="51"/>
      <c r="V235" s="52"/>
      <c r="W235" s="55"/>
      <c r="X235" s="57"/>
      <c r="Y235" s="106"/>
      <c r="Z235" s="106"/>
      <c r="AA235" s="106"/>
      <c r="AB235" s="106"/>
    </row>
    <row r="236">
      <c r="A236" s="38">
        <v>235.0</v>
      </c>
      <c r="B236" s="42"/>
      <c r="C236" s="51"/>
      <c r="D236" s="38"/>
      <c r="E236" s="38" t="s">
        <v>979</v>
      </c>
      <c r="F236" s="41" t="s">
        <v>980</v>
      </c>
      <c r="G236" s="43"/>
      <c r="H236" s="45"/>
      <c r="I236" s="38"/>
      <c r="J236" s="38">
        <f>1.2*1000</f>
        <v>1200</v>
      </c>
      <c r="K236" s="46">
        <v>0.0022685185185185182</v>
      </c>
      <c r="L236" s="47" t="s">
        <v>912</v>
      </c>
      <c r="M236" s="48"/>
      <c r="N236" s="48"/>
      <c r="O236" s="48">
        <f t="shared" si="1"/>
        <v>0</v>
      </c>
      <c r="P236" s="38"/>
      <c r="Q236" s="12" t="str">
        <f t="shared" si="2"/>
        <v/>
      </c>
      <c r="R236" s="42"/>
      <c r="S236" s="42"/>
      <c r="T236" s="42"/>
      <c r="U236" s="51"/>
      <c r="V236" s="52"/>
      <c r="W236" s="55"/>
      <c r="X236" s="57"/>
      <c r="Y236" s="106"/>
      <c r="Z236" s="106"/>
      <c r="AA236" s="106"/>
      <c r="AB236" s="106"/>
    </row>
    <row r="237">
      <c r="A237" s="38">
        <v>236.0</v>
      </c>
      <c r="B237" s="42"/>
      <c r="C237" s="51"/>
      <c r="D237" s="38"/>
      <c r="E237" s="38" t="s">
        <v>981</v>
      </c>
      <c r="F237" s="41" t="s">
        <v>982</v>
      </c>
      <c r="G237" s="43"/>
      <c r="H237" s="45"/>
      <c r="I237" s="38"/>
      <c r="J237" s="38">
        <f>895</f>
        <v>895</v>
      </c>
      <c r="K237" s="46">
        <v>0.0035532407407407405</v>
      </c>
      <c r="L237" s="47" t="s">
        <v>912</v>
      </c>
      <c r="M237" s="48"/>
      <c r="N237" s="48"/>
      <c r="O237" s="48">
        <f t="shared" si="1"/>
        <v>0</v>
      </c>
      <c r="P237" s="38"/>
      <c r="Q237" s="12" t="str">
        <f t="shared" si="2"/>
        <v/>
      </c>
      <c r="R237" s="42"/>
      <c r="S237" s="42"/>
      <c r="T237" s="42"/>
      <c r="U237" s="51"/>
      <c r="V237" s="52"/>
      <c r="W237" s="55"/>
      <c r="X237" s="57"/>
      <c r="Y237" s="106"/>
      <c r="Z237" s="106"/>
      <c r="AA237" s="106"/>
      <c r="AB237" s="106"/>
    </row>
    <row r="238">
      <c r="A238" s="38">
        <v>237.0</v>
      </c>
      <c r="B238" s="42"/>
      <c r="C238" s="51"/>
      <c r="D238" s="38"/>
      <c r="E238" s="38" t="s">
        <v>983</v>
      </c>
      <c r="F238" s="41" t="s">
        <v>984</v>
      </c>
      <c r="G238" s="43"/>
      <c r="H238" s="45"/>
      <c r="I238" s="38"/>
      <c r="J238" s="38">
        <f>4.5*1000</f>
        <v>4500</v>
      </c>
      <c r="K238" s="46">
        <v>0.03193287037037037</v>
      </c>
      <c r="L238" s="47" t="s">
        <v>912</v>
      </c>
      <c r="M238" s="48"/>
      <c r="N238" s="48"/>
      <c r="O238" s="48">
        <f t="shared" si="1"/>
        <v>0</v>
      </c>
      <c r="P238" s="38"/>
      <c r="Q238" s="12" t="str">
        <f t="shared" si="2"/>
        <v/>
      </c>
      <c r="R238" s="42"/>
      <c r="S238" s="42"/>
      <c r="T238" s="42"/>
      <c r="U238" s="51"/>
      <c r="V238" s="52"/>
      <c r="W238" s="55"/>
      <c r="X238" s="57"/>
      <c r="Y238" s="106"/>
      <c r="Z238" s="106"/>
      <c r="AA238" s="106"/>
      <c r="AB238" s="106"/>
    </row>
    <row r="239">
      <c r="A239" s="38">
        <v>238.0</v>
      </c>
      <c r="B239" s="42"/>
      <c r="C239" s="51"/>
      <c r="D239" s="38"/>
      <c r="E239" s="38" t="s">
        <v>985</v>
      </c>
      <c r="F239" s="41" t="s">
        <v>986</v>
      </c>
      <c r="G239" s="43"/>
      <c r="H239" s="45"/>
      <c r="I239" s="38"/>
      <c r="J239" s="38">
        <f>1.6*1000</f>
        <v>1600</v>
      </c>
      <c r="K239" s="46">
        <v>0.002627314814814815</v>
      </c>
      <c r="L239" s="47" t="s">
        <v>912</v>
      </c>
      <c r="M239" s="48"/>
      <c r="N239" s="48"/>
      <c r="O239" s="48">
        <f t="shared" si="1"/>
        <v>0</v>
      </c>
      <c r="P239" s="38"/>
      <c r="Q239" s="12" t="str">
        <f t="shared" si="2"/>
        <v/>
      </c>
      <c r="R239" s="42"/>
      <c r="S239" s="42"/>
      <c r="T239" s="42"/>
      <c r="U239" s="51"/>
      <c r="V239" s="52"/>
      <c r="W239" s="55"/>
      <c r="X239" s="57"/>
      <c r="Y239" s="106"/>
      <c r="Z239" s="106"/>
      <c r="AA239" s="106"/>
      <c r="AB239" s="106"/>
    </row>
    <row r="240">
      <c r="A240" s="38">
        <v>239.0</v>
      </c>
      <c r="B240" s="42"/>
      <c r="C240" s="51"/>
      <c r="D240" s="38"/>
      <c r="E240" s="38" t="s">
        <v>987</v>
      </c>
      <c r="F240" s="41" t="s">
        <v>988</v>
      </c>
      <c r="G240" s="43"/>
      <c r="H240" s="45"/>
      <c r="I240" s="38"/>
      <c r="J240" s="38">
        <f>825</f>
        <v>825</v>
      </c>
      <c r="K240" s="46">
        <v>0.0022222222222222222</v>
      </c>
      <c r="L240" s="47" t="s">
        <v>912</v>
      </c>
      <c r="M240" s="48"/>
      <c r="N240" s="48"/>
      <c r="O240" s="48">
        <f t="shared" si="1"/>
        <v>0</v>
      </c>
      <c r="P240" s="38"/>
      <c r="Q240" s="12" t="str">
        <f t="shared" si="2"/>
        <v/>
      </c>
      <c r="R240" s="42"/>
      <c r="S240" s="42"/>
      <c r="T240" s="42"/>
      <c r="U240" s="51"/>
      <c r="V240" s="52"/>
      <c r="W240" s="55"/>
      <c r="X240" s="57"/>
      <c r="Y240" s="106"/>
      <c r="Z240" s="106"/>
      <c r="AA240" s="106"/>
      <c r="AB240" s="106"/>
    </row>
    <row r="241">
      <c r="A241" s="38">
        <v>240.0</v>
      </c>
      <c r="B241" s="42"/>
      <c r="C241" s="51"/>
      <c r="D241" s="38"/>
      <c r="E241" s="38" t="s">
        <v>989</v>
      </c>
      <c r="F241" s="41" t="s">
        <v>990</v>
      </c>
      <c r="G241" s="43"/>
      <c r="H241" s="45"/>
      <c r="I241" s="38"/>
      <c r="J241" s="38">
        <f>9.9*1000</f>
        <v>9900</v>
      </c>
      <c r="K241" s="46">
        <v>0.021689814814814815</v>
      </c>
      <c r="L241" s="47" t="s">
        <v>912</v>
      </c>
      <c r="M241" s="48"/>
      <c r="N241" s="48"/>
      <c r="O241" s="48">
        <f t="shared" si="1"/>
        <v>0</v>
      </c>
      <c r="P241" s="38"/>
      <c r="Q241" s="12" t="str">
        <f t="shared" si="2"/>
        <v/>
      </c>
      <c r="R241" s="42"/>
      <c r="S241" s="42"/>
      <c r="T241" s="42"/>
      <c r="U241" s="51"/>
      <c r="V241" s="52"/>
      <c r="W241" s="55"/>
      <c r="X241" s="57"/>
      <c r="Y241" s="106"/>
      <c r="Z241" s="106"/>
      <c r="AA241" s="106"/>
      <c r="AB241" s="106"/>
    </row>
    <row r="242">
      <c r="A242" s="38">
        <v>241.0</v>
      </c>
      <c r="B242" s="42"/>
      <c r="C242" s="51"/>
      <c r="D242" s="38"/>
      <c r="E242" s="38" t="s">
        <v>991</v>
      </c>
      <c r="F242" s="41" t="s">
        <v>992</v>
      </c>
      <c r="G242" s="43"/>
      <c r="H242" s="45"/>
      <c r="I242" s="38"/>
      <c r="J242" s="38">
        <f>906</f>
        <v>906</v>
      </c>
      <c r="K242" s="46">
        <v>0.0013310185185185185</v>
      </c>
      <c r="L242" s="47" t="s">
        <v>912</v>
      </c>
      <c r="M242" s="48"/>
      <c r="N242" s="48"/>
      <c r="O242" s="48">
        <f t="shared" si="1"/>
        <v>0</v>
      </c>
      <c r="P242" s="38"/>
      <c r="Q242" s="12" t="str">
        <f t="shared" si="2"/>
        <v/>
      </c>
      <c r="R242" s="42"/>
      <c r="S242" s="42"/>
      <c r="T242" s="42"/>
      <c r="U242" s="51"/>
      <c r="V242" s="52"/>
      <c r="W242" s="55"/>
      <c r="X242" s="57"/>
      <c r="Y242" s="106"/>
      <c r="Z242" s="106"/>
      <c r="AA242" s="106"/>
      <c r="AB242" s="106"/>
    </row>
    <row r="243">
      <c r="A243" s="38">
        <v>242.0</v>
      </c>
      <c r="B243" s="42"/>
      <c r="C243" s="51"/>
      <c r="D243" s="38"/>
      <c r="E243" s="38" t="s">
        <v>993</v>
      </c>
      <c r="F243" s="41" t="s">
        <v>994</v>
      </c>
      <c r="G243" s="43"/>
      <c r="H243" s="45"/>
      <c r="I243" s="38"/>
      <c r="J243" s="38">
        <f>861</f>
        <v>861</v>
      </c>
      <c r="K243" s="46">
        <v>0.0014699074074074074</v>
      </c>
      <c r="L243" s="47" t="s">
        <v>912</v>
      </c>
      <c r="M243" s="48"/>
      <c r="N243" s="48"/>
      <c r="O243" s="48">
        <f t="shared" si="1"/>
        <v>0</v>
      </c>
      <c r="P243" s="38"/>
      <c r="Q243" s="12" t="str">
        <f t="shared" si="2"/>
        <v/>
      </c>
      <c r="R243" s="42"/>
      <c r="S243" s="42"/>
      <c r="T243" s="42"/>
      <c r="U243" s="51"/>
      <c r="V243" s="52"/>
      <c r="W243" s="55"/>
      <c r="X243" s="57"/>
      <c r="Y243" s="106"/>
      <c r="Z243" s="106"/>
      <c r="AA243" s="106"/>
      <c r="AB243" s="106"/>
    </row>
    <row r="244">
      <c r="A244" s="38">
        <v>243.0</v>
      </c>
      <c r="B244" s="42"/>
      <c r="C244" s="51"/>
      <c r="D244" s="38"/>
      <c r="E244" s="38" t="s">
        <v>995</v>
      </c>
      <c r="F244" s="41" t="s">
        <v>996</v>
      </c>
      <c r="G244" s="43"/>
      <c r="H244" s="45"/>
      <c r="I244" s="38"/>
      <c r="J244" s="38">
        <f>1.2*1000</f>
        <v>1200</v>
      </c>
      <c r="K244" s="46">
        <v>0.002800925925925926</v>
      </c>
      <c r="L244" s="47" t="s">
        <v>912</v>
      </c>
      <c r="M244" s="48"/>
      <c r="N244" s="48"/>
      <c r="O244" s="48">
        <f t="shared" si="1"/>
        <v>0</v>
      </c>
      <c r="P244" s="38"/>
      <c r="Q244" s="12" t="str">
        <f t="shared" si="2"/>
        <v/>
      </c>
      <c r="R244" s="42"/>
      <c r="S244" s="42"/>
      <c r="T244" s="42"/>
      <c r="U244" s="51"/>
      <c r="V244" s="52"/>
      <c r="W244" s="55"/>
      <c r="X244" s="57"/>
      <c r="Y244" s="106"/>
      <c r="Z244" s="106"/>
      <c r="AA244" s="106"/>
      <c r="AB244" s="106"/>
    </row>
    <row r="245">
      <c r="A245" s="38">
        <v>244.0</v>
      </c>
      <c r="B245" s="42"/>
      <c r="C245" s="51"/>
      <c r="D245" s="38"/>
      <c r="E245" s="38" t="s">
        <v>997</v>
      </c>
      <c r="F245" s="41" t="s">
        <v>998</v>
      </c>
      <c r="G245" s="43"/>
      <c r="H245" s="45"/>
      <c r="I245" s="38"/>
      <c r="J245" s="38">
        <f>4*1000</f>
        <v>4000</v>
      </c>
      <c r="K245" s="46">
        <v>0.0071874999999999994</v>
      </c>
      <c r="L245" s="47" t="s">
        <v>912</v>
      </c>
      <c r="M245" s="48"/>
      <c r="N245" s="48"/>
      <c r="O245" s="48">
        <f t="shared" si="1"/>
        <v>0</v>
      </c>
      <c r="P245" s="38"/>
      <c r="Q245" s="12" t="str">
        <f t="shared" si="2"/>
        <v/>
      </c>
      <c r="R245" s="42"/>
      <c r="S245" s="42"/>
      <c r="T245" s="42"/>
      <c r="U245" s="51"/>
      <c r="V245" s="52"/>
      <c r="W245" s="55"/>
      <c r="X245" s="57"/>
      <c r="Y245" s="106"/>
      <c r="Z245" s="106"/>
      <c r="AA245" s="106"/>
      <c r="AB245" s="106"/>
    </row>
    <row r="246">
      <c r="A246" s="38">
        <v>245.0</v>
      </c>
      <c r="B246" s="63" t="s">
        <v>619</v>
      </c>
      <c r="C246" s="51"/>
      <c r="D246" s="39" t="s">
        <v>145</v>
      </c>
      <c r="E246" s="38" t="s">
        <v>999</v>
      </c>
      <c r="F246" s="41" t="s">
        <v>1000</v>
      </c>
      <c r="G246" s="43"/>
      <c r="H246" s="45"/>
      <c r="I246" s="38"/>
      <c r="J246" s="38">
        <f>11*1000</f>
        <v>11000</v>
      </c>
      <c r="K246" s="46">
        <v>0.03332175925925926</v>
      </c>
      <c r="L246" s="47" t="s">
        <v>912</v>
      </c>
      <c r="M246" s="48"/>
      <c r="N246" s="48"/>
      <c r="O246" s="48">
        <f t="shared" si="1"/>
        <v>0</v>
      </c>
      <c r="P246" s="38"/>
      <c r="Q246" s="12" t="str">
        <f t="shared" si="2"/>
        <v/>
      </c>
      <c r="R246" s="42"/>
      <c r="S246" s="42"/>
      <c r="T246" s="42"/>
      <c r="U246" s="51"/>
      <c r="V246" s="52"/>
      <c r="W246" s="55"/>
      <c r="X246" s="57"/>
      <c r="Y246" s="106"/>
      <c r="Z246" s="106"/>
      <c r="AA246" s="106"/>
      <c r="AB246" s="106"/>
    </row>
    <row r="247">
      <c r="A247" s="38">
        <v>246.0</v>
      </c>
      <c r="B247" s="42"/>
      <c r="C247" s="51"/>
      <c r="D247" s="38"/>
      <c r="E247" s="38" t="s">
        <v>1001</v>
      </c>
      <c r="F247" s="41" t="s">
        <v>1002</v>
      </c>
      <c r="G247" s="43"/>
      <c r="H247" s="45"/>
      <c r="I247" s="38"/>
      <c r="J247" s="38">
        <f>2.4*1000</f>
        <v>2400</v>
      </c>
      <c r="K247" s="46">
        <v>0.0036226851851851854</v>
      </c>
      <c r="L247" s="47" t="s">
        <v>912</v>
      </c>
      <c r="M247" s="48"/>
      <c r="N247" s="48"/>
      <c r="O247" s="48">
        <f t="shared" si="1"/>
        <v>0</v>
      </c>
      <c r="P247" s="38"/>
      <c r="Q247" s="12" t="str">
        <f t="shared" si="2"/>
        <v/>
      </c>
      <c r="R247" s="42"/>
      <c r="S247" s="42"/>
      <c r="T247" s="42"/>
      <c r="U247" s="51"/>
      <c r="V247" s="52"/>
      <c r="W247" s="55"/>
      <c r="X247" s="57"/>
      <c r="Y247" s="106"/>
      <c r="Z247" s="106"/>
      <c r="AA247" s="106"/>
      <c r="AB247" s="106"/>
    </row>
    <row r="248">
      <c r="A248" s="38">
        <v>247.0</v>
      </c>
      <c r="B248" s="42"/>
      <c r="C248" s="51"/>
      <c r="D248" s="38"/>
      <c r="E248" s="38" t="s">
        <v>1003</v>
      </c>
      <c r="F248" s="41" t="s">
        <v>1004</v>
      </c>
      <c r="G248" s="43"/>
      <c r="H248" s="45"/>
      <c r="I248" s="38"/>
      <c r="J248" s="38">
        <f>329</f>
        <v>329</v>
      </c>
      <c r="K248" s="46">
        <v>0.0017592592592592592</v>
      </c>
      <c r="L248" s="47" t="s">
        <v>912</v>
      </c>
      <c r="M248" s="48"/>
      <c r="N248" s="48"/>
      <c r="O248" s="48">
        <f t="shared" si="1"/>
        <v>0</v>
      </c>
      <c r="P248" s="38"/>
      <c r="Q248" s="12" t="str">
        <f t="shared" si="2"/>
        <v/>
      </c>
      <c r="R248" s="42"/>
      <c r="S248" s="42"/>
      <c r="T248" s="42"/>
      <c r="U248" s="51"/>
      <c r="V248" s="52"/>
      <c r="W248" s="55"/>
      <c r="X248" s="57"/>
      <c r="Y248" s="106"/>
      <c r="Z248" s="106"/>
      <c r="AA248" s="106"/>
      <c r="AB248" s="106"/>
    </row>
    <row r="249">
      <c r="A249" s="38">
        <v>248.0</v>
      </c>
      <c r="B249" s="42"/>
      <c r="C249" s="51"/>
      <c r="D249" s="38"/>
      <c r="E249" s="38" t="s">
        <v>1005</v>
      </c>
      <c r="F249" s="41" t="s">
        <v>1006</v>
      </c>
      <c r="G249" s="43"/>
      <c r="H249" s="45"/>
      <c r="I249" s="38"/>
      <c r="J249" s="38">
        <f>6.2*1000</f>
        <v>6200</v>
      </c>
      <c r="K249" s="46">
        <v>0.024016203703703706</v>
      </c>
      <c r="L249" s="47" t="s">
        <v>912</v>
      </c>
      <c r="M249" s="48"/>
      <c r="N249" s="48"/>
      <c r="O249" s="48">
        <f t="shared" si="1"/>
        <v>0</v>
      </c>
      <c r="P249" s="38"/>
      <c r="Q249" s="12" t="str">
        <f t="shared" si="2"/>
        <v/>
      </c>
      <c r="R249" s="42"/>
      <c r="S249" s="42"/>
      <c r="T249" s="42"/>
      <c r="U249" s="51"/>
      <c r="V249" s="52"/>
      <c r="W249" s="55"/>
      <c r="X249" s="57"/>
      <c r="Y249" s="106"/>
      <c r="Z249" s="106"/>
      <c r="AA249" s="106"/>
      <c r="AB249" s="106"/>
    </row>
    <row r="250">
      <c r="A250" s="38">
        <v>249.0</v>
      </c>
      <c r="B250" s="42"/>
      <c r="C250" s="51"/>
      <c r="D250" s="38"/>
      <c r="E250" s="38" t="s">
        <v>1007</v>
      </c>
      <c r="F250" s="41" t="s">
        <v>1008</v>
      </c>
      <c r="G250" s="43"/>
      <c r="H250" s="45"/>
      <c r="I250" s="38"/>
      <c r="J250" s="38">
        <f>8.7*1000</f>
        <v>8700</v>
      </c>
      <c r="K250" s="46">
        <v>0.023807870370370368</v>
      </c>
      <c r="L250" s="47" t="s">
        <v>912</v>
      </c>
      <c r="M250" s="48"/>
      <c r="N250" s="48"/>
      <c r="O250" s="48">
        <f t="shared" si="1"/>
        <v>0</v>
      </c>
      <c r="P250" s="38"/>
      <c r="Q250" s="12" t="str">
        <f t="shared" si="2"/>
        <v/>
      </c>
      <c r="R250" s="42"/>
      <c r="S250" s="42"/>
      <c r="T250" s="42"/>
      <c r="U250" s="51"/>
      <c r="V250" s="52"/>
      <c r="W250" s="55"/>
      <c r="X250" s="57"/>
      <c r="Y250" s="106"/>
      <c r="Z250" s="106"/>
      <c r="AA250" s="106"/>
      <c r="AB250" s="106"/>
    </row>
    <row r="251">
      <c r="A251" s="38">
        <v>250.0</v>
      </c>
      <c r="B251" s="42"/>
      <c r="C251" s="51"/>
      <c r="D251" s="38"/>
      <c r="E251" s="38" t="s">
        <v>1009</v>
      </c>
      <c r="F251" s="41" t="s">
        <v>1010</v>
      </c>
      <c r="G251" s="43"/>
      <c r="H251" s="45"/>
      <c r="I251" s="38"/>
      <c r="J251" s="38">
        <f>31*1000</f>
        <v>31000</v>
      </c>
      <c r="K251" s="46">
        <v>0.03975694444444445</v>
      </c>
      <c r="L251" s="47" t="s">
        <v>1011</v>
      </c>
      <c r="M251" s="48"/>
      <c r="N251" s="48"/>
      <c r="O251" s="48">
        <f t="shared" si="1"/>
        <v>0</v>
      </c>
      <c r="P251" s="38"/>
      <c r="Q251" s="12" t="str">
        <f t="shared" si="2"/>
        <v/>
      </c>
      <c r="R251" s="42"/>
      <c r="S251" s="42"/>
      <c r="T251" s="42"/>
      <c r="U251" s="51"/>
      <c r="V251" s="52"/>
      <c r="W251" s="55"/>
      <c r="X251" s="57"/>
      <c r="Y251" s="106"/>
      <c r="Z251" s="106"/>
      <c r="AA251" s="106"/>
      <c r="AB251" s="106"/>
    </row>
    <row r="252">
      <c r="A252" s="38">
        <v>251.0</v>
      </c>
      <c r="B252" s="42"/>
      <c r="C252" s="51"/>
      <c r="D252" s="38"/>
      <c r="E252" s="38" t="s">
        <v>1012</v>
      </c>
      <c r="F252" s="41" t="s">
        <v>1013</v>
      </c>
      <c r="G252" s="43"/>
      <c r="H252" s="45"/>
      <c r="I252" s="38"/>
      <c r="J252" s="38">
        <f>20*1000</f>
        <v>20000</v>
      </c>
      <c r="K252" s="46">
        <v>0.07325231481481481</v>
      </c>
      <c r="L252" s="47" t="s">
        <v>1011</v>
      </c>
      <c r="M252" s="48"/>
      <c r="N252" s="48"/>
      <c r="O252" s="48">
        <f t="shared" si="1"/>
        <v>0</v>
      </c>
      <c r="P252" s="38"/>
      <c r="Q252" s="12" t="str">
        <f t="shared" si="2"/>
        <v/>
      </c>
      <c r="R252" s="42"/>
      <c r="S252" s="42"/>
      <c r="T252" s="42"/>
      <c r="U252" s="51"/>
      <c r="V252" s="52"/>
      <c r="W252" s="55"/>
      <c r="X252" s="57"/>
      <c r="Y252" s="106"/>
      <c r="Z252" s="106"/>
      <c r="AA252" s="106"/>
      <c r="AB252" s="106"/>
    </row>
    <row r="253">
      <c r="A253" s="38">
        <v>252.0</v>
      </c>
      <c r="B253" s="42"/>
      <c r="C253" s="51"/>
      <c r="D253" s="38"/>
      <c r="E253" s="38" t="s">
        <v>1014</v>
      </c>
      <c r="F253" s="41" t="s">
        <v>1015</v>
      </c>
      <c r="G253" s="43"/>
      <c r="H253" s="45"/>
      <c r="I253" s="38"/>
      <c r="J253" s="38">
        <f>7.9*1000</f>
        <v>7900</v>
      </c>
      <c r="K253" s="46">
        <v>0.022789351851851852</v>
      </c>
      <c r="L253" s="47" t="s">
        <v>1011</v>
      </c>
      <c r="M253" s="48"/>
      <c r="N253" s="48"/>
      <c r="O253" s="48">
        <f t="shared" si="1"/>
        <v>0</v>
      </c>
      <c r="P253" s="38"/>
      <c r="Q253" s="12" t="str">
        <f t="shared" si="2"/>
        <v/>
      </c>
      <c r="R253" s="42"/>
      <c r="S253" s="42"/>
      <c r="T253" s="42"/>
      <c r="U253" s="51"/>
      <c r="V253" s="52"/>
      <c r="W253" s="55"/>
      <c r="X253" s="57"/>
      <c r="Y253" s="106"/>
      <c r="Z253" s="106"/>
      <c r="AA253" s="106"/>
      <c r="AB253" s="106"/>
    </row>
    <row r="254">
      <c r="A254" s="38">
        <v>253.0</v>
      </c>
      <c r="B254" s="42"/>
      <c r="C254" s="51"/>
      <c r="D254" s="38"/>
      <c r="E254" s="38" t="s">
        <v>1016</v>
      </c>
      <c r="F254" s="41" t="s">
        <v>1017</v>
      </c>
      <c r="G254" s="43"/>
      <c r="H254" s="45"/>
      <c r="I254" s="38"/>
      <c r="J254" s="38">
        <f>2*1000</f>
        <v>2000</v>
      </c>
      <c r="K254" s="46">
        <v>0.007071759259259259</v>
      </c>
      <c r="L254" s="47" t="s">
        <v>1011</v>
      </c>
      <c r="M254" s="48"/>
      <c r="N254" s="48"/>
      <c r="O254" s="48">
        <f t="shared" si="1"/>
        <v>0</v>
      </c>
      <c r="P254" s="38"/>
      <c r="Q254" s="12" t="str">
        <f t="shared" si="2"/>
        <v/>
      </c>
      <c r="R254" s="42"/>
      <c r="S254" s="42"/>
      <c r="T254" s="42"/>
      <c r="U254" s="51"/>
      <c r="V254" s="52"/>
      <c r="W254" s="55"/>
      <c r="X254" s="57"/>
      <c r="Y254" s="106"/>
      <c r="Z254" s="106"/>
      <c r="AA254" s="106"/>
      <c r="AB254" s="106"/>
    </row>
    <row r="255">
      <c r="A255" s="38">
        <v>254.0</v>
      </c>
      <c r="B255" s="42"/>
      <c r="C255" s="51"/>
      <c r="D255" s="38"/>
      <c r="E255" s="38" t="s">
        <v>1018</v>
      </c>
      <c r="F255" s="41" t="s">
        <v>1019</v>
      </c>
      <c r="G255" s="43"/>
      <c r="H255" s="45"/>
      <c r="I255" s="38"/>
      <c r="J255" s="38">
        <f>1.5*1000</f>
        <v>1500</v>
      </c>
      <c r="K255" s="46">
        <v>0.0050578703703703706</v>
      </c>
      <c r="L255" s="47" t="s">
        <v>1011</v>
      </c>
      <c r="M255" s="48"/>
      <c r="N255" s="48"/>
      <c r="O255" s="48">
        <f t="shared" si="1"/>
        <v>0</v>
      </c>
      <c r="P255" s="38"/>
      <c r="Q255" s="12" t="str">
        <f t="shared" si="2"/>
        <v/>
      </c>
      <c r="R255" s="42"/>
      <c r="S255" s="42"/>
      <c r="T255" s="42"/>
      <c r="U255" s="51"/>
      <c r="V255" s="52"/>
      <c r="W255" s="55"/>
      <c r="X255" s="57"/>
      <c r="Y255" s="106"/>
      <c r="Z255" s="106"/>
      <c r="AA255" s="106"/>
      <c r="AB255" s="106"/>
    </row>
    <row r="256">
      <c r="A256" s="38">
        <v>255.0</v>
      </c>
      <c r="B256" s="42"/>
      <c r="C256" s="51"/>
      <c r="D256" s="38"/>
      <c r="E256" s="38" t="s">
        <v>1020</v>
      </c>
      <c r="F256" s="41" t="s">
        <v>1021</v>
      </c>
      <c r="G256" s="43"/>
      <c r="H256" s="45"/>
      <c r="I256" s="38"/>
      <c r="J256" s="38">
        <f>2.3*1000</f>
        <v>2300</v>
      </c>
      <c r="K256" s="46">
        <v>0.02</v>
      </c>
      <c r="L256" s="47" t="s">
        <v>1011</v>
      </c>
      <c r="M256" s="48"/>
      <c r="N256" s="48"/>
      <c r="O256" s="48">
        <f t="shared" si="1"/>
        <v>0</v>
      </c>
      <c r="P256" s="38"/>
      <c r="Q256" s="12" t="str">
        <f t="shared" si="2"/>
        <v/>
      </c>
      <c r="R256" s="42"/>
      <c r="S256" s="42"/>
      <c r="T256" s="42"/>
      <c r="U256" s="51"/>
      <c r="V256" s="52"/>
      <c r="W256" s="55"/>
      <c r="X256" s="57"/>
      <c r="Y256" s="106"/>
      <c r="Z256" s="106"/>
      <c r="AA256" s="106"/>
      <c r="AB256" s="106"/>
    </row>
    <row r="257">
      <c r="A257" s="38">
        <v>256.0</v>
      </c>
      <c r="B257" s="42"/>
      <c r="C257" s="51"/>
      <c r="D257" s="38"/>
      <c r="E257" s="38" t="s">
        <v>1022</v>
      </c>
      <c r="F257" s="41" t="s">
        <v>1023</v>
      </c>
      <c r="G257" s="43"/>
      <c r="H257" s="45"/>
      <c r="I257" s="38"/>
      <c r="J257" s="38">
        <f>3.8*1000</f>
        <v>3800</v>
      </c>
      <c r="K257" s="46">
        <v>0.0022337962962962967</v>
      </c>
      <c r="L257" s="47" t="s">
        <v>1011</v>
      </c>
      <c r="M257" s="48"/>
      <c r="N257" s="48"/>
      <c r="O257" s="48">
        <f t="shared" si="1"/>
        <v>0</v>
      </c>
      <c r="P257" s="38"/>
      <c r="Q257" s="12" t="str">
        <f t="shared" si="2"/>
        <v/>
      </c>
      <c r="R257" s="42"/>
      <c r="S257" s="42"/>
      <c r="T257" s="42"/>
      <c r="U257" s="51"/>
      <c r="V257" s="52"/>
      <c r="W257" s="55"/>
      <c r="X257" s="57"/>
      <c r="Y257" s="106"/>
      <c r="Z257" s="106"/>
      <c r="AA257" s="106"/>
      <c r="AB257" s="106"/>
    </row>
    <row r="258">
      <c r="A258" s="38">
        <v>257.0</v>
      </c>
      <c r="B258" s="42"/>
      <c r="C258" s="51"/>
      <c r="D258" s="38"/>
      <c r="E258" s="38" t="s">
        <v>1024</v>
      </c>
      <c r="F258" s="41" t="s">
        <v>1025</v>
      </c>
      <c r="G258" s="43"/>
      <c r="H258" s="45"/>
      <c r="I258" s="38"/>
      <c r="J258" s="38">
        <f>1.4*1000</f>
        <v>1400</v>
      </c>
      <c r="K258" s="46">
        <v>0.01945601851851852</v>
      </c>
      <c r="L258" s="47" t="s">
        <v>1011</v>
      </c>
      <c r="M258" s="48"/>
      <c r="N258" s="48"/>
      <c r="O258" s="48">
        <f t="shared" si="1"/>
        <v>0</v>
      </c>
      <c r="P258" s="38"/>
      <c r="Q258" s="12" t="str">
        <f t="shared" si="2"/>
        <v/>
      </c>
      <c r="R258" s="42"/>
      <c r="S258" s="42"/>
      <c r="T258" s="42"/>
      <c r="U258" s="51"/>
      <c r="V258" s="52"/>
      <c r="W258" s="55"/>
      <c r="X258" s="57"/>
      <c r="Y258" s="106"/>
      <c r="Z258" s="106"/>
      <c r="AA258" s="106"/>
      <c r="AB258" s="106"/>
    </row>
    <row r="259">
      <c r="A259" s="38">
        <v>258.0</v>
      </c>
      <c r="B259" s="63"/>
      <c r="C259" s="51"/>
      <c r="D259" s="38"/>
      <c r="E259" s="38" t="s">
        <v>1026</v>
      </c>
      <c r="F259" s="41" t="s">
        <v>1027</v>
      </c>
      <c r="G259" s="43"/>
      <c r="H259" s="45"/>
      <c r="I259" s="38"/>
      <c r="J259" s="38">
        <f>6.9*1000</f>
        <v>6900</v>
      </c>
      <c r="K259" s="46">
        <v>0.00925925925925926</v>
      </c>
      <c r="L259" s="47" t="s">
        <v>1011</v>
      </c>
      <c r="M259" s="48"/>
      <c r="N259" s="48"/>
      <c r="O259" s="48">
        <f t="shared" si="1"/>
        <v>0</v>
      </c>
      <c r="P259" s="38"/>
      <c r="Q259" s="12" t="str">
        <f t="shared" si="2"/>
        <v/>
      </c>
      <c r="R259" s="42"/>
      <c r="S259" s="42"/>
      <c r="T259" s="42"/>
      <c r="U259" s="51"/>
      <c r="V259" s="52"/>
      <c r="W259" s="55"/>
      <c r="X259" s="57"/>
      <c r="Y259" s="106"/>
      <c r="Z259" s="106"/>
      <c r="AA259" s="106"/>
      <c r="AB259" s="106"/>
    </row>
    <row r="260">
      <c r="A260" s="38">
        <v>259.0</v>
      </c>
      <c r="B260" s="42"/>
      <c r="C260" s="51"/>
      <c r="D260" s="38"/>
      <c r="E260" s="38" t="s">
        <v>1028</v>
      </c>
      <c r="F260" s="41" t="s">
        <v>1029</v>
      </c>
      <c r="G260" s="43"/>
      <c r="H260" s="45"/>
      <c r="I260" s="38"/>
      <c r="J260" s="38">
        <f>29*1000</f>
        <v>29000</v>
      </c>
      <c r="K260" s="46">
        <v>0.008854166666666666</v>
      </c>
      <c r="L260" s="47" t="s">
        <v>1011</v>
      </c>
      <c r="M260" s="48"/>
      <c r="N260" s="48"/>
      <c r="O260" s="48">
        <f t="shared" si="1"/>
        <v>0</v>
      </c>
      <c r="P260" s="38"/>
      <c r="Q260" s="12" t="str">
        <f t="shared" si="2"/>
        <v/>
      </c>
      <c r="R260" s="42"/>
      <c r="S260" s="42"/>
      <c r="T260" s="42"/>
      <c r="U260" s="51"/>
      <c r="V260" s="52"/>
      <c r="W260" s="55"/>
      <c r="X260" s="57"/>
      <c r="Y260" s="106"/>
      <c r="Z260" s="106"/>
      <c r="AA260" s="106"/>
      <c r="AB260" s="106"/>
    </row>
    <row r="261">
      <c r="A261" s="38">
        <v>260.0</v>
      </c>
      <c r="B261" s="42"/>
      <c r="C261" s="51"/>
      <c r="D261" s="38"/>
      <c r="E261" s="38" t="s">
        <v>1030</v>
      </c>
      <c r="F261" s="41" t="s">
        <v>1031</v>
      </c>
      <c r="G261" s="43"/>
      <c r="H261" s="45"/>
      <c r="I261" s="38"/>
      <c r="J261" s="38">
        <f>2.6*1000</f>
        <v>2600</v>
      </c>
      <c r="K261" s="46">
        <v>0.003923611111111111</v>
      </c>
      <c r="L261" s="47" t="s">
        <v>1011</v>
      </c>
      <c r="M261" s="48"/>
      <c r="N261" s="48"/>
      <c r="O261" s="48">
        <f t="shared" si="1"/>
        <v>0</v>
      </c>
      <c r="P261" s="38"/>
      <c r="Q261" s="12" t="str">
        <f t="shared" si="2"/>
        <v/>
      </c>
      <c r="R261" s="42"/>
      <c r="S261" s="42"/>
      <c r="T261" s="42"/>
      <c r="U261" s="51"/>
      <c r="V261" s="52"/>
      <c r="W261" s="55"/>
      <c r="X261" s="57"/>
      <c r="Y261" s="106"/>
      <c r="Z261" s="106"/>
      <c r="AA261" s="106"/>
      <c r="AB261" s="106"/>
    </row>
    <row r="262">
      <c r="A262" s="38">
        <v>261.0</v>
      </c>
      <c r="B262" s="42"/>
      <c r="C262" s="51"/>
      <c r="D262" s="38"/>
      <c r="E262" s="38" t="s">
        <v>1032</v>
      </c>
      <c r="F262" s="41" t="s">
        <v>1033</v>
      </c>
      <c r="G262" s="43"/>
      <c r="H262" s="45"/>
      <c r="I262" s="38"/>
      <c r="J262" s="38">
        <f>1*1000</f>
        <v>1000</v>
      </c>
      <c r="K262" s="46">
        <v>0.0031249999999999997</v>
      </c>
      <c r="L262" s="47" t="s">
        <v>1011</v>
      </c>
      <c r="M262" s="48"/>
      <c r="N262" s="48"/>
      <c r="O262" s="48">
        <f t="shared" si="1"/>
        <v>0</v>
      </c>
      <c r="P262" s="38"/>
      <c r="Q262" s="12" t="str">
        <f t="shared" si="2"/>
        <v/>
      </c>
      <c r="R262" s="42"/>
      <c r="S262" s="42"/>
      <c r="T262" s="42"/>
      <c r="U262" s="51"/>
      <c r="V262" s="52"/>
      <c r="W262" s="55"/>
      <c r="X262" s="57"/>
      <c r="Y262" s="106"/>
      <c r="Z262" s="106"/>
      <c r="AA262" s="106"/>
      <c r="AB262" s="106"/>
    </row>
    <row r="263">
      <c r="A263" s="38">
        <v>262.0</v>
      </c>
      <c r="B263" s="42"/>
      <c r="C263" s="51"/>
      <c r="D263" s="38"/>
      <c r="E263" s="38" t="s">
        <v>1034</v>
      </c>
      <c r="F263" s="41" t="s">
        <v>1035</v>
      </c>
      <c r="G263" s="43"/>
      <c r="H263" s="45"/>
      <c r="I263" s="38"/>
      <c r="J263" s="38">
        <f>5*1000</f>
        <v>5000</v>
      </c>
      <c r="K263" s="46">
        <v>0.01747685185185185</v>
      </c>
      <c r="L263" s="47" t="s">
        <v>1011</v>
      </c>
      <c r="M263" s="48"/>
      <c r="N263" s="48"/>
      <c r="O263" s="48">
        <f t="shared" si="1"/>
        <v>0</v>
      </c>
      <c r="P263" s="38"/>
      <c r="Q263" s="12" t="str">
        <f t="shared" si="2"/>
        <v/>
      </c>
      <c r="R263" s="42"/>
      <c r="S263" s="42"/>
      <c r="T263" s="42"/>
      <c r="U263" s="51"/>
      <c r="V263" s="52"/>
      <c r="W263" s="55"/>
      <c r="X263" s="57"/>
      <c r="Y263" s="106"/>
      <c r="Z263" s="106"/>
      <c r="AA263" s="106"/>
      <c r="AB263" s="106"/>
    </row>
    <row r="264">
      <c r="A264" s="38">
        <v>263.0</v>
      </c>
      <c r="B264" s="42"/>
      <c r="C264" s="51"/>
      <c r="D264" s="38"/>
      <c r="E264" s="38" t="s">
        <v>1036</v>
      </c>
      <c r="F264" s="41" t="s">
        <v>1037</v>
      </c>
      <c r="G264" s="43"/>
      <c r="H264" s="45"/>
      <c r="I264" s="38"/>
      <c r="J264" s="38">
        <f>4.5*1000</f>
        <v>4500</v>
      </c>
      <c r="K264" s="46">
        <v>0.0019560185185185184</v>
      </c>
      <c r="L264" s="47" t="s">
        <v>1011</v>
      </c>
      <c r="M264" s="48"/>
      <c r="N264" s="48"/>
      <c r="O264" s="48">
        <f t="shared" si="1"/>
        <v>0</v>
      </c>
      <c r="P264" s="38"/>
      <c r="Q264" s="12" t="str">
        <f t="shared" si="2"/>
        <v/>
      </c>
      <c r="R264" s="42"/>
      <c r="S264" s="42"/>
      <c r="T264" s="42"/>
      <c r="U264" s="51"/>
      <c r="V264" s="52"/>
      <c r="W264" s="55"/>
      <c r="X264" s="57"/>
      <c r="Y264" s="106"/>
      <c r="Z264" s="106"/>
      <c r="AA264" s="106"/>
      <c r="AB264" s="106"/>
    </row>
    <row r="265">
      <c r="A265" s="38">
        <v>264.0</v>
      </c>
      <c r="B265" s="42"/>
      <c r="C265" s="51"/>
      <c r="D265" s="38"/>
      <c r="E265" s="38" t="s">
        <v>1038</v>
      </c>
      <c r="F265" s="41" t="s">
        <v>1039</v>
      </c>
      <c r="G265" s="43"/>
      <c r="H265" s="45"/>
      <c r="I265" s="38"/>
      <c r="J265" s="38">
        <f>1.4*1000</f>
        <v>1400</v>
      </c>
      <c r="K265" s="46">
        <v>0.004131944444444444</v>
      </c>
      <c r="L265" s="47" t="s">
        <v>1011</v>
      </c>
      <c r="M265" s="48"/>
      <c r="N265" s="48"/>
      <c r="O265" s="48">
        <f t="shared" si="1"/>
        <v>0</v>
      </c>
      <c r="P265" s="38"/>
      <c r="Q265" s="12" t="str">
        <f t="shared" si="2"/>
        <v/>
      </c>
      <c r="R265" s="42"/>
      <c r="S265" s="42"/>
      <c r="T265" s="42"/>
      <c r="U265" s="51"/>
      <c r="V265" s="52"/>
      <c r="W265" s="55"/>
      <c r="X265" s="57"/>
      <c r="Y265" s="106"/>
      <c r="Z265" s="106"/>
      <c r="AA265" s="106"/>
      <c r="AB265" s="106"/>
    </row>
    <row r="266">
      <c r="A266" s="38">
        <v>265.0</v>
      </c>
      <c r="B266" s="42"/>
      <c r="C266" s="51"/>
      <c r="D266" s="38"/>
      <c r="E266" s="38" t="s">
        <v>1040</v>
      </c>
      <c r="F266" s="41" t="s">
        <v>1041</v>
      </c>
      <c r="G266" s="43"/>
      <c r="H266" s="45"/>
      <c r="I266" s="38"/>
      <c r="J266" s="38">
        <f>6.8*1000</f>
        <v>6800</v>
      </c>
      <c r="K266" s="46">
        <v>0.03612268518518518</v>
      </c>
      <c r="L266" s="47" t="s">
        <v>1011</v>
      </c>
      <c r="M266" s="48"/>
      <c r="N266" s="48"/>
      <c r="O266" s="48">
        <f t="shared" si="1"/>
        <v>0</v>
      </c>
      <c r="P266" s="38"/>
      <c r="Q266" s="12" t="str">
        <f t="shared" si="2"/>
        <v/>
      </c>
      <c r="R266" s="42"/>
      <c r="S266" s="42"/>
      <c r="T266" s="42"/>
      <c r="U266" s="51"/>
      <c r="V266" s="52"/>
      <c r="W266" s="55"/>
      <c r="X266" s="57"/>
      <c r="Y266" s="106"/>
      <c r="Z266" s="106"/>
      <c r="AA266" s="106"/>
      <c r="AB266" s="106"/>
    </row>
    <row r="267">
      <c r="A267" s="38">
        <v>266.0</v>
      </c>
      <c r="B267" s="42"/>
      <c r="C267" s="51"/>
      <c r="D267" s="38"/>
      <c r="E267" s="38" t="s">
        <v>1042</v>
      </c>
      <c r="F267" s="41" t="s">
        <v>1043</v>
      </c>
      <c r="G267" s="43"/>
      <c r="H267" s="45"/>
      <c r="I267" s="38"/>
      <c r="J267" s="38">
        <f>3.2*1000</f>
        <v>3200</v>
      </c>
      <c r="K267" s="46">
        <v>0.028125</v>
      </c>
      <c r="L267" s="47" t="s">
        <v>1011</v>
      </c>
      <c r="M267" s="48"/>
      <c r="N267" s="48"/>
      <c r="O267" s="48">
        <f t="shared" si="1"/>
        <v>0</v>
      </c>
      <c r="P267" s="38"/>
      <c r="Q267" s="12" t="str">
        <f t="shared" si="2"/>
        <v/>
      </c>
      <c r="R267" s="42"/>
      <c r="S267" s="42"/>
      <c r="T267" s="42"/>
      <c r="U267" s="51"/>
      <c r="V267" s="52"/>
      <c r="W267" s="55"/>
      <c r="X267" s="57"/>
      <c r="Y267" s="106"/>
      <c r="Z267" s="106"/>
      <c r="AA267" s="106"/>
      <c r="AB267" s="106"/>
    </row>
    <row r="268">
      <c r="A268" s="38">
        <v>267.0</v>
      </c>
      <c r="B268" s="42"/>
      <c r="C268" s="51"/>
      <c r="D268" s="38"/>
      <c r="E268" s="38" t="s">
        <v>1044</v>
      </c>
      <c r="F268" s="41" t="s">
        <v>1045</v>
      </c>
      <c r="G268" s="43"/>
      <c r="H268" s="45"/>
      <c r="I268" s="38"/>
      <c r="J268" s="38">
        <f>4.4*1000</f>
        <v>4400</v>
      </c>
      <c r="K268" s="46">
        <v>0.03310185185185185</v>
      </c>
      <c r="L268" s="47" t="s">
        <v>1011</v>
      </c>
      <c r="M268" s="48"/>
      <c r="N268" s="48"/>
      <c r="O268" s="48">
        <f t="shared" si="1"/>
        <v>0</v>
      </c>
      <c r="P268" s="38"/>
      <c r="Q268" s="12" t="str">
        <f t="shared" si="2"/>
        <v/>
      </c>
      <c r="R268" s="42"/>
      <c r="S268" s="42"/>
      <c r="T268" s="42"/>
      <c r="U268" s="51"/>
      <c r="V268" s="52"/>
      <c r="W268" s="55"/>
      <c r="X268" s="57"/>
      <c r="Y268" s="106"/>
      <c r="Z268" s="106"/>
      <c r="AA268" s="106"/>
      <c r="AB268" s="106"/>
    </row>
    <row r="269">
      <c r="A269" s="38">
        <v>268.0</v>
      </c>
      <c r="B269" s="42"/>
      <c r="C269" s="51"/>
      <c r="D269" s="38"/>
      <c r="E269" s="38" t="s">
        <v>1049</v>
      </c>
      <c r="F269" s="41" t="s">
        <v>1050</v>
      </c>
      <c r="G269" s="43"/>
      <c r="H269" s="45"/>
      <c r="I269" s="38"/>
      <c r="J269" s="38">
        <f>64*1000</f>
        <v>64000</v>
      </c>
      <c r="K269" s="46">
        <v>0.059305555555555556</v>
      </c>
      <c r="L269" s="47" t="s">
        <v>1011</v>
      </c>
      <c r="M269" s="48"/>
      <c r="N269" s="48"/>
      <c r="O269" s="48">
        <f t="shared" si="1"/>
        <v>0</v>
      </c>
      <c r="P269" s="38"/>
      <c r="Q269" s="12" t="str">
        <f t="shared" si="2"/>
        <v/>
      </c>
      <c r="R269" s="42"/>
      <c r="S269" s="42"/>
      <c r="T269" s="42"/>
      <c r="U269" s="51"/>
      <c r="V269" s="52"/>
      <c r="W269" s="55"/>
      <c r="X269" s="57"/>
      <c r="Y269" s="106"/>
      <c r="Z269" s="106"/>
      <c r="AA269" s="106"/>
      <c r="AB269" s="106"/>
    </row>
    <row r="270">
      <c r="A270" s="38">
        <v>269.0</v>
      </c>
      <c r="B270" s="63" t="s">
        <v>516</v>
      </c>
      <c r="C270" s="51"/>
      <c r="D270" s="39" t="s">
        <v>145</v>
      </c>
      <c r="E270" s="38" t="s">
        <v>1051</v>
      </c>
      <c r="F270" s="41" t="s">
        <v>1052</v>
      </c>
      <c r="G270" s="43"/>
      <c r="H270" s="45"/>
      <c r="I270" s="38"/>
      <c r="J270" s="38">
        <f>6*1000</f>
        <v>6000</v>
      </c>
      <c r="K270" s="46">
        <v>0.06149305555555556</v>
      </c>
      <c r="L270" s="47" t="s">
        <v>1011</v>
      </c>
      <c r="M270" s="48"/>
      <c r="N270" s="48"/>
      <c r="O270" s="48">
        <f t="shared" si="1"/>
        <v>0</v>
      </c>
      <c r="P270" s="38"/>
      <c r="Q270" s="12" t="str">
        <f t="shared" si="2"/>
        <v/>
      </c>
      <c r="R270" s="42"/>
      <c r="S270" s="42"/>
      <c r="T270" s="42"/>
      <c r="U270" s="51"/>
      <c r="V270" s="52"/>
      <c r="W270" s="55"/>
      <c r="X270" s="57"/>
      <c r="Y270" s="106"/>
      <c r="Z270" s="106"/>
      <c r="AA270" s="106"/>
      <c r="AB270" s="106"/>
    </row>
    <row r="271">
      <c r="A271" s="38">
        <v>270.0</v>
      </c>
      <c r="B271" s="63"/>
      <c r="C271" s="51"/>
      <c r="D271" s="38"/>
      <c r="E271" s="38" t="s">
        <v>1055</v>
      </c>
      <c r="F271" s="41" t="s">
        <v>1056</v>
      </c>
      <c r="G271" s="43"/>
      <c r="H271" s="45"/>
      <c r="I271" s="38"/>
      <c r="J271" s="38">
        <f>8.8*1000</f>
        <v>8800</v>
      </c>
      <c r="K271" s="46">
        <v>0.01888888888888889</v>
      </c>
      <c r="L271" s="47" t="s">
        <v>1011</v>
      </c>
      <c r="M271" s="48"/>
      <c r="N271" s="48"/>
      <c r="O271" s="48">
        <f t="shared" si="1"/>
        <v>0</v>
      </c>
      <c r="P271" s="38"/>
      <c r="Q271" s="12" t="str">
        <f t="shared" si="2"/>
        <v/>
      </c>
      <c r="R271" s="42"/>
      <c r="S271" s="42"/>
      <c r="T271" s="42"/>
      <c r="U271" s="51"/>
      <c r="V271" s="52"/>
      <c r="W271" s="55"/>
      <c r="X271" s="57"/>
      <c r="Y271" s="106"/>
      <c r="Z271" s="106"/>
      <c r="AA271" s="106"/>
      <c r="AB271" s="106"/>
    </row>
    <row r="272">
      <c r="A272" s="38">
        <v>271.0</v>
      </c>
      <c r="B272" s="63" t="s">
        <v>142</v>
      </c>
      <c r="C272" s="51"/>
      <c r="D272" s="39" t="s">
        <v>145</v>
      </c>
      <c r="E272" s="38" t="s">
        <v>1061</v>
      </c>
      <c r="F272" s="41" t="s">
        <v>1062</v>
      </c>
      <c r="G272" s="43"/>
      <c r="H272" s="45"/>
      <c r="I272" s="38"/>
      <c r="J272" s="38">
        <f>46*1000</f>
        <v>46000</v>
      </c>
      <c r="K272" s="46">
        <v>0.03361111111111111</v>
      </c>
      <c r="L272" s="47" t="s">
        <v>1011</v>
      </c>
      <c r="M272" s="48"/>
      <c r="N272" s="48"/>
      <c r="O272" s="48">
        <f t="shared" si="1"/>
        <v>0</v>
      </c>
      <c r="P272" s="38"/>
      <c r="Q272" s="12" t="str">
        <f t="shared" si="2"/>
        <v/>
      </c>
      <c r="R272" s="42"/>
      <c r="S272" s="42"/>
      <c r="T272" s="42"/>
      <c r="U272" s="51"/>
      <c r="V272" s="52"/>
      <c r="W272" s="55"/>
      <c r="X272" s="57"/>
      <c r="Y272" s="106"/>
      <c r="Z272" s="106"/>
      <c r="AA272" s="106"/>
      <c r="AB272" s="106"/>
    </row>
    <row r="273">
      <c r="A273" s="38">
        <v>272.0</v>
      </c>
      <c r="B273" s="42"/>
      <c r="C273" s="51"/>
      <c r="D273" s="38"/>
      <c r="E273" s="38" t="s">
        <v>1065</v>
      </c>
      <c r="F273" s="41" t="s">
        <v>1066</v>
      </c>
      <c r="G273" s="43"/>
      <c r="H273" s="45"/>
      <c r="I273" s="38"/>
      <c r="J273" s="38">
        <f>7.6*1000</f>
        <v>7600</v>
      </c>
      <c r="K273" s="46">
        <v>0.03329861111111111</v>
      </c>
      <c r="L273" s="47" t="s">
        <v>1011</v>
      </c>
      <c r="M273" s="48"/>
      <c r="N273" s="48"/>
      <c r="O273" s="48">
        <f t="shared" si="1"/>
        <v>0</v>
      </c>
      <c r="P273" s="38"/>
      <c r="Q273" s="12" t="str">
        <f t="shared" si="2"/>
        <v/>
      </c>
      <c r="R273" s="42"/>
      <c r="S273" s="42"/>
      <c r="T273" s="42"/>
      <c r="U273" s="51"/>
      <c r="V273" s="52"/>
      <c r="W273" s="55"/>
      <c r="X273" s="57"/>
      <c r="Y273" s="106"/>
      <c r="Z273" s="106"/>
      <c r="AA273" s="106"/>
      <c r="AB273" s="106"/>
    </row>
    <row r="274">
      <c r="A274" s="38">
        <v>273.0</v>
      </c>
      <c r="B274" s="63" t="s">
        <v>142</v>
      </c>
      <c r="C274" s="51"/>
      <c r="D274" s="39" t="s">
        <v>145</v>
      </c>
      <c r="E274" s="38" t="s">
        <v>1069</v>
      </c>
      <c r="F274" s="41" t="s">
        <v>1070</v>
      </c>
      <c r="G274" s="43"/>
      <c r="H274" s="45"/>
      <c r="I274" s="38"/>
      <c r="J274" s="38">
        <f>12*1000</f>
        <v>12000</v>
      </c>
      <c r="K274" s="46">
        <v>0.03005787037037037</v>
      </c>
      <c r="L274" s="47" t="s">
        <v>1011</v>
      </c>
      <c r="M274" s="48"/>
      <c r="N274" s="48"/>
      <c r="O274" s="48">
        <f t="shared" si="1"/>
        <v>0</v>
      </c>
      <c r="P274" s="38"/>
      <c r="Q274" s="12" t="str">
        <f t="shared" si="2"/>
        <v/>
      </c>
      <c r="R274" s="42"/>
      <c r="S274" s="42"/>
      <c r="T274" s="42"/>
      <c r="U274" s="51"/>
      <c r="V274" s="52"/>
      <c r="W274" s="55"/>
      <c r="X274" s="57"/>
      <c r="Y274" s="106"/>
      <c r="Z274" s="106"/>
      <c r="AA274" s="106"/>
      <c r="AB274" s="106"/>
    </row>
    <row r="275">
      <c r="A275" s="38">
        <v>274.0</v>
      </c>
      <c r="B275" s="63" t="s">
        <v>142</v>
      </c>
      <c r="C275" s="51"/>
      <c r="D275" s="39" t="s">
        <v>145</v>
      </c>
      <c r="E275" s="38" t="s">
        <v>1075</v>
      </c>
      <c r="F275" s="41" t="s">
        <v>1076</v>
      </c>
      <c r="G275" s="43"/>
      <c r="H275" s="45"/>
      <c r="I275" s="38"/>
      <c r="J275" s="38">
        <f>4.4*1000</f>
        <v>4400</v>
      </c>
      <c r="K275" s="46">
        <v>0.02090277777777778</v>
      </c>
      <c r="L275" s="47" t="s">
        <v>1011</v>
      </c>
      <c r="M275" s="48"/>
      <c r="N275" s="48"/>
      <c r="O275" s="48">
        <f t="shared" si="1"/>
        <v>0</v>
      </c>
      <c r="P275" s="38"/>
      <c r="Q275" s="12" t="str">
        <f t="shared" si="2"/>
        <v/>
      </c>
      <c r="R275" s="42"/>
      <c r="S275" s="42"/>
      <c r="T275" s="42"/>
      <c r="U275" s="51"/>
      <c r="V275" s="52"/>
      <c r="W275" s="55"/>
      <c r="X275" s="57"/>
      <c r="Y275" s="106"/>
      <c r="Z275" s="106"/>
      <c r="AA275" s="106"/>
      <c r="AB275" s="106"/>
    </row>
    <row r="276">
      <c r="A276" s="38">
        <v>275.0</v>
      </c>
      <c r="B276" s="63" t="s">
        <v>142</v>
      </c>
      <c r="C276" s="51"/>
      <c r="D276" s="39" t="s">
        <v>145</v>
      </c>
      <c r="E276" s="38" t="s">
        <v>1082</v>
      </c>
      <c r="F276" s="41" t="s">
        <v>1083</v>
      </c>
      <c r="G276" s="43"/>
      <c r="H276" s="45"/>
      <c r="I276" s="38"/>
      <c r="J276" s="38">
        <f>4.5*1000</f>
        <v>4500</v>
      </c>
      <c r="K276" s="46">
        <v>0.022083333333333333</v>
      </c>
      <c r="L276" s="47" t="s">
        <v>1011</v>
      </c>
      <c r="M276" s="48"/>
      <c r="N276" s="48"/>
      <c r="O276" s="48">
        <f t="shared" si="1"/>
        <v>0</v>
      </c>
      <c r="P276" s="38"/>
      <c r="Q276" s="12" t="str">
        <f t="shared" si="2"/>
        <v/>
      </c>
      <c r="R276" s="42"/>
      <c r="S276" s="42"/>
      <c r="T276" s="42"/>
      <c r="U276" s="51"/>
      <c r="V276" s="52"/>
      <c r="W276" s="55"/>
      <c r="X276" s="57"/>
      <c r="Y276" s="106"/>
      <c r="Z276" s="106"/>
      <c r="AA276" s="106"/>
      <c r="AB276" s="106"/>
    </row>
    <row r="277">
      <c r="A277" s="38">
        <v>276.0</v>
      </c>
      <c r="B277" s="63" t="s">
        <v>142</v>
      </c>
      <c r="C277" s="51"/>
      <c r="D277" s="39" t="s">
        <v>145</v>
      </c>
      <c r="E277" s="38" t="s">
        <v>1089</v>
      </c>
      <c r="F277" s="41" t="s">
        <v>1090</v>
      </c>
      <c r="G277" s="43"/>
      <c r="H277" s="45"/>
      <c r="I277" s="38"/>
      <c r="J277" s="38">
        <f>4.3*1000</f>
        <v>4300</v>
      </c>
      <c r="K277" s="46">
        <v>0.0052430555555555555</v>
      </c>
      <c r="L277" s="47" t="s">
        <v>1011</v>
      </c>
      <c r="M277" s="48"/>
      <c r="N277" s="48"/>
      <c r="O277" s="48">
        <f t="shared" si="1"/>
        <v>0</v>
      </c>
      <c r="P277" s="38"/>
      <c r="Q277" s="12" t="str">
        <f t="shared" si="2"/>
        <v/>
      </c>
      <c r="R277" s="42"/>
      <c r="S277" s="42"/>
      <c r="T277" s="42"/>
      <c r="U277" s="51"/>
      <c r="V277" s="52"/>
      <c r="W277" s="55"/>
      <c r="X277" s="57"/>
      <c r="Y277" s="106"/>
      <c r="Z277" s="106"/>
      <c r="AA277" s="106"/>
      <c r="AB277" s="106"/>
    </row>
    <row r="278">
      <c r="A278" s="38">
        <v>277.0</v>
      </c>
      <c r="B278" s="42"/>
      <c r="C278" s="51"/>
      <c r="D278" s="38"/>
      <c r="E278" s="38" t="s">
        <v>1094</v>
      </c>
      <c r="F278" s="41" t="s">
        <v>1095</v>
      </c>
      <c r="G278" s="43"/>
      <c r="H278" s="45"/>
      <c r="I278" s="38"/>
      <c r="J278" s="38">
        <f>34*1000</f>
        <v>34000</v>
      </c>
      <c r="K278" s="46">
        <v>0.02388888888888889</v>
      </c>
      <c r="L278" s="47" t="s">
        <v>1011</v>
      </c>
      <c r="M278" s="48"/>
      <c r="N278" s="48"/>
      <c r="O278" s="48">
        <f t="shared" si="1"/>
        <v>0</v>
      </c>
      <c r="P278" s="38"/>
      <c r="Q278" s="12" t="str">
        <f t="shared" si="2"/>
        <v/>
      </c>
      <c r="R278" s="42"/>
      <c r="S278" s="42"/>
      <c r="T278" s="42"/>
      <c r="U278" s="51"/>
      <c r="V278" s="52"/>
      <c r="W278" s="55"/>
      <c r="X278" s="57"/>
      <c r="Y278" s="106"/>
      <c r="Z278" s="106"/>
      <c r="AA278" s="106"/>
      <c r="AB278" s="106"/>
    </row>
    <row r="279">
      <c r="A279" s="38">
        <v>278.0</v>
      </c>
      <c r="B279" s="63" t="s">
        <v>516</v>
      </c>
      <c r="C279" s="51"/>
      <c r="D279" s="39" t="s">
        <v>145</v>
      </c>
      <c r="E279" s="38" t="s">
        <v>1098</v>
      </c>
      <c r="F279" s="41" t="s">
        <v>1099</v>
      </c>
      <c r="G279" s="43"/>
      <c r="H279" s="45"/>
      <c r="I279" s="38"/>
      <c r="J279" s="38">
        <f>27*1000</f>
        <v>27000</v>
      </c>
      <c r="K279" s="46">
        <v>0.053981481481481484</v>
      </c>
      <c r="L279" s="47" t="s">
        <v>1011</v>
      </c>
      <c r="M279" s="48"/>
      <c r="N279" s="48"/>
      <c r="O279" s="48">
        <f t="shared" si="1"/>
        <v>0</v>
      </c>
      <c r="P279" s="38"/>
      <c r="Q279" s="12" t="str">
        <f t="shared" si="2"/>
        <v/>
      </c>
      <c r="R279" s="42"/>
      <c r="S279" s="42"/>
      <c r="T279" s="42"/>
      <c r="U279" s="51"/>
      <c r="V279" s="52"/>
      <c r="W279" s="55"/>
      <c r="X279" s="57"/>
      <c r="Y279" s="106"/>
      <c r="Z279" s="106"/>
      <c r="AA279" s="106"/>
      <c r="AB279" s="106"/>
    </row>
    <row r="280">
      <c r="A280" s="38">
        <v>279.0</v>
      </c>
      <c r="B280" s="63" t="s">
        <v>516</v>
      </c>
      <c r="C280" s="51"/>
      <c r="D280" s="39" t="s">
        <v>145</v>
      </c>
      <c r="E280" s="38" t="s">
        <v>1100</v>
      </c>
      <c r="F280" s="41" t="s">
        <v>1101</v>
      </c>
      <c r="G280" s="43"/>
      <c r="H280" s="45"/>
      <c r="I280" s="38"/>
      <c r="J280" s="38">
        <f>6.6*1000</f>
        <v>6600</v>
      </c>
      <c r="K280" s="46">
        <v>0.03349537037037037</v>
      </c>
      <c r="L280" s="47" t="s">
        <v>1011</v>
      </c>
      <c r="M280" s="48"/>
      <c r="N280" s="48"/>
      <c r="O280" s="48">
        <f t="shared" si="1"/>
        <v>0</v>
      </c>
      <c r="P280" s="38"/>
      <c r="Q280" s="12" t="str">
        <f t="shared" si="2"/>
        <v/>
      </c>
      <c r="R280" s="42"/>
      <c r="S280" s="42"/>
      <c r="T280" s="42"/>
      <c r="U280" s="51"/>
      <c r="V280" s="52"/>
      <c r="W280" s="55"/>
      <c r="X280" s="57"/>
      <c r="Y280" s="106"/>
      <c r="Z280" s="106"/>
      <c r="AA280" s="106"/>
      <c r="AB280" s="106"/>
    </row>
    <row r="281">
      <c r="A281" s="38">
        <v>280.0</v>
      </c>
      <c r="B281" s="42"/>
      <c r="C281" s="51"/>
      <c r="D281" s="38"/>
      <c r="E281" s="38" t="s">
        <v>1104</v>
      </c>
      <c r="F281" s="41" t="s">
        <v>1105</v>
      </c>
      <c r="G281" s="43"/>
      <c r="H281" s="45"/>
      <c r="I281" s="38"/>
      <c r="J281" s="38">
        <f>7.2*1000</f>
        <v>7200</v>
      </c>
      <c r="K281" s="46">
        <v>0.07150462962962963</v>
      </c>
      <c r="L281" s="47" t="s">
        <v>1011</v>
      </c>
      <c r="M281" s="48"/>
      <c r="N281" s="48"/>
      <c r="O281" s="48">
        <f t="shared" si="1"/>
        <v>0</v>
      </c>
      <c r="P281" s="38"/>
      <c r="Q281" s="12" t="str">
        <f t="shared" si="2"/>
        <v/>
      </c>
      <c r="R281" s="42"/>
      <c r="S281" s="42"/>
      <c r="T281" s="42"/>
      <c r="U281" s="51"/>
      <c r="V281" s="52"/>
      <c r="W281" s="55"/>
      <c r="X281" s="57"/>
      <c r="Y281" s="106"/>
      <c r="Z281" s="106"/>
      <c r="AA281" s="106"/>
      <c r="AB281" s="106"/>
    </row>
    <row r="282">
      <c r="A282" s="38">
        <v>281.0</v>
      </c>
      <c r="B282" s="42"/>
      <c r="C282" s="51"/>
      <c r="D282" s="38"/>
      <c r="E282" s="38" t="s">
        <v>1109</v>
      </c>
      <c r="F282" s="41" t="s">
        <v>1110</v>
      </c>
      <c r="G282" s="43"/>
      <c r="H282" s="45"/>
      <c r="I282" s="38"/>
      <c r="J282" s="38">
        <f>20*1000</f>
        <v>20000</v>
      </c>
      <c r="K282" s="46">
        <v>0.09664351851851853</v>
      </c>
      <c r="L282" s="47" t="s">
        <v>1011</v>
      </c>
      <c r="M282" s="48"/>
      <c r="N282" s="48"/>
      <c r="O282" s="48">
        <f t="shared" si="1"/>
        <v>0</v>
      </c>
      <c r="P282" s="38"/>
      <c r="Q282" s="12" t="str">
        <f t="shared" si="2"/>
        <v/>
      </c>
      <c r="R282" s="42"/>
      <c r="S282" s="42"/>
      <c r="T282" s="42"/>
      <c r="U282" s="51"/>
      <c r="V282" s="52"/>
      <c r="W282" s="55"/>
      <c r="X282" s="57"/>
      <c r="Y282" s="106"/>
      <c r="Z282" s="106"/>
      <c r="AA282" s="106"/>
      <c r="AB282" s="106"/>
    </row>
    <row r="283">
      <c r="A283" s="38">
        <v>282.0</v>
      </c>
      <c r="B283" s="42"/>
      <c r="C283" s="51"/>
      <c r="D283" s="38"/>
      <c r="E283" s="38" t="s">
        <v>1114</v>
      </c>
      <c r="F283" s="41" t="s">
        <v>1115</v>
      </c>
      <c r="G283" s="43"/>
      <c r="H283" s="45"/>
      <c r="I283" s="38"/>
      <c r="J283" s="38">
        <f>11*1000</f>
        <v>11000</v>
      </c>
      <c r="K283" s="46">
        <v>0.07072916666666666</v>
      </c>
      <c r="L283" s="47" t="s">
        <v>1011</v>
      </c>
      <c r="M283" s="48"/>
      <c r="N283" s="48"/>
      <c r="O283" s="48">
        <f t="shared" si="1"/>
        <v>0</v>
      </c>
      <c r="P283" s="38"/>
      <c r="Q283" s="12" t="str">
        <f t="shared" si="2"/>
        <v/>
      </c>
      <c r="R283" s="42"/>
      <c r="S283" s="42"/>
      <c r="T283" s="42"/>
      <c r="U283" s="51"/>
      <c r="V283" s="52"/>
      <c r="W283" s="55"/>
      <c r="X283" s="57"/>
      <c r="Y283" s="106"/>
      <c r="Z283" s="106"/>
      <c r="AA283" s="106"/>
      <c r="AB283" s="106"/>
    </row>
    <row r="284">
      <c r="A284" s="38">
        <v>283.0</v>
      </c>
      <c r="B284" s="42"/>
      <c r="C284" s="51"/>
      <c r="D284" s="38"/>
      <c r="E284" s="38" t="s">
        <v>1120</v>
      </c>
      <c r="F284" s="41" t="s">
        <v>1121</v>
      </c>
      <c r="G284" s="43"/>
      <c r="H284" s="45"/>
      <c r="I284" s="38"/>
      <c r="J284" s="38">
        <f>10*1000</f>
        <v>10000</v>
      </c>
      <c r="K284" s="46">
        <v>0.08366898148148148</v>
      </c>
      <c r="L284" s="47" t="s">
        <v>1011</v>
      </c>
      <c r="M284" s="48"/>
      <c r="N284" s="48"/>
      <c r="O284" s="48">
        <f t="shared" si="1"/>
        <v>0</v>
      </c>
      <c r="P284" s="38"/>
      <c r="Q284" s="12" t="str">
        <f t="shared" si="2"/>
        <v/>
      </c>
      <c r="R284" s="42"/>
      <c r="S284" s="42"/>
      <c r="T284" s="42"/>
      <c r="U284" s="51"/>
      <c r="V284" s="52"/>
      <c r="W284" s="55"/>
      <c r="X284" s="57"/>
      <c r="Y284" s="106"/>
      <c r="Z284" s="106"/>
      <c r="AA284" s="106"/>
      <c r="AB284" s="106"/>
    </row>
    <row r="285">
      <c r="A285" s="38">
        <v>284.0</v>
      </c>
      <c r="B285" s="42"/>
      <c r="C285" s="51"/>
      <c r="D285" s="38"/>
      <c r="E285" s="38" t="s">
        <v>1122</v>
      </c>
      <c r="F285" s="41" t="s">
        <v>1123</v>
      </c>
      <c r="G285" s="43"/>
      <c r="H285" s="45"/>
      <c r="I285" s="38"/>
      <c r="J285" s="38">
        <f>4.7*1000</f>
        <v>4700</v>
      </c>
      <c r="K285" s="46">
        <v>0.075625</v>
      </c>
      <c r="L285" s="47" t="s">
        <v>1011</v>
      </c>
      <c r="M285" s="48"/>
      <c r="N285" s="48"/>
      <c r="O285" s="48">
        <f t="shared" si="1"/>
        <v>0</v>
      </c>
      <c r="P285" s="38"/>
      <c r="Q285" s="12" t="str">
        <f t="shared" si="2"/>
        <v/>
      </c>
      <c r="R285" s="42"/>
      <c r="S285" s="42"/>
      <c r="T285" s="42"/>
      <c r="U285" s="51"/>
      <c r="V285" s="52"/>
      <c r="W285" s="55"/>
      <c r="X285" s="57"/>
      <c r="Y285" s="106"/>
      <c r="Z285" s="106"/>
      <c r="AA285" s="106"/>
      <c r="AB285" s="106"/>
    </row>
    <row r="286">
      <c r="A286" s="38">
        <v>285.0</v>
      </c>
      <c r="B286" s="42"/>
      <c r="C286" s="51"/>
      <c r="D286" s="38"/>
      <c r="E286" s="38" t="s">
        <v>1128</v>
      </c>
      <c r="F286" s="41" t="s">
        <v>1129</v>
      </c>
      <c r="G286" s="43"/>
      <c r="H286" s="45"/>
      <c r="I286" s="38"/>
      <c r="J286" s="38">
        <f>6.7*1000</f>
        <v>6700</v>
      </c>
      <c r="K286" s="46">
        <v>0.018472222222222223</v>
      </c>
      <c r="L286" s="47" t="s">
        <v>1011</v>
      </c>
      <c r="M286" s="48"/>
      <c r="N286" s="48"/>
      <c r="O286" s="48">
        <f t="shared" si="1"/>
        <v>0</v>
      </c>
      <c r="P286" s="38"/>
      <c r="Q286" s="12" t="str">
        <f t="shared" si="2"/>
        <v/>
      </c>
      <c r="R286" s="42"/>
      <c r="S286" s="42"/>
      <c r="T286" s="42"/>
      <c r="U286" s="51"/>
      <c r="V286" s="52"/>
      <c r="W286" s="55"/>
      <c r="X286" s="57"/>
      <c r="Y286" s="106"/>
      <c r="Z286" s="106"/>
      <c r="AA286" s="106"/>
      <c r="AB286" s="106"/>
    </row>
    <row r="287">
      <c r="A287" s="38">
        <v>286.0</v>
      </c>
      <c r="B287" s="42"/>
      <c r="C287" s="51"/>
      <c r="D287" s="38"/>
      <c r="E287" s="38" t="s">
        <v>1133</v>
      </c>
      <c r="F287" s="41" t="s">
        <v>1135</v>
      </c>
      <c r="G287" s="43"/>
      <c r="H287" s="45"/>
      <c r="I287" s="38"/>
      <c r="J287" s="38">
        <f>11*1000</f>
        <v>11000</v>
      </c>
      <c r="K287" s="46">
        <v>0.09569444444444446</v>
      </c>
      <c r="L287" s="47" t="s">
        <v>1048</v>
      </c>
      <c r="M287" s="48"/>
      <c r="N287" s="48"/>
      <c r="O287" s="48">
        <f t="shared" si="1"/>
        <v>0</v>
      </c>
      <c r="P287" s="38"/>
      <c r="Q287" s="12" t="str">
        <f t="shared" si="2"/>
        <v/>
      </c>
      <c r="R287" s="42"/>
      <c r="S287" s="42"/>
      <c r="T287" s="42"/>
      <c r="U287" s="51"/>
      <c r="V287" s="52"/>
      <c r="W287" s="55"/>
      <c r="X287" s="57"/>
      <c r="Y287" s="106"/>
      <c r="Z287" s="106"/>
      <c r="AA287" s="106"/>
      <c r="AB287" s="106"/>
    </row>
    <row r="288">
      <c r="A288" s="38">
        <v>287.0</v>
      </c>
      <c r="B288" s="42"/>
      <c r="C288" s="51"/>
      <c r="D288" s="38"/>
      <c r="E288" s="38" t="s">
        <v>1138</v>
      </c>
      <c r="F288" s="41" t="s">
        <v>1139</v>
      </c>
      <c r="G288" s="43"/>
      <c r="H288" s="45"/>
      <c r="I288" s="38"/>
      <c r="J288" s="38">
        <f>14*1000</f>
        <v>14000</v>
      </c>
      <c r="K288" s="46">
        <v>0.0853587962962963</v>
      </c>
      <c r="L288" s="47" t="s">
        <v>1048</v>
      </c>
      <c r="M288" s="48"/>
      <c r="N288" s="48"/>
      <c r="O288" s="48">
        <f t="shared" si="1"/>
        <v>0</v>
      </c>
      <c r="P288" s="38"/>
      <c r="Q288" s="12" t="str">
        <f t="shared" si="2"/>
        <v/>
      </c>
      <c r="R288" s="42"/>
      <c r="S288" s="42"/>
      <c r="T288" s="42"/>
      <c r="U288" s="51"/>
      <c r="V288" s="52"/>
      <c r="W288" s="55"/>
      <c r="X288" s="57"/>
      <c r="Y288" s="106"/>
      <c r="Z288" s="106"/>
      <c r="AA288" s="106"/>
      <c r="AB288" s="106"/>
    </row>
    <row r="289">
      <c r="A289" s="38">
        <v>288.0</v>
      </c>
      <c r="B289" s="42"/>
      <c r="C289" s="51"/>
      <c r="D289" s="38"/>
      <c r="E289" s="38" t="s">
        <v>1142</v>
      </c>
      <c r="F289" s="41" t="s">
        <v>1143</v>
      </c>
      <c r="G289" s="43"/>
      <c r="H289" s="45"/>
      <c r="I289" s="38"/>
      <c r="J289" s="38">
        <f>6.9*1000</f>
        <v>6900</v>
      </c>
      <c r="K289" s="46">
        <v>0.05684027777777778</v>
      </c>
      <c r="L289" s="47" t="s">
        <v>1048</v>
      </c>
      <c r="M289" s="48"/>
      <c r="N289" s="48"/>
      <c r="O289" s="48">
        <f t="shared" si="1"/>
        <v>0</v>
      </c>
      <c r="P289" s="38"/>
      <c r="Q289" s="12" t="str">
        <f t="shared" si="2"/>
        <v/>
      </c>
      <c r="R289" s="42"/>
      <c r="S289" s="42"/>
      <c r="T289" s="42"/>
      <c r="U289" s="51"/>
      <c r="V289" s="52"/>
      <c r="W289" s="55"/>
      <c r="X289" s="57"/>
      <c r="Y289" s="106"/>
      <c r="Z289" s="106"/>
      <c r="AA289" s="106"/>
      <c r="AB289" s="106"/>
    </row>
    <row r="290">
      <c r="A290" s="38">
        <v>289.0</v>
      </c>
      <c r="B290" s="42"/>
      <c r="C290" s="51"/>
      <c r="D290" s="38"/>
      <c r="E290" s="38" t="s">
        <v>1146</v>
      </c>
      <c r="F290" s="41" t="s">
        <v>1147</v>
      </c>
      <c r="G290" s="43"/>
      <c r="H290" s="45"/>
      <c r="I290" s="38"/>
      <c r="J290" s="38">
        <f>22*1000</f>
        <v>22000</v>
      </c>
      <c r="K290" s="46">
        <v>0.07487268518518518</v>
      </c>
      <c r="L290" s="47" t="s">
        <v>1048</v>
      </c>
      <c r="M290" s="48"/>
      <c r="N290" s="48"/>
      <c r="O290" s="48">
        <f t="shared" si="1"/>
        <v>0</v>
      </c>
      <c r="P290" s="38"/>
      <c r="Q290" s="12" t="str">
        <f t="shared" si="2"/>
        <v/>
      </c>
      <c r="R290" s="42"/>
      <c r="S290" s="42"/>
      <c r="T290" s="42"/>
      <c r="U290" s="51"/>
      <c r="V290" s="52"/>
      <c r="W290" s="55"/>
      <c r="X290" s="57"/>
      <c r="Y290" s="106"/>
      <c r="Z290" s="106"/>
      <c r="AA290" s="106"/>
      <c r="AB290" s="106"/>
    </row>
    <row r="291">
      <c r="A291" s="38">
        <v>290.0</v>
      </c>
      <c r="B291" s="63" t="s">
        <v>516</v>
      </c>
      <c r="C291" s="51"/>
      <c r="D291" s="39" t="s">
        <v>145</v>
      </c>
      <c r="E291" s="38" t="s">
        <v>1152</v>
      </c>
      <c r="F291" s="41" t="s">
        <v>1153</v>
      </c>
      <c r="G291" s="43"/>
      <c r="H291" s="45"/>
      <c r="I291" s="38"/>
      <c r="J291" s="38">
        <f>13*1000</f>
        <v>13000</v>
      </c>
      <c r="K291" s="46">
        <v>0.08131944444444444</v>
      </c>
      <c r="L291" s="47" t="s">
        <v>1048</v>
      </c>
      <c r="M291" s="48"/>
      <c r="N291" s="48"/>
      <c r="O291" s="48">
        <f t="shared" si="1"/>
        <v>0</v>
      </c>
      <c r="P291" s="38"/>
      <c r="Q291" s="12" t="str">
        <f t="shared" si="2"/>
        <v/>
      </c>
      <c r="R291" s="42"/>
      <c r="S291" s="42"/>
      <c r="T291" s="42"/>
      <c r="U291" s="51"/>
      <c r="V291" s="52"/>
      <c r="W291" s="55"/>
      <c r="X291" s="57"/>
      <c r="Y291" s="106"/>
      <c r="Z291" s="106"/>
      <c r="AA291" s="106"/>
      <c r="AB291" s="106"/>
    </row>
    <row r="292">
      <c r="A292" s="38">
        <v>291.0</v>
      </c>
      <c r="B292" s="42"/>
      <c r="C292" s="51"/>
      <c r="D292" s="38"/>
      <c r="E292" s="38" t="s">
        <v>1156</v>
      </c>
      <c r="F292" s="41" t="s">
        <v>1157</v>
      </c>
      <c r="G292" s="43"/>
      <c r="H292" s="45"/>
      <c r="I292" s="38"/>
      <c r="J292" s="38">
        <f>51*1000</f>
        <v>51000</v>
      </c>
      <c r="K292" s="46">
        <v>0.06484953703703704</v>
      </c>
      <c r="L292" s="47" t="s">
        <v>1048</v>
      </c>
      <c r="M292" s="48"/>
      <c r="N292" s="48"/>
      <c r="O292" s="48">
        <f t="shared" si="1"/>
        <v>0</v>
      </c>
      <c r="P292" s="38"/>
      <c r="Q292" s="12" t="str">
        <f t="shared" si="2"/>
        <v/>
      </c>
      <c r="R292" s="42"/>
      <c r="S292" s="42"/>
      <c r="T292" s="42"/>
      <c r="U292" s="51"/>
      <c r="V292" s="52"/>
      <c r="W292" s="55"/>
      <c r="X292" s="57"/>
      <c r="Y292" s="106"/>
      <c r="Z292" s="106"/>
      <c r="AA292" s="106"/>
      <c r="AB292" s="106"/>
    </row>
    <row r="293">
      <c r="A293" s="38">
        <v>292.0</v>
      </c>
      <c r="B293" s="42"/>
      <c r="C293" s="51"/>
      <c r="D293" s="38"/>
      <c r="E293" s="38" t="s">
        <v>1162</v>
      </c>
      <c r="F293" s="41" t="s">
        <v>1163</v>
      </c>
      <c r="G293" s="43"/>
      <c r="H293" s="45"/>
      <c r="I293" s="38"/>
      <c r="J293" s="38">
        <f>11*1000</f>
        <v>11000</v>
      </c>
      <c r="K293" s="46">
        <v>0.049687499999999996</v>
      </c>
      <c r="L293" s="47" t="s">
        <v>1048</v>
      </c>
      <c r="M293" s="48"/>
      <c r="N293" s="48"/>
      <c r="O293" s="48">
        <f t="shared" si="1"/>
        <v>0</v>
      </c>
      <c r="P293" s="38"/>
      <c r="Q293" s="12" t="str">
        <f t="shared" si="2"/>
        <v/>
      </c>
      <c r="R293" s="42"/>
      <c r="S293" s="42"/>
      <c r="T293" s="42"/>
      <c r="U293" s="51"/>
      <c r="V293" s="52"/>
      <c r="W293" s="55"/>
      <c r="X293" s="57"/>
      <c r="Y293" s="106"/>
      <c r="Z293" s="106"/>
      <c r="AA293" s="106"/>
      <c r="AB293" s="106"/>
    </row>
    <row r="294">
      <c r="A294" s="38">
        <v>293.0</v>
      </c>
      <c r="B294" s="42"/>
      <c r="C294" s="51"/>
      <c r="D294" s="38"/>
      <c r="E294" s="38" t="s">
        <v>1166</v>
      </c>
      <c r="F294" s="41" t="s">
        <v>1169</v>
      </c>
      <c r="G294" s="43"/>
      <c r="H294" s="45"/>
      <c r="I294" s="38"/>
      <c r="J294" s="38">
        <f t="shared" ref="J294:J295" si="9">19*1000</f>
        <v>19000</v>
      </c>
      <c r="K294" s="46">
        <v>0.06641203703703703</v>
      </c>
      <c r="L294" s="47" t="s">
        <v>1048</v>
      </c>
      <c r="M294" s="48"/>
      <c r="N294" s="48"/>
      <c r="O294" s="48">
        <f t="shared" si="1"/>
        <v>0</v>
      </c>
      <c r="P294" s="38"/>
      <c r="Q294" s="12" t="str">
        <f t="shared" si="2"/>
        <v/>
      </c>
      <c r="R294" s="42"/>
      <c r="S294" s="42"/>
      <c r="T294" s="42"/>
      <c r="U294" s="51"/>
      <c r="V294" s="52"/>
      <c r="W294" s="55"/>
      <c r="X294" s="57"/>
      <c r="Y294" s="106"/>
      <c r="Z294" s="106"/>
      <c r="AA294" s="106"/>
      <c r="AB294" s="106"/>
    </row>
    <row r="295">
      <c r="A295" s="38">
        <v>294.0</v>
      </c>
      <c r="B295" s="42"/>
      <c r="C295" s="51"/>
      <c r="D295" s="38"/>
      <c r="E295" s="38" t="s">
        <v>1171</v>
      </c>
      <c r="F295" s="41" t="s">
        <v>1172</v>
      </c>
      <c r="G295" s="43"/>
      <c r="H295" s="45"/>
      <c r="I295" s="38"/>
      <c r="J295" s="38">
        <f t="shared" si="9"/>
        <v>19000</v>
      </c>
      <c r="K295" s="46">
        <v>0.012002314814814815</v>
      </c>
      <c r="L295" s="47" t="s">
        <v>1048</v>
      </c>
      <c r="M295" s="48"/>
      <c r="N295" s="48"/>
      <c r="O295" s="48">
        <f t="shared" si="1"/>
        <v>0</v>
      </c>
      <c r="P295" s="38"/>
      <c r="Q295" s="12" t="str">
        <f t="shared" si="2"/>
        <v/>
      </c>
      <c r="R295" s="42"/>
      <c r="S295" s="42"/>
      <c r="T295" s="42"/>
      <c r="U295" s="51"/>
      <c r="V295" s="52"/>
      <c r="W295" s="55"/>
      <c r="X295" s="57"/>
      <c r="Y295" s="106"/>
      <c r="Z295" s="106"/>
      <c r="AA295" s="106"/>
      <c r="AB295" s="106"/>
    </row>
    <row r="296">
      <c r="A296" s="38">
        <v>295.0</v>
      </c>
      <c r="B296" s="42"/>
      <c r="C296" s="51"/>
      <c r="D296" s="38"/>
      <c r="E296" s="38" t="s">
        <v>1173</v>
      </c>
      <c r="F296" s="41" t="s">
        <v>1174</v>
      </c>
      <c r="G296" s="43"/>
      <c r="H296" s="45"/>
      <c r="I296" s="38"/>
      <c r="J296" s="38">
        <f>3.5*1000</f>
        <v>3500</v>
      </c>
      <c r="K296" s="46">
        <v>0.007534722222222221</v>
      </c>
      <c r="L296" s="47" t="s">
        <v>1048</v>
      </c>
      <c r="M296" s="48"/>
      <c r="N296" s="48"/>
      <c r="O296" s="48">
        <f t="shared" si="1"/>
        <v>0</v>
      </c>
      <c r="P296" s="38"/>
      <c r="Q296" s="12" t="str">
        <f t="shared" si="2"/>
        <v/>
      </c>
      <c r="R296" s="42"/>
      <c r="S296" s="42"/>
      <c r="T296" s="42"/>
      <c r="U296" s="51"/>
      <c r="V296" s="52"/>
      <c r="W296" s="55"/>
      <c r="X296" s="57"/>
      <c r="Y296" s="106"/>
      <c r="Z296" s="106"/>
      <c r="AA296" s="106"/>
      <c r="AB296" s="106"/>
    </row>
    <row r="297">
      <c r="A297" s="38">
        <v>296.0</v>
      </c>
      <c r="B297" s="63" t="s">
        <v>516</v>
      </c>
      <c r="C297" s="51"/>
      <c r="D297" s="39" t="s">
        <v>145</v>
      </c>
      <c r="E297" s="38" t="s">
        <v>1177</v>
      </c>
      <c r="F297" s="41" t="s">
        <v>1178</v>
      </c>
      <c r="G297" s="43"/>
      <c r="H297" s="45"/>
      <c r="I297" s="38"/>
      <c r="J297" s="38">
        <f t="shared" ref="J297:J298" si="10">10*1000</f>
        <v>10000</v>
      </c>
      <c r="K297" s="46">
        <v>0.07385416666666667</v>
      </c>
      <c r="L297" s="47" t="s">
        <v>1048</v>
      </c>
      <c r="M297" s="48"/>
      <c r="N297" s="48"/>
      <c r="O297" s="48">
        <f t="shared" si="1"/>
        <v>0</v>
      </c>
      <c r="P297" s="38"/>
      <c r="Q297" s="12" t="str">
        <f t="shared" si="2"/>
        <v/>
      </c>
      <c r="R297" s="42"/>
      <c r="S297" s="42"/>
      <c r="T297" s="42"/>
      <c r="U297" s="51"/>
      <c r="V297" s="52"/>
      <c r="W297" s="55"/>
      <c r="X297" s="57"/>
      <c r="Y297" s="106"/>
      <c r="Z297" s="106"/>
      <c r="AA297" s="106"/>
      <c r="AB297" s="106"/>
    </row>
    <row r="298">
      <c r="A298" s="38">
        <v>297.0</v>
      </c>
      <c r="B298" s="42"/>
      <c r="C298" s="51"/>
      <c r="D298" s="38"/>
      <c r="E298" s="38" t="s">
        <v>1182</v>
      </c>
      <c r="F298" s="41" t="s">
        <v>1184</v>
      </c>
      <c r="G298" s="43"/>
      <c r="H298" s="45"/>
      <c r="I298" s="38"/>
      <c r="J298" s="38">
        <f t="shared" si="10"/>
        <v>10000</v>
      </c>
      <c r="K298" s="46">
        <v>0.06874999999999999</v>
      </c>
      <c r="L298" s="47" t="s">
        <v>1048</v>
      </c>
      <c r="M298" s="48"/>
      <c r="N298" s="48"/>
      <c r="O298" s="48">
        <f t="shared" si="1"/>
        <v>0</v>
      </c>
      <c r="P298" s="38"/>
      <c r="Q298" s="12" t="str">
        <f t="shared" si="2"/>
        <v/>
      </c>
      <c r="R298" s="42"/>
      <c r="S298" s="42"/>
      <c r="T298" s="42"/>
      <c r="U298" s="51"/>
      <c r="V298" s="52"/>
      <c r="W298" s="55"/>
      <c r="X298" s="57"/>
      <c r="Y298" s="106"/>
      <c r="Z298" s="106"/>
      <c r="AA298" s="106"/>
      <c r="AB298" s="106"/>
    </row>
    <row r="299">
      <c r="A299" s="38">
        <v>298.0</v>
      </c>
      <c r="B299" s="63" t="s">
        <v>516</v>
      </c>
      <c r="C299" s="51"/>
      <c r="D299" s="39" t="s">
        <v>145</v>
      </c>
      <c r="E299" s="38" t="s">
        <v>1187</v>
      </c>
      <c r="F299" s="41" t="s">
        <v>1188</v>
      </c>
      <c r="G299" s="43"/>
      <c r="H299" s="45"/>
      <c r="I299" s="38"/>
      <c r="J299" s="38">
        <f>15*1000</f>
        <v>15000</v>
      </c>
      <c r="K299" s="46">
        <v>0.021585648148148145</v>
      </c>
      <c r="L299" s="47" t="s">
        <v>1048</v>
      </c>
      <c r="M299" s="48"/>
      <c r="N299" s="48"/>
      <c r="O299" s="48">
        <f t="shared" si="1"/>
        <v>0</v>
      </c>
      <c r="P299" s="38"/>
      <c r="Q299" s="12" t="str">
        <f t="shared" si="2"/>
        <v/>
      </c>
      <c r="R299" s="42"/>
      <c r="S299" s="42"/>
      <c r="T299" s="42"/>
      <c r="U299" s="51"/>
      <c r="V299" s="52"/>
      <c r="W299" s="55"/>
      <c r="X299" s="57"/>
      <c r="Y299" s="106"/>
      <c r="Z299" s="106"/>
      <c r="AA299" s="106"/>
      <c r="AB299" s="106"/>
    </row>
    <row r="300">
      <c r="A300" s="38">
        <v>299.0</v>
      </c>
      <c r="B300" s="63" t="s">
        <v>516</v>
      </c>
      <c r="C300" s="51"/>
      <c r="D300" s="39" t="s">
        <v>145</v>
      </c>
      <c r="E300" s="38" t="s">
        <v>1189</v>
      </c>
      <c r="F300" s="41" t="s">
        <v>1190</v>
      </c>
      <c r="G300" s="43"/>
      <c r="H300" s="45"/>
      <c r="I300" s="38"/>
      <c r="J300" s="38">
        <f>3.1*1000</f>
        <v>3100</v>
      </c>
      <c r="K300" s="46">
        <v>0.06766203703703703</v>
      </c>
      <c r="L300" s="47" t="s">
        <v>1048</v>
      </c>
      <c r="M300" s="48"/>
      <c r="N300" s="48"/>
      <c r="O300" s="48">
        <f t="shared" si="1"/>
        <v>0</v>
      </c>
      <c r="P300" s="38"/>
      <c r="Q300" s="12" t="str">
        <f t="shared" si="2"/>
        <v/>
      </c>
      <c r="R300" s="42"/>
      <c r="S300" s="42"/>
      <c r="T300" s="42"/>
      <c r="U300" s="51"/>
      <c r="V300" s="52"/>
      <c r="W300" s="55"/>
      <c r="X300" s="57"/>
      <c r="Y300" s="106"/>
      <c r="Z300" s="106"/>
      <c r="AA300" s="106"/>
      <c r="AB300" s="106"/>
    </row>
    <row r="301">
      <c r="A301" s="38">
        <v>300.0</v>
      </c>
      <c r="B301" s="63" t="s">
        <v>516</v>
      </c>
      <c r="C301" s="51"/>
      <c r="D301" s="39" t="s">
        <v>145</v>
      </c>
      <c r="E301" s="38" t="s">
        <v>1193</v>
      </c>
      <c r="F301" s="41" t="s">
        <v>1194</v>
      </c>
      <c r="G301" s="43"/>
      <c r="H301" s="45"/>
      <c r="I301" s="38"/>
      <c r="J301" s="38">
        <f>27*1000</f>
        <v>27000</v>
      </c>
      <c r="K301" s="46">
        <v>0.11447916666666667</v>
      </c>
      <c r="L301" s="47" t="s">
        <v>1048</v>
      </c>
      <c r="M301" s="48"/>
      <c r="N301" s="48"/>
      <c r="O301" s="48">
        <f t="shared" si="1"/>
        <v>0</v>
      </c>
      <c r="P301" s="38"/>
      <c r="Q301" s="12" t="str">
        <f t="shared" si="2"/>
        <v/>
      </c>
      <c r="R301" s="42"/>
      <c r="S301" s="42"/>
      <c r="T301" s="42"/>
      <c r="U301" s="51"/>
      <c r="V301" s="52"/>
      <c r="W301" s="55"/>
      <c r="X301" s="57"/>
      <c r="Y301" s="106"/>
      <c r="Z301" s="106"/>
      <c r="AA301" s="106"/>
      <c r="AB301" s="106"/>
    </row>
    <row r="302">
      <c r="A302" s="38">
        <v>301.0</v>
      </c>
      <c r="B302" s="63" t="s">
        <v>516</v>
      </c>
      <c r="C302" s="51"/>
      <c r="D302" s="39" t="s">
        <v>145</v>
      </c>
      <c r="E302" s="38" t="s">
        <v>1199</v>
      </c>
      <c r="F302" s="41" t="s">
        <v>1200</v>
      </c>
      <c r="G302" s="43"/>
      <c r="H302" s="45"/>
      <c r="I302" s="38"/>
      <c r="J302" s="38">
        <f>4.6*1000</f>
        <v>4600</v>
      </c>
      <c r="K302" s="46">
        <v>0.0955787037037037</v>
      </c>
      <c r="L302" s="47" t="s">
        <v>1048</v>
      </c>
      <c r="M302" s="48"/>
      <c r="N302" s="48"/>
      <c r="O302" s="48">
        <f t="shared" si="1"/>
        <v>0</v>
      </c>
      <c r="P302" s="38"/>
      <c r="Q302" s="12" t="str">
        <f t="shared" si="2"/>
        <v/>
      </c>
      <c r="R302" s="42"/>
      <c r="S302" s="42"/>
      <c r="T302" s="42"/>
      <c r="U302" s="51"/>
      <c r="V302" s="52"/>
      <c r="W302" s="55"/>
      <c r="X302" s="57"/>
      <c r="Y302" s="106"/>
      <c r="Z302" s="106"/>
      <c r="AA302" s="106"/>
      <c r="AB302" s="106"/>
    </row>
    <row r="303">
      <c r="A303" s="38">
        <v>302.0</v>
      </c>
      <c r="B303" s="42"/>
      <c r="C303" s="51"/>
      <c r="D303" s="38"/>
      <c r="E303" s="38" t="s">
        <v>1203</v>
      </c>
      <c r="F303" s="41" t="s">
        <v>1204</v>
      </c>
      <c r="G303" s="43"/>
      <c r="H303" s="45"/>
      <c r="I303" s="38"/>
      <c r="J303" s="38">
        <f>27*1000</f>
        <v>27000</v>
      </c>
      <c r="K303" s="46">
        <v>0.04047453703703704</v>
      </c>
      <c r="L303" s="47" t="s">
        <v>1048</v>
      </c>
      <c r="M303" s="48"/>
      <c r="N303" s="48"/>
      <c r="O303" s="48">
        <f t="shared" si="1"/>
        <v>0</v>
      </c>
      <c r="P303" s="38"/>
      <c r="Q303" s="12" t="str">
        <f t="shared" si="2"/>
        <v/>
      </c>
      <c r="R303" s="42"/>
      <c r="S303" s="42"/>
      <c r="T303" s="42"/>
      <c r="U303" s="51"/>
      <c r="V303" s="52"/>
      <c r="W303" s="55"/>
      <c r="X303" s="57"/>
      <c r="Y303" s="106"/>
      <c r="Z303" s="106"/>
      <c r="AA303" s="106"/>
      <c r="AB303" s="106"/>
    </row>
    <row r="304">
      <c r="A304" s="38">
        <v>303.0</v>
      </c>
      <c r="B304" s="42"/>
      <c r="C304" s="51"/>
      <c r="D304" s="38"/>
      <c r="E304" s="38" t="s">
        <v>1209</v>
      </c>
      <c r="F304" s="41" t="s">
        <v>1210</v>
      </c>
      <c r="G304" s="43"/>
      <c r="H304" s="45"/>
      <c r="I304" s="38"/>
      <c r="J304" s="38">
        <f>7.5*1000</f>
        <v>7500</v>
      </c>
      <c r="K304" s="46">
        <v>0.09998842592592593</v>
      </c>
      <c r="L304" s="47" t="s">
        <v>1048</v>
      </c>
      <c r="M304" s="48"/>
      <c r="N304" s="48"/>
      <c r="O304" s="48">
        <f t="shared" si="1"/>
        <v>0</v>
      </c>
      <c r="P304" s="38"/>
      <c r="Q304" s="12" t="str">
        <f t="shared" si="2"/>
        <v/>
      </c>
      <c r="R304" s="42"/>
      <c r="S304" s="42"/>
      <c r="T304" s="42"/>
      <c r="U304" s="51"/>
      <c r="V304" s="52"/>
      <c r="W304" s="55"/>
      <c r="X304" s="57"/>
      <c r="Y304" s="106"/>
      <c r="Z304" s="106"/>
      <c r="AA304" s="106"/>
      <c r="AB304" s="106"/>
    </row>
    <row r="305">
      <c r="A305" s="38">
        <v>304.0</v>
      </c>
      <c r="B305" s="42"/>
      <c r="C305" s="51"/>
      <c r="D305" s="38"/>
      <c r="E305" s="38" t="s">
        <v>1212</v>
      </c>
      <c r="F305" s="41" t="s">
        <v>1213</v>
      </c>
      <c r="G305" s="43"/>
      <c r="H305" s="45"/>
      <c r="I305" s="38"/>
      <c r="J305" s="38">
        <f>5.7*1000</f>
        <v>5700</v>
      </c>
      <c r="K305" s="46">
        <v>0.08685185185185185</v>
      </c>
      <c r="L305" s="47" t="s">
        <v>1048</v>
      </c>
      <c r="M305" s="48"/>
      <c r="N305" s="48"/>
      <c r="O305" s="48">
        <f t="shared" si="1"/>
        <v>0</v>
      </c>
      <c r="P305" s="38"/>
      <c r="Q305" s="12" t="str">
        <f t="shared" si="2"/>
        <v/>
      </c>
      <c r="R305" s="42"/>
      <c r="S305" s="42"/>
      <c r="T305" s="42"/>
      <c r="U305" s="51"/>
      <c r="V305" s="52"/>
      <c r="W305" s="55"/>
      <c r="X305" s="57"/>
      <c r="Y305" s="106"/>
      <c r="Z305" s="106"/>
      <c r="AA305" s="106"/>
      <c r="AB305" s="106"/>
    </row>
    <row r="306">
      <c r="A306" s="38">
        <v>305.0</v>
      </c>
      <c r="B306" s="42"/>
      <c r="C306" s="51"/>
      <c r="D306" s="38"/>
      <c r="E306" s="38" t="s">
        <v>1219</v>
      </c>
      <c r="F306" s="41" t="s">
        <v>1220</v>
      </c>
      <c r="G306" s="43"/>
      <c r="H306" s="45"/>
      <c r="I306" s="38"/>
      <c r="J306" s="38">
        <f>20*1000</f>
        <v>20000</v>
      </c>
      <c r="K306" s="46">
        <v>0.1057523148148148</v>
      </c>
      <c r="L306" s="47" t="s">
        <v>1048</v>
      </c>
      <c r="M306" s="48"/>
      <c r="N306" s="48"/>
      <c r="O306" s="48">
        <f t="shared" si="1"/>
        <v>0</v>
      </c>
      <c r="P306" s="38"/>
      <c r="Q306" s="12" t="str">
        <f t="shared" si="2"/>
        <v/>
      </c>
      <c r="R306" s="42"/>
      <c r="S306" s="42"/>
      <c r="T306" s="42"/>
      <c r="U306" s="51"/>
      <c r="V306" s="52"/>
      <c r="W306" s="55"/>
      <c r="X306" s="57"/>
      <c r="Y306" s="106"/>
      <c r="Z306" s="106"/>
      <c r="AA306" s="106"/>
      <c r="AB306" s="106"/>
    </row>
    <row r="307">
      <c r="A307" s="38">
        <v>306.0</v>
      </c>
      <c r="B307" s="42"/>
      <c r="C307" s="51"/>
      <c r="D307" s="38"/>
      <c r="E307" s="38" t="s">
        <v>1227</v>
      </c>
      <c r="F307" s="41" t="s">
        <v>1228</v>
      </c>
      <c r="G307" s="43"/>
      <c r="H307" s="45"/>
      <c r="I307" s="38"/>
      <c r="J307" s="38">
        <f>6.3*1000</f>
        <v>6300</v>
      </c>
      <c r="K307" s="46">
        <v>0.05416666666666667</v>
      </c>
      <c r="L307" s="47" t="s">
        <v>1048</v>
      </c>
      <c r="M307" s="48"/>
      <c r="N307" s="48"/>
      <c r="O307" s="48">
        <f t="shared" si="1"/>
        <v>0</v>
      </c>
      <c r="P307" s="38"/>
      <c r="Q307" s="12" t="str">
        <f t="shared" si="2"/>
        <v/>
      </c>
      <c r="R307" s="42"/>
      <c r="S307" s="42"/>
      <c r="T307" s="42"/>
      <c r="U307" s="51"/>
      <c r="V307" s="52"/>
      <c r="W307" s="55"/>
      <c r="X307" s="57"/>
      <c r="Y307" s="106"/>
      <c r="Z307" s="106"/>
      <c r="AA307" s="106"/>
      <c r="AB307" s="106"/>
    </row>
    <row r="308">
      <c r="A308" s="38">
        <v>307.0</v>
      </c>
      <c r="B308" s="42"/>
      <c r="C308" s="51"/>
      <c r="D308" s="38"/>
      <c r="E308" s="38" t="s">
        <v>1235</v>
      </c>
      <c r="F308" s="41" t="s">
        <v>1237</v>
      </c>
      <c r="G308" s="43"/>
      <c r="H308" s="45"/>
      <c r="I308" s="38"/>
      <c r="J308" s="38">
        <f>6.8*1000</f>
        <v>6800</v>
      </c>
      <c r="K308" s="46">
        <v>0.07585648148148148</v>
      </c>
      <c r="L308" s="47" t="s">
        <v>1048</v>
      </c>
      <c r="M308" s="48"/>
      <c r="N308" s="48"/>
      <c r="O308" s="48">
        <f t="shared" si="1"/>
        <v>0</v>
      </c>
      <c r="P308" s="38"/>
      <c r="Q308" s="12" t="str">
        <f t="shared" si="2"/>
        <v/>
      </c>
      <c r="R308" s="42"/>
      <c r="S308" s="42"/>
      <c r="T308" s="42"/>
      <c r="U308" s="51"/>
      <c r="V308" s="52"/>
      <c r="W308" s="55"/>
      <c r="X308" s="57"/>
      <c r="Y308" s="106"/>
      <c r="Z308" s="106"/>
      <c r="AA308" s="106"/>
      <c r="AB308" s="106"/>
    </row>
    <row r="309">
      <c r="A309" s="38">
        <v>308.0</v>
      </c>
      <c r="B309" s="42"/>
      <c r="C309" s="51"/>
      <c r="D309" s="38"/>
      <c r="E309" s="38" t="s">
        <v>1241</v>
      </c>
      <c r="F309" s="41" t="s">
        <v>1242</v>
      </c>
      <c r="G309" s="43"/>
      <c r="H309" s="45"/>
      <c r="I309" s="38"/>
      <c r="J309" s="38">
        <f>9.9*1000</f>
        <v>9900</v>
      </c>
      <c r="K309" s="46">
        <v>0.06229166666666667</v>
      </c>
      <c r="L309" s="47" t="s">
        <v>1048</v>
      </c>
      <c r="M309" s="48"/>
      <c r="N309" s="48"/>
      <c r="O309" s="48">
        <f t="shared" si="1"/>
        <v>0</v>
      </c>
      <c r="P309" s="38"/>
      <c r="Q309" s="12" t="str">
        <f t="shared" si="2"/>
        <v/>
      </c>
      <c r="R309" s="42"/>
      <c r="S309" s="42"/>
      <c r="T309" s="42"/>
      <c r="U309" s="51"/>
      <c r="V309" s="52"/>
      <c r="W309" s="55"/>
      <c r="X309" s="57"/>
      <c r="Y309" s="106"/>
      <c r="Z309" s="106"/>
      <c r="AA309" s="106"/>
      <c r="AB309" s="106"/>
    </row>
    <row r="310">
      <c r="A310" s="38">
        <v>309.0</v>
      </c>
      <c r="B310" s="42"/>
      <c r="C310" s="51"/>
      <c r="D310" s="38"/>
      <c r="E310" s="38" t="s">
        <v>1243</v>
      </c>
      <c r="F310" s="41" t="s">
        <v>1244</v>
      </c>
      <c r="G310" s="43"/>
      <c r="H310" s="45"/>
      <c r="I310" s="38"/>
      <c r="J310" s="38">
        <f>849</f>
        <v>849</v>
      </c>
      <c r="K310" s="46">
        <v>0.003900462962962963</v>
      </c>
      <c r="L310" s="47" t="s">
        <v>1048</v>
      </c>
      <c r="M310" s="48"/>
      <c r="N310" s="48"/>
      <c r="O310" s="48">
        <f t="shared" si="1"/>
        <v>0</v>
      </c>
      <c r="P310" s="38"/>
      <c r="Q310" s="12" t="str">
        <f t="shared" si="2"/>
        <v/>
      </c>
      <c r="R310" s="42"/>
      <c r="S310" s="42"/>
      <c r="T310" s="42"/>
      <c r="U310" s="51"/>
      <c r="V310" s="52"/>
      <c r="W310" s="55"/>
      <c r="X310" s="57"/>
      <c r="Y310" s="106"/>
      <c r="Z310" s="106"/>
      <c r="AA310" s="106"/>
      <c r="AB310" s="106"/>
    </row>
    <row r="311">
      <c r="A311" s="38">
        <v>310.0</v>
      </c>
      <c r="B311" s="42"/>
      <c r="C311" s="51"/>
      <c r="D311" s="38"/>
      <c r="E311" s="38" t="s">
        <v>1247</v>
      </c>
      <c r="F311" s="41" t="s">
        <v>1248</v>
      </c>
      <c r="G311" s="43"/>
      <c r="H311" s="45"/>
      <c r="I311" s="38"/>
      <c r="J311" s="38">
        <f>799</f>
        <v>799</v>
      </c>
      <c r="K311" s="46">
        <v>0.0038541666666666668</v>
      </c>
      <c r="L311" s="47" t="s">
        <v>1048</v>
      </c>
      <c r="M311" s="48"/>
      <c r="N311" s="48"/>
      <c r="O311" s="48">
        <f t="shared" si="1"/>
        <v>0</v>
      </c>
      <c r="P311" s="38"/>
      <c r="Q311" s="12" t="str">
        <f t="shared" si="2"/>
        <v/>
      </c>
      <c r="R311" s="42"/>
      <c r="S311" s="42"/>
      <c r="T311" s="42"/>
      <c r="U311" s="51"/>
      <c r="V311" s="52"/>
      <c r="W311" s="55"/>
      <c r="X311" s="57"/>
      <c r="Y311" s="106"/>
      <c r="Z311" s="106"/>
      <c r="AA311" s="106"/>
      <c r="AB311" s="106"/>
    </row>
    <row r="312">
      <c r="A312" s="38">
        <v>311.0</v>
      </c>
      <c r="B312" s="42"/>
      <c r="C312" s="51"/>
      <c r="D312" s="38"/>
      <c r="E312" s="38" t="s">
        <v>1251</v>
      </c>
      <c r="F312" s="41" t="s">
        <v>1252</v>
      </c>
      <c r="G312" s="43"/>
      <c r="H312" s="45"/>
      <c r="I312" s="38"/>
      <c r="J312" s="38">
        <f t="shared" ref="J312:J313" si="11">1.4*1000</f>
        <v>1400</v>
      </c>
      <c r="K312" s="46">
        <v>0.004872685185185186</v>
      </c>
      <c r="L312" s="47" t="s">
        <v>1048</v>
      </c>
      <c r="M312" s="48"/>
      <c r="N312" s="48"/>
      <c r="O312" s="48">
        <f t="shared" si="1"/>
        <v>0</v>
      </c>
      <c r="P312" s="38"/>
      <c r="Q312" s="12" t="str">
        <f t="shared" si="2"/>
        <v/>
      </c>
      <c r="R312" s="42"/>
      <c r="S312" s="42"/>
      <c r="T312" s="42"/>
      <c r="U312" s="51"/>
      <c r="V312" s="52"/>
      <c r="W312" s="55"/>
      <c r="X312" s="57"/>
      <c r="Y312" s="106"/>
      <c r="Z312" s="106"/>
      <c r="AA312" s="106"/>
      <c r="AB312" s="106"/>
    </row>
    <row r="313">
      <c r="A313" s="38">
        <v>312.0</v>
      </c>
      <c r="B313" s="42"/>
      <c r="C313" s="51"/>
      <c r="D313" s="38"/>
      <c r="E313" s="38" t="s">
        <v>1258</v>
      </c>
      <c r="F313" s="41" t="s">
        <v>1259</v>
      </c>
      <c r="G313" s="43"/>
      <c r="H313" s="45"/>
      <c r="I313" s="38"/>
      <c r="J313" s="38">
        <f t="shared" si="11"/>
        <v>1400</v>
      </c>
      <c r="K313" s="46">
        <v>0.008749999999999999</v>
      </c>
      <c r="L313" s="47" t="s">
        <v>1048</v>
      </c>
      <c r="M313" s="48"/>
      <c r="N313" s="48"/>
      <c r="O313" s="48">
        <f t="shared" si="1"/>
        <v>0</v>
      </c>
      <c r="P313" s="38"/>
      <c r="Q313" s="12" t="str">
        <f t="shared" si="2"/>
        <v/>
      </c>
      <c r="R313" s="42"/>
      <c r="S313" s="42"/>
      <c r="T313" s="42"/>
      <c r="U313" s="51"/>
      <c r="V313" s="52"/>
      <c r="W313" s="55"/>
      <c r="X313" s="57"/>
      <c r="Y313" s="106"/>
      <c r="Z313" s="106"/>
      <c r="AA313" s="106"/>
      <c r="AB313" s="106"/>
    </row>
    <row r="314">
      <c r="A314" s="38">
        <v>313.0</v>
      </c>
      <c r="B314" s="42"/>
      <c r="C314" s="51"/>
      <c r="D314" s="38"/>
      <c r="E314" s="38" t="s">
        <v>1261</v>
      </c>
      <c r="F314" s="41" t="s">
        <v>1262</v>
      </c>
      <c r="G314" s="43"/>
      <c r="H314" s="45"/>
      <c r="I314" s="38"/>
      <c r="J314" s="38">
        <f>3.5*1000</f>
        <v>3500</v>
      </c>
      <c r="K314" s="46">
        <v>0.011180555555555556</v>
      </c>
      <c r="L314" s="47" t="s">
        <v>1048</v>
      </c>
      <c r="M314" s="48"/>
      <c r="N314" s="48"/>
      <c r="O314" s="48">
        <f t="shared" si="1"/>
        <v>0</v>
      </c>
      <c r="P314" s="38"/>
      <c r="Q314" s="12" t="str">
        <f t="shared" si="2"/>
        <v/>
      </c>
      <c r="R314" s="42"/>
      <c r="S314" s="42"/>
      <c r="T314" s="42"/>
      <c r="U314" s="51"/>
      <c r="V314" s="52"/>
      <c r="W314" s="55"/>
      <c r="X314" s="57"/>
      <c r="Y314" s="106"/>
      <c r="Z314" s="106"/>
      <c r="AA314" s="106"/>
      <c r="AB314" s="106"/>
    </row>
    <row r="315">
      <c r="A315" s="38">
        <v>314.0</v>
      </c>
      <c r="B315" s="42"/>
      <c r="C315" s="51"/>
      <c r="D315" s="38"/>
      <c r="E315" s="38" t="s">
        <v>1263</v>
      </c>
      <c r="F315" s="41" t="s">
        <v>1264</v>
      </c>
      <c r="G315" s="43"/>
      <c r="H315" s="45"/>
      <c r="I315" s="38"/>
      <c r="J315" s="38">
        <f>2.6*1000</f>
        <v>2600</v>
      </c>
      <c r="K315" s="46">
        <v>0.02466435185185185</v>
      </c>
      <c r="L315" s="47" t="s">
        <v>1048</v>
      </c>
      <c r="M315" s="48"/>
      <c r="N315" s="48"/>
      <c r="O315" s="48">
        <f t="shared" si="1"/>
        <v>0</v>
      </c>
      <c r="P315" s="38"/>
      <c r="Q315" s="12" t="str">
        <f t="shared" si="2"/>
        <v/>
      </c>
      <c r="R315" s="42"/>
      <c r="S315" s="42"/>
      <c r="T315" s="42"/>
      <c r="U315" s="51"/>
      <c r="V315" s="52"/>
      <c r="W315" s="55"/>
      <c r="X315" s="57"/>
      <c r="Y315" s="106"/>
      <c r="Z315" s="106"/>
      <c r="AA315" s="106"/>
      <c r="AB315" s="106"/>
    </row>
    <row r="316">
      <c r="A316" s="38">
        <v>315.0</v>
      </c>
      <c r="B316" s="42"/>
      <c r="C316" s="51"/>
      <c r="D316" s="38"/>
      <c r="E316" s="38" t="s">
        <v>1265</v>
      </c>
      <c r="F316" s="41" t="s">
        <v>1266</v>
      </c>
      <c r="G316" s="43"/>
      <c r="H316" s="45"/>
      <c r="I316" s="38"/>
      <c r="J316" s="38">
        <f>2.9*1000</f>
        <v>2900</v>
      </c>
      <c r="K316" s="46">
        <v>0.022835648148148147</v>
      </c>
      <c r="L316" s="47" t="s">
        <v>1048</v>
      </c>
      <c r="M316" s="48"/>
      <c r="N316" s="48"/>
      <c r="O316" s="48">
        <f t="shared" si="1"/>
        <v>0</v>
      </c>
      <c r="P316" s="38"/>
      <c r="Q316" s="12" t="str">
        <f t="shared" si="2"/>
        <v/>
      </c>
      <c r="R316" s="42"/>
      <c r="S316" s="42"/>
      <c r="T316" s="42"/>
      <c r="U316" s="51"/>
      <c r="V316" s="52"/>
      <c r="W316" s="55"/>
      <c r="X316" s="57"/>
      <c r="Y316" s="106"/>
      <c r="Z316" s="106"/>
      <c r="AA316" s="106"/>
      <c r="AB316" s="106"/>
    </row>
    <row r="317">
      <c r="A317" s="38">
        <v>316.0</v>
      </c>
      <c r="B317" s="42"/>
      <c r="C317" s="51"/>
      <c r="D317" s="38"/>
      <c r="E317" s="38" t="s">
        <v>1267</v>
      </c>
      <c r="F317" s="41" t="s">
        <v>1268</v>
      </c>
      <c r="G317" s="43"/>
      <c r="H317" s="45"/>
      <c r="I317" s="38"/>
      <c r="J317" s="38">
        <f>6*1000</f>
        <v>6000</v>
      </c>
      <c r="K317" s="46">
        <v>0.020949074074074075</v>
      </c>
      <c r="L317" s="47" t="s">
        <v>1048</v>
      </c>
      <c r="M317" s="48"/>
      <c r="N317" s="48"/>
      <c r="O317" s="48">
        <f t="shared" si="1"/>
        <v>0</v>
      </c>
      <c r="P317" s="38"/>
      <c r="Q317" s="12" t="str">
        <f t="shared" si="2"/>
        <v/>
      </c>
      <c r="R317" s="42"/>
      <c r="S317" s="42"/>
      <c r="T317" s="42"/>
      <c r="U317" s="51"/>
      <c r="V317" s="52"/>
      <c r="W317" s="55"/>
      <c r="X317" s="57"/>
      <c r="Y317" s="106"/>
      <c r="Z317" s="106"/>
      <c r="AA317" s="106"/>
      <c r="AB317" s="106"/>
    </row>
    <row r="318">
      <c r="A318" s="38">
        <v>317.0</v>
      </c>
      <c r="B318" s="42"/>
      <c r="C318" s="51"/>
      <c r="D318" s="38"/>
      <c r="E318" s="38" t="s">
        <v>1269</v>
      </c>
      <c r="F318" s="41" t="s">
        <v>1270</v>
      </c>
      <c r="G318" s="43"/>
      <c r="H318" s="45"/>
      <c r="I318" s="38"/>
      <c r="J318" s="38">
        <f>3*1000</f>
        <v>3000</v>
      </c>
      <c r="K318" s="46">
        <v>0.011597222222222222</v>
      </c>
      <c r="L318" s="47" t="s">
        <v>1048</v>
      </c>
      <c r="M318" s="48"/>
      <c r="N318" s="48"/>
      <c r="O318" s="48">
        <f t="shared" si="1"/>
        <v>0</v>
      </c>
      <c r="P318" s="38"/>
      <c r="Q318" s="12" t="str">
        <f t="shared" si="2"/>
        <v/>
      </c>
      <c r="R318" s="42"/>
      <c r="S318" s="42"/>
      <c r="T318" s="42"/>
      <c r="U318" s="51"/>
      <c r="V318" s="52"/>
      <c r="W318" s="55"/>
      <c r="X318" s="57"/>
      <c r="Y318" s="106"/>
      <c r="Z318" s="106"/>
      <c r="AA318" s="106"/>
      <c r="AB318" s="106"/>
    </row>
    <row r="319">
      <c r="A319" s="38">
        <v>318.0</v>
      </c>
      <c r="B319" s="63" t="s">
        <v>516</v>
      </c>
      <c r="C319" s="51"/>
      <c r="D319" s="39" t="s">
        <v>145</v>
      </c>
      <c r="E319" s="38" t="s">
        <v>1271</v>
      </c>
      <c r="F319" s="41" t="s">
        <v>1272</v>
      </c>
      <c r="G319" s="43"/>
      <c r="H319" s="45"/>
      <c r="I319" s="38"/>
      <c r="J319" s="38">
        <f>70*1000</f>
        <v>70000</v>
      </c>
      <c r="K319" s="46">
        <v>0.06600694444444444</v>
      </c>
      <c r="L319" s="47" t="s">
        <v>1048</v>
      </c>
      <c r="M319" s="48"/>
      <c r="N319" s="48"/>
      <c r="O319" s="48">
        <f t="shared" si="1"/>
        <v>0</v>
      </c>
      <c r="P319" s="38"/>
      <c r="Q319" s="12" t="str">
        <f t="shared" si="2"/>
        <v/>
      </c>
      <c r="R319" s="42"/>
      <c r="S319" s="42"/>
      <c r="T319" s="42"/>
      <c r="U319" s="51"/>
      <c r="V319" s="52"/>
      <c r="W319" s="55"/>
      <c r="X319" s="57"/>
      <c r="Y319" s="106"/>
      <c r="Z319" s="106"/>
      <c r="AA319" s="106"/>
      <c r="AB319" s="106"/>
    </row>
    <row r="320">
      <c r="A320" s="38">
        <v>319.0</v>
      </c>
      <c r="B320" s="63" t="s">
        <v>516</v>
      </c>
      <c r="C320" s="51"/>
      <c r="D320" s="39" t="s">
        <v>145</v>
      </c>
      <c r="E320" s="38" t="s">
        <v>1273</v>
      </c>
      <c r="F320" s="41" t="s">
        <v>1274</v>
      </c>
      <c r="G320" s="43"/>
      <c r="H320" s="45"/>
      <c r="I320" s="38"/>
      <c r="J320" s="38">
        <f>28*1000</f>
        <v>28000</v>
      </c>
      <c r="K320" s="46">
        <v>0.09258101851851852</v>
      </c>
      <c r="L320" s="47" t="s">
        <v>1048</v>
      </c>
      <c r="M320" s="48"/>
      <c r="N320" s="48"/>
      <c r="O320" s="48">
        <f t="shared" si="1"/>
        <v>0</v>
      </c>
      <c r="P320" s="38"/>
      <c r="Q320" s="12" t="str">
        <f t="shared" si="2"/>
        <v/>
      </c>
      <c r="R320" s="42"/>
      <c r="S320" s="42"/>
      <c r="T320" s="42"/>
      <c r="U320" s="51"/>
      <c r="V320" s="52"/>
      <c r="W320" s="55"/>
      <c r="X320" s="57"/>
      <c r="Y320" s="106"/>
      <c r="Z320" s="106"/>
      <c r="AA320" s="106"/>
      <c r="AB320" s="106"/>
    </row>
    <row r="321">
      <c r="A321" s="38">
        <v>320.0</v>
      </c>
      <c r="B321" s="42"/>
      <c r="C321" s="51"/>
      <c r="D321" s="38"/>
      <c r="E321" s="38" t="s">
        <v>1275</v>
      </c>
      <c r="F321" s="41" t="s">
        <v>1276</v>
      </c>
      <c r="G321" s="43"/>
      <c r="H321" s="45"/>
      <c r="I321" s="38"/>
      <c r="J321" s="38">
        <f>1.9*1000</f>
        <v>1900</v>
      </c>
      <c r="K321" s="46">
        <v>0.0024652777777777776</v>
      </c>
      <c r="L321" s="47" t="s">
        <v>1048</v>
      </c>
      <c r="M321" s="48"/>
      <c r="N321" s="48"/>
      <c r="O321" s="48">
        <f t="shared" si="1"/>
        <v>0</v>
      </c>
      <c r="P321" s="38"/>
      <c r="Q321" s="12" t="str">
        <f t="shared" si="2"/>
        <v/>
      </c>
      <c r="R321" s="42"/>
      <c r="S321" s="42"/>
      <c r="T321" s="42"/>
      <c r="U321" s="51"/>
      <c r="V321" s="52"/>
      <c r="W321" s="55"/>
      <c r="X321" s="57"/>
      <c r="Y321" s="106"/>
      <c r="Z321" s="106"/>
      <c r="AA321" s="106"/>
      <c r="AB321" s="106"/>
    </row>
    <row r="322">
      <c r="A322" s="38">
        <v>321.0</v>
      </c>
      <c r="B322" s="42"/>
      <c r="C322" s="51"/>
      <c r="D322" s="38"/>
      <c r="E322" s="38" t="s">
        <v>1277</v>
      </c>
      <c r="F322" s="41" t="s">
        <v>1278</v>
      </c>
      <c r="G322" s="43"/>
      <c r="H322" s="45"/>
      <c r="I322" s="38"/>
      <c r="J322" s="38">
        <f>2.1*1000</f>
        <v>2100</v>
      </c>
      <c r="K322" s="46">
        <v>0.001712962962962963</v>
      </c>
      <c r="L322" s="47" t="s">
        <v>1048</v>
      </c>
      <c r="M322" s="48"/>
      <c r="N322" s="48"/>
      <c r="O322" s="48">
        <f t="shared" si="1"/>
        <v>0</v>
      </c>
      <c r="P322" s="38"/>
      <c r="Q322" s="12" t="str">
        <f t="shared" si="2"/>
        <v/>
      </c>
      <c r="R322" s="42"/>
      <c r="S322" s="42"/>
      <c r="T322" s="42"/>
      <c r="U322" s="51"/>
      <c r="V322" s="52"/>
      <c r="W322" s="55"/>
      <c r="X322" s="57"/>
      <c r="Y322" s="106"/>
      <c r="Z322" s="106"/>
      <c r="AA322" s="106"/>
      <c r="AB322" s="106"/>
    </row>
    <row r="323">
      <c r="A323" s="38">
        <v>322.0</v>
      </c>
      <c r="B323" s="42"/>
      <c r="C323" s="51"/>
      <c r="D323" s="38"/>
      <c r="E323" s="38" t="s">
        <v>1279</v>
      </c>
      <c r="F323" s="41" t="s">
        <v>1280</v>
      </c>
      <c r="G323" s="43"/>
      <c r="H323" s="45"/>
      <c r="I323" s="38"/>
      <c r="J323" s="38">
        <f>7.6*1000</f>
        <v>7600</v>
      </c>
      <c r="K323" s="46">
        <v>0.0034490740740740745</v>
      </c>
      <c r="L323" s="47" t="s">
        <v>1048</v>
      </c>
      <c r="M323" s="48"/>
      <c r="N323" s="48"/>
      <c r="O323" s="48">
        <f t="shared" si="1"/>
        <v>0</v>
      </c>
      <c r="P323" s="38"/>
      <c r="Q323" s="12" t="str">
        <f t="shared" si="2"/>
        <v/>
      </c>
      <c r="R323" s="42"/>
      <c r="S323" s="42"/>
      <c r="T323" s="42"/>
      <c r="U323" s="51"/>
      <c r="V323" s="52"/>
      <c r="W323" s="55"/>
      <c r="X323" s="57"/>
      <c r="Y323" s="106"/>
      <c r="Z323" s="106"/>
      <c r="AA323" s="106"/>
      <c r="AB323" s="106"/>
    </row>
    <row r="324">
      <c r="A324" s="38">
        <v>323.0</v>
      </c>
      <c r="B324" s="42"/>
      <c r="C324" s="51"/>
      <c r="D324" s="38"/>
      <c r="E324" s="38" t="s">
        <v>1281</v>
      </c>
      <c r="F324" s="41" t="s">
        <v>1282</v>
      </c>
      <c r="G324" s="43"/>
      <c r="H324" s="45"/>
      <c r="I324" s="38"/>
      <c r="J324" s="38">
        <f>944</f>
        <v>944</v>
      </c>
      <c r="K324" s="46">
        <v>0.009479166666666667</v>
      </c>
      <c r="L324" s="47" t="s">
        <v>1048</v>
      </c>
      <c r="M324" s="48"/>
      <c r="N324" s="48"/>
      <c r="O324" s="48">
        <f t="shared" si="1"/>
        <v>0</v>
      </c>
      <c r="P324" s="38"/>
      <c r="Q324" s="12" t="str">
        <f t="shared" si="2"/>
        <v/>
      </c>
      <c r="R324" s="42"/>
      <c r="S324" s="42"/>
      <c r="T324" s="42"/>
      <c r="U324" s="51"/>
      <c r="V324" s="52"/>
      <c r="W324" s="55"/>
      <c r="X324" s="57"/>
      <c r="Y324" s="106"/>
      <c r="Z324" s="106"/>
      <c r="AA324" s="106"/>
      <c r="AB324" s="106"/>
    </row>
    <row r="325">
      <c r="A325" s="38">
        <v>324.0</v>
      </c>
      <c r="B325" s="42"/>
      <c r="C325" s="51"/>
      <c r="D325" s="38"/>
      <c r="E325" s="38" t="s">
        <v>1283</v>
      </c>
      <c r="F325" s="41" t="s">
        <v>1284</v>
      </c>
      <c r="G325" s="43"/>
      <c r="H325" s="45"/>
      <c r="I325" s="38"/>
      <c r="J325" s="38">
        <f>545</f>
        <v>545</v>
      </c>
      <c r="K325" s="46">
        <v>0.001597222222222222</v>
      </c>
      <c r="L325" s="47" t="s">
        <v>1048</v>
      </c>
      <c r="M325" s="48"/>
      <c r="N325" s="48"/>
      <c r="O325" s="48">
        <f t="shared" si="1"/>
        <v>0</v>
      </c>
      <c r="P325" s="38"/>
      <c r="Q325" s="12" t="str">
        <f t="shared" si="2"/>
        <v/>
      </c>
      <c r="R325" s="42"/>
      <c r="S325" s="42"/>
      <c r="T325" s="42"/>
      <c r="U325" s="51"/>
      <c r="V325" s="52"/>
      <c r="W325" s="55"/>
      <c r="X325" s="57"/>
      <c r="Y325" s="106"/>
      <c r="Z325" s="106"/>
      <c r="AA325" s="106"/>
      <c r="AB325" s="106"/>
    </row>
    <row r="326">
      <c r="A326" s="38">
        <v>325.0</v>
      </c>
      <c r="B326" s="42"/>
      <c r="C326" s="51"/>
      <c r="D326" s="38"/>
      <c r="E326" s="38" t="s">
        <v>1285</v>
      </c>
      <c r="F326" s="41" t="s">
        <v>1286</v>
      </c>
      <c r="G326" s="43"/>
      <c r="H326" s="45"/>
      <c r="I326" s="38"/>
      <c r="J326" s="38">
        <f>626</f>
        <v>626</v>
      </c>
      <c r="K326" s="46">
        <v>0.001574074074074074</v>
      </c>
      <c r="L326" s="47" t="s">
        <v>1048</v>
      </c>
      <c r="M326" s="48"/>
      <c r="N326" s="48"/>
      <c r="O326" s="48">
        <f t="shared" si="1"/>
        <v>0</v>
      </c>
      <c r="P326" s="38"/>
      <c r="Q326" s="12" t="str">
        <f t="shared" si="2"/>
        <v/>
      </c>
      <c r="R326" s="42"/>
      <c r="S326" s="42"/>
      <c r="T326" s="42"/>
      <c r="U326" s="51"/>
      <c r="V326" s="52"/>
      <c r="W326" s="55"/>
      <c r="X326" s="57"/>
      <c r="Y326" s="106"/>
      <c r="Z326" s="106"/>
      <c r="AA326" s="106"/>
      <c r="AB326" s="106"/>
    </row>
    <row r="327">
      <c r="A327" s="38">
        <v>326.0</v>
      </c>
      <c r="B327" s="42"/>
      <c r="C327" s="51"/>
      <c r="D327" s="38"/>
      <c r="E327" s="38" t="s">
        <v>1287</v>
      </c>
      <c r="F327" s="41" t="s">
        <v>1288</v>
      </c>
      <c r="G327" s="43"/>
      <c r="H327" s="45"/>
      <c r="I327" s="38"/>
      <c r="J327" s="38">
        <f>1.5*1000</f>
        <v>1500</v>
      </c>
      <c r="K327" s="46">
        <v>0.005486111111111112</v>
      </c>
      <c r="L327" s="47" t="s">
        <v>1048</v>
      </c>
      <c r="M327" s="48"/>
      <c r="N327" s="48"/>
      <c r="O327" s="48">
        <f t="shared" si="1"/>
        <v>0</v>
      </c>
      <c r="P327" s="38"/>
      <c r="Q327" s="12" t="str">
        <f t="shared" si="2"/>
        <v/>
      </c>
      <c r="R327" s="42"/>
      <c r="S327" s="42"/>
      <c r="T327" s="42"/>
      <c r="U327" s="51"/>
      <c r="V327" s="52"/>
      <c r="W327" s="55"/>
      <c r="X327" s="57"/>
      <c r="Y327" s="106"/>
      <c r="Z327" s="106"/>
      <c r="AA327" s="106"/>
      <c r="AB327" s="106"/>
    </row>
    <row r="328">
      <c r="A328" s="38">
        <v>327.0</v>
      </c>
      <c r="B328" s="42"/>
      <c r="C328" s="51"/>
      <c r="D328" s="38"/>
      <c r="E328" s="38" t="s">
        <v>1289</v>
      </c>
      <c r="F328" s="41" t="s">
        <v>1290</v>
      </c>
      <c r="G328" s="43"/>
      <c r="H328" s="45"/>
      <c r="I328" s="38"/>
      <c r="J328" s="38">
        <f>1.6*1000</f>
        <v>1600</v>
      </c>
      <c r="K328" s="46">
        <v>0.005069444444444444</v>
      </c>
      <c r="L328" s="47" t="s">
        <v>1048</v>
      </c>
      <c r="M328" s="48"/>
      <c r="N328" s="48"/>
      <c r="O328" s="48">
        <f t="shared" si="1"/>
        <v>0</v>
      </c>
      <c r="P328" s="38"/>
      <c r="Q328" s="12" t="str">
        <f t="shared" si="2"/>
        <v/>
      </c>
      <c r="R328" s="42"/>
      <c r="S328" s="42"/>
      <c r="T328" s="42"/>
      <c r="U328" s="51"/>
      <c r="V328" s="52"/>
      <c r="W328" s="55"/>
      <c r="X328" s="57"/>
      <c r="Y328" s="106"/>
      <c r="Z328" s="106"/>
      <c r="AA328" s="106"/>
      <c r="AB328" s="106"/>
    </row>
    <row r="329">
      <c r="A329" s="38">
        <v>328.0</v>
      </c>
      <c r="B329" s="63" t="s">
        <v>619</v>
      </c>
      <c r="C329" s="51"/>
      <c r="D329" s="39" t="s">
        <v>145</v>
      </c>
      <c r="E329" s="38" t="s">
        <v>1046</v>
      </c>
      <c r="F329" s="41" t="s">
        <v>1047</v>
      </c>
      <c r="G329" s="43"/>
      <c r="H329" s="45"/>
      <c r="I329" s="38"/>
      <c r="J329" s="38">
        <f>16*1000</f>
        <v>16000</v>
      </c>
      <c r="K329" s="46">
        <v>0.06074074074074074</v>
      </c>
      <c r="L329" s="47" t="s">
        <v>1048</v>
      </c>
      <c r="M329" s="48"/>
      <c r="N329" s="48"/>
      <c r="O329" s="48">
        <f t="shared" si="1"/>
        <v>0</v>
      </c>
      <c r="P329" s="38"/>
      <c r="Q329" s="12" t="str">
        <f t="shared" si="2"/>
        <v/>
      </c>
      <c r="R329" s="42"/>
      <c r="S329" s="42"/>
      <c r="T329" s="42"/>
      <c r="U329" s="51"/>
      <c r="V329" s="52"/>
      <c r="W329" s="55"/>
      <c r="X329" s="57"/>
      <c r="Y329" s="106"/>
      <c r="Z329" s="106"/>
      <c r="AA329" s="106"/>
      <c r="AB329" s="106"/>
    </row>
    <row r="330">
      <c r="A330" s="38">
        <v>329.0</v>
      </c>
      <c r="B330" s="42"/>
      <c r="C330" s="51"/>
      <c r="D330" s="38"/>
      <c r="E330" s="38" t="s">
        <v>1291</v>
      </c>
      <c r="F330" s="41" t="s">
        <v>1292</v>
      </c>
      <c r="G330" s="43"/>
      <c r="H330" s="45"/>
      <c r="I330" s="38"/>
      <c r="J330" s="38">
        <f>1.5*1000</f>
        <v>1500</v>
      </c>
      <c r="K330" s="46">
        <v>0.002002314814814815</v>
      </c>
      <c r="L330" s="47" t="s">
        <v>1048</v>
      </c>
      <c r="M330" s="48"/>
      <c r="N330" s="48"/>
      <c r="O330" s="48">
        <f t="shared" si="1"/>
        <v>0</v>
      </c>
      <c r="P330" s="38"/>
      <c r="Q330" s="12" t="str">
        <f t="shared" si="2"/>
        <v/>
      </c>
      <c r="R330" s="42"/>
      <c r="S330" s="42"/>
      <c r="T330" s="42"/>
      <c r="U330" s="51"/>
      <c r="V330" s="52"/>
      <c r="W330" s="55"/>
      <c r="X330" s="57"/>
      <c r="Y330" s="106"/>
      <c r="Z330" s="106"/>
      <c r="AA330" s="106"/>
      <c r="AB330" s="106"/>
    </row>
    <row r="331">
      <c r="A331" s="38">
        <v>330.0</v>
      </c>
      <c r="B331" s="42"/>
      <c r="C331" s="51"/>
      <c r="D331" s="38"/>
      <c r="E331" s="38" t="s">
        <v>1293</v>
      </c>
      <c r="F331" s="41" t="s">
        <v>1294</v>
      </c>
      <c r="G331" s="43"/>
      <c r="H331" s="45"/>
      <c r="I331" s="38"/>
      <c r="J331" s="38">
        <f>1.2*1000</f>
        <v>1200</v>
      </c>
      <c r="K331" s="46">
        <v>7.87037037037037E-4</v>
      </c>
      <c r="L331" s="47" t="s">
        <v>1048</v>
      </c>
      <c r="M331" s="48"/>
      <c r="N331" s="48"/>
      <c r="O331" s="48">
        <f t="shared" si="1"/>
        <v>0</v>
      </c>
      <c r="P331" s="38"/>
      <c r="Q331" s="12" t="str">
        <f t="shared" si="2"/>
        <v/>
      </c>
      <c r="R331" s="42"/>
      <c r="S331" s="42"/>
      <c r="T331" s="42"/>
      <c r="U331" s="51"/>
      <c r="V331" s="52"/>
      <c r="W331" s="55"/>
      <c r="X331" s="57"/>
      <c r="Y331" s="106"/>
      <c r="Z331" s="106"/>
      <c r="AA331" s="106"/>
      <c r="AB331" s="106"/>
    </row>
    <row r="332">
      <c r="A332" s="38">
        <v>331.0</v>
      </c>
      <c r="B332" s="42"/>
      <c r="C332" s="51"/>
      <c r="D332" s="38"/>
      <c r="E332" s="38" t="s">
        <v>1295</v>
      </c>
      <c r="F332" s="41" t="s">
        <v>1296</v>
      </c>
      <c r="G332" s="43"/>
      <c r="H332" s="45"/>
      <c r="I332" s="38"/>
      <c r="J332" s="38">
        <f>9.3*1000</f>
        <v>9300</v>
      </c>
      <c r="K332" s="46">
        <v>0.0062499999999999995</v>
      </c>
      <c r="L332" s="47" t="s">
        <v>1048</v>
      </c>
      <c r="M332" s="48"/>
      <c r="N332" s="48"/>
      <c r="O332" s="48">
        <f t="shared" si="1"/>
        <v>0</v>
      </c>
      <c r="P332" s="38"/>
      <c r="Q332" s="12" t="str">
        <f t="shared" si="2"/>
        <v/>
      </c>
      <c r="R332" s="42"/>
      <c r="S332" s="42"/>
      <c r="T332" s="42"/>
      <c r="U332" s="51"/>
      <c r="V332" s="52"/>
      <c r="W332" s="55"/>
      <c r="X332" s="57"/>
      <c r="Y332" s="106"/>
      <c r="Z332" s="106"/>
      <c r="AA332" s="106"/>
      <c r="AB332" s="106"/>
    </row>
    <row r="333">
      <c r="A333" s="38">
        <v>332.0</v>
      </c>
      <c r="B333" s="42"/>
      <c r="C333" s="51"/>
      <c r="D333" s="38"/>
      <c r="E333" s="38" t="s">
        <v>1297</v>
      </c>
      <c r="F333" s="41" t="s">
        <v>1298</v>
      </c>
      <c r="G333" s="43"/>
      <c r="H333" s="45"/>
      <c r="I333" s="38"/>
      <c r="J333" s="38">
        <f>265</f>
        <v>265</v>
      </c>
      <c r="K333" s="46">
        <v>0.0027199074074074074</v>
      </c>
      <c r="L333" s="47" t="s">
        <v>1048</v>
      </c>
      <c r="M333" s="48"/>
      <c r="N333" s="48"/>
      <c r="O333" s="48">
        <f t="shared" si="1"/>
        <v>0</v>
      </c>
      <c r="P333" s="38"/>
      <c r="Q333" s="12" t="str">
        <f t="shared" si="2"/>
        <v/>
      </c>
      <c r="R333" s="42"/>
      <c r="S333" s="42"/>
      <c r="T333" s="42"/>
      <c r="U333" s="51"/>
      <c r="V333" s="52"/>
      <c r="W333" s="55"/>
      <c r="X333" s="57"/>
      <c r="Y333" s="106"/>
      <c r="Z333" s="106"/>
      <c r="AA333" s="106"/>
      <c r="AB333" s="106"/>
    </row>
    <row r="334">
      <c r="A334" s="38">
        <v>333.0</v>
      </c>
      <c r="B334" s="42"/>
      <c r="C334" s="51"/>
      <c r="D334" s="38"/>
      <c r="E334" s="38" t="s">
        <v>1299</v>
      </c>
      <c r="F334" s="41" t="s">
        <v>1300</v>
      </c>
      <c r="G334" s="43"/>
      <c r="H334" s="45"/>
      <c r="I334" s="38"/>
      <c r="J334" s="38">
        <f>238</f>
        <v>238</v>
      </c>
      <c r="K334" s="46">
        <v>0.0026041666666666665</v>
      </c>
      <c r="L334" s="47" t="s">
        <v>1048</v>
      </c>
      <c r="M334" s="48"/>
      <c r="N334" s="48"/>
      <c r="O334" s="48">
        <f t="shared" si="1"/>
        <v>0</v>
      </c>
      <c r="P334" s="38"/>
      <c r="Q334" s="12" t="str">
        <f t="shared" si="2"/>
        <v/>
      </c>
      <c r="R334" s="42"/>
      <c r="S334" s="42"/>
      <c r="T334" s="42"/>
      <c r="U334" s="51"/>
      <c r="V334" s="52"/>
      <c r="W334" s="55"/>
      <c r="X334" s="57"/>
      <c r="Y334" s="106"/>
      <c r="Z334" s="106"/>
      <c r="AA334" s="106"/>
      <c r="AB334" s="106"/>
    </row>
    <row r="335">
      <c r="A335" s="38">
        <v>334.0</v>
      </c>
      <c r="B335" s="42"/>
      <c r="C335" s="51"/>
      <c r="D335" s="38"/>
      <c r="E335" s="38" t="s">
        <v>1301</v>
      </c>
      <c r="F335" s="41" t="s">
        <v>1302</v>
      </c>
      <c r="G335" s="43"/>
      <c r="H335" s="45"/>
      <c r="I335" s="38"/>
      <c r="J335" s="38">
        <f>585</f>
        <v>585</v>
      </c>
      <c r="K335" s="46">
        <v>0.0078125</v>
      </c>
      <c r="L335" s="47" t="s">
        <v>1048</v>
      </c>
      <c r="M335" s="48"/>
      <c r="N335" s="48"/>
      <c r="O335" s="48">
        <f t="shared" si="1"/>
        <v>0</v>
      </c>
      <c r="P335" s="38"/>
      <c r="Q335" s="12" t="str">
        <f t="shared" si="2"/>
        <v/>
      </c>
      <c r="R335" s="42"/>
      <c r="S335" s="42"/>
      <c r="T335" s="42"/>
      <c r="U335" s="51"/>
      <c r="V335" s="52"/>
      <c r="W335" s="55"/>
      <c r="X335" s="57"/>
      <c r="Y335" s="106"/>
      <c r="Z335" s="106"/>
      <c r="AA335" s="106"/>
      <c r="AB335" s="106"/>
    </row>
    <row r="336">
      <c r="A336" s="38">
        <v>335.0</v>
      </c>
      <c r="B336" s="63" t="s">
        <v>619</v>
      </c>
      <c r="C336" s="51"/>
      <c r="D336" s="39" t="s">
        <v>145</v>
      </c>
      <c r="E336" s="38" t="s">
        <v>1245</v>
      </c>
      <c r="F336" s="41" t="s">
        <v>1246</v>
      </c>
      <c r="G336" s="43"/>
      <c r="H336" s="45"/>
      <c r="I336" s="38"/>
      <c r="J336" s="38">
        <f>8.8*1000</f>
        <v>8800</v>
      </c>
      <c r="K336" s="46">
        <v>0.039328703703703706</v>
      </c>
      <c r="L336" s="47" t="s">
        <v>1048</v>
      </c>
      <c r="M336" s="48"/>
      <c r="N336" s="48"/>
      <c r="O336" s="48">
        <f t="shared" si="1"/>
        <v>0</v>
      </c>
      <c r="P336" s="38"/>
      <c r="Q336" s="12" t="str">
        <f t="shared" si="2"/>
        <v/>
      </c>
      <c r="R336" s="42"/>
      <c r="S336" s="42"/>
      <c r="T336" s="42"/>
      <c r="U336" s="51"/>
      <c r="V336" s="52"/>
      <c r="W336" s="55"/>
      <c r="X336" s="57"/>
      <c r="Y336" s="106"/>
      <c r="Z336" s="106"/>
      <c r="AA336" s="106"/>
      <c r="AB336" s="106"/>
    </row>
    <row r="337">
      <c r="A337" s="38">
        <v>336.0</v>
      </c>
      <c r="B337" s="42"/>
      <c r="C337" s="51"/>
      <c r="D337" s="38"/>
      <c r="E337" s="38" t="s">
        <v>1303</v>
      </c>
      <c r="F337" s="41" t="s">
        <v>1304</v>
      </c>
      <c r="G337" s="43"/>
      <c r="H337" s="45"/>
      <c r="I337" s="38"/>
      <c r="J337" s="38">
        <f>2.2*1000</f>
        <v>2200</v>
      </c>
      <c r="K337" s="46">
        <v>0.0026388888888888885</v>
      </c>
      <c r="L337" s="47" t="s">
        <v>1048</v>
      </c>
      <c r="M337" s="48"/>
      <c r="N337" s="48"/>
      <c r="O337" s="48">
        <f t="shared" si="1"/>
        <v>0</v>
      </c>
      <c r="P337" s="38"/>
      <c r="Q337" s="12" t="str">
        <f t="shared" si="2"/>
        <v/>
      </c>
      <c r="R337" s="42"/>
      <c r="S337" s="42"/>
      <c r="T337" s="42"/>
      <c r="U337" s="51"/>
      <c r="V337" s="52"/>
      <c r="W337" s="55"/>
      <c r="X337" s="57"/>
      <c r="Y337" s="106"/>
      <c r="Z337" s="106"/>
      <c r="AA337" s="106"/>
      <c r="AB337" s="106"/>
    </row>
    <row r="338">
      <c r="A338" s="38">
        <v>337.0</v>
      </c>
      <c r="B338" s="42"/>
      <c r="C338" s="51"/>
      <c r="D338" s="38"/>
      <c r="E338" s="38" t="s">
        <v>1305</v>
      </c>
      <c r="F338" s="41" t="s">
        <v>1306</v>
      </c>
      <c r="G338" s="43"/>
      <c r="H338" s="45"/>
      <c r="I338" s="38"/>
      <c r="J338" s="38">
        <f>3.3*1000</f>
        <v>3300</v>
      </c>
      <c r="K338" s="46">
        <v>0.07506944444444445</v>
      </c>
      <c r="L338" s="47" t="s">
        <v>1048</v>
      </c>
      <c r="M338" s="48"/>
      <c r="N338" s="48"/>
      <c r="O338" s="48">
        <f t="shared" si="1"/>
        <v>0</v>
      </c>
      <c r="P338" s="38"/>
      <c r="Q338" s="12" t="str">
        <f t="shared" si="2"/>
        <v/>
      </c>
      <c r="R338" s="42"/>
      <c r="S338" s="42"/>
      <c r="T338" s="42"/>
      <c r="U338" s="51"/>
      <c r="V338" s="52"/>
      <c r="W338" s="55"/>
      <c r="X338" s="57"/>
      <c r="Y338" s="106"/>
      <c r="Z338" s="106"/>
      <c r="AA338" s="106"/>
      <c r="AB338" s="106"/>
    </row>
    <row r="339">
      <c r="A339" s="38">
        <v>338.0</v>
      </c>
      <c r="B339" s="42"/>
      <c r="C339" s="51"/>
      <c r="D339" s="38"/>
      <c r="E339" s="38" t="s">
        <v>1307</v>
      </c>
      <c r="F339" s="41" t="s">
        <v>1308</v>
      </c>
      <c r="G339" s="43"/>
      <c r="H339" s="45"/>
      <c r="I339" s="38"/>
      <c r="J339" s="38">
        <f>828</f>
        <v>828</v>
      </c>
      <c r="K339" s="46">
        <v>0.0025</v>
      </c>
      <c r="L339" s="47" t="s">
        <v>1048</v>
      </c>
      <c r="M339" s="48"/>
      <c r="N339" s="48"/>
      <c r="O339" s="48">
        <f t="shared" si="1"/>
        <v>0</v>
      </c>
      <c r="P339" s="38"/>
      <c r="Q339" s="12" t="str">
        <f t="shared" si="2"/>
        <v/>
      </c>
      <c r="R339" s="42"/>
      <c r="S339" s="42"/>
      <c r="T339" s="42"/>
      <c r="U339" s="51"/>
      <c r="V339" s="52"/>
      <c r="W339" s="55"/>
      <c r="X339" s="57"/>
      <c r="Y339" s="106"/>
      <c r="Z339" s="106"/>
      <c r="AA339" s="106"/>
      <c r="AB339" s="106"/>
    </row>
    <row r="340">
      <c r="A340" s="38">
        <v>339.0</v>
      </c>
      <c r="B340" s="42"/>
      <c r="C340" s="51"/>
      <c r="D340" s="38"/>
      <c r="E340" s="38" t="s">
        <v>1309</v>
      </c>
      <c r="F340" s="41" t="s">
        <v>1310</v>
      </c>
      <c r="G340" s="43"/>
      <c r="H340" s="45"/>
      <c r="I340" s="38"/>
      <c r="J340" s="38">
        <f>1.2*1000</f>
        <v>1200</v>
      </c>
      <c r="K340" s="46">
        <v>9.837962962962964E-4</v>
      </c>
      <c r="L340" s="47" t="s">
        <v>1048</v>
      </c>
      <c r="M340" s="48"/>
      <c r="N340" s="48"/>
      <c r="O340" s="48">
        <f t="shared" si="1"/>
        <v>0</v>
      </c>
      <c r="P340" s="38"/>
      <c r="Q340" s="12" t="str">
        <f t="shared" si="2"/>
        <v/>
      </c>
      <c r="R340" s="42"/>
      <c r="S340" s="42"/>
      <c r="T340" s="42"/>
      <c r="U340" s="51"/>
      <c r="V340" s="52"/>
      <c r="W340" s="55"/>
      <c r="X340" s="57"/>
      <c r="Y340" s="106"/>
      <c r="Z340" s="106"/>
      <c r="AA340" s="106"/>
      <c r="AB340" s="106"/>
    </row>
    <row r="341">
      <c r="A341" s="38">
        <v>340.0</v>
      </c>
      <c r="B341" s="42"/>
      <c r="C341" s="51"/>
      <c r="D341" s="38"/>
      <c r="E341" s="38" t="s">
        <v>1311</v>
      </c>
      <c r="F341" s="41" t="s">
        <v>1312</v>
      </c>
      <c r="G341" s="43"/>
      <c r="H341" s="45"/>
      <c r="I341" s="38"/>
      <c r="J341" s="38">
        <f>3.7*1000</f>
        <v>3700</v>
      </c>
      <c r="K341" s="46">
        <v>0.07063657407407407</v>
      </c>
      <c r="L341" s="47" t="s">
        <v>1048</v>
      </c>
      <c r="M341" s="48"/>
      <c r="N341" s="48"/>
      <c r="O341" s="48">
        <f t="shared" si="1"/>
        <v>0</v>
      </c>
      <c r="P341" s="38"/>
      <c r="Q341" s="12" t="str">
        <f t="shared" si="2"/>
        <v/>
      </c>
      <c r="R341" s="42"/>
      <c r="S341" s="42"/>
      <c r="T341" s="42"/>
      <c r="U341" s="51"/>
      <c r="V341" s="52"/>
      <c r="W341" s="55"/>
      <c r="X341" s="57"/>
      <c r="Y341" s="106"/>
      <c r="Z341" s="106"/>
      <c r="AA341" s="106"/>
      <c r="AB341" s="106"/>
    </row>
    <row r="342">
      <c r="A342" s="38">
        <v>341.0</v>
      </c>
      <c r="B342" s="42"/>
      <c r="C342" s="51"/>
      <c r="D342" s="38"/>
      <c r="E342" s="38" t="s">
        <v>1313</v>
      </c>
      <c r="F342" s="41" t="s">
        <v>1315</v>
      </c>
      <c r="G342" s="43"/>
      <c r="H342" s="45"/>
      <c r="I342" s="38"/>
      <c r="J342" s="38">
        <f>6.8*1000</f>
        <v>6800</v>
      </c>
      <c r="K342" s="46">
        <v>0.012453703703703703</v>
      </c>
      <c r="L342" s="47" t="s">
        <v>1048</v>
      </c>
      <c r="M342" s="48"/>
      <c r="N342" s="48"/>
      <c r="O342" s="48">
        <f t="shared" si="1"/>
        <v>0</v>
      </c>
      <c r="P342" s="38"/>
      <c r="Q342" s="12" t="str">
        <f t="shared" si="2"/>
        <v/>
      </c>
      <c r="R342" s="42"/>
      <c r="S342" s="42"/>
      <c r="T342" s="42"/>
      <c r="U342" s="51"/>
      <c r="V342" s="52"/>
      <c r="W342" s="55"/>
      <c r="X342" s="57"/>
      <c r="Y342" s="106"/>
      <c r="Z342" s="106"/>
      <c r="AA342" s="106"/>
      <c r="AB342" s="106"/>
    </row>
    <row r="343">
      <c r="A343" s="38">
        <v>342.0</v>
      </c>
      <c r="B343" s="42"/>
      <c r="C343" s="51"/>
      <c r="D343" s="38"/>
      <c r="E343" s="38" t="s">
        <v>1318</v>
      </c>
      <c r="F343" s="41" t="s">
        <v>1319</v>
      </c>
      <c r="G343" s="43"/>
      <c r="H343" s="45"/>
      <c r="I343" s="38"/>
      <c r="J343" s="38">
        <f t="shared" ref="J343:J344" si="12">1.2*1000</f>
        <v>1200</v>
      </c>
      <c r="K343" s="46">
        <v>0.0027546296296296294</v>
      </c>
      <c r="L343" s="47" t="s">
        <v>1048</v>
      </c>
      <c r="M343" s="48"/>
      <c r="N343" s="48"/>
      <c r="O343" s="48">
        <f t="shared" si="1"/>
        <v>0</v>
      </c>
      <c r="P343" s="38"/>
      <c r="Q343" s="12" t="str">
        <f t="shared" si="2"/>
        <v/>
      </c>
      <c r="R343" s="42"/>
      <c r="S343" s="42"/>
      <c r="T343" s="42"/>
      <c r="U343" s="51"/>
      <c r="V343" s="52"/>
      <c r="W343" s="55"/>
      <c r="X343" s="57"/>
      <c r="Y343" s="106"/>
      <c r="Z343" s="106"/>
      <c r="AA343" s="106"/>
      <c r="AB343" s="106"/>
    </row>
    <row r="344">
      <c r="A344" s="38">
        <v>343.0</v>
      </c>
      <c r="B344" s="42"/>
      <c r="C344" s="51"/>
      <c r="D344" s="38"/>
      <c r="E344" s="38" t="s">
        <v>1322</v>
      </c>
      <c r="F344" s="41" t="s">
        <v>1323</v>
      </c>
      <c r="G344" s="43"/>
      <c r="H344" s="45"/>
      <c r="I344" s="38"/>
      <c r="J344" s="38">
        <f t="shared" si="12"/>
        <v>1200</v>
      </c>
      <c r="K344" s="46">
        <v>0.0025694444444444445</v>
      </c>
      <c r="L344" s="47" t="s">
        <v>1048</v>
      </c>
      <c r="M344" s="48"/>
      <c r="N344" s="48"/>
      <c r="O344" s="48">
        <f t="shared" si="1"/>
        <v>0</v>
      </c>
      <c r="P344" s="38"/>
      <c r="Q344" s="12" t="str">
        <f t="shared" si="2"/>
        <v/>
      </c>
      <c r="R344" s="42"/>
      <c r="S344" s="42"/>
      <c r="T344" s="42"/>
      <c r="U344" s="51"/>
      <c r="V344" s="52"/>
      <c r="W344" s="55"/>
      <c r="X344" s="57"/>
      <c r="Y344" s="106"/>
      <c r="Z344" s="106"/>
      <c r="AA344" s="106"/>
      <c r="AB344" s="106"/>
    </row>
    <row r="345">
      <c r="A345" s="38">
        <v>344.0</v>
      </c>
      <c r="B345" s="42"/>
      <c r="C345" s="51"/>
      <c r="D345" s="38"/>
      <c r="E345" s="38" t="s">
        <v>1326</v>
      </c>
      <c r="F345" s="41" t="s">
        <v>1327</v>
      </c>
      <c r="G345" s="43"/>
      <c r="H345" s="45"/>
      <c r="I345" s="38"/>
      <c r="J345" s="38">
        <f>231</f>
        <v>231</v>
      </c>
      <c r="K345" s="46">
        <v>0.0017708333333333332</v>
      </c>
      <c r="L345" s="47" t="s">
        <v>1048</v>
      </c>
      <c r="M345" s="48"/>
      <c r="N345" s="48"/>
      <c r="O345" s="48">
        <f t="shared" si="1"/>
        <v>0</v>
      </c>
      <c r="P345" s="38"/>
      <c r="Q345" s="12" t="str">
        <f t="shared" si="2"/>
        <v/>
      </c>
      <c r="R345" s="42"/>
      <c r="S345" s="42"/>
      <c r="T345" s="42"/>
      <c r="U345" s="51"/>
      <c r="V345" s="52"/>
      <c r="W345" s="55"/>
      <c r="X345" s="57"/>
      <c r="Y345" s="106"/>
      <c r="Z345" s="106"/>
      <c r="AA345" s="106"/>
      <c r="AB345" s="106"/>
    </row>
    <row r="346">
      <c r="A346" s="38">
        <v>345.0</v>
      </c>
      <c r="B346" s="42"/>
      <c r="C346" s="51"/>
      <c r="D346" s="38"/>
      <c r="E346" s="38" t="s">
        <v>1330</v>
      </c>
      <c r="F346" s="41" t="s">
        <v>1331</v>
      </c>
      <c r="G346" s="43"/>
      <c r="H346" s="45"/>
      <c r="I346" s="38"/>
      <c r="J346" s="38">
        <f>666</f>
        <v>666</v>
      </c>
      <c r="K346" s="46">
        <v>0.0013194444444444443</v>
      </c>
      <c r="L346" s="47" t="s">
        <v>1048</v>
      </c>
      <c r="M346" s="48"/>
      <c r="N346" s="48"/>
      <c r="O346" s="48">
        <f t="shared" si="1"/>
        <v>0</v>
      </c>
      <c r="P346" s="38"/>
      <c r="Q346" s="12" t="str">
        <f t="shared" si="2"/>
        <v/>
      </c>
      <c r="R346" s="42"/>
      <c r="S346" s="42"/>
      <c r="T346" s="42"/>
      <c r="U346" s="51"/>
      <c r="V346" s="52"/>
      <c r="W346" s="55"/>
      <c r="X346" s="57"/>
      <c r="Y346" s="106"/>
      <c r="Z346" s="106"/>
      <c r="AA346" s="106"/>
      <c r="AB346" s="106"/>
    </row>
    <row r="347">
      <c r="A347" s="38">
        <v>346.0</v>
      </c>
      <c r="B347" s="42"/>
      <c r="C347" s="51"/>
      <c r="D347" s="38"/>
      <c r="E347" s="38" t="s">
        <v>1332</v>
      </c>
      <c r="F347" s="41" t="s">
        <v>1334</v>
      </c>
      <c r="G347" s="43"/>
      <c r="H347" s="45"/>
      <c r="I347" s="38"/>
      <c r="J347" s="38">
        <f>191</f>
        <v>191</v>
      </c>
      <c r="K347" s="46">
        <v>9.490740740740741E-4</v>
      </c>
      <c r="L347" s="47" t="s">
        <v>1048</v>
      </c>
      <c r="M347" s="48"/>
      <c r="N347" s="48"/>
      <c r="O347" s="48">
        <f t="shared" si="1"/>
        <v>0</v>
      </c>
      <c r="P347" s="38"/>
      <c r="Q347" s="12" t="str">
        <f t="shared" si="2"/>
        <v/>
      </c>
      <c r="R347" s="42"/>
      <c r="S347" s="42"/>
      <c r="T347" s="42"/>
      <c r="U347" s="51"/>
      <c r="V347" s="52"/>
      <c r="W347" s="55"/>
      <c r="X347" s="57"/>
      <c r="Y347" s="106"/>
      <c r="Z347" s="106"/>
      <c r="AA347" s="106"/>
      <c r="AB347" s="106"/>
    </row>
    <row r="348">
      <c r="A348" s="38">
        <v>347.0</v>
      </c>
      <c r="B348" s="42"/>
      <c r="C348" s="51"/>
      <c r="D348" s="38"/>
      <c r="E348" s="38" t="s">
        <v>1336</v>
      </c>
      <c r="F348" s="41" t="s">
        <v>1338</v>
      </c>
      <c r="G348" s="43"/>
      <c r="H348" s="45"/>
      <c r="I348" s="38"/>
      <c r="J348" s="38">
        <f>870</f>
        <v>870</v>
      </c>
      <c r="K348" s="46">
        <v>0.006076388888888889</v>
      </c>
      <c r="L348" s="47" t="s">
        <v>1048</v>
      </c>
      <c r="M348" s="48"/>
      <c r="N348" s="48"/>
      <c r="O348" s="48">
        <f t="shared" si="1"/>
        <v>0</v>
      </c>
      <c r="P348" s="38"/>
      <c r="Q348" s="12" t="str">
        <f t="shared" si="2"/>
        <v/>
      </c>
      <c r="R348" s="42"/>
      <c r="S348" s="42"/>
      <c r="T348" s="42"/>
      <c r="U348" s="51"/>
      <c r="V348" s="52"/>
      <c r="W348" s="55"/>
      <c r="X348" s="57"/>
      <c r="Y348" s="106"/>
      <c r="Z348" s="106"/>
      <c r="AA348" s="106"/>
      <c r="AB348" s="106"/>
    </row>
    <row r="349">
      <c r="A349" s="38">
        <v>348.0</v>
      </c>
      <c r="B349" s="42"/>
      <c r="C349" s="51"/>
      <c r="D349" s="38"/>
      <c r="E349" s="38" t="s">
        <v>1340</v>
      </c>
      <c r="F349" s="41" t="s">
        <v>1341</v>
      </c>
      <c r="G349" s="43"/>
      <c r="H349" s="45"/>
      <c r="I349" s="38"/>
      <c r="J349" s="38">
        <f>527</f>
        <v>527</v>
      </c>
      <c r="K349" s="46">
        <v>0.0036574074074074074</v>
      </c>
      <c r="L349" s="47" t="s">
        <v>1048</v>
      </c>
      <c r="M349" s="48"/>
      <c r="N349" s="48"/>
      <c r="O349" s="48">
        <f t="shared" si="1"/>
        <v>0</v>
      </c>
      <c r="P349" s="38"/>
      <c r="Q349" s="12" t="str">
        <f t="shared" si="2"/>
        <v/>
      </c>
      <c r="R349" s="42"/>
      <c r="S349" s="42"/>
      <c r="T349" s="42"/>
      <c r="U349" s="51"/>
      <c r="V349" s="52"/>
      <c r="W349" s="55"/>
      <c r="X349" s="57"/>
      <c r="Y349" s="106"/>
      <c r="Z349" s="106"/>
      <c r="AA349" s="106"/>
      <c r="AB349" s="106"/>
    </row>
    <row r="350">
      <c r="A350" s="38">
        <v>349.0</v>
      </c>
      <c r="B350" s="42"/>
      <c r="C350" s="51"/>
      <c r="D350" s="38"/>
      <c r="E350" s="38" t="s">
        <v>1344</v>
      </c>
      <c r="F350" s="41" t="s">
        <v>1346</v>
      </c>
      <c r="G350" s="43"/>
      <c r="H350" s="45"/>
      <c r="I350" s="38"/>
      <c r="J350" s="38">
        <f>1*1000</f>
        <v>1000</v>
      </c>
      <c r="K350" s="46">
        <v>0.0052662037037037035</v>
      </c>
      <c r="L350" s="47" t="s">
        <v>1048</v>
      </c>
      <c r="M350" s="48"/>
      <c r="N350" s="48"/>
      <c r="O350" s="48">
        <f t="shared" si="1"/>
        <v>0</v>
      </c>
      <c r="P350" s="38"/>
      <c r="Q350" s="12" t="str">
        <f t="shared" si="2"/>
        <v/>
      </c>
      <c r="R350" s="42"/>
      <c r="S350" s="42"/>
      <c r="T350" s="42"/>
      <c r="U350" s="51"/>
      <c r="V350" s="52"/>
      <c r="W350" s="55"/>
      <c r="X350" s="57"/>
      <c r="Y350" s="106"/>
      <c r="Z350" s="106"/>
      <c r="AA350" s="106"/>
      <c r="AB350" s="106"/>
    </row>
    <row r="351">
      <c r="A351" s="38">
        <v>350.0</v>
      </c>
      <c r="B351" s="42"/>
      <c r="C351" s="51"/>
      <c r="D351" s="38"/>
      <c r="E351" s="38" t="s">
        <v>1348</v>
      </c>
      <c r="F351" s="41" t="s">
        <v>1349</v>
      </c>
      <c r="G351" s="43"/>
      <c r="H351" s="45"/>
      <c r="I351" s="38"/>
      <c r="J351" s="38">
        <f>368</f>
        <v>368</v>
      </c>
      <c r="K351" s="46">
        <v>0.0011805555555555556</v>
      </c>
      <c r="L351" s="47" t="s">
        <v>1048</v>
      </c>
      <c r="M351" s="48"/>
      <c r="N351" s="48"/>
      <c r="O351" s="48">
        <f t="shared" si="1"/>
        <v>0</v>
      </c>
      <c r="P351" s="38"/>
      <c r="Q351" s="12" t="str">
        <f t="shared" si="2"/>
        <v/>
      </c>
      <c r="R351" s="42"/>
      <c r="S351" s="42"/>
      <c r="T351" s="42"/>
      <c r="U351" s="51"/>
      <c r="V351" s="52"/>
      <c r="W351" s="55"/>
      <c r="X351" s="57"/>
      <c r="Y351" s="106"/>
      <c r="Z351" s="106"/>
      <c r="AA351" s="106"/>
      <c r="AB351" s="106"/>
    </row>
    <row r="352">
      <c r="A352" s="38">
        <v>351.0</v>
      </c>
      <c r="B352" s="42"/>
      <c r="C352" s="51"/>
      <c r="D352" s="38"/>
      <c r="E352" s="38" t="s">
        <v>1352</v>
      </c>
      <c r="F352" s="41" t="s">
        <v>1353</v>
      </c>
      <c r="G352" s="43"/>
      <c r="H352" s="45"/>
      <c r="I352" s="38"/>
      <c r="J352" s="38">
        <f>1.3*1000</f>
        <v>1300</v>
      </c>
      <c r="K352" s="46">
        <v>0.002939814814814815</v>
      </c>
      <c r="L352" s="47" t="s">
        <v>1048</v>
      </c>
      <c r="M352" s="48"/>
      <c r="N352" s="48"/>
      <c r="O352" s="48">
        <f t="shared" si="1"/>
        <v>0</v>
      </c>
      <c r="P352" s="38"/>
      <c r="Q352" s="12" t="str">
        <f t="shared" si="2"/>
        <v/>
      </c>
      <c r="R352" s="42"/>
      <c r="S352" s="42"/>
      <c r="T352" s="42"/>
      <c r="U352" s="51"/>
      <c r="V352" s="52"/>
      <c r="W352" s="55"/>
      <c r="X352" s="57"/>
      <c r="Y352" s="106"/>
      <c r="Z352" s="106"/>
      <c r="AA352" s="106"/>
      <c r="AB352" s="106"/>
    </row>
    <row r="353">
      <c r="A353" s="38">
        <v>352.0</v>
      </c>
      <c r="B353" s="42"/>
      <c r="C353" s="51"/>
      <c r="D353" s="38"/>
      <c r="E353" s="38" t="s">
        <v>1356</v>
      </c>
      <c r="F353" s="41" t="s">
        <v>1357</v>
      </c>
      <c r="G353" s="43"/>
      <c r="H353" s="45"/>
      <c r="I353" s="38"/>
      <c r="J353" s="38">
        <f>207</f>
        <v>207</v>
      </c>
      <c r="K353" s="46">
        <v>0.003425925925925926</v>
      </c>
      <c r="L353" s="47" t="s">
        <v>1048</v>
      </c>
      <c r="M353" s="48"/>
      <c r="N353" s="48"/>
      <c r="O353" s="48">
        <f t="shared" si="1"/>
        <v>0</v>
      </c>
      <c r="P353" s="38"/>
      <c r="Q353" s="12" t="str">
        <f t="shared" si="2"/>
        <v/>
      </c>
      <c r="R353" s="42"/>
      <c r="S353" s="42"/>
      <c r="T353" s="42"/>
      <c r="U353" s="51"/>
      <c r="V353" s="52"/>
      <c r="W353" s="55"/>
      <c r="X353" s="57"/>
      <c r="Y353" s="106"/>
      <c r="Z353" s="106"/>
      <c r="AA353" s="106"/>
      <c r="AB353" s="106"/>
    </row>
    <row r="354">
      <c r="A354" s="38">
        <v>353.0</v>
      </c>
      <c r="B354" s="42"/>
      <c r="C354" s="51"/>
      <c r="D354" s="38"/>
      <c r="E354" s="38" t="s">
        <v>1360</v>
      </c>
      <c r="F354" s="41" t="s">
        <v>1361</v>
      </c>
      <c r="G354" s="43"/>
      <c r="H354" s="45"/>
      <c r="I354" s="38"/>
      <c r="J354" s="38">
        <f>177</f>
        <v>177</v>
      </c>
      <c r="K354" s="46">
        <v>2.777777777777778E-4</v>
      </c>
      <c r="L354" s="47" t="s">
        <v>1048</v>
      </c>
      <c r="M354" s="48"/>
      <c r="N354" s="48"/>
      <c r="O354" s="48">
        <f t="shared" si="1"/>
        <v>0</v>
      </c>
      <c r="P354" s="38"/>
      <c r="Q354" s="12" t="str">
        <f t="shared" si="2"/>
        <v/>
      </c>
      <c r="R354" s="42"/>
      <c r="S354" s="42"/>
      <c r="T354" s="42"/>
      <c r="U354" s="51"/>
      <c r="V354" s="52"/>
      <c r="W354" s="55"/>
      <c r="X354" s="57"/>
      <c r="Y354" s="106"/>
      <c r="Z354" s="106"/>
      <c r="AA354" s="106"/>
      <c r="AB354" s="106"/>
    </row>
    <row r="355">
      <c r="A355" s="38">
        <v>354.0</v>
      </c>
      <c r="B355" s="42"/>
      <c r="C355" s="51"/>
      <c r="D355" s="38"/>
      <c r="E355" s="38" t="s">
        <v>1364</v>
      </c>
      <c r="F355" s="41" t="s">
        <v>1365</v>
      </c>
      <c r="G355" s="43"/>
      <c r="H355" s="45"/>
      <c r="I355" s="38"/>
      <c r="J355" s="38">
        <f>3*1000</f>
        <v>3000</v>
      </c>
      <c r="K355" s="46">
        <v>0.002615740740740741</v>
      </c>
      <c r="L355" s="47" t="s">
        <v>1048</v>
      </c>
      <c r="M355" s="48"/>
      <c r="N355" s="48"/>
      <c r="O355" s="48">
        <f t="shared" si="1"/>
        <v>0</v>
      </c>
      <c r="P355" s="38"/>
      <c r="Q355" s="12" t="str">
        <f t="shared" si="2"/>
        <v/>
      </c>
      <c r="R355" s="42"/>
      <c r="S355" s="42"/>
      <c r="T355" s="42"/>
      <c r="U355" s="51"/>
      <c r="V355" s="52"/>
      <c r="W355" s="55"/>
      <c r="X355" s="57"/>
      <c r="Y355" s="106"/>
      <c r="Z355" s="106"/>
      <c r="AA355" s="106"/>
      <c r="AB355" s="106"/>
    </row>
    <row r="356">
      <c r="A356" s="38">
        <v>355.0</v>
      </c>
      <c r="B356" s="42"/>
      <c r="C356" s="51"/>
      <c r="D356" s="38"/>
      <c r="E356" s="38" t="s">
        <v>1368</v>
      </c>
      <c r="F356" s="41" t="s">
        <v>1369</v>
      </c>
      <c r="G356" s="43"/>
      <c r="H356" s="45"/>
      <c r="I356" s="38"/>
      <c r="J356" s="38">
        <f>1.9*1000</f>
        <v>1900</v>
      </c>
      <c r="K356" s="46">
        <v>0.002962962962962963</v>
      </c>
      <c r="L356" s="47" t="s">
        <v>1048</v>
      </c>
      <c r="M356" s="48"/>
      <c r="N356" s="48"/>
      <c r="O356" s="48">
        <f t="shared" si="1"/>
        <v>0</v>
      </c>
      <c r="P356" s="38"/>
      <c r="Q356" s="12" t="str">
        <f t="shared" si="2"/>
        <v/>
      </c>
      <c r="R356" s="42"/>
      <c r="S356" s="42"/>
      <c r="T356" s="42"/>
      <c r="U356" s="51"/>
      <c r="V356" s="52"/>
      <c r="W356" s="55"/>
      <c r="X356" s="57"/>
      <c r="Y356" s="106"/>
      <c r="Z356" s="106"/>
      <c r="AA356" s="106"/>
      <c r="AB356" s="106"/>
    </row>
    <row r="357">
      <c r="A357" s="38">
        <v>356.0</v>
      </c>
      <c r="B357" s="42"/>
      <c r="C357" s="51"/>
      <c r="D357" s="38"/>
      <c r="E357" s="38" t="s">
        <v>1372</v>
      </c>
      <c r="F357" s="41" t="s">
        <v>1373</v>
      </c>
      <c r="G357" s="43"/>
      <c r="H357" s="45"/>
      <c r="I357" s="38"/>
      <c r="J357" s="38">
        <f>549</f>
        <v>549</v>
      </c>
      <c r="K357" s="46">
        <v>0.0021874999999999998</v>
      </c>
      <c r="L357" s="47" t="s">
        <v>1048</v>
      </c>
      <c r="M357" s="48"/>
      <c r="N357" s="48"/>
      <c r="O357" s="48">
        <f t="shared" si="1"/>
        <v>0</v>
      </c>
      <c r="P357" s="38"/>
      <c r="Q357" s="12" t="str">
        <f t="shared" si="2"/>
        <v/>
      </c>
      <c r="R357" s="42"/>
      <c r="S357" s="42"/>
      <c r="T357" s="42"/>
      <c r="U357" s="51"/>
      <c r="V357" s="52"/>
      <c r="W357" s="55"/>
      <c r="X357" s="57"/>
      <c r="Y357" s="106"/>
      <c r="Z357" s="106"/>
      <c r="AA357" s="106"/>
      <c r="AB357" s="106"/>
    </row>
    <row r="358">
      <c r="A358" s="38">
        <v>357.0</v>
      </c>
      <c r="B358" s="42"/>
      <c r="C358" s="51"/>
      <c r="D358" s="38"/>
      <c r="E358" s="38" t="s">
        <v>1376</v>
      </c>
      <c r="F358" s="41" t="s">
        <v>1377</v>
      </c>
      <c r="G358" s="43"/>
      <c r="H358" s="45"/>
      <c r="I358" s="38"/>
      <c r="J358" s="38">
        <f>632</f>
        <v>632</v>
      </c>
      <c r="K358" s="46">
        <v>0.0043749999999999995</v>
      </c>
      <c r="L358" s="47" t="s">
        <v>1048</v>
      </c>
      <c r="M358" s="48"/>
      <c r="N358" s="48"/>
      <c r="O358" s="48">
        <f t="shared" si="1"/>
        <v>0</v>
      </c>
      <c r="P358" s="38"/>
      <c r="Q358" s="12" t="str">
        <f t="shared" si="2"/>
        <v/>
      </c>
      <c r="R358" s="42"/>
      <c r="S358" s="42"/>
      <c r="T358" s="42"/>
      <c r="U358" s="51"/>
      <c r="V358" s="52"/>
      <c r="W358" s="55"/>
      <c r="X358" s="57"/>
      <c r="Y358" s="106"/>
      <c r="Z358" s="106"/>
      <c r="AA358" s="106"/>
      <c r="AB358" s="106"/>
    </row>
    <row r="359">
      <c r="A359" s="38">
        <v>358.0</v>
      </c>
      <c r="B359" s="42"/>
      <c r="C359" s="51"/>
      <c r="D359" s="38"/>
      <c r="E359" s="38" t="s">
        <v>1379</v>
      </c>
      <c r="F359" s="41" t="s">
        <v>1381</v>
      </c>
      <c r="G359" s="43"/>
      <c r="H359" s="45"/>
      <c r="I359" s="38"/>
      <c r="J359" s="38">
        <f>656</f>
        <v>656</v>
      </c>
      <c r="K359" s="46">
        <v>3.125E-4</v>
      </c>
      <c r="L359" s="47" t="s">
        <v>1048</v>
      </c>
      <c r="M359" s="48"/>
      <c r="N359" s="48"/>
      <c r="O359" s="48">
        <f t="shared" si="1"/>
        <v>0</v>
      </c>
      <c r="P359" s="38"/>
      <c r="Q359" s="12" t="str">
        <f t="shared" si="2"/>
        <v/>
      </c>
      <c r="R359" s="42"/>
      <c r="S359" s="42"/>
      <c r="T359" s="42"/>
      <c r="U359" s="51"/>
      <c r="V359" s="52"/>
      <c r="W359" s="55"/>
      <c r="X359" s="57"/>
      <c r="Y359" s="106"/>
      <c r="Z359" s="106"/>
      <c r="AA359" s="106"/>
      <c r="AB359" s="106"/>
    </row>
    <row r="360">
      <c r="A360" s="38">
        <v>359.0</v>
      </c>
      <c r="B360" s="42"/>
      <c r="C360" s="51"/>
      <c r="D360" s="38"/>
      <c r="E360" s="38" t="s">
        <v>1382</v>
      </c>
      <c r="F360" s="41" t="s">
        <v>1383</v>
      </c>
      <c r="G360" s="43"/>
      <c r="H360" s="45"/>
      <c r="I360" s="38"/>
      <c r="J360" s="38">
        <f>1.2*1000</f>
        <v>1200</v>
      </c>
      <c r="K360" s="46">
        <v>0.004918981481481482</v>
      </c>
      <c r="L360" s="47" t="s">
        <v>1255</v>
      </c>
      <c r="M360" s="48"/>
      <c r="N360" s="48"/>
      <c r="O360" s="48">
        <f t="shared" si="1"/>
        <v>0</v>
      </c>
      <c r="P360" s="38"/>
      <c r="Q360" s="12" t="str">
        <f t="shared" si="2"/>
        <v/>
      </c>
      <c r="R360" s="42"/>
      <c r="S360" s="42"/>
      <c r="T360" s="42"/>
      <c r="U360" s="51"/>
      <c r="V360" s="52"/>
      <c r="W360" s="55"/>
      <c r="X360" s="57"/>
      <c r="Y360" s="106"/>
      <c r="Z360" s="106"/>
      <c r="AA360" s="106"/>
      <c r="AB360" s="106"/>
    </row>
    <row r="361">
      <c r="A361" s="38">
        <v>360.0</v>
      </c>
      <c r="B361" s="42"/>
      <c r="C361" s="51"/>
      <c r="D361" s="38"/>
      <c r="E361" s="38" t="s">
        <v>1384</v>
      </c>
      <c r="F361" s="41" t="s">
        <v>1385</v>
      </c>
      <c r="G361" s="43"/>
      <c r="H361" s="45"/>
      <c r="I361" s="38"/>
      <c r="J361" s="38">
        <f>1.3*1000</f>
        <v>1300</v>
      </c>
      <c r="K361" s="46">
        <v>0.002939814814814815</v>
      </c>
      <c r="L361" s="47" t="s">
        <v>1048</v>
      </c>
      <c r="M361" s="48"/>
      <c r="N361" s="48"/>
      <c r="O361" s="48">
        <f t="shared" si="1"/>
        <v>0</v>
      </c>
      <c r="P361" s="38"/>
      <c r="Q361" s="12" t="str">
        <f t="shared" si="2"/>
        <v/>
      </c>
      <c r="R361" s="42"/>
      <c r="S361" s="42"/>
      <c r="T361" s="42"/>
      <c r="U361" s="51"/>
      <c r="V361" s="52"/>
      <c r="W361" s="55"/>
      <c r="X361" s="57"/>
      <c r="Y361" s="106"/>
      <c r="Z361" s="106"/>
      <c r="AA361" s="106"/>
      <c r="AB361" s="106"/>
    </row>
    <row r="362">
      <c r="A362" s="38">
        <v>361.0</v>
      </c>
      <c r="B362" s="42"/>
      <c r="C362" s="51"/>
      <c r="D362" s="38"/>
      <c r="E362" s="38" t="s">
        <v>1386</v>
      </c>
      <c r="F362" s="41" t="s">
        <v>1387</v>
      </c>
      <c r="G362" s="43"/>
      <c r="H362" s="45"/>
      <c r="I362" s="38"/>
      <c r="J362" s="38">
        <f>3.8*1000</f>
        <v>3800</v>
      </c>
      <c r="K362" s="46">
        <v>0.013912037037037037</v>
      </c>
      <c r="L362" s="47" t="s">
        <v>1048</v>
      </c>
      <c r="M362" s="48"/>
      <c r="N362" s="48"/>
      <c r="O362" s="48">
        <f t="shared" si="1"/>
        <v>0</v>
      </c>
      <c r="P362" s="38"/>
      <c r="Q362" s="12" t="str">
        <f t="shared" si="2"/>
        <v/>
      </c>
      <c r="R362" s="42"/>
      <c r="S362" s="42"/>
      <c r="T362" s="42"/>
      <c r="U362" s="51"/>
      <c r="V362" s="52"/>
      <c r="W362" s="55"/>
      <c r="X362" s="57"/>
      <c r="Y362" s="106"/>
      <c r="Z362" s="106"/>
      <c r="AA362" s="106"/>
      <c r="AB362" s="106"/>
    </row>
    <row r="363">
      <c r="A363" s="38">
        <v>362.0</v>
      </c>
      <c r="B363" s="42"/>
      <c r="C363" s="51"/>
      <c r="D363" s="38"/>
      <c r="E363" s="38" t="s">
        <v>1391</v>
      </c>
      <c r="F363" s="41" t="s">
        <v>1392</v>
      </c>
      <c r="G363" s="43"/>
      <c r="H363" s="45"/>
      <c r="I363" s="38"/>
      <c r="J363" s="38">
        <f>9.2*1000</f>
        <v>9200</v>
      </c>
      <c r="K363" s="46">
        <v>0.016898148148148148</v>
      </c>
      <c r="L363" s="47" t="s">
        <v>1048</v>
      </c>
      <c r="M363" s="48"/>
      <c r="N363" s="48"/>
      <c r="O363" s="48">
        <f t="shared" si="1"/>
        <v>0</v>
      </c>
      <c r="P363" s="38"/>
      <c r="Q363" s="12" t="str">
        <f t="shared" si="2"/>
        <v/>
      </c>
      <c r="R363" s="42"/>
      <c r="S363" s="42"/>
      <c r="T363" s="42"/>
      <c r="U363" s="51"/>
      <c r="V363" s="52"/>
      <c r="W363" s="55"/>
      <c r="X363" s="57"/>
      <c r="Y363" s="106"/>
      <c r="Z363" s="106"/>
      <c r="AA363" s="106"/>
      <c r="AB363" s="106"/>
    </row>
    <row r="364">
      <c r="A364" s="38">
        <v>363.0</v>
      </c>
      <c r="B364" s="42"/>
      <c r="C364" s="51"/>
      <c r="D364" s="38"/>
      <c r="E364" s="38" t="s">
        <v>1395</v>
      </c>
      <c r="F364" s="41" t="s">
        <v>1396</v>
      </c>
      <c r="G364" s="43"/>
      <c r="H364" s="45"/>
      <c r="I364" s="38"/>
      <c r="J364" s="38">
        <f>1.6*1000</f>
        <v>1600</v>
      </c>
      <c r="K364" s="46">
        <v>0.0022106481481481478</v>
      </c>
      <c r="L364" s="47" t="s">
        <v>1048</v>
      </c>
      <c r="M364" s="48"/>
      <c r="N364" s="48"/>
      <c r="O364" s="48">
        <f t="shared" si="1"/>
        <v>0</v>
      </c>
      <c r="P364" s="38"/>
      <c r="Q364" s="12" t="str">
        <f t="shared" si="2"/>
        <v/>
      </c>
      <c r="R364" s="42"/>
      <c r="S364" s="42"/>
      <c r="T364" s="42"/>
      <c r="U364" s="51"/>
      <c r="V364" s="52"/>
      <c r="W364" s="55"/>
      <c r="X364" s="57"/>
      <c r="Y364" s="106"/>
      <c r="Z364" s="106"/>
      <c r="AA364" s="106"/>
      <c r="AB364" s="106"/>
    </row>
    <row r="365">
      <c r="A365" s="38">
        <v>364.0</v>
      </c>
      <c r="B365" s="42"/>
      <c r="C365" s="51"/>
      <c r="D365" s="38"/>
      <c r="E365" s="38" t="s">
        <v>1397</v>
      </c>
      <c r="F365" s="41" t="s">
        <v>1398</v>
      </c>
      <c r="G365" s="43"/>
      <c r="H365" s="45"/>
      <c r="I365" s="38"/>
      <c r="J365" s="38">
        <f>2.7*1000</f>
        <v>2700</v>
      </c>
      <c r="K365" s="46">
        <v>0.022615740740740742</v>
      </c>
      <c r="L365" s="47" t="s">
        <v>1048</v>
      </c>
      <c r="M365" s="48"/>
      <c r="N365" s="48"/>
      <c r="O365" s="48">
        <f t="shared" si="1"/>
        <v>0</v>
      </c>
      <c r="P365" s="38"/>
      <c r="Q365" s="12" t="str">
        <f t="shared" si="2"/>
        <v/>
      </c>
      <c r="R365" s="42"/>
      <c r="S365" s="42"/>
      <c r="T365" s="42"/>
      <c r="U365" s="51"/>
      <c r="V365" s="52"/>
      <c r="W365" s="55"/>
      <c r="X365" s="57"/>
      <c r="Y365" s="106"/>
      <c r="Z365" s="106"/>
      <c r="AA365" s="106"/>
      <c r="AB365" s="106"/>
    </row>
    <row r="366">
      <c r="A366" s="38">
        <v>365.0</v>
      </c>
      <c r="B366" s="42"/>
      <c r="C366" s="51"/>
      <c r="D366" s="38"/>
      <c r="E366" s="38" t="s">
        <v>1399</v>
      </c>
      <c r="F366" s="41" t="s">
        <v>1400</v>
      </c>
      <c r="G366" s="43"/>
      <c r="H366" s="45"/>
      <c r="I366" s="38"/>
      <c r="J366" s="38">
        <f>768</f>
        <v>768</v>
      </c>
      <c r="K366" s="46">
        <v>0.0028587962962962963</v>
      </c>
      <c r="L366" s="47" t="s">
        <v>1048</v>
      </c>
      <c r="M366" s="48"/>
      <c r="N366" s="48"/>
      <c r="O366" s="48">
        <f t="shared" si="1"/>
        <v>0</v>
      </c>
      <c r="P366" s="38"/>
      <c r="Q366" s="12" t="str">
        <f t="shared" si="2"/>
        <v/>
      </c>
      <c r="R366" s="42"/>
      <c r="S366" s="42"/>
      <c r="T366" s="42"/>
      <c r="U366" s="51"/>
      <c r="V366" s="52"/>
      <c r="W366" s="55"/>
      <c r="X366" s="57"/>
      <c r="Y366" s="106"/>
      <c r="Z366" s="106"/>
      <c r="AA366" s="106"/>
      <c r="AB366" s="106"/>
    </row>
    <row r="367">
      <c r="A367" s="38">
        <v>366.0</v>
      </c>
      <c r="B367" s="42"/>
      <c r="C367" s="51"/>
      <c r="D367" s="38"/>
      <c r="E367" s="38" t="s">
        <v>1401</v>
      </c>
      <c r="F367" s="41" t="s">
        <v>1402</v>
      </c>
      <c r="G367" s="43"/>
      <c r="H367" s="45"/>
      <c r="I367" s="38"/>
      <c r="J367" s="38">
        <f>925</f>
        <v>925</v>
      </c>
      <c r="K367" s="46">
        <v>0.0012037037037037038</v>
      </c>
      <c r="L367" s="47" t="s">
        <v>1048</v>
      </c>
      <c r="M367" s="48"/>
      <c r="N367" s="48"/>
      <c r="O367" s="48">
        <f t="shared" si="1"/>
        <v>0</v>
      </c>
      <c r="P367" s="38"/>
      <c r="Q367" s="12" t="str">
        <f t="shared" si="2"/>
        <v/>
      </c>
      <c r="R367" s="42"/>
      <c r="S367" s="42"/>
      <c r="T367" s="42"/>
      <c r="U367" s="51"/>
      <c r="V367" s="52"/>
      <c r="W367" s="55"/>
      <c r="X367" s="57"/>
      <c r="Y367" s="106"/>
      <c r="Z367" s="106"/>
      <c r="AA367" s="106"/>
      <c r="AB367" s="106"/>
    </row>
    <row r="368">
      <c r="A368" s="38">
        <v>367.0</v>
      </c>
      <c r="B368" s="42"/>
      <c r="C368" s="51"/>
      <c r="D368" s="38"/>
      <c r="E368" s="38" t="s">
        <v>1405</v>
      </c>
      <c r="F368" s="41" t="s">
        <v>1406</v>
      </c>
      <c r="G368" s="43"/>
      <c r="H368" s="45"/>
      <c r="I368" s="38"/>
      <c r="J368" s="38">
        <f>12*1000</f>
        <v>12000</v>
      </c>
      <c r="K368" s="46">
        <v>0.0018634259259259261</v>
      </c>
      <c r="L368" s="47" t="s">
        <v>1048</v>
      </c>
      <c r="M368" s="48"/>
      <c r="N368" s="48"/>
      <c r="O368" s="48">
        <f t="shared" si="1"/>
        <v>0</v>
      </c>
      <c r="P368" s="38"/>
      <c r="Q368" s="12" t="str">
        <f t="shared" si="2"/>
        <v/>
      </c>
      <c r="R368" s="42"/>
      <c r="S368" s="42"/>
      <c r="T368" s="42"/>
      <c r="U368" s="51"/>
      <c r="V368" s="52"/>
      <c r="W368" s="55"/>
      <c r="X368" s="57"/>
      <c r="Y368" s="106"/>
      <c r="Z368" s="106"/>
      <c r="AA368" s="106"/>
      <c r="AB368" s="106"/>
    </row>
    <row r="369">
      <c r="A369" s="38">
        <v>368.0</v>
      </c>
      <c r="B369" s="42"/>
      <c r="C369" s="51"/>
      <c r="D369" s="38"/>
      <c r="E369" s="38" t="s">
        <v>1409</v>
      </c>
      <c r="F369" s="41" t="s">
        <v>1410</v>
      </c>
      <c r="G369" s="43"/>
      <c r="H369" s="45"/>
      <c r="I369" s="38"/>
      <c r="J369" s="38">
        <f>13*1000</f>
        <v>13000</v>
      </c>
      <c r="K369" s="46">
        <v>0.015914351851851853</v>
      </c>
      <c r="L369" s="47" t="s">
        <v>1048</v>
      </c>
      <c r="M369" s="48"/>
      <c r="N369" s="48"/>
      <c r="O369" s="48">
        <f t="shared" si="1"/>
        <v>0</v>
      </c>
      <c r="P369" s="38"/>
      <c r="Q369" s="12" t="str">
        <f t="shared" si="2"/>
        <v/>
      </c>
      <c r="R369" s="42"/>
      <c r="S369" s="42"/>
      <c r="T369" s="42"/>
      <c r="U369" s="51"/>
      <c r="V369" s="52"/>
      <c r="W369" s="55"/>
      <c r="X369" s="57"/>
      <c r="Y369" s="106"/>
      <c r="Z369" s="106"/>
      <c r="AA369" s="106"/>
      <c r="AB369" s="106"/>
    </row>
    <row r="370">
      <c r="A370" s="38">
        <v>369.0</v>
      </c>
      <c r="B370" s="42"/>
      <c r="C370" s="51"/>
      <c r="D370" s="38"/>
      <c r="E370" s="38" t="s">
        <v>1411</v>
      </c>
      <c r="F370" s="41" t="s">
        <v>1412</v>
      </c>
      <c r="G370" s="43"/>
      <c r="H370" s="45"/>
      <c r="I370" s="38"/>
      <c r="J370" s="38">
        <f>193</f>
        <v>193</v>
      </c>
      <c r="K370" s="46">
        <v>0.0038773148148148143</v>
      </c>
      <c r="L370" s="47" t="s">
        <v>1048</v>
      </c>
      <c r="M370" s="48"/>
      <c r="N370" s="48"/>
      <c r="O370" s="48">
        <f t="shared" si="1"/>
        <v>0</v>
      </c>
      <c r="P370" s="38"/>
      <c r="Q370" s="12" t="str">
        <f t="shared" si="2"/>
        <v/>
      </c>
      <c r="R370" s="42"/>
      <c r="S370" s="42"/>
      <c r="T370" s="42"/>
      <c r="U370" s="51"/>
      <c r="V370" s="52"/>
      <c r="W370" s="55"/>
      <c r="X370" s="57"/>
      <c r="Y370" s="106"/>
      <c r="Z370" s="106"/>
      <c r="AA370" s="106"/>
      <c r="AB370" s="106"/>
    </row>
    <row r="371">
      <c r="A371" s="38">
        <v>370.0</v>
      </c>
      <c r="B371" s="42"/>
      <c r="C371" s="51"/>
      <c r="D371" s="38"/>
      <c r="E371" s="38" t="s">
        <v>1413</v>
      </c>
      <c r="F371" s="41" t="s">
        <v>1414</v>
      </c>
      <c r="G371" s="43"/>
      <c r="H371" s="45"/>
      <c r="I371" s="38"/>
      <c r="J371" s="38">
        <f>219</f>
        <v>219</v>
      </c>
      <c r="K371" s="46">
        <v>0.0021296296296296298</v>
      </c>
      <c r="L371" s="47" t="s">
        <v>1048</v>
      </c>
      <c r="M371" s="48"/>
      <c r="N371" s="48"/>
      <c r="O371" s="48">
        <f t="shared" si="1"/>
        <v>0</v>
      </c>
      <c r="P371" s="38"/>
      <c r="Q371" s="12" t="str">
        <f t="shared" si="2"/>
        <v/>
      </c>
      <c r="R371" s="42"/>
      <c r="S371" s="42"/>
      <c r="T371" s="42"/>
      <c r="U371" s="51"/>
      <c r="V371" s="52"/>
      <c r="W371" s="55"/>
      <c r="X371" s="57"/>
      <c r="Y371" s="106"/>
      <c r="Z371" s="106"/>
      <c r="AA371" s="106"/>
      <c r="AB371" s="106"/>
    </row>
    <row r="372">
      <c r="A372" s="38">
        <v>371.0</v>
      </c>
      <c r="B372" s="42"/>
      <c r="C372" s="51"/>
      <c r="D372" s="38"/>
      <c r="E372" s="38" t="s">
        <v>1415</v>
      </c>
      <c r="F372" s="41" t="s">
        <v>1416</v>
      </c>
      <c r="G372" s="43"/>
      <c r="H372" s="45"/>
      <c r="I372" s="38"/>
      <c r="J372" s="38">
        <f>413</f>
        <v>413</v>
      </c>
      <c r="K372" s="46">
        <v>0.0024189814814814816</v>
      </c>
      <c r="L372" s="47" t="s">
        <v>1048</v>
      </c>
      <c r="M372" s="48"/>
      <c r="N372" s="48"/>
      <c r="O372" s="48">
        <f t="shared" si="1"/>
        <v>0</v>
      </c>
      <c r="P372" s="38"/>
      <c r="Q372" s="12" t="str">
        <f t="shared" si="2"/>
        <v/>
      </c>
      <c r="R372" s="42"/>
      <c r="S372" s="42"/>
      <c r="T372" s="42"/>
      <c r="U372" s="51"/>
      <c r="V372" s="52"/>
      <c r="W372" s="55"/>
      <c r="X372" s="57"/>
      <c r="Y372" s="106"/>
      <c r="Z372" s="106"/>
      <c r="AA372" s="106"/>
      <c r="AB372" s="106"/>
    </row>
    <row r="373">
      <c r="A373" s="38">
        <v>372.0</v>
      </c>
      <c r="B373" s="42"/>
      <c r="C373" s="51"/>
      <c r="D373" s="38"/>
      <c r="E373" s="38" t="s">
        <v>1417</v>
      </c>
      <c r="F373" s="41" t="s">
        <v>1418</v>
      </c>
      <c r="G373" s="43"/>
      <c r="H373" s="45"/>
      <c r="I373" s="38"/>
      <c r="J373" s="38">
        <f>126</f>
        <v>126</v>
      </c>
      <c r="K373" s="46">
        <v>0.0016203703703703703</v>
      </c>
      <c r="L373" s="47" t="s">
        <v>1048</v>
      </c>
      <c r="M373" s="48"/>
      <c r="N373" s="48"/>
      <c r="O373" s="48">
        <f t="shared" si="1"/>
        <v>0</v>
      </c>
      <c r="P373" s="38"/>
      <c r="Q373" s="12" t="str">
        <f t="shared" si="2"/>
        <v/>
      </c>
      <c r="R373" s="42"/>
      <c r="S373" s="42"/>
      <c r="T373" s="42"/>
      <c r="U373" s="51"/>
      <c r="V373" s="52"/>
      <c r="W373" s="55"/>
      <c r="X373" s="57"/>
      <c r="Y373" s="106"/>
      <c r="Z373" s="106"/>
      <c r="AA373" s="106"/>
      <c r="AB373" s="106"/>
    </row>
    <row r="374">
      <c r="A374" s="38">
        <v>373.0</v>
      </c>
      <c r="B374" s="42"/>
      <c r="C374" s="51"/>
      <c r="D374" s="38"/>
      <c r="E374" s="38" t="s">
        <v>1419</v>
      </c>
      <c r="F374" s="41" t="s">
        <v>1420</v>
      </c>
      <c r="G374" s="43"/>
      <c r="H374" s="45"/>
      <c r="I374" s="38"/>
      <c r="J374" s="38">
        <f>154</f>
        <v>154</v>
      </c>
      <c r="K374" s="46">
        <v>0.003368055555555555</v>
      </c>
      <c r="L374" s="47" t="s">
        <v>1048</v>
      </c>
      <c r="M374" s="48"/>
      <c r="N374" s="48"/>
      <c r="O374" s="48">
        <f t="shared" si="1"/>
        <v>0</v>
      </c>
      <c r="P374" s="38"/>
      <c r="Q374" s="12" t="str">
        <f t="shared" si="2"/>
        <v/>
      </c>
      <c r="R374" s="42"/>
      <c r="S374" s="42"/>
      <c r="T374" s="42"/>
      <c r="U374" s="51"/>
      <c r="V374" s="52"/>
      <c r="W374" s="55"/>
      <c r="X374" s="57"/>
      <c r="Y374" s="106"/>
      <c r="Z374" s="106"/>
      <c r="AA374" s="106"/>
      <c r="AB374" s="106"/>
    </row>
    <row r="375">
      <c r="A375" s="38">
        <v>374.0</v>
      </c>
      <c r="B375" s="42"/>
      <c r="C375" s="51"/>
      <c r="D375" s="38"/>
      <c r="E375" s="38" t="s">
        <v>1421</v>
      </c>
      <c r="F375" s="41" t="s">
        <v>1422</v>
      </c>
      <c r="G375" s="43"/>
      <c r="H375" s="45"/>
      <c r="I375" s="38"/>
      <c r="J375" s="38">
        <f>119</f>
        <v>119</v>
      </c>
      <c r="K375" s="46">
        <v>0.0023263888888888887</v>
      </c>
      <c r="L375" s="47" t="s">
        <v>1048</v>
      </c>
      <c r="M375" s="48"/>
      <c r="N375" s="48"/>
      <c r="O375" s="48">
        <f t="shared" si="1"/>
        <v>0</v>
      </c>
      <c r="P375" s="38"/>
      <c r="Q375" s="12" t="str">
        <f t="shared" si="2"/>
        <v/>
      </c>
      <c r="R375" s="42"/>
      <c r="S375" s="42"/>
      <c r="T375" s="42"/>
      <c r="U375" s="51"/>
      <c r="V375" s="52"/>
      <c r="W375" s="55"/>
      <c r="X375" s="57"/>
      <c r="Y375" s="106"/>
      <c r="Z375" s="106"/>
      <c r="AA375" s="106"/>
      <c r="AB375" s="106"/>
    </row>
    <row r="376">
      <c r="A376" s="38">
        <v>375.0</v>
      </c>
      <c r="B376" s="42"/>
      <c r="C376" s="51"/>
      <c r="D376" s="38"/>
      <c r="E376" s="38" t="s">
        <v>1423</v>
      </c>
      <c r="F376" s="41" t="s">
        <v>1424</v>
      </c>
      <c r="G376" s="43"/>
      <c r="H376" s="45"/>
      <c r="I376" s="38"/>
      <c r="J376" s="38">
        <f>241</f>
        <v>241</v>
      </c>
      <c r="K376" s="46">
        <v>8.796296296296296E-4</v>
      </c>
      <c r="L376" s="47" t="s">
        <v>1048</v>
      </c>
      <c r="M376" s="48"/>
      <c r="N376" s="48"/>
      <c r="O376" s="48">
        <f t="shared" si="1"/>
        <v>0</v>
      </c>
      <c r="P376" s="38"/>
      <c r="Q376" s="12" t="str">
        <f t="shared" si="2"/>
        <v/>
      </c>
      <c r="R376" s="42"/>
      <c r="S376" s="42"/>
      <c r="T376" s="42"/>
      <c r="U376" s="51"/>
      <c r="V376" s="52"/>
      <c r="W376" s="55"/>
      <c r="X376" s="57"/>
      <c r="Y376" s="106"/>
      <c r="Z376" s="106"/>
      <c r="AA376" s="106"/>
      <c r="AB376" s="106"/>
    </row>
    <row r="377">
      <c r="A377" s="38">
        <v>376.0</v>
      </c>
      <c r="B377" s="42"/>
      <c r="C377" s="51"/>
      <c r="D377" s="38"/>
      <c r="E377" s="38" t="s">
        <v>1425</v>
      </c>
      <c r="F377" s="41" t="s">
        <v>1426</v>
      </c>
      <c r="G377" s="43"/>
      <c r="H377" s="45"/>
      <c r="I377" s="38"/>
      <c r="J377" s="38">
        <f>13*1000</f>
        <v>13000</v>
      </c>
      <c r="K377" s="46">
        <v>0.00829861111111111</v>
      </c>
      <c r="L377" s="47" t="s">
        <v>1048</v>
      </c>
      <c r="M377" s="48"/>
      <c r="N377" s="48"/>
      <c r="O377" s="48">
        <f t="shared" si="1"/>
        <v>0</v>
      </c>
      <c r="P377" s="38"/>
      <c r="Q377" s="12" t="str">
        <f t="shared" si="2"/>
        <v/>
      </c>
      <c r="R377" s="42"/>
      <c r="S377" s="42"/>
      <c r="T377" s="42"/>
      <c r="U377" s="51"/>
      <c r="V377" s="52"/>
      <c r="W377" s="55"/>
      <c r="X377" s="57"/>
      <c r="Y377" s="106"/>
      <c r="Z377" s="106"/>
      <c r="AA377" s="106"/>
      <c r="AB377" s="106"/>
    </row>
    <row r="378">
      <c r="A378" s="38">
        <v>377.0</v>
      </c>
      <c r="B378" s="42"/>
      <c r="C378" s="51"/>
      <c r="D378" s="38"/>
      <c r="E378" s="38" t="s">
        <v>1427</v>
      </c>
      <c r="F378" s="41" t="s">
        <v>1428</v>
      </c>
      <c r="G378" s="43"/>
      <c r="H378" s="45"/>
      <c r="I378" s="38"/>
      <c r="J378" s="38">
        <f>20*1000</f>
        <v>20000</v>
      </c>
      <c r="K378" s="46">
        <v>0.006759259259259259</v>
      </c>
      <c r="L378" s="47" t="s">
        <v>1048</v>
      </c>
      <c r="M378" s="48"/>
      <c r="N378" s="48"/>
      <c r="O378" s="48">
        <f t="shared" si="1"/>
        <v>0</v>
      </c>
      <c r="P378" s="38"/>
      <c r="Q378" s="12" t="str">
        <f t="shared" si="2"/>
        <v/>
      </c>
      <c r="R378" s="42"/>
      <c r="S378" s="42"/>
      <c r="T378" s="42"/>
      <c r="U378" s="51"/>
      <c r="V378" s="52"/>
      <c r="W378" s="55"/>
      <c r="X378" s="57"/>
      <c r="Y378" s="106"/>
      <c r="Z378" s="106"/>
      <c r="AA378" s="106"/>
      <c r="AB378" s="106"/>
    </row>
    <row r="379">
      <c r="A379" s="38">
        <v>378.0</v>
      </c>
      <c r="B379" s="42"/>
      <c r="C379" s="51"/>
      <c r="D379" s="38"/>
      <c r="E379" s="38" t="s">
        <v>1429</v>
      </c>
      <c r="F379" s="41" t="s">
        <v>1430</v>
      </c>
      <c r="G379" s="43"/>
      <c r="H379" s="45"/>
      <c r="I379" s="38"/>
      <c r="J379" s="38">
        <f>844</f>
        <v>844</v>
      </c>
      <c r="K379" s="46">
        <v>0.002534722222222222</v>
      </c>
      <c r="L379" s="47" t="s">
        <v>1048</v>
      </c>
      <c r="M379" s="48"/>
      <c r="N379" s="48"/>
      <c r="O379" s="48">
        <f t="shared" si="1"/>
        <v>0</v>
      </c>
      <c r="P379" s="38"/>
      <c r="Q379" s="12" t="str">
        <f t="shared" si="2"/>
        <v/>
      </c>
      <c r="R379" s="42"/>
      <c r="S379" s="42"/>
      <c r="T379" s="42"/>
      <c r="U379" s="51"/>
      <c r="V379" s="52"/>
      <c r="W379" s="55"/>
      <c r="X379" s="57"/>
      <c r="Y379" s="106"/>
      <c r="Z379" s="106"/>
      <c r="AA379" s="106"/>
      <c r="AB379" s="106"/>
    </row>
    <row r="380">
      <c r="A380" s="38">
        <v>379.0</v>
      </c>
      <c r="B380" s="42"/>
      <c r="C380" s="51"/>
      <c r="D380" s="38"/>
      <c r="E380" s="38" t="s">
        <v>1431</v>
      </c>
      <c r="F380" s="41" t="s">
        <v>1432</v>
      </c>
      <c r="G380" s="43"/>
      <c r="H380" s="45"/>
      <c r="I380" s="38"/>
      <c r="J380" s="38">
        <f>904</f>
        <v>904</v>
      </c>
      <c r="K380" s="46">
        <v>0.00537037037037037</v>
      </c>
      <c r="L380" s="47" t="s">
        <v>1048</v>
      </c>
      <c r="M380" s="48"/>
      <c r="N380" s="48"/>
      <c r="O380" s="48">
        <f t="shared" si="1"/>
        <v>0</v>
      </c>
      <c r="P380" s="38"/>
      <c r="Q380" s="12" t="str">
        <f t="shared" si="2"/>
        <v/>
      </c>
      <c r="R380" s="42"/>
      <c r="S380" s="42"/>
      <c r="T380" s="42"/>
      <c r="U380" s="51"/>
      <c r="V380" s="52"/>
      <c r="W380" s="55"/>
      <c r="X380" s="57"/>
      <c r="Y380" s="106"/>
      <c r="Z380" s="106"/>
      <c r="AA380" s="106"/>
      <c r="AB380" s="106"/>
    </row>
    <row r="381">
      <c r="A381" s="38">
        <v>380.0</v>
      </c>
      <c r="B381" s="42"/>
      <c r="C381" s="51"/>
      <c r="D381" s="38"/>
      <c r="E381" s="38" t="s">
        <v>1433</v>
      </c>
      <c r="F381" s="41" t="s">
        <v>1434</v>
      </c>
      <c r="G381" s="43"/>
      <c r="H381" s="45"/>
      <c r="I381" s="38"/>
      <c r="J381" s="38">
        <f>384</f>
        <v>384</v>
      </c>
      <c r="K381" s="46">
        <v>0.0017592592592592592</v>
      </c>
      <c r="L381" s="47" t="s">
        <v>1048</v>
      </c>
      <c r="M381" s="48"/>
      <c r="N381" s="48"/>
      <c r="O381" s="48">
        <f t="shared" si="1"/>
        <v>0</v>
      </c>
      <c r="P381" s="38"/>
      <c r="Q381" s="12" t="str">
        <f t="shared" si="2"/>
        <v/>
      </c>
      <c r="R381" s="42"/>
      <c r="S381" s="42"/>
      <c r="T381" s="42"/>
      <c r="U381" s="51"/>
      <c r="V381" s="52"/>
      <c r="W381" s="55"/>
      <c r="X381" s="57"/>
      <c r="Y381" s="106"/>
      <c r="Z381" s="106"/>
      <c r="AA381" s="106"/>
      <c r="AB381" s="106"/>
    </row>
    <row r="382">
      <c r="A382" s="38">
        <v>381.0</v>
      </c>
      <c r="B382" s="42"/>
      <c r="C382" s="51"/>
      <c r="D382" s="38"/>
      <c r="E382" s="38" t="s">
        <v>1435</v>
      </c>
      <c r="F382" s="41" t="s">
        <v>1436</v>
      </c>
      <c r="G382" s="43"/>
      <c r="H382" s="45"/>
      <c r="I382" s="38"/>
      <c r="J382" s="38">
        <f>43*1000</f>
        <v>43000</v>
      </c>
      <c r="K382" s="46">
        <v>0.004965277777777778</v>
      </c>
      <c r="L382" s="47" t="s">
        <v>1048</v>
      </c>
      <c r="M382" s="48"/>
      <c r="N382" s="48"/>
      <c r="O382" s="48">
        <f t="shared" si="1"/>
        <v>0</v>
      </c>
      <c r="P382" s="38"/>
      <c r="Q382" s="12" t="str">
        <f t="shared" si="2"/>
        <v/>
      </c>
      <c r="R382" s="42"/>
      <c r="S382" s="42"/>
      <c r="T382" s="42"/>
      <c r="U382" s="51"/>
      <c r="V382" s="52"/>
      <c r="W382" s="55"/>
      <c r="X382" s="57"/>
      <c r="Y382" s="106"/>
      <c r="Z382" s="106"/>
      <c r="AA382" s="106"/>
      <c r="AB382" s="106"/>
    </row>
    <row r="383">
      <c r="A383" s="38">
        <v>382.0</v>
      </c>
      <c r="B383" s="42"/>
      <c r="C383" s="51"/>
      <c r="D383" s="38"/>
      <c r="E383" s="38" t="s">
        <v>1437</v>
      </c>
      <c r="F383" s="41" t="s">
        <v>1438</v>
      </c>
      <c r="G383" s="43"/>
      <c r="H383" s="45"/>
      <c r="I383" s="38"/>
      <c r="J383" s="38">
        <f>1.3*1000</f>
        <v>1300</v>
      </c>
      <c r="K383" s="46">
        <v>0.011689814814814814</v>
      </c>
      <c r="L383" s="47" t="s">
        <v>1048</v>
      </c>
      <c r="M383" s="48"/>
      <c r="N383" s="48"/>
      <c r="O383" s="48">
        <f t="shared" si="1"/>
        <v>0</v>
      </c>
      <c r="P383" s="38"/>
      <c r="Q383" s="12" t="str">
        <f t="shared" si="2"/>
        <v/>
      </c>
      <c r="R383" s="42"/>
      <c r="S383" s="42"/>
      <c r="T383" s="42"/>
      <c r="U383" s="51"/>
      <c r="V383" s="52"/>
      <c r="W383" s="55"/>
      <c r="X383" s="57"/>
      <c r="Y383" s="106"/>
      <c r="Z383" s="106"/>
      <c r="AA383" s="106"/>
      <c r="AB383" s="106"/>
    </row>
    <row r="384">
      <c r="A384" s="38">
        <v>383.0</v>
      </c>
      <c r="B384" s="42"/>
      <c r="C384" s="51"/>
      <c r="D384" s="38"/>
      <c r="E384" s="38" t="s">
        <v>1439</v>
      </c>
      <c r="F384" s="41" t="s">
        <v>1440</v>
      </c>
      <c r="G384" s="43"/>
      <c r="H384" s="45"/>
      <c r="I384" s="38"/>
      <c r="J384" s="38">
        <f>1.1*1000</f>
        <v>1100</v>
      </c>
      <c r="K384" s="46">
        <v>0.0027199074074074074</v>
      </c>
      <c r="L384" s="47" t="s">
        <v>1048</v>
      </c>
      <c r="M384" s="48"/>
      <c r="N384" s="48"/>
      <c r="O384" s="48">
        <f t="shared" si="1"/>
        <v>0</v>
      </c>
      <c r="P384" s="38"/>
      <c r="Q384" s="12" t="str">
        <f t="shared" si="2"/>
        <v/>
      </c>
      <c r="R384" s="42"/>
      <c r="S384" s="42"/>
      <c r="T384" s="42"/>
      <c r="U384" s="51"/>
      <c r="V384" s="52"/>
      <c r="W384" s="55"/>
      <c r="X384" s="57"/>
      <c r="Y384" s="106"/>
      <c r="Z384" s="106"/>
      <c r="AA384" s="106"/>
      <c r="AB384" s="106"/>
    </row>
    <row r="385">
      <c r="A385" s="38">
        <v>384.0</v>
      </c>
      <c r="B385" s="42"/>
      <c r="C385" s="51"/>
      <c r="D385" s="38"/>
      <c r="E385" s="38" t="s">
        <v>1441</v>
      </c>
      <c r="F385" s="41" t="s">
        <v>1442</v>
      </c>
      <c r="G385" s="43"/>
      <c r="H385" s="45"/>
      <c r="I385" s="38"/>
      <c r="J385" s="38">
        <f>947</f>
        <v>947</v>
      </c>
      <c r="K385" s="46">
        <v>0.002025462962962963</v>
      </c>
      <c r="L385" s="47" t="s">
        <v>1048</v>
      </c>
      <c r="M385" s="48"/>
      <c r="N385" s="48"/>
      <c r="O385" s="48">
        <f t="shared" si="1"/>
        <v>0</v>
      </c>
      <c r="P385" s="38"/>
      <c r="Q385" s="12" t="str">
        <f t="shared" si="2"/>
        <v/>
      </c>
      <c r="R385" s="42"/>
      <c r="S385" s="42"/>
      <c r="T385" s="42"/>
      <c r="U385" s="51"/>
      <c r="V385" s="52"/>
      <c r="W385" s="55"/>
      <c r="X385" s="57"/>
      <c r="Y385" s="106"/>
      <c r="Z385" s="106"/>
      <c r="AA385" s="106"/>
      <c r="AB385" s="106"/>
    </row>
    <row r="386">
      <c r="A386" s="38">
        <v>385.0</v>
      </c>
      <c r="B386" s="42"/>
      <c r="C386" s="51"/>
      <c r="D386" s="38"/>
      <c r="E386" s="38" t="s">
        <v>1443</v>
      </c>
      <c r="F386" s="41" t="s">
        <v>1444</v>
      </c>
      <c r="G386" s="43"/>
      <c r="H386" s="45"/>
      <c r="I386" s="38"/>
      <c r="J386" s="38">
        <f>405</f>
        <v>405</v>
      </c>
      <c r="K386" s="46">
        <v>0.0034375</v>
      </c>
      <c r="L386" s="47" t="s">
        <v>1048</v>
      </c>
      <c r="M386" s="48"/>
      <c r="N386" s="48"/>
      <c r="O386" s="48">
        <f t="shared" si="1"/>
        <v>0</v>
      </c>
      <c r="P386" s="38"/>
      <c r="Q386" s="12" t="str">
        <f t="shared" si="2"/>
        <v/>
      </c>
      <c r="R386" s="42"/>
      <c r="S386" s="42"/>
      <c r="T386" s="42"/>
      <c r="U386" s="51"/>
      <c r="V386" s="52"/>
      <c r="W386" s="55"/>
      <c r="X386" s="57"/>
      <c r="Y386" s="106"/>
      <c r="Z386" s="106"/>
      <c r="AA386" s="106"/>
      <c r="AB386" s="106"/>
    </row>
    <row r="387">
      <c r="A387" s="38">
        <v>386.0</v>
      </c>
      <c r="B387" s="42"/>
      <c r="C387" s="51"/>
      <c r="D387" s="38"/>
      <c r="E387" s="38" t="s">
        <v>1445</v>
      </c>
      <c r="F387" s="41" t="s">
        <v>1446</v>
      </c>
      <c r="G387" s="43"/>
      <c r="H387" s="45"/>
      <c r="I387" s="38"/>
      <c r="J387" s="38">
        <f>365</f>
        <v>365</v>
      </c>
      <c r="K387" s="46">
        <v>0.0029745370370370373</v>
      </c>
      <c r="L387" s="47" t="s">
        <v>1048</v>
      </c>
      <c r="M387" s="48"/>
      <c r="N387" s="48"/>
      <c r="O387" s="48">
        <f t="shared" si="1"/>
        <v>0</v>
      </c>
      <c r="P387" s="38"/>
      <c r="Q387" s="12" t="str">
        <f t="shared" si="2"/>
        <v/>
      </c>
      <c r="R387" s="42"/>
      <c r="S387" s="42"/>
      <c r="T387" s="42"/>
      <c r="U387" s="51"/>
      <c r="V387" s="52"/>
      <c r="W387" s="55"/>
      <c r="X387" s="57"/>
      <c r="Y387" s="106"/>
      <c r="Z387" s="106"/>
      <c r="AA387" s="106"/>
      <c r="AB387" s="106"/>
    </row>
    <row r="388">
      <c r="A388" s="38">
        <v>387.0</v>
      </c>
      <c r="B388" s="42"/>
      <c r="C388" s="51"/>
      <c r="D388" s="38"/>
      <c r="E388" s="38" t="s">
        <v>1447</v>
      </c>
      <c r="F388" s="41" t="s">
        <v>1448</v>
      </c>
      <c r="G388" s="43"/>
      <c r="H388" s="45"/>
      <c r="I388" s="38"/>
      <c r="J388" s="38">
        <f>728</f>
        <v>728</v>
      </c>
      <c r="K388" s="46">
        <v>0.00337962962962963</v>
      </c>
      <c r="L388" s="47" t="s">
        <v>1048</v>
      </c>
      <c r="M388" s="48"/>
      <c r="N388" s="48"/>
      <c r="O388" s="48">
        <f t="shared" si="1"/>
        <v>0</v>
      </c>
      <c r="P388" s="38"/>
      <c r="Q388" s="12" t="str">
        <f t="shared" si="2"/>
        <v/>
      </c>
      <c r="R388" s="42"/>
      <c r="S388" s="42"/>
      <c r="T388" s="42"/>
      <c r="U388" s="51"/>
      <c r="V388" s="52"/>
      <c r="W388" s="55"/>
      <c r="X388" s="57"/>
      <c r="Y388" s="106"/>
      <c r="Z388" s="106"/>
      <c r="AA388" s="106"/>
      <c r="AB388" s="106"/>
    </row>
    <row r="389">
      <c r="A389" s="38">
        <v>388.0</v>
      </c>
      <c r="B389" s="42"/>
      <c r="C389" s="51"/>
      <c r="D389" s="38"/>
      <c r="E389" s="38" t="s">
        <v>1449</v>
      </c>
      <c r="F389" s="41" t="s">
        <v>1450</v>
      </c>
      <c r="G389" s="43"/>
      <c r="H389" s="45"/>
      <c r="I389" s="38"/>
      <c r="J389" s="38">
        <f>3.7*1000</f>
        <v>3700</v>
      </c>
      <c r="K389" s="46">
        <v>0.031782407407407405</v>
      </c>
      <c r="L389" s="47" t="s">
        <v>1048</v>
      </c>
      <c r="M389" s="48"/>
      <c r="N389" s="48"/>
      <c r="O389" s="48">
        <f t="shared" si="1"/>
        <v>0</v>
      </c>
      <c r="P389" s="38"/>
      <c r="Q389" s="12" t="str">
        <f t="shared" si="2"/>
        <v/>
      </c>
      <c r="R389" s="42"/>
      <c r="S389" s="42"/>
      <c r="T389" s="42"/>
      <c r="U389" s="51"/>
      <c r="V389" s="52"/>
      <c r="W389" s="55"/>
      <c r="X389" s="57"/>
      <c r="Y389" s="106"/>
      <c r="Z389" s="106"/>
      <c r="AA389" s="106"/>
      <c r="AB389" s="106"/>
    </row>
    <row r="390">
      <c r="A390" s="38">
        <v>389.0</v>
      </c>
      <c r="B390" s="42"/>
      <c r="C390" s="51"/>
      <c r="D390" s="38"/>
      <c r="E390" s="38" t="s">
        <v>1451</v>
      </c>
      <c r="F390" s="41" t="s">
        <v>1452</v>
      </c>
      <c r="G390" s="43"/>
      <c r="H390" s="45"/>
      <c r="I390" s="38"/>
      <c r="J390" s="38">
        <f>634</f>
        <v>634</v>
      </c>
      <c r="K390" s="46">
        <v>0.0022337962962962967</v>
      </c>
      <c r="L390" s="47" t="s">
        <v>1048</v>
      </c>
      <c r="M390" s="48"/>
      <c r="N390" s="48"/>
      <c r="O390" s="48">
        <f t="shared" si="1"/>
        <v>0</v>
      </c>
      <c r="P390" s="38"/>
      <c r="Q390" s="12" t="str">
        <f t="shared" si="2"/>
        <v/>
      </c>
      <c r="R390" s="42"/>
      <c r="S390" s="42"/>
      <c r="T390" s="42"/>
      <c r="U390" s="51"/>
      <c r="V390" s="52"/>
      <c r="W390" s="55"/>
      <c r="X390" s="57"/>
      <c r="Y390" s="106"/>
      <c r="Z390" s="106"/>
      <c r="AA390" s="106"/>
      <c r="AB390" s="106"/>
    </row>
    <row r="391">
      <c r="A391" s="38">
        <v>390.0</v>
      </c>
      <c r="B391" s="42"/>
      <c r="C391" s="51"/>
      <c r="D391" s="38"/>
      <c r="E391" s="38" t="s">
        <v>1454</v>
      </c>
      <c r="F391" s="41" t="s">
        <v>1455</v>
      </c>
      <c r="G391" s="43"/>
      <c r="H391" s="45"/>
      <c r="I391" s="38"/>
      <c r="J391" s="38">
        <f>387</f>
        <v>387</v>
      </c>
      <c r="K391" s="46">
        <v>0.0018171296296296297</v>
      </c>
      <c r="L391" s="47" t="s">
        <v>1048</v>
      </c>
      <c r="M391" s="48"/>
      <c r="N391" s="48"/>
      <c r="O391" s="48">
        <f t="shared" si="1"/>
        <v>0</v>
      </c>
      <c r="P391" s="38"/>
      <c r="Q391" s="12" t="str">
        <f t="shared" si="2"/>
        <v/>
      </c>
      <c r="R391" s="42"/>
      <c r="S391" s="42"/>
      <c r="T391" s="42"/>
      <c r="U391" s="51"/>
      <c r="V391" s="52"/>
      <c r="W391" s="55"/>
      <c r="X391" s="57"/>
      <c r="Y391" s="106"/>
      <c r="Z391" s="106"/>
      <c r="AA391" s="106"/>
      <c r="AB391" s="106"/>
    </row>
    <row r="392">
      <c r="A392" s="38">
        <v>391.0</v>
      </c>
      <c r="B392" s="42"/>
      <c r="C392" s="51"/>
      <c r="D392" s="38"/>
      <c r="E392" s="38" t="s">
        <v>1457</v>
      </c>
      <c r="F392" s="41" t="s">
        <v>1458</v>
      </c>
      <c r="G392" s="43"/>
      <c r="H392" s="45"/>
      <c r="I392" s="38"/>
      <c r="J392" s="38">
        <f>319</f>
        <v>319</v>
      </c>
      <c r="K392" s="46">
        <v>0.0018402777777777777</v>
      </c>
      <c r="L392" s="47" t="s">
        <v>1048</v>
      </c>
      <c r="M392" s="48"/>
      <c r="N392" s="48"/>
      <c r="O392" s="48">
        <f t="shared" si="1"/>
        <v>0</v>
      </c>
      <c r="P392" s="38"/>
      <c r="Q392" s="12" t="str">
        <f t="shared" si="2"/>
        <v/>
      </c>
      <c r="R392" s="42"/>
      <c r="S392" s="42"/>
      <c r="T392" s="42"/>
      <c r="U392" s="51"/>
      <c r="V392" s="52"/>
      <c r="W392" s="55"/>
      <c r="X392" s="57"/>
      <c r="Y392" s="106"/>
      <c r="Z392" s="106"/>
      <c r="AA392" s="106"/>
      <c r="AB392" s="106"/>
    </row>
    <row r="393">
      <c r="A393" s="38">
        <v>392.0</v>
      </c>
      <c r="B393" s="42"/>
      <c r="C393" s="51"/>
      <c r="D393" s="38"/>
      <c r="E393" s="38" t="s">
        <v>1459</v>
      </c>
      <c r="F393" s="41" t="s">
        <v>1460</v>
      </c>
      <c r="G393" s="43"/>
      <c r="H393" s="45"/>
      <c r="I393" s="38"/>
      <c r="J393" s="38">
        <f>282</f>
        <v>282</v>
      </c>
      <c r="K393" s="46">
        <v>0.001099537037037037</v>
      </c>
      <c r="L393" s="47" t="s">
        <v>1048</v>
      </c>
      <c r="M393" s="48"/>
      <c r="N393" s="48"/>
      <c r="O393" s="48">
        <f t="shared" si="1"/>
        <v>0</v>
      </c>
      <c r="P393" s="38"/>
      <c r="Q393" s="12" t="str">
        <f t="shared" si="2"/>
        <v/>
      </c>
      <c r="R393" s="42"/>
      <c r="S393" s="42"/>
      <c r="T393" s="42"/>
      <c r="U393" s="51"/>
      <c r="V393" s="52"/>
      <c r="W393" s="55"/>
      <c r="X393" s="57"/>
      <c r="Y393" s="106"/>
      <c r="Z393" s="106"/>
      <c r="AA393" s="106"/>
      <c r="AB393" s="106"/>
    </row>
    <row r="394">
      <c r="A394" s="38">
        <v>393.0</v>
      </c>
      <c r="B394" s="42"/>
      <c r="C394" s="51"/>
      <c r="D394" s="38"/>
      <c r="E394" s="38" t="s">
        <v>1461</v>
      </c>
      <c r="F394" s="41" t="s">
        <v>1462</v>
      </c>
      <c r="G394" s="43"/>
      <c r="H394" s="45"/>
      <c r="I394" s="38"/>
      <c r="J394" s="38">
        <f>1*1000</f>
        <v>1000</v>
      </c>
      <c r="K394" s="46">
        <v>0.005798611111111111</v>
      </c>
      <c r="L394" s="47" t="s">
        <v>1048</v>
      </c>
      <c r="M394" s="48"/>
      <c r="N394" s="48"/>
      <c r="O394" s="48">
        <f t="shared" si="1"/>
        <v>0</v>
      </c>
      <c r="P394" s="38"/>
      <c r="Q394" s="12" t="str">
        <f t="shared" si="2"/>
        <v/>
      </c>
      <c r="R394" s="42"/>
      <c r="S394" s="42"/>
      <c r="T394" s="42"/>
      <c r="U394" s="51"/>
      <c r="V394" s="52"/>
      <c r="W394" s="55"/>
      <c r="X394" s="57"/>
      <c r="Y394" s="106"/>
      <c r="Z394" s="106"/>
      <c r="AA394" s="106"/>
      <c r="AB394" s="106"/>
    </row>
    <row r="395">
      <c r="A395" s="38">
        <v>394.0</v>
      </c>
      <c r="B395" s="42"/>
      <c r="C395" s="51"/>
      <c r="D395" s="38"/>
      <c r="E395" s="38" t="s">
        <v>1463</v>
      </c>
      <c r="F395" s="41" t="s">
        <v>1464</v>
      </c>
      <c r="G395" s="43"/>
      <c r="H395" s="45"/>
      <c r="I395" s="38"/>
      <c r="J395" s="38">
        <f>790</f>
        <v>790</v>
      </c>
      <c r="K395" s="46">
        <v>0.0028124999999999995</v>
      </c>
      <c r="L395" s="47" t="s">
        <v>1048</v>
      </c>
      <c r="M395" s="48"/>
      <c r="N395" s="48"/>
      <c r="O395" s="48">
        <f t="shared" si="1"/>
        <v>0</v>
      </c>
      <c r="P395" s="38"/>
      <c r="Q395" s="12" t="str">
        <f t="shared" si="2"/>
        <v/>
      </c>
      <c r="R395" s="42"/>
      <c r="S395" s="42"/>
      <c r="T395" s="42"/>
      <c r="U395" s="51"/>
      <c r="V395" s="52"/>
      <c r="W395" s="55"/>
      <c r="X395" s="57"/>
      <c r="Y395" s="106"/>
      <c r="Z395" s="106"/>
      <c r="AA395" s="106"/>
      <c r="AB395" s="106"/>
    </row>
    <row r="396">
      <c r="A396" s="38">
        <v>395.0</v>
      </c>
      <c r="B396" s="42"/>
      <c r="C396" s="51"/>
      <c r="D396" s="38"/>
      <c r="E396" s="38" t="s">
        <v>1467</v>
      </c>
      <c r="F396" s="41" t="s">
        <v>1468</v>
      </c>
      <c r="G396" s="43"/>
      <c r="H396" s="45"/>
      <c r="I396" s="38"/>
      <c r="J396" s="38">
        <f>270</f>
        <v>270</v>
      </c>
      <c r="K396" s="46">
        <v>7.75462962962963E-4</v>
      </c>
      <c r="L396" s="47" t="s">
        <v>1048</v>
      </c>
      <c r="M396" s="48"/>
      <c r="N396" s="48"/>
      <c r="O396" s="48">
        <f t="shared" si="1"/>
        <v>0</v>
      </c>
      <c r="P396" s="38"/>
      <c r="Q396" s="12" t="str">
        <f t="shared" si="2"/>
        <v/>
      </c>
      <c r="R396" s="42"/>
      <c r="S396" s="42"/>
      <c r="T396" s="42"/>
      <c r="U396" s="51"/>
      <c r="V396" s="52"/>
      <c r="W396" s="55"/>
      <c r="X396" s="57"/>
      <c r="Y396" s="106"/>
      <c r="Z396" s="106"/>
      <c r="AA396" s="106"/>
      <c r="AB396" s="106"/>
    </row>
    <row r="397">
      <c r="A397" s="38">
        <v>396.0</v>
      </c>
      <c r="B397" s="42"/>
      <c r="C397" s="51"/>
      <c r="D397" s="38"/>
      <c r="E397" s="38" t="s">
        <v>1469</v>
      </c>
      <c r="F397" s="41" t="s">
        <v>1470</v>
      </c>
      <c r="G397" s="43"/>
      <c r="H397" s="45"/>
      <c r="I397" s="38"/>
      <c r="J397" s="38">
        <f>9.5*1000</f>
        <v>9500</v>
      </c>
      <c r="K397" s="46">
        <v>0.014224537037037037</v>
      </c>
      <c r="L397" s="47" t="s">
        <v>1048</v>
      </c>
      <c r="M397" s="48"/>
      <c r="N397" s="48"/>
      <c r="O397" s="48">
        <f t="shared" si="1"/>
        <v>0</v>
      </c>
      <c r="P397" s="38"/>
      <c r="Q397" s="12" t="str">
        <f t="shared" si="2"/>
        <v/>
      </c>
      <c r="R397" s="42"/>
      <c r="S397" s="42"/>
      <c r="T397" s="42"/>
      <c r="U397" s="51"/>
      <c r="V397" s="52"/>
      <c r="W397" s="55"/>
      <c r="X397" s="57"/>
      <c r="Y397" s="106"/>
      <c r="Z397" s="106"/>
      <c r="AA397" s="106"/>
      <c r="AB397" s="106"/>
    </row>
    <row r="398">
      <c r="A398" s="38">
        <v>397.0</v>
      </c>
      <c r="B398" s="42"/>
      <c r="C398" s="51"/>
      <c r="D398" s="38"/>
      <c r="E398" s="38" t="s">
        <v>1472</v>
      </c>
      <c r="F398" s="41" t="s">
        <v>1473</v>
      </c>
      <c r="G398" s="43"/>
      <c r="H398" s="45"/>
      <c r="I398" s="38"/>
      <c r="J398" s="38">
        <f>276</f>
        <v>276</v>
      </c>
      <c r="K398" s="46">
        <v>0.002511574074074074</v>
      </c>
      <c r="L398" s="47" t="s">
        <v>1048</v>
      </c>
      <c r="M398" s="48"/>
      <c r="N398" s="48"/>
      <c r="O398" s="48">
        <f t="shared" si="1"/>
        <v>0</v>
      </c>
      <c r="P398" s="38"/>
      <c r="Q398" s="12" t="str">
        <f t="shared" si="2"/>
        <v/>
      </c>
      <c r="R398" s="42"/>
      <c r="S398" s="42"/>
      <c r="T398" s="42"/>
      <c r="U398" s="51"/>
      <c r="V398" s="52"/>
      <c r="W398" s="55"/>
      <c r="X398" s="57"/>
      <c r="Y398" s="106"/>
      <c r="Z398" s="106"/>
      <c r="AA398" s="106"/>
      <c r="AB398" s="106"/>
    </row>
    <row r="399">
      <c r="A399" s="38">
        <v>398.0</v>
      </c>
      <c r="B399" s="42"/>
      <c r="C399" s="51"/>
      <c r="D399" s="38"/>
      <c r="E399" s="38" t="s">
        <v>1475</v>
      </c>
      <c r="F399" s="41" t="s">
        <v>1476</v>
      </c>
      <c r="G399" s="43"/>
      <c r="H399" s="45"/>
      <c r="I399" s="38"/>
      <c r="J399" s="38">
        <f>574</f>
        <v>574</v>
      </c>
      <c r="K399" s="46">
        <v>0.005069444444444444</v>
      </c>
      <c r="L399" s="47" t="s">
        <v>1048</v>
      </c>
      <c r="M399" s="48"/>
      <c r="N399" s="48"/>
      <c r="O399" s="48">
        <f t="shared" si="1"/>
        <v>0</v>
      </c>
      <c r="P399" s="38"/>
      <c r="Q399" s="12" t="str">
        <f t="shared" si="2"/>
        <v/>
      </c>
      <c r="R399" s="42"/>
      <c r="S399" s="42"/>
      <c r="T399" s="42"/>
      <c r="U399" s="51"/>
      <c r="V399" s="52"/>
      <c r="W399" s="55"/>
      <c r="X399" s="57"/>
      <c r="Y399" s="106"/>
      <c r="Z399" s="106"/>
      <c r="AA399" s="106"/>
      <c r="AB399" s="106"/>
    </row>
    <row r="400">
      <c r="A400" s="38">
        <v>399.0</v>
      </c>
      <c r="B400" s="42"/>
      <c r="C400" s="51"/>
      <c r="D400" s="38"/>
      <c r="E400" s="38" t="s">
        <v>1479</v>
      </c>
      <c r="F400" s="41" t="s">
        <v>1480</v>
      </c>
      <c r="G400" s="43"/>
      <c r="H400" s="45"/>
      <c r="I400" s="38"/>
      <c r="J400" s="38">
        <f>612</f>
        <v>612</v>
      </c>
      <c r="K400" s="46">
        <v>0.0015393518518518519</v>
      </c>
      <c r="L400" s="47" t="s">
        <v>1048</v>
      </c>
      <c r="M400" s="48"/>
      <c r="N400" s="48"/>
      <c r="O400" s="48">
        <f t="shared" si="1"/>
        <v>0</v>
      </c>
      <c r="P400" s="38"/>
      <c r="Q400" s="12" t="str">
        <f t="shared" si="2"/>
        <v/>
      </c>
      <c r="R400" s="42"/>
      <c r="S400" s="42"/>
      <c r="T400" s="42"/>
      <c r="U400" s="51"/>
      <c r="V400" s="52"/>
      <c r="W400" s="55"/>
      <c r="X400" s="57"/>
      <c r="Y400" s="106"/>
      <c r="Z400" s="106"/>
      <c r="AA400" s="106"/>
      <c r="AB400" s="106"/>
    </row>
    <row r="401">
      <c r="A401" s="38">
        <v>400.0</v>
      </c>
      <c r="B401" s="42"/>
      <c r="C401" s="51"/>
      <c r="D401" s="38"/>
      <c r="E401" s="38" t="s">
        <v>1481</v>
      </c>
      <c r="F401" s="41" t="s">
        <v>1482</v>
      </c>
      <c r="G401" s="43"/>
      <c r="H401" s="45"/>
      <c r="I401" s="38"/>
      <c r="J401" s="38">
        <f>423</f>
        <v>423</v>
      </c>
      <c r="K401" s="46">
        <v>0.0011689814814814816</v>
      </c>
      <c r="L401" s="47" t="s">
        <v>1048</v>
      </c>
      <c r="M401" s="48"/>
      <c r="N401" s="48"/>
      <c r="O401" s="48">
        <f t="shared" si="1"/>
        <v>0</v>
      </c>
      <c r="P401" s="38"/>
      <c r="Q401" s="12" t="str">
        <f t="shared" si="2"/>
        <v/>
      </c>
      <c r="R401" s="42"/>
      <c r="S401" s="42"/>
      <c r="T401" s="42"/>
      <c r="U401" s="51"/>
      <c r="V401" s="52"/>
      <c r="W401" s="55"/>
      <c r="X401" s="57"/>
      <c r="Y401" s="106"/>
      <c r="Z401" s="106"/>
      <c r="AA401" s="106"/>
      <c r="AB401" s="106"/>
    </row>
    <row r="402">
      <c r="A402" s="38">
        <v>401.0</v>
      </c>
      <c r="B402" s="42"/>
      <c r="C402" s="51"/>
      <c r="D402" s="38"/>
      <c r="E402" s="38" t="s">
        <v>1484</v>
      </c>
      <c r="F402" s="41" t="s">
        <v>1485</v>
      </c>
      <c r="G402" s="43"/>
      <c r="H402" s="45"/>
      <c r="I402" s="38"/>
      <c r="J402" s="38">
        <f>567</f>
        <v>567</v>
      </c>
      <c r="K402" s="46">
        <v>0.001365740740740741</v>
      </c>
      <c r="L402" s="47" t="s">
        <v>1048</v>
      </c>
      <c r="M402" s="48"/>
      <c r="N402" s="48"/>
      <c r="O402" s="48">
        <f t="shared" si="1"/>
        <v>0</v>
      </c>
      <c r="P402" s="38"/>
      <c r="Q402" s="12" t="str">
        <f t="shared" si="2"/>
        <v/>
      </c>
      <c r="R402" s="42"/>
      <c r="S402" s="42"/>
      <c r="T402" s="42"/>
      <c r="U402" s="51"/>
      <c r="V402" s="52"/>
      <c r="W402" s="55"/>
      <c r="X402" s="57"/>
      <c r="Y402" s="106"/>
      <c r="Z402" s="106"/>
      <c r="AA402" s="106"/>
      <c r="AB402" s="106"/>
    </row>
    <row r="403">
      <c r="A403" s="38">
        <v>402.0</v>
      </c>
      <c r="B403" s="42"/>
      <c r="C403" s="51"/>
      <c r="D403" s="38"/>
      <c r="E403" s="38" t="s">
        <v>1489</v>
      </c>
      <c r="F403" s="41" t="s">
        <v>1490</v>
      </c>
      <c r="G403" s="43"/>
      <c r="H403" s="45"/>
      <c r="I403" s="38"/>
      <c r="J403" s="38">
        <f>231</f>
        <v>231</v>
      </c>
      <c r="K403" s="46">
        <v>0.0022685185185185182</v>
      </c>
      <c r="L403" s="47" t="s">
        <v>1048</v>
      </c>
      <c r="M403" s="48"/>
      <c r="N403" s="48"/>
      <c r="O403" s="48">
        <f t="shared" si="1"/>
        <v>0</v>
      </c>
      <c r="P403" s="38"/>
      <c r="Q403" s="12" t="str">
        <f t="shared" si="2"/>
        <v/>
      </c>
      <c r="R403" s="42"/>
      <c r="S403" s="42"/>
      <c r="T403" s="42"/>
      <c r="U403" s="51"/>
      <c r="V403" s="52"/>
      <c r="W403" s="55"/>
      <c r="X403" s="57"/>
      <c r="Y403" s="106"/>
      <c r="Z403" s="106"/>
      <c r="AA403" s="106"/>
      <c r="AB403" s="106"/>
    </row>
    <row r="404">
      <c r="A404" s="38">
        <v>403.0</v>
      </c>
      <c r="B404" s="42"/>
      <c r="C404" s="51"/>
      <c r="D404" s="38"/>
      <c r="E404" s="38" t="s">
        <v>1491</v>
      </c>
      <c r="F404" s="41" t="s">
        <v>1492</v>
      </c>
      <c r="G404" s="43"/>
      <c r="H404" s="45"/>
      <c r="I404" s="38"/>
      <c r="J404" s="38">
        <f>415</f>
        <v>415</v>
      </c>
      <c r="K404" s="46">
        <v>0.002893518518518519</v>
      </c>
      <c r="L404" s="47" t="s">
        <v>1048</v>
      </c>
      <c r="M404" s="48"/>
      <c r="N404" s="48"/>
      <c r="O404" s="48">
        <f t="shared" si="1"/>
        <v>0</v>
      </c>
      <c r="P404" s="38"/>
      <c r="Q404" s="12" t="str">
        <f t="shared" si="2"/>
        <v/>
      </c>
      <c r="R404" s="42"/>
      <c r="S404" s="42"/>
      <c r="T404" s="42"/>
      <c r="U404" s="51"/>
      <c r="V404" s="52"/>
      <c r="W404" s="55"/>
      <c r="X404" s="57"/>
      <c r="Y404" s="106"/>
      <c r="Z404" s="106"/>
      <c r="AA404" s="106"/>
      <c r="AB404" s="106"/>
    </row>
    <row r="405">
      <c r="A405" s="38">
        <v>404.0</v>
      </c>
      <c r="B405" s="42"/>
      <c r="C405" s="51"/>
      <c r="D405" s="38"/>
      <c r="E405" s="38" t="s">
        <v>1493</v>
      </c>
      <c r="F405" s="41" t="s">
        <v>1494</v>
      </c>
      <c r="G405" s="43"/>
      <c r="H405" s="45"/>
      <c r="I405" s="38"/>
      <c r="J405" s="38">
        <f>553</f>
        <v>553</v>
      </c>
      <c r="K405" s="46">
        <v>0.002199074074074074</v>
      </c>
      <c r="L405" s="47" t="s">
        <v>1048</v>
      </c>
      <c r="M405" s="48"/>
      <c r="N405" s="48"/>
      <c r="O405" s="48">
        <f t="shared" si="1"/>
        <v>0</v>
      </c>
      <c r="P405" s="38"/>
      <c r="Q405" s="12" t="str">
        <f t="shared" si="2"/>
        <v/>
      </c>
      <c r="R405" s="42"/>
      <c r="S405" s="42"/>
      <c r="T405" s="42"/>
      <c r="U405" s="51"/>
      <c r="V405" s="52"/>
      <c r="W405" s="55"/>
      <c r="X405" s="57"/>
      <c r="Y405" s="106"/>
      <c r="Z405" s="106"/>
      <c r="AA405" s="106"/>
      <c r="AB405" s="106"/>
    </row>
    <row r="406">
      <c r="A406" s="38">
        <v>405.0</v>
      </c>
      <c r="B406" s="42"/>
      <c r="C406" s="51"/>
      <c r="D406" s="38"/>
      <c r="E406" s="38" t="s">
        <v>1495</v>
      </c>
      <c r="F406" s="41" t="s">
        <v>1496</v>
      </c>
      <c r="G406" s="43"/>
      <c r="H406" s="45"/>
      <c r="I406" s="38"/>
      <c r="J406" s="38">
        <f>353</f>
        <v>353</v>
      </c>
      <c r="K406" s="46">
        <v>0.0013541666666666667</v>
      </c>
      <c r="L406" s="47" t="s">
        <v>1048</v>
      </c>
      <c r="M406" s="48"/>
      <c r="N406" s="48"/>
      <c r="O406" s="48">
        <f t="shared" si="1"/>
        <v>0</v>
      </c>
      <c r="P406" s="38"/>
      <c r="Q406" s="12" t="str">
        <f t="shared" si="2"/>
        <v/>
      </c>
      <c r="R406" s="42"/>
      <c r="S406" s="42"/>
      <c r="T406" s="42"/>
      <c r="U406" s="51"/>
      <c r="V406" s="52"/>
      <c r="W406" s="55"/>
      <c r="X406" s="57"/>
      <c r="Y406" s="106"/>
      <c r="Z406" s="106"/>
      <c r="AA406" s="106"/>
      <c r="AB406" s="106"/>
    </row>
    <row r="407">
      <c r="A407" s="38">
        <v>406.0</v>
      </c>
      <c r="B407" s="42"/>
      <c r="C407" s="51"/>
      <c r="D407" s="38"/>
      <c r="E407" s="38" t="s">
        <v>1497</v>
      </c>
      <c r="F407" s="41" t="s">
        <v>1498</v>
      </c>
      <c r="G407" s="43"/>
      <c r="H407" s="45"/>
      <c r="I407" s="38"/>
      <c r="J407" s="38">
        <f>798</f>
        <v>798</v>
      </c>
      <c r="K407" s="46">
        <v>0.0018287037037037037</v>
      </c>
      <c r="L407" s="47" t="s">
        <v>1048</v>
      </c>
      <c r="M407" s="48"/>
      <c r="N407" s="48"/>
      <c r="O407" s="48">
        <f t="shared" si="1"/>
        <v>0</v>
      </c>
      <c r="P407" s="38"/>
      <c r="Q407" s="12" t="str">
        <f t="shared" si="2"/>
        <v/>
      </c>
      <c r="R407" s="42"/>
      <c r="S407" s="42"/>
      <c r="T407" s="42"/>
      <c r="U407" s="51"/>
      <c r="V407" s="52"/>
      <c r="W407" s="55"/>
      <c r="X407" s="57"/>
      <c r="Y407" s="106"/>
      <c r="Z407" s="106"/>
      <c r="AA407" s="106"/>
      <c r="AB407" s="106"/>
    </row>
    <row r="408">
      <c r="A408" s="38">
        <v>407.0</v>
      </c>
      <c r="B408" s="42"/>
      <c r="C408" s="51"/>
      <c r="D408" s="38"/>
      <c r="E408" s="38" t="s">
        <v>1499</v>
      </c>
      <c r="F408" s="41" t="s">
        <v>1500</v>
      </c>
      <c r="G408" s="43"/>
      <c r="H408" s="45"/>
      <c r="I408" s="38"/>
      <c r="J408" s="38">
        <f>632</f>
        <v>632</v>
      </c>
      <c r="K408" s="46">
        <v>0.0059490740740740745</v>
      </c>
      <c r="L408" s="47" t="s">
        <v>1048</v>
      </c>
      <c r="M408" s="48"/>
      <c r="N408" s="48"/>
      <c r="O408" s="48">
        <f t="shared" si="1"/>
        <v>0</v>
      </c>
      <c r="P408" s="38"/>
      <c r="Q408" s="12" t="str">
        <f t="shared" si="2"/>
        <v/>
      </c>
      <c r="R408" s="42"/>
      <c r="S408" s="42"/>
      <c r="T408" s="42"/>
      <c r="U408" s="51"/>
      <c r="V408" s="52"/>
      <c r="W408" s="55"/>
      <c r="X408" s="57"/>
      <c r="Y408" s="106"/>
      <c r="Z408" s="106"/>
      <c r="AA408" s="106"/>
      <c r="AB408" s="106"/>
    </row>
    <row r="409">
      <c r="A409" s="38">
        <v>408.0</v>
      </c>
      <c r="B409" s="42"/>
      <c r="C409" s="51"/>
      <c r="D409" s="38"/>
      <c r="E409" s="38" t="s">
        <v>1501</v>
      </c>
      <c r="F409" s="41" t="s">
        <v>1502</v>
      </c>
      <c r="G409" s="43"/>
      <c r="H409" s="45"/>
      <c r="I409" s="38"/>
      <c r="J409" s="38">
        <f>363</f>
        <v>363</v>
      </c>
      <c r="K409" s="46">
        <v>0.0014583333333333334</v>
      </c>
      <c r="L409" s="47" t="s">
        <v>1048</v>
      </c>
      <c r="M409" s="48"/>
      <c r="N409" s="48"/>
      <c r="O409" s="48">
        <f t="shared" si="1"/>
        <v>0</v>
      </c>
      <c r="P409" s="38"/>
      <c r="Q409" s="12" t="str">
        <f t="shared" si="2"/>
        <v/>
      </c>
      <c r="R409" s="42"/>
      <c r="S409" s="42"/>
      <c r="T409" s="42"/>
      <c r="U409" s="51"/>
      <c r="V409" s="52"/>
      <c r="W409" s="55"/>
      <c r="X409" s="57"/>
      <c r="Y409" s="106"/>
      <c r="Z409" s="106"/>
      <c r="AA409" s="106"/>
      <c r="AB409" s="106"/>
    </row>
    <row r="410">
      <c r="A410" s="38">
        <v>409.0</v>
      </c>
      <c r="B410" s="42"/>
      <c r="C410" s="51"/>
      <c r="D410" s="38"/>
      <c r="E410" s="38" t="s">
        <v>1503</v>
      </c>
      <c r="F410" s="41" t="s">
        <v>1504</v>
      </c>
      <c r="G410" s="43"/>
      <c r="H410" s="45"/>
      <c r="I410" s="38"/>
      <c r="J410" s="38">
        <f>2.4*1000</f>
        <v>2400</v>
      </c>
      <c r="K410" s="46">
        <v>0.0020370370370370373</v>
      </c>
      <c r="L410" s="47" t="s">
        <v>1048</v>
      </c>
      <c r="M410" s="48"/>
      <c r="N410" s="48"/>
      <c r="O410" s="48">
        <f t="shared" si="1"/>
        <v>0</v>
      </c>
      <c r="P410" s="38"/>
      <c r="Q410" s="12" t="str">
        <f t="shared" si="2"/>
        <v/>
      </c>
      <c r="R410" s="42"/>
      <c r="S410" s="42"/>
      <c r="T410" s="42"/>
      <c r="U410" s="51"/>
      <c r="V410" s="52"/>
      <c r="W410" s="55"/>
      <c r="X410" s="57"/>
      <c r="Y410" s="106"/>
      <c r="Z410" s="106"/>
      <c r="AA410" s="106"/>
      <c r="AB410" s="106"/>
    </row>
    <row r="411">
      <c r="A411" s="38">
        <v>410.0</v>
      </c>
      <c r="B411" s="42"/>
      <c r="C411" s="51"/>
      <c r="D411" s="38"/>
      <c r="E411" s="38" t="s">
        <v>1505</v>
      </c>
      <c r="F411" s="41" t="s">
        <v>1506</v>
      </c>
      <c r="G411" s="43"/>
      <c r="H411" s="45"/>
      <c r="I411" s="38"/>
      <c r="J411" s="38">
        <f>513</f>
        <v>513</v>
      </c>
      <c r="K411" s="46">
        <v>7.638888888888889E-4</v>
      </c>
      <c r="L411" s="47" t="s">
        <v>1048</v>
      </c>
      <c r="M411" s="48"/>
      <c r="N411" s="48"/>
      <c r="O411" s="48">
        <f t="shared" si="1"/>
        <v>0</v>
      </c>
      <c r="P411" s="38"/>
      <c r="Q411" s="12" t="str">
        <f t="shared" si="2"/>
        <v/>
      </c>
      <c r="R411" s="42"/>
      <c r="S411" s="42"/>
      <c r="T411" s="42"/>
      <c r="U411" s="51"/>
      <c r="V411" s="52"/>
      <c r="W411" s="55"/>
      <c r="X411" s="57"/>
      <c r="Y411" s="106"/>
      <c r="Z411" s="106"/>
      <c r="AA411" s="106"/>
      <c r="AB411" s="106"/>
    </row>
    <row r="412">
      <c r="A412" s="38">
        <v>411.0</v>
      </c>
      <c r="B412" s="42"/>
      <c r="C412" s="51"/>
      <c r="D412" s="38"/>
      <c r="E412" s="38" t="s">
        <v>1507</v>
      </c>
      <c r="F412" s="41" t="s">
        <v>1508</v>
      </c>
      <c r="G412" s="43"/>
      <c r="H412" s="45"/>
      <c r="I412" s="38"/>
      <c r="J412" s="38">
        <f>765</f>
        <v>765</v>
      </c>
      <c r="K412" s="46">
        <v>0.002615740740740741</v>
      </c>
      <c r="L412" s="47" t="s">
        <v>1048</v>
      </c>
      <c r="M412" s="48"/>
      <c r="N412" s="48"/>
      <c r="O412" s="48">
        <f t="shared" si="1"/>
        <v>0</v>
      </c>
      <c r="P412" s="38"/>
      <c r="Q412" s="12" t="str">
        <f t="shared" si="2"/>
        <v/>
      </c>
      <c r="R412" s="42"/>
      <c r="S412" s="42"/>
      <c r="T412" s="42"/>
      <c r="U412" s="51"/>
      <c r="V412" s="52"/>
      <c r="W412" s="55"/>
      <c r="X412" s="57"/>
      <c r="Y412" s="106"/>
      <c r="Z412" s="106"/>
      <c r="AA412" s="106"/>
      <c r="AB412" s="106"/>
    </row>
    <row r="413">
      <c r="A413" s="38">
        <v>412.0</v>
      </c>
      <c r="B413" s="42"/>
      <c r="C413" s="51"/>
      <c r="D413" s="38"/>
      <c r="E413" s="38" t="s">
        <v>1509</v>
      </c>
      <c r="F413" s="41" t="s">
        <v>1510</v>
      </c>
      <c r="G413" s="43"/>
      <c r="H413" s="45"/>
      <c r="I413" s="38"/>
      <c r="J413" s="38">
        <f>477</f>
        <v>477</v>
      </c>
      <c r="K413" s="46">
        <v>0.002962962962962963</v>
      </c>
      <c r="L413" s="47" t="s">
        <v>1048</v>
      </c>
      <c r="M413" s="48"/>
      <c r="N413" s="48"/>
      <c r="O413" s="48">
        <f t="shared" si="1"/>
        <v>0</v>
      </c>
      <c r="P413" s="38"/>
      <c r="Q413" s="12" t="str">
        <f t="shared" si="2"/>
        <v/>
      </c>
      <c r="R413" s="42"/>
      <c r="S413" s="42"/>
      <c r="T413" s="42"/>
      <c r="U413" s="51"/>
      <c r="V413" s="52"/>
      <c r="W413" s="55"/>
      <c r="X413" s="57"/>
      <c r="Y413" s="106"/>
      <c r="Z413" s="106"/>
      <c r="AA413" s="106"/>
      <c r="AB413" s="106"/>
    </row>
    <row r="414">
      <c r="A414" s="38">
        <v>413.0</v>
      </c>
      <c r="B414" s="42"/>
      <c r="C414" s="51"/>
      <c r="D414" s="38"/>
      <c r="E414" s="38" t="s">
        <v>1511</v>
      </c>
      <c r="F414" s="41" t="s">
        <v>1512</v>
      </c>
      <c r="G414" s="43"/>
      <c r="H414" s="45"/>
      <c r="I414" s="38"/>
      <c r="J414" s="38">
        <f>742</f>
        <v>742</v>
      </c>
      <c r="K414" s="46">
        <v>0.002627314814814815</v>
      </c>
      <c r="L414" s="47" t="s">
        <v>1048</v>
      </c>
      <c r="M414" s="48"/>
      <c r="N414" s="48"/>
      <c r="O414" s="48">
        <f t="shared" si="1"/>
        <v>0</v>
      </c>
      <c r="P414" s="38"/>
      <c r="Q414" s="12" t="str">
        <f t="shared" si="2"/>
        <v/>
      </c>
      <c r="R414" s="42"/>
      <c r="S414" s="42"/>
      <c r="T414" s="42"/>
      <c r="U414" s="51"/>
      <c r="V414" s="52"/>
      <c r="W414" s="55"/>
      <c r="X414" s="57"/>
      <c r="Y414" s="106"/>
      <c r="Z414" s="106"/>
      <c r="AA414" s="106"/>
      <c r="AB414" s="106"/>
    </row>
    <row r="415">
      <c r="A415" s="38">
        <v>414.0</v>
      </c>
      <c r="B415" s="42"/>
      <c r="C415" s="51"/>
      <c r="D415" s="38"/>
      <c r="E415" s="38" t="s">
        <v>1513</v>
      </c>
      <c r="F415" s="41" t="s">
        <v>1514</v>
      </c>
      <c r="G415" s="43"/>
      <c r="H415" s="45"/>
      <c r="I415" s="38"/>
      <c r="J415" s="38">
        <f>540</f>
        <v>540</v>
      </c>
      <c r="K415" s="46">
        <v>0.003923611111111111</v>
      </c>
      <c r="L415" s="47" t="s">
        <v>1048</v>
      </c>
      <c r="M415" s="48"/>
      <c r="N415" s="48"/>
      <c r="O415" s="48">
        <f t="shared" si="1"/>
        <v>0</v>
      </c>
      <c r="P415" s="38"/>
      <c r="Q415" s="12" t="str">
        <f t="shared" si="2"/>
        <v/>
      </c>
      <c r="R415" s="42"/>
      <c r="S415" s="42"/>
      <c r="T415" s="42"/>
      <c r="U415" s="51"/>
      <c r="V415" s="52"/>
      <c r="W415" s="55"/>
      <c r="X415" s="57"/>
      <c r="Y415" s="106"/>
      <c r="Z415" s="106"/>
      <c r="AA415" s="106"/>
      <c r="AB415" s="106"/>
    </row>
    <row r="416">
      <c r="A416" s="38">
        <v>415.0</v>
      </c>
      <c r="B416" s="42"/>
      <c r="C416" s="51"/>
      <c r="D416" s="38"/>
      <c r="E416" s="38" t="s">
        <v>1515</v>
      </c>
      <c r="F416" s="41" t="s">
        <v>1516</v>
      </c>
      <c r="G416" s="43"/>
      <c r="H416" s="45"/>
      <c r="I416" s="38"/>
      <c r="J416" s="38">
        <f>657</f>
        <v>657</v>
      </c>
      <c r="K416" s="46">
        <v>0.001099537037037037</v>
      </c>
      <c r="L416" s="47" t="s">
        <v>1048</v>
      </c>
      <c r="M416" s="48"/>
      <c r="N416" s="48"/>
      <c r="O416" s="48">
        <f t="shared" si="1"/>
        <v>0</v>
      </c>
      <c r="P416" s="38"/>
      <c r="Q416" s="12" t="str">
        <f t="shared" si="2"/>
        <v/>
      </c>
      <c r="R416" s="42"/>
      <c r="S416" s="42"/>
      <c r="T416" s="42"/>
      <c r="U416" s="51"/>
      <c r="V416" s="52"/>
      <c r="W416" s="55"/>
      <c r="X416" s="57"/>
      <c r="Y416" s="106"/>
      <c r="Z416" s="106"/>
      <c r="AA416" s="106"/>
      <c r="AB416" s="106"/>
    </row>
    <row r="417">
      <c r="A417" s="38">
        <v>416.0</v>
      </c>
      <c r="B417" s="42"/>
      <c r="C417" s="51"/>
      <c r="D417" s="38"/>
      <c r="E417" s="38" t="s">
        <v>1517</v>
      </c>
      <c r="F417" s="41" t="s">
        <v>1518</v>
      </c>
      <c r="G417" s="43"/>
      <c r="H417" s="45"/>
      <c r="I417" s="38"/>
      <c r="J417" s="38">
        <f>535</f>
        <v>535</v>
      </c>
      <c r="K417" s="46">
        <v>0.0017708333333333332</v>
      </c>
      <c r="L417" s="47" t="s">
        <v>1048</v>
      </c>
      <c r="M417" s="48"/>
      <c r="N417" s="48"/>
      <c r="O417" s="48">
        <f t="shared" si="1"/>
        <v>0</v>
      </c>
      <c r="P417" s="38"/>
      <c r="Q417" s="12" t="str">
        <f t="shared" si="2"/>
        <v/>
      </c>
      <c r="R417" s="42"/>
      <c r="S417" s="42"/>
      <c r="T417" s="42"/>
      <c r="U417" s="51"/>
      <c r="V417" s="52"/>
      <c r="W417" s="55"/>
      <c r="X417" s="57"/>
      <c r="Y417" s="106"/>
      <c r="Z417" s="106"/>
      <c r="AA417" s="106"/>
      <c r="AB417" s="106"/>
    </row>
    <row r="418">
      <c r="A418" s="38">
        <v>417.0</v>
      </c>
      <c r="B418" s="42"/>
      <c r="C418" s="51"/>
      <c r="D418" s="38"/>
      <c r="E418" s="38" t="s">
        <v>1519</v>
      </c>
      <c r="F418" s="41" t="s">
        <v>1520</v>
      </c>
      <c r="G418" s="43"/>
      <c r="H418" s="45"/>
      <c r="I418" s="38"/>
      <c r="J418" s="38">
        <f>6.4*1000</f>
        <v>6400</v>
      </c>
      <c r="K418" s="46">
        <v>0.01880787037037037</v>
      </c>
      <c r="L418" s="47" t="s">
        <v>1048</v>
      </c>
      <c r="M418" s="48"/>
      <c r="N418" s="48"/>
      <c r="O418" s="48">
        <f t="shared" si="1"/>
        <v>0</v>
      </c>
      <c r="P418" s="38"/>
      <c r="Q418" s="12" t="str">
        <f t="shared" si="2"/>
        <v/>
      </c>
      <c r="R418" s="42"/>
      <c r="S418" s="42"/>
      <c r="T418" s="42"/>
      <c r="U418" s="51"/>
      <c r="V418" s="52"/>
      <c r="W418" s="55"/>
      <c r="X418" s="57"/>
      <c r="Y418" s="106"/>
      <c r="Z418" s="106"/>
      <c r="AA418" s="106"/>
      <c r="AB418" s="106"/>
    </row>
    <row r="419">
      <c r="A419" s="38">
        <v>418.0</v>
      </c>
      <c r="B419" s="42"/>
      <c r="C419" s="51"/>
      <c r="D419" s="38"/>
      <c r="E419" s="38" t="s">
        <v>1524</v>
      </c>
      <c r="F419" s="41" t="s">
        <v>1525</v>
      </c>
      <c r="G419" s="43"/>
      <c r="H419" s="45"/>
      <c r="I419" s="38"/>
      <c r="J419" s="38">
        <f>257</f>
        <v>257</v>
      </c>
      <c r="K419" s="46">
        <v>0.0020486111111111113</v>
      </c>
      <c r="L419" s="47" t="s">
        <v>1048</v>
      </c>
      <c r="M419" s="48"/>
      <c r="N419" s="48"/>
      <c r="O419" s="48">
        <f t="shared" si="1"/>
        <v>0</v>
      </c>
      <c r="P419" s="38"/>
      <c r="Q419" s="12" t="str">
        <f t="shared" si="2"/>
        <v/>
      </c>
      <c r="R419" s="42"/>
      <c r="S419" s="42"/>
      <c r="T419" s="42"/>
      <c r="U419" s="51"/>
      <c r="V419" s="52"/>
      <c r="W419" s="55"/>
      <c r="X419" s="57"/>
      <c r="Y419" s="106"/>
      <c r="Z419" s="106"/>
      <c r="AA419" s="106"/>
      <c r="AB419" s="106"/>
    </row>
    <row r="420">
      <c r="A420" s="38">
        <v>419.0</v>
      </c>
      <c r="B420" s="42"/>
      <c r="C420" s="51"/>
      <c r="D420" s="38"/>
      <c r="E420" s="38" t="s">
        <v>1526</v>
      </c>
      <c r="F420" s="41" t="s">
        <v>1527</v>
      </c>
      <c r="G420" s="43"/>
      <c r="H420" s="45"/>
      <c r="I420" s="38"/>
      <c r="J420" s="38">
        <f>485</f>
        <v>485</v>
      </c>
      <c r="K420" s="46">
        <v>0.0015624999999999999</v>
      </c>
      <c r="L420" s="47" t="s">
        <v>1048</v>
      </c>
      <c r="M420" s="48"/>
      <c r="N420" s="48"/>
      <c r="O420" s="48">
        <f t="shared" si="1"/>
        <v>0</v>
      </c>
      <c r="P420" s="38"/>
      <c r="Q420" s="12" t="str">
        <f t="shared" si="2"/>
        <v/>
      </c>
      <c r="R420" s="42"/>
      <c r="S420" s="42"/>
      <c r="T420" s="42"/>
      <c r="U420" s="51"/>
      <c r="V420" s="52"/>
      <c r="W420" s="55"/>
      <c r="X420" s="57"/>
      <c r="Y420" s="106"/>
      <c r="Z420" s="106"/>
      <c r="AA420" s="106"/>
      <c r="AB420" s="106"/>
    </row>
    <row r="421">
      <c r="A421" s="38">
        <v>420.0</v>
      </c>
      <c r="B421" s="42"/>
      <c r="C421" s="51"/>
      <c r="D421" s="38"/>
      <c r="E421" s="38" t="s">
        <v>1530</v>
      </c>
      <c r="F421" s="41" t="s">
        <v>1531</v>
      </c>
      <c r="G421" s="43"/>
      <c r="H421" s="45"/>
      <c r="I421" s="38"/>
      <c r="J421" s="38">
        <f>994</f>
        <v>994</v>
      </c>
      <c r="K421" s="46">
        <v>3.5879629629629635E-4</v>
      </c>
      <c r="L421" s="47" t="s">
        <v>1048</v>
      </c>
      <c r="M421" s="48"/>
      <c r="N421" s="48"/>
      <c r="O421" s="48">
        <f t="shared" si="1"/>
        <v>0</v>
      </c>
      <c r="P421" s="38"/>
      <c r="Q421" s="12" t="str">
        <f t="shared" si="2"/>
        <v/>
      </c>
      <c r="R421" s="42"/>
      <c r="S421" s="42"/>
      <c r="T421" s="42"/>
      <c r="U421" s="51"/>
      <c r="V421" s="52"/>
      <c r="W421" s="55"/>
      <c r="X421" s="57"/>
      <c r="Y421" s="106"/>
      <c r="Z421" s="106"/>
      <c r="AA421" s="106"/>
      <c r="AB421" s="106"/>
    </row>
    <row r="422">
      <c r="A422" s="38">
        <v>421.0</v>
      </c>
      <c r="B422" s="42"/>
      <c r="C422" s="51"/>
      <c r="D422" s="38"/>
      <c r="E422" s="38" t="s">
        <v>1532</v>
      </c>
      <c r="F422" s="41" t="s">
        <v>1533</v>
      </c>
      <c r="G422" s="43"/>
      <c r="H422" s="45"/>
      <c r="I422" s="38"/>
      <c r="J422" s="38">
        <f>3.3*1000</f>
        <v>3300</v>
      </c>
      <c r="K422" s="46">
        <v>0.0038194444444444443</v>
      </c>
      <c r="L422" s="47" t="s">
        <v>1048</v>
      </c>
      <c r="M422" s="48"/>
      <c r="N422" s="48"/>
      <c r="O422" s="48">
        <f t="shared" si="1"/>
        <v>0</v>
      </c>
      <c r="P422" s="38"/>
      <c r="Q422" s="12" t="str">
        <f t="shared" si="2"/>
        <v/>
      </c>
      <c r="R422" s="42"/>
      <c r="S422" s="42"/>
      <c r="T422" s="42"/>
      <c r="U422" s="51"/>
      <c r="V422" s="52"/>
      <c r="W422" s="55"/>
      <c r="X422" s="57"/>
      <c r="Y422" s="106"/>
      <c r="Z422" s="106"/>
      <c r="AA422" s="106"/>
      <c r="AB422" s="106"/>
    </row>
    <row r="423">
      <c r="A423" s="38">
        <v>422.0</v>
      </c>
      <c r="B423" s="42"/>
      <c r="C423" s="51"/>
      <c r="D423" s="38"/>
      <c r="E423" s="38" t="s">
        <v>1534</v>
      </c>
      <c r="F423" s="41" t="s">
        <v>1535</v>
      </c>
      <c r="G423" s="43"/>
      <c r="H423" s="45"/>
      <c r="I423" s="38"/>
      <c r="J423" s="38">
        <f>376</f>
        <v>376</v>
      </c>
      <c r="K423" s="46">
        <v>0.0016203703703703703</v>
      </c>
      <c r="L423" s="47" t="s">
        <v>1048</v>
      </c>
      <c r="M423" s="48"/>
      <c r="N423" s="48"/>
      <c r="O423" s="48">
        <f t="shared" si="1"/>
        <v>0</v>
      </c>
      <c r="P423" s="38"/>
      <c r="Q423" s="12" t="str">
        <f t="shared" si="2"/>
        <v/>
      </c>
      <c r="R423" s="42"/>
      <c r="S423" s="42"/>
      <c r="T423" s="42"/>
      <c r="U423" s="51"/>
      <c r="V423" s="52"/>
      <c r="W423" s="55"/>
      <c r="X423" s="57"/>
      <c r="Y423" s="106"/>
      <c r="Z423" s="106"/>
      <c r="AA423" s="106"/>
      <c r="AB423" s="106"/>
    </row>
    <row r="424">
      <c r="A424" s="38">
        <v>423.0</v>
      </c>
      <c r="B424" s="42"/>
      <c r="C424" s="51"/>
      <c r="D424" s="38"/>
      <c r="E424" s="38" t="s">
        <v>1539</v>
      </c>
      <c r="F424" s="41" t="s">
        <v>1540</v>
      </c>
      <c r="G424" s="43"/>
      <c r="H424" s="45"/>
      <c r="I424" s="38"/>
      <c r="J424" s="38">
        <f>263</f>
        <v>263</v>
      </c>
      <c r="K424" s="46">
        <v>4.513888888888889E-4</v>
      </c>
      <c r="L424" s="47" t="s">
        <v>1048</v>
      </c>
      <c r="M424" s="48"/>
      <c r="N424" s="48"/>
      <c r="O424" s="48">
        <f t="shared" si="1"/>
        <v>0</v>
      </c>
      <c r="P424" s="38"/>
      <c r="Q424" s="12" t="str">
        <f t="shared" si="2"/>
        <v/>
      </c>
      <c r="R424" s="42"/>
      <c r="S424" s="42"/>
      <c r="T424" s="42"/>
      <c r="U424" s="51"/>
      <c r="V424" s="52"/>
      <c r="W424" s="55"/>
      <c r="X424" s="57"/>
      <c r="Y424" s="106"/>
      <c r="Z424" s="106"/>
      <c r="AA424" s="106"/>
      <c r="AB424" s="106"/>
    </row>
    <row r="425">
      <c r="A425" s="38">
        <v>424.0</v>
      </c>
      <c r="B425" s="42"/>
      <c r="C425" s="51"/>
      <c r="D425" s="38"/>
      <c r="E425" s="38" t="s">
        <v>1544</v>
      </c>
      <c r="F425" s="41" t="s">
        <v>1545</v>
      </c>
      <c r="G425" s="43"/>
      <c r="H425" s="45"/>
      <c r="I425" s="38"/>
      <c r="J425" s="38">
        <f>309</f>
        <v>309</v>
      </c>
      <c r="K425" s="46">
        <v>0.0018171296296296297</v>
      </c>
      <c r="L425" s="47" t="s">
        <v>1048</v>
      </c>
      <c r="M425" s="48"/>
      <c r="N425" s="48"/>
      <c r="O425" s="48">
        <f t="shared" si="1"/>
        <v>0</v>
      </c>
      <c r="P425" s="38"/>
      <c r="Q425" s="12" t="str">
        <f t="shared" si="2"/>
        <v/>
      </c>
      <c r="R425" s="42"/>
      <c r="S425" s="42"/>
      <c r="T425" s="42"/>
      <c r="U425" s="51"/>
      <c r="V425" s="52"/>
      <c r="W425" s="55"/>
      <c r="X425" s="57"/>
      <c r="Y425" s="106"/>
      <c r="Z425" s="106"/>
      <c r="AA425" s="106"/>
      <c r="AB425" s="106"/>
    </row>
    <row r="426">
      <c r="A426" s="38">
        <v>425.0</v>
      </c>
      <c r="B426" s="42"/>
      <c r="C426" s="51"/>
      <c r="D426" s="38"/>
      <c r="E426" s="38" t="s">
        <v>1548</v>
      </c>
      <c r="F426" s="41" t="s">
        <v>1549</v>
      </c>
      <c r="G426" s="43"/>
      <c r="H426" s="45"/>
      <c r="I426" s="38"/>
      <c r="J426" s="38">
        <f>899</f>
        <v>899</v>
      </c>
      <c r="K426" s="46">
        <v>8.912037037037036E-4</v>
      </c>
      <c r="L426" s="47" t="s">
        <v>1048</v>
      </c>
      <c r="M426" s="48"/>
      <c r="N426" s="48"/>
      <c r="O426" s="48">
        <f t="shared" si="1"/>
        <v>0</v>
      </c>
      <c r="P426" s="38"/>
      <c r="Q426" s="12" t="str">
        <f t="shared" si="2"/>
        <v/>
      </c>
      <c r="R426" s="42"/>
      <c r="S426" s="42"/>
      <c r="T426" s="42"/>
      <c r="U426" s="51"/>
      <c r="V426" s="52"/>
      <c r="W426" s="55"/>
      <c r="X426" s="57"/>
      <c r="Y426" s="106"/>
      <c r="Z426" s="106"/>
      <c r="AA426" s="106"/>
      <c r="AB426" s="106"/>
    </row>
    <row r="427">
      <c r="A427" s="38">
        <v>426.0</v>
      </c>
      <c r="B427" s="42"/>
      <c r="C427" s="51"/>
      <c r="D427" s="38"/>
      <c r="E427" s="38" t="s">
        <v>1551</v>
      </c>
      <c r="F427" s="41" t="s">
        <v>1552</v>
      </c>
      <c r="G427" s="43"/>
      <c r="H427" s="45"/>
      <c r="I427" s="38"/>
      <c r="J427" s="38">
        <f>1.4*1000</f>
        <v>1400</v>
      </c>
      <c r="K427" s="46">
        <v>0.001736111111111111</v>
      </c>
      <c r="L427" s="47" t="s">
        <v>1048</v>
      </c>
      <c r="M427" s="48"/>
      <c r="N427" s="48"/>
      <c r="O427" s="48">
        <f t="shared" si="1"/>
        <v>0</v>
      </c>
      <c r="P427" s="38"/>
      <c r="Q427" s="12" t="str">
        <f t="shared" si="2"/>
        <v/>
      </c>
      <c r="R427" s="42"/>
      <c r="S427" s="42"/>
      <c r="T427" s="42"/>
      <c r="U427" s="51"/>
      <c r="V427" s="52"/>
      <c r="W427" s="55"/>
      <c r="X427" s="57"/>
      <c r="Y427" s="106"/>
      <c r="Z427" s="106"/>
      <c r="AA427" s="106"/>
      <c r="AB427" s="106"/>
    </row>
    <row r="428">
      <c r="A428" s="38">
        <v>427.0</v>
      </c>
      <c r="B428" s="42"/>
      <c r="C428" s="51"/>
      <c r="D428" s="38"/>
      <c r="E428" s="38" t="s">
        <v>1555</v>
      </c>
      <c r="F428" s="41" t="s">
        <v>1556</v>
      </c>
      <c r="G428" s="43"/>
      <c r="H428" s="45"/>
      <c r="I428" s="38"/>
      <c r="J428" s="38">
        <f>328</f>
        <v>328</v>
      </c>
      <c r="K428" s="46">
        <v>0.0023958333333333336</v>
      </c>
      <c r="L428" s="47" t="s">
        <v>1048</v>
      </c>
      <c r="M428" s="48"/>
      <c r="N428" s="48"/>
      <c r="O428" s="48">
        <f t="shared" si="1"/>
        <v>0</v>
      </c>
      <c r="P428" s="38"/>
      <c r="Q428" s="12" t="str">
        <f t="shared" si="2"/>
        <v/>
      </c>
      <c r="R428" s="42"/>
      <c r="S428" s="42"/>
      <c r="T428" s="42"/>
      <c r="U428" s="51"/>
      <c r="V428" s="52"/>
      <c r="W428" s="55"/>
      <c r="X428" s="57"/>
      <c r="Y428" s="106"/>
      <c r="Z428" s="106"/>
      <c r="AA428" s="106"/>
      <c r="AB428" s="106"/>
    </row>
    <row r="429">
      <c r="A429" s="38">
        <v>428.0</v>
      </c>
      <c r="B429" s="42"/>
      <c r="C429" s="51"/>
      <c r="D429" s="38"/>
      <c r="E429" s="38" t="s">
        <v>1557</v>
      </c>
      <c r="F429" s="41" t="s">
        <v>1558</v>
      </c>
      <c r="G429" s="43"/>
      <c r="H429" s="45"/>
      <c r="I429" s="38"/>
      <c r="J429" s="38">
        <f>776</f>
        <v>776</v>
      </c>
      <c r="K429" s="46">
        <v>0.0013078703703703705</v>
      </c>
      <c r="L429" s="47" t="s">
        <v>1048</v>
      </c>
      <c r="M429" s="48"/>
      <c r="N429" s="48"/>
      <c r="O429" s="48">
        <f t="shared" si="1"/>
        <v>0</v>
      </c>
      <c r="P429" s="38"/>
      <c r="Q429" s="12" t="str">
        <f t="shared" si="2"/>
        <v/>
      </c>
      <c r="R429" s="42"/>
      <c r="S429" s="42"/>
      <c r="T429" s="42"/>
      <c r="U429" s="51"/>
      <c r="V429" s="52"/>
      <c r="W429" s="55"/>
      <c r="X429" s="57"/>
      <c r="Y429" s="106"/>
      <c r="Z429" s="106"/>
      <c r="AA429" s="106"/>
      <c r="AB429" s="106"/>
    </row>
    <row r="430">
      <c r="A430" s="38">
        <v>429.0</v>
      </c>
      <c r="B430" s="42"/>
      <c r="C430" s="51"/>
      <c r="D430" s="38"/>
      <c r="E430" s="38" t="s">
        <v>1560</v>
      </c>
      <c r="F430" s="41" t="s">
        <v>1562</v>
      </c>
      <c r="G430" s="43"/>
      <c r="H430" s="45"/>
      <c r="I430" s="38"/>
      <c r="J430" s="38">
        <f>241</f>
        <v>241</v>
      </c>
      <c r="K430" s="46">
        <v>0.0012962962962962963</v>
      </c>
      <c r="L430" s="47" t="s">
        <v>1048</v>
      </c>
      <c r="M430" s="48"/>
      <c r="N430" s="48"/>
      <c r="O430" s="48">
        <f t="shared" si="1"/>
        <v>0</v>
      </c>
      <c r="P430" s="38"/>
      <c r="Q430" s="12" t="str">
        <f t="shared" si="2"/>
        <v/>
      </c>
      <c r="R430" s="42"/>
      <c r="S430" s="42"/>
      <c r="T430" s="42"/>
      <c r="U430" s="51"/>
      <c r="V430" s="52"/>
      <c r="W430" s="55"/>
      <c r="X430" s="57"/>
      <c r="Y430" s="106"/>
      <c r="Z430" s="106"/>
      <c r="AA430" s="106"/>
      <c r="AB430" s="106"/>
    </row>
    <row r="431">
      <c r="A431" s="38">
        <v>430.0</v>
      </c>
      <c r="B431" s="42"/>
      <c r="C431" s="51"/>
      <c r="D431" s="38"/>
      <c r="E431" s="38" t="s">
        <v>1566</v>
      </c>
      <c r="F431" s="41" t="s">
        <v>1567</v>
      </c>
      <c r="G431" s="43"/>
      <c r="H431" s="45"/>
      <c r="I431" s="38"/>
      <c r="J431" s="38">
        <f>440</f>
        <v>440</v>
      </c>
      <c r="K431" s="46">
        <v>0.004386574074074074</v>
      </c>
      <c r="L431" s="47" t="s">
        <v>1048</v>
      </c>
      <c r="M431" s="48"/>
      <c r="N431" s="48"/>
      <c r="O431" s="48">
        <f t="shared" si="1"/>
        <v>0</v>
      </c>
      <c r="P431" s="38"/>
      <c r="Q431" s="12" t="str">
        <f t="shared" si="2"/>
        <v/>
      </c>
      <c r="R431" s="42"/>
      <c r="S431" s="42"/>
      <c r="T431" s="42"/>
      <c r="U431" s="51"/>
      <c r="V431" s="52"/>
      <c r="W431" s="55"/>
      <c r="X431" s="57"/>
      <c r="Y431" s="106"/>
      <c r="Z431" s="106"/>
      <c r="AA431" s="106"/>
      <c r="AB431" s="106"/>
    </row>
    <row r="432">
      <c r="A432" s="38">
        <v>431.0</v>
      </c>
      <c r="B432" s="42"/>
      <c r="C432" s="51"/>
      <c r="D432" s="38"/>
      <c r="E432" s="38" t="s">
        <v>1570</v>
      </c>
      <c r="F432" s="41" t="s">
        <v>1571</v>
      </c>
      <c r="G432" s="43"/>
      <c r="H432" s="45"/>
      <c r="I432" s="38"/>
      <c r="J432" s="38">
        <f>801</f>
        <v>801</v>
      </c>
      <c r="K432" s="46">
        <v>0.003414351851851852</v>
      </c>
      <c r="L432" s="47" t="s">
        <v>1048</v>
      </c>
      <c r="M432" s="48"/>
      <c r="N432" s="48"/>
      <c r="O432" s="48">
        <f t="shared" si="1"/>
        <v>0</v>
      </c>
      <c r="P432" s="38"/>
      <c r="Q432" s="12" t="str">
        <f t="shared" si="2"/>
        <v/>
      </c>
      <c r="R432" s="42"/>
      <c r="S432" s="42"/>
      <c r="T432" s="42"/>
      <c r="U432" s="51"/>
      <c r="V432" s="52"/>
      <c r="W432" s="55"/>
      <c r="X432" s="57"/>
      <c r="Y432" s="106"/>
      <c r="Z432" s="106"/>
      <c r="AA432" s="106"/>
      <c r="AB432" s="106"/>
    </row>
    <row r="433">
      <c r="A433" s="38">
        <v>432.0</v>
      </c>
      <c r="B433" s="42"/>
      <c r="C433" s="51"/>
      <c r="D433" s="38"/>
      <c r="E433" s="38" t="s">
        <v>1572</v>
      </c>
      <c r="F433" s="41" t="s">
        <v>1573</v>
      </c>
      <c r="G433" s="43"/>
      <c r="H433" s="45"/>
      <c r="I433" s="38"/>
      <c r="J433" s="38">
        <f>271</f>
        <v>271</v>
      </c>
      <c r="K433" s="46">
        <v>0.0024537037037037036</v>
      </c>
      <c r="L433" s="47" t="s">
        <v>1048</v>
      </c>
      <c r="M433" s="48"/>
      <c r="N433" s="48"/>
      <c r="O433" s="48">
        <f t="shared" si="1"/>
        <v>0</v>
      </c>
      <c r="P433" s="38"/>
      <c r="Q433" s="12" t="str">
        <f t="shared" si="2"/>
        <v/>
      </c>
      <c r="R433" s="42"/>
      <c r="S433" s="42"/>
      <c r="T433" s="42"/>
      <c r="U433" s="51"/>
      <c r="V433" s="52"/>
      <c r="W433" s="55"/>
      <c r="X433" s="57"/>
      <c r="Y433" s="106"/>
      <c r="Z433" s="106"/>
      <c r="AA433" s="106"/>
      <c r="AB433" s="106"/>
    </row>
    <row r="434">
      <c r="A434" s="38">
        <v>433.0</v>
      </c>
      <c r="B434" s="42"/>
      <c r="C434" s="51"/>
      <c r="D434" s="38"/>
      <c r="E434" s="38" t="s">
        <v>1576</v>
      </c>
      <c r="F434" s="41" t="s">
        <v>1577</v>
      </c>
      <c r="G434" s="43"/>
      <c r="H434" s="45"/>
      <c r="I434" s="38"/>
      <c r="J434" s="38">
        <f>296</f>
        <v>296</v>
      </c>
      <c r="K434" s="46">
        <v>0.0021643518518518518</v>
      </c>
      <c r="L434" s="47" t="s">
        <v>1048</v>
      </c>
      <c r="M434" s="48"/>
      <c r="N434" s="48"/>
      <c r="O434" s="48">
        <f t="shared" si="1"/>
        <v>0</v>
      </c>
      <c r="P434" s="38"/>
      <c r="Q434" s="12" t="str">
        <f t="shared" si="2"/>
        <v/>
      </c>
      <c r="R434" s="42"/>
      <c r="S434" s="42"/>
      <c r="T434" s="42"/>
      <c r="U434" s="51"/>
      <c r="V434" s="52"/>
      <c r="W434" s="55"/>
      <c r="X434" s="57"/>
      <c r="Y434" s="106"/>
      <c r="Z434" s="106"/>
      <c r="AA434" s="106"/>
      <c r="AB434" s="106"/>
    </row>
    <row r="435">
      <c r="A435" s="38">
        <v>434.0</v>
      </c>
      <c r="B435" s="42"/>
      <c r="C435" s="51"/>
      <c r="D435" s="38"/>
      <c r="E435" s="38" t="s">
        <v>1578</v>
      </c>
      <c r="F435" s="41" t="s">
        <v>1580</v>
      </c>
      <c r="G435" s="43"/>
      <c r="H435" s="45"/>
      <c r="I435" s="38"/>
      <c r="J435" s="38">
        <f>696</f>
        <v>696</v>
      </c>
      <c r="K435" s="46">
        <v>0.002847222222222222</v>
      </c>
      <c r="L435" s="47" t="s">
        <v>1048</v>
      </c>
      <c r="M435" s="48"/>
      <c r="N435" s="48"/>
      <c r="O435" s="48">
        <f t="shared" si="1"/>
        <v>0</v>
      </c>
      <c r="P435" s="38"/>
      <c r="Q435" s="12" t="str">
        <f t="shared" si="2"/>
        <v/>
      </c>
      <c r="R435" s="42"/>
      <c r="S435" s="42"/>
      <c r="T435" s="42"/>
      <c r="U435" s="51"/>
      <c r="V435" s="52"/>
      <c r="W435" s="55"/>
      <c r="X435" s="57"/>
      <c r="Y435" s="106"/>
      <c r="Z435" s="106"/>
      <c r="AA435" s="106"/>
      <c r="AB435" s="106"/>
    </row>
    <row r="436">
      <c r="A436" s="38">
        <v>435.0</v>
      </c>
      <c r="B436" s="63" t="s">
        <v>619</v>
      </c>
      <c r="C436" s="51"/>
      <c r="D436" s="38"/>
      <c r="E436" s="38" t="s">
        <v>1249</v>
      </c>
      <c r="F436" s="41" t="s">
        <v>1250</v>
      </c>
      <c r="G436" s="43"/>
      <c r="H436" s="45"/>
      <c r="I436" s="38"/>
      <c r="J436" s="38">
        <f>2.4*1000</f>
        <v>2400</v>
      </c>
      <c r="K436" s="46">
        <v>0.013310185185185187</v>
      </c>
      <c r="L436" s="47" t="s">
        <v>1048</v>
      </c>
      <c r="M436" s="48"/>
      <c r="N436" s="48"/>
      <c r="O436" s="48">
        <f t="shared" si="1"/>
        <v>0</v>
      </c>
      <c r="P436" s="38"/>
      <c r="Q436" s="12" t="str">
        <f t="shared" si="2"/>
        <v/>
      </c>
      <c r="R436" s="42"/>
      <c r="S436" s="42"/>
      <c r="T436" s="42"/>
      <c r="U436" s="51"/>
      <c r="V436" s="52"/>
      <c r="W436" s="55"/>
      <c r="X436" s="57"/>
      <c r="Y436" s="106"/>
      <c r="Z436" s="106"/>
      <c r="AA436" s="106"/>
      <c r="AB436" s="106"/>
    </row>
    <row r="437">
      <c r="A437" s="38">
        <v>436.0</v>
      </c>
      <c r="B437" s="42"/>
      <c r="C437" s="51"/>
      <c r="D437" s="38"/>
      <c r="E437" s="38" t="s">
        <v>1582</v>
      </c>
      <c r="F437" s="41" t="s">
        <v>1583</v>
      </c>
      <c r="G437" s="43"/>
      <c r="H437" s="45"/>
      <c r="I437" s="38"/>
      <c r="J437" s="38">
        <f>928</f>
        <v>928</v>
      </c>
      <c r="K437" s="46">
        <v>0.001597222222222222</v>
      </c>
      <c r="L437" s="47" t="s">
        <v>1048</v>
      </c>
      <c r="M437" s="48"/>
      <c r="N437" s="48"/>
      <c r="O437" s="48">
        <f t="shared" si="1"/>
        <v>0</v>
      </c>
      <c r="P437" s="38"/>
      <c r="Q437" s="12" t="str">
        <f t="shared" si="2"/>
        <v/>
      </c>
      <c r="R437" s="42"/>
      <c r="S437" s="42"/>
      <c r="T437" s="42"/>
      <c r="U437" s="51"/>
      <c r="V437" s="52"/>
      <c r="W437" s="55"/>
      <c r="X437" s="57"/>
      <c r="Y437" s="106"/>
      <c r="Z437" s="106"/>
      <c r="AA437" s="106"/>
      <c r="AB437" s="106"/>
    </row>
    <row r="438">
      <c r="A438" s="38">
        <v>437.0</v>
      </c>
      <c r="B438" s="42"/>
      <c r="C438" s="51"/>
      <c r="D438" s="38"/>
      <c r="E438" s="38" t="s">
        <v>1584</v>
      </c>
      <c r="F438" s="41" t="s">
        <v>1585</v>
      </c>
      <c r="G438" s="43"/>
      <c r="H438" s="45"/>
      <c r="I438" s="38"/>
      <c r="J438" s="38">
        <f>261</f>
        <v>261</v>
      </c>
      <c r="K438" s="46">
        <v>0.004583333333333333</v>
      </c>
      <c r="L438" s="47" t="s">
        <v>1048</v>
      </c>
      <c r="M438" s="48"/>
      <c r="N438" s="48"/>
      <c r="O438" s="48">
        <f t="shared" si="1"/>
        <v>0</v>
      </c>
      <c r="P438" s="38"/>
      <c r="Q438" s="12" t="str">
        <f t="shared" si="2"/>
        <v/>
      </c>
      <c r="R438" s="42"/>
      <c r="S438" s="42"/>
      <c r="T438" s="42"/>
      <c r="U438" s="51"/>
      <c r="V438" s="52"/>
      <c r="W438" s="55"/>
      <c r="X438" s="57"/>
      <c r="Y438" s="106"/>
      <c r="Z438" s="106"/>
      <c r="AA438" s="106"/>
      <c r="AB438" s="106"/>
    </row>
    <row r="439">
      <c r="A439" s="38">
        <v>438.0</v>
      </c>
      <c r="B439" s="42"/>
      <c r="C439" s="51"/>
      <c r="D439" s="38"/>
      <c r="E439" s="38" t="s">
        <v>1586</v>
      </c>
      <c r="F439" s="41" t="s">
        <v>1587</v>
      </c>
      <c r="G439" s="43"/>
      <c r="H439" s="45"/>
      <c r="I439" s="38"/>
      <c r="J439" s="38">
        <f>309</f>
        <v>309</v>
      </c>
      <c r="K439" s="46">
        <v>0.0020833333333333333</v>
      </c>
      <c r="L439" s="47" t="s">
        <v>1048</v>
      </c>
      <c r="M439" s="48"/>
      <c r="N439" s="48"/>
      <c r="O439" s="48">
        <f t="shared" si="1"/>
        <v>0</v>
      </c>
      <c r="P439" s="38"/>
      <c r="Q439" s="12" t="str">
        <f t="shared" si="2"/>
        <v/>
      </c>
      <c r="R439" s="42"/>
      <c r="S439" s="42"/>
      <c r="T439" s="42"/>
      <c r="U439" s="51"/>
      <c r="V439" s="52"/>
      <c r="W439" s="55"/>
      <c r="X439" s="57"/>
      <c r="Y439" s="106"/>
      <c r="Z439" s="106"/>
      <c r="AA439" s="106"/>
      <c r="AB439" s="106"/>
    </row>
    <row r="440">
      <c r="A440" s="38">
        <v>439.0</v>
      </c>
      <c r="B440" s="42"/>
      <c r="C440" s="51"/>
      <c r="D440" s="38"/>
      <c r="E440" s="38" t="s">
        <v>1588</v>
      </c>
      <c r="F440" s="41" t="s">
        <v>1589</v>
      </c>
      <c r="G440" s="43"/>
      <c r="H440" s="45"/>
      <c r="I440" s="38"/>
      <c r="J440" s="38">
        <f>184</f>
        <v>184</v>
      </c>
      <c r="K440" s="46">
        <v>0.001967592592592593</v>
      </c>
      <c r="L440" s="47" t="s">
        <v>1048</v>
      </c>
      <c r="M440" s="48"/>
      <c r="N440" s="48"/>
      <c r="O440" s="48">
        <f t="shared" si="1"/>
        <v>0</v>
      </c>
      <c r="P440" s="38"/>
      <c r="Q440" s="12" t="str">
        <f t="shared" si="2"/>
        <v/>
      </c>
      <c r="R440" s="42"/>
      <c r="S440" s="42"/>
      <c r="T440" s="42"/>
      <c r="U440" s="51"/>
      <c r="V440" s="52"/>
      <c r="W440" s="55"/>
      <c r="X440" s="57"/>
      <c r="Y440" s="106"/>
      <c r="Z440" s="106"/>
      <c r="AA440" s="106"/>
      <c r="AB440" s="106"/>
    </row>
    <row r="441">
      <c r="A441" s="38">
        <v>440.0</v>
      </c>
      <c r="B441" s="42"/>
      <c r="C441" s="51"/>
      <c r="D441" s="38"/>
      <c r="E441" s="38" t="s">
        <v>1590</v>
      </c>
      <c r="F441" s="41" t="s">
        <v>1591</v>
      </c>
      <c r="G441" s="43"/>
      <c r="H441" s="45"/>
      <c r="I441" s="38"/>
      <c r="J441" s="38">
        <f>380</f>
        <v>380</v>
      </c>
      <c r="K441" s="46">
        <v>0.0036342592592592594</v>
      </c>
      <c r="L441" s="47" t="s">
        <v>1048</v>
      </c>
      <c r="M441" s="48"/>
      <c r="N441" s="48"/>
      <c r="O441" s="48">
        <f t="shared" si="1"/>
        <v>0</v>
      </c>
      <c r="P441" s="38"/>
      <c r="Q441" s="12" t="str">
        <f t="shared" si="2"/>
        <v/>
      </c>
      <c r="R441" s="42"/>
      <c r="S441" s="42"/>
      <c r="T441" s="42"/>
      <c r="U441" s="51"/>
      <c r="V441" s="52"/>
      <c r="W441" s="55"/>
      <c r="X441" s="57"/>
      <c r="Y441" s="106"/>
      <c r="Z441" s="106"/>
      <c r="AA441" s="106"/>
      <c r="AB441" s="106"/>
    </row>
    <row r="442">
      <c r="A442" s="38">
        <v>441.0</v>
      </c>
      <c r="B442" s="42"/>
      <c r="C442" s="51"/>
      <c r="D442" s="38"/>
      <c r="E442" s="38" t="s">
        <v>1592</v>
      </c>
      <c r="F442" s="41" t="s">
        <v>1593</v>
      </c>
      <c r="G442" s="43"/>
      <c r="H442" s="45"/>
      <c r="I442" s="38"/>
      <c r="J442" s="38">
        <f>398</f>
        <v>398</v>
      </c>
      <c r="K442" s="46">
        <v>0.0012152777777777778</v>
      </c>
      <c r="L442" s="47" t="s">
        <v>1048</v>
      </c>
      <c r="M442" s="48"/>
      <c r="N442" s="48"/>
      <c r="O442" s="48">
        <f t="shared" si="1"/>
        <v>0</v>
      </c>
      <c r="P442" s="38"/>
      <c r="Q442" s="12" t="str">
        <f t="shared" si="2"/>
        <v/>
      </c>
      <c r="R442" s="42"/>
      <c r="S442" s="42"/>
      <c r="T442" s="42"/>
      <c r="U442" s="51"/>
      <c r="V442" s="52"/>
      <c r="W442" s="55"/>
      <c r="X442" s="57"/>
      <c r="Y442" s="106"/>
      <c r="Z442" s="106"/>
      <c r="AA442" s="106"/>
      <c r="AB442" s="106"/>
    </row>
    <row r="443">
      <c r="A443" s="38">
        <v>442.0</v>
      </c>
      <c r="B443" s="42"/>
      <c r="C443" s="51"/>
      <c r="D443" s="38"/>
      <c r="E443" s="38" t="s">
        <v>1594</v>
      </c>
      <c r="F443" s="41" t="s">
        <v>1595</v>
      </c>
      <c r="G443" s="43"/>
      <c r="H443" s="45"/>
      <c r="I443" s="38"/>
      <c r="J443" s="38">
        <f>667</f>
        <v>667</v>
      </c>
      <c r="K443" s="46">
        <v>0.0043518518518518515</v>
      </c>
      <c r="L443" s="47" t="s">
        <v>1048</v>
      </c>
      <c r="M443" s="48"/>
      <c r="N443" s="48"/>
      <c r="O443" s="48">
        <f t="shared" si="1"/>
        <v>0</v>
      </c>
      <c r="P443" s="38"/>
      <c r="Q443" s="12" t="str">
        <f t="shared" si="2"/>
        <v/>
      </c>
      <c r="R443" s="42"/>
      <c r="S443" s="42"/>
      <c r="T443" s="42"/>
      <c r="U443" s="51"/>
      <c r="V443" s="52"/>
      <c r="W443" s="55"/>
      <c r="X443" s="57"/>
      <c r="Y443" s="106"/>
      <c r="Z443" s="106"/>
      <c r="AA443" s="106"/>
      <c r="AB443" s="106"/>
    </row>
    <row r="444">
      <c r="A444" s="38">
        <v>443.0</v>
      </c>
      <c r="B444" s="42"/>
      <c r="C444" s="51"/>
      <c r="D444" s="38"/>
      <c r="E444" s="38" t="s">
        <v>1596</v>
      </c>
      <c r="F444" s="41" t="s">
        <v>1597</v>
      </c>
      <c r="G444" s="43"/>
      <c r="H444" s="45"/>
      <c r="I444" s="38"/>
      <c r="J444" s="38">
        <f>1.6*1000</f>
        <v>1600</v>
      </c>
      <c r="K444" s="46">
        <v>0.005277777777777777</v>
      </c>
      <c r="L444" s="47" t="s">
        <v>1048</v>
      </c>
      <c r="M444" s="48"/>
      <c r="N444" s="48"/>
      <c r="O444" s="48">
        <f t="shared" si="1"/>
        <v>0</v>
      </c>
      <c r="P444" s="38"/>
      <c r="Q444" s="12" t="str">
        <f t="shared" si="2"/>
        <v/>
      </c>
      <c r="R444" s="42"/>
      <c r="S444" s="42"/>
      <c r="T444" s="42"/>
      <c r="U444" s="51"/>
      <c r="V444" s="52"/>
      <c r="W444" s="55"/>
      <c r="X444" s="57"/>
      <c r="Y444" s="106"/>
      <c r="Z444" s="106"/>
      <c r="AA444" s="106"/>
      <c r="AB444" s="106"/>
    </row>
    <row r="445">
      <c r="A445" s="38">
        <v>444.0</v>
      </c>
      <c r="B445" s="42"/>
      <c r="C445" s="51"/>
      <c r="D445" s="38"/>
      <c r="E445" s="38" t="s">
        <v>1598</v>
      </c>
      <c r="F445" s="41" t="s">
        <v>1599</v>
      </c>
      <c r="G445" s="43"/>
      <c r="H445" s="45"/>
      <c r="I445" s="38"/>
      <c r="J445" s="38">
        <f>797</f>
        <v>797</v>
      </c>
      <c r="K445" s="46">
        <v>0.0014699074074074074</v>
      </c>
      <c r="L445" s="47" t="s">
        <v>1048</v>
      </c>
      <c r="M445" s="48"/>
      <c r="N445" s="48"/>
      <c r="O445" s="48">
        <f t="shared" si="1"/>
        <v>0</v>
      </c>
      <c r="P445" s="38"/>
      <c r="Q445" s="12" t="str">
        <f t="shared" si="2"/>
        <v/>
      </c>
      <c r="R445" s="42"/>
      <c r="S445" s="42"/>
      <c r="T445" s="42"/>
      <c r="U445" s="51"/>
      <c r="V445" s="52"/>
      <c r="W445" s="55"/>
      <c r="X445" s="57"/>
      <c r="Y445" s="106"/>
      <c r="Z445" s="106"/>
      <c r="AA445" s="106"/>
      <c r="AB445" s="106"/>
    </row>
    <row r="446">
      <c r="A446" s="38">
        <v>445.0</v>
      </c>
      <c r="B446" s="42"/>
      <c r="C446" s="51"/>
      <c r="D446" s="38"/>
      <c r="E446" s="38" t="s">
        <v>1600</v>
      </c>
      <c r="F446" s="41" t="s">
        <v>1601</v>
      </c>
      <c r="G446" s="43"/>
      <c r="H446" s="45"/>
      <c r="I446" s="38"/>
      <c r="J446" s="38">
        <f>327</f>
        <v>327</v>
      </c>
      <c r="K446" s="46">
        <v>0.003206018518518519</v>
      </c>
      <c r="L446" s="47" t="s">
        <v>1048</v>
      </c>
      <c r="M446" s="48"/>
      <c r="N446" s="48"/>
      <c r="O446" s="48">
        <f t="shared" si="1"/>
        <v>0</v>
      </c>
      <c r="P446" s="38"/>
      <c r="Q446" s="12" t="str">
        <f t="shared" si="2"/>
        <v/>
      </c>
      <c r="R446" s="42"/>
      <c r="S446" s="42"/>
      <c r="T446" s="42"/>
      <c r="U446" s="51"/>
      <c r="V446" s="52"/>
      <c r="W446" s="55"/>
      <c r="X446" s="57"/>
      <c r="Y446" s="106"/>
      <c r="Z446" s="106"/>
      <c r="AA446" s="106"/>
      <c r="AB446" s="106"/>
    </row>
    <row r="447">
      <c r="A447" s="38">
        <v>446.0</v>
      </c>
      <c r="B447" s="42"/>
      <c r="C447" s="51"/>
      <c r="D447" s="38"/>
      <c r="E447" s="38" t="s">
        <v>1605</v>
      </c>
      <c r="F447" s="41" t="s">
        <v>1606</v>
      </c>
      <c r="G447" s="43"/>
      <c r="H447" s="45"/>
      <c r="I447" s="38"/>
      <c r="J447" s="38">
        <f>173</f>
        <v>173</v>
      </c>
      <c r="K447" s="46">
        <v>8.912037037037036E-4</v>
      </c>
      <c r="L447" s="47" t="s">
        <v>1048</v>
      </c>
      <c r="M447" s="48"/>
      <c r="N447" s="48"/>
      <c r="O447" s="48">
        <f t="shared" si="1"/>
        <v>0</v>
      </c>
      <c r="P447" s="38"/>
      <c r="Q447" s="12" t="str">
        <f t="shared" si="2"/>
        <v/>
      </c>
      <c r="R447" s="42"/>
      <c r="S447" s="42"/>
      <c r="T447" s="42"/>
      <c r="U447" s="51"/>
      <c r="V447" s="52"/>
      <c r="W447" s="55"/>
      <c r="X447" s="57"/>
      <c r="Y447" s="106"/>
      <c r="Z447" s="106"/>
      <c r="AA447" s="106"/>
      <c r="AB447" s="106"/>
    </row>
    <row r="448">
      <c r="A448" s="38">
        <v>447.0</v>
      </c>
      <c r="B448" s="42"/>
      <c r="C448" s="51"/>
      <c r="D448" s="38"/>
      <c r="E448" s="38" t="s">
        <v>1609</v>
      </c>
      <c r="F448" s="41" t="s">
        <v>1610</v>
      </c>
      <c r="G448" s="43"/>
      <c r="H448" s="45"/>
      <c r="I448" s="38"/>
      <c r="J448" s="38">
        <f>297</f>
        <v>297</v>
      </c>
      <c r="K448" s="46">
        <v>0.004212962962962963</v>
      </c>
      <c r="L448" s="47" t="s">
        <v>1048</v>
      </c>
      <c r="M448" s="48"/>
      <c r="N448" s="48"/>
      <c r="O448" s="48">
        <f t="shared" si="1"/>
        <v>0</v>
      </c>
      <c r="P448" s="38"/>
      <c r="Q448" s="12" t="str">
        <f t="shared" si="2"/>
        <v/>
      </c>
      <c r="R448" s="42"/>
      <c r="S448" s="42"/>
      <c r="T448" s="42"/>
      <c r="U448" s="51"/>
      <c r="V448" s="52"/>
      <c r="W448" s="55"/>
      <c r="X448" s="57"/>
      <c r="Y448" s="106"/>
      <c r="Z448" s="106"/>
      <c r="AA448" s="106"/>
      <c r="AB448" s="106"/>
    </row>
    <row r="449">
      <c r="A449" s="38">
        <v>448.0</v>
      </c>
      <c r="B449" s="42"/>
      <c r="C449" s="51"/>
      <c r="D449" s="38"/>
      <c r="E449" s="38" t="s">
        <v>1613</v>
      </c>
      <c r="F449" s="41" t="s">
        <v>1614</v>
      </c>
      <c r="G449" s="43"/>
      <c r="H449" s="45"/>
      <c r="I449" s="38"/>
      <c r="J449" s="38">
        <f>182</f>
        <v>182</v>
      </c>
      <c r="K449" s="46">
        <v>0.002731481481481482</v>
      </c>
      <c r="L449" s="47" t="s">
        <v>1048</v>
      </c>
      <c r="M449" s="48"/>
      <c r="N449" s="48"/>
      <c r="O449" s="48">
        <f t="shared" si="1"/>
        <v>0</v>
      </c>
      <c r="P449" s="38"/>
      <c r="Q449" s="12" t="str">
        <f t="shared" si="2"/>
        <v/>
      </c>
      <c r="R449" s="42"/>
      <c r="S449" s="42"/>
      <c r="T449" s="42"/>
      <c r="U449" s="51"/>
      <c r="V449" s="52"/>
      <c r="W449" s="55"/>
      <c r="X449" s="57"/>
      <c r="Y449" s="106"/>
      <c r="Z449" s="106"/>
      <c r="AA449" s="106"/>
      <c r="AB449" s="106"/>
    </row>
    <row r="450">
      <c r="A450" s="38">
        <v>449.0</v>
      </c>
      <c r="B450" s="42"/>
      <c r="C450" s="51"/>
      <c r="D450" s="38"/>
      <c r="E450" s="38" t="s">
        <v>1625</v>
      </c>
      <c r="F450" s="41" t="s">
        <v>1626</v>
      </c>
      <c r="G450" s="43"/>
      <c r="H450" s="45"/>
      <c r="I450" s="38"/>
      <c r="J450" s="38">
        <f>1.8*1000</f>
        <v>1800</v>
      </c>
      <c r="K450" s="46">
        <v>0.010081018518518519</v>
      </c>
      <c r="L450" s="47" t="s">
        <v>1048</v>
      </c>
      <c r="M450" s="48"/>
      <c r="N450" s="48"/>
      <c r="O450" s="48">
        <f t="shared" si="1"/>
        <v>0</v>
      </c>
      <c r="P450" s="38"/>
      <c r="Q450" s="12" t="str">
        <f t="shared" si="2"/>
        <v/>
      </c>
      <c r="R450" s="42"/>
      <c r="S450" s="42"/>
      <c r="T450" s="42"/>
      <c r="U450" s="51"/>
      <c r="V450" s="52"/>
      <c r="W450" s="55"/>
      <c r="X450" s="57"/>
      <c r="Y450" s="106"/>
      <c r="Z450" s="106"/>
      <c r="AA450" s="106"/>
      <c r="AB450" s="106"/>
    </row>
    <row r="451">
      <c r="A451" s="38">
        <v>450.0</v>
      </c>
      <c r="B451" s="42"/>
      <c r="C451" s="51"/>
      <c r="D451" s="38"/>
      <c r="E451" s="38" t="s">
        <v>1631</v>
      </c>
      <c r="F451" s="41" t="s">
        <v>1633</v>
      </c>
      <c r="G451" s="43"/>
      <c r="H451" s="45"/>
      <c r="I451" s="38"/>
      <c r="J451" s="38">
        <f>3.6*1000</f>
        <v>3600</v>
      </c>
      <c r="K451" s="46">
        <v>0.02702546296296296</v>
      </c>
      <c r="L451" s="47" t="s">
        <v>1048</v>
      </c>
      <c r="M451" s="48"/>
      <c r="N451" s="48"/>
      <c r="O451" s="48">
        <f t="shared" si="1"/>
        <v>0</v>
      </c>
      <c r="P451" s="38"/>
      <c r="Q451" s="12" t="str">
        <f t="shared" si="2"/>
        <v/>
      </c>
      <c r="R451" s="42"/>
      <c r="S451" s="42"/>
      <c r="T451" s="42"/>
      <c r="U451" s="51"/>
      <c r="V451" s="52"/>
      <c r="W451" s="55"/>
      <c r="X451" s="57"/>
      <c r="Y451" s="106"/>
      <c r="Z451" s="106"/>
      <c r="AA451" s="106"/>
      <c r="AB451" s="106"/>
    </row>
    <row r="452">
      <c r="A452" s="38">
        <v>451.0</v>
      </c>
      <c r="B452" s="42"/>
      <c r="C452" s="51"/>
      <c r="D452" s="38"/>
      <c r="E452" s="38" t="s">
        <v>1638</v>
      </c>
      <c r="F452" s="41" t="s">
        <v>1639</v>
      </c>
      <c r="G452" s="43"/>
      <c r="H452" s="45"/>
      <c r="I452" s="38"/>
      <c r="J452" s="38">
        <f>198</f>
        <v>198</v>
      </c>
      <c r="K452" s="46">
        <v>0.002361111111111111</v>
      </c>
      <c r="L452" s="47" t="s">
        <v>1048</v>
      </c>
      <c r="M452" s="48"/>
      <c r="N452" s="48"/>
      <c r="O452" s="48">
        <f t="shared" si="1"/>
        <v>0</v>
      </c>
      <c r="P452" s="38"/>
      <c r="Q452" s="12" t="str">
        <f t="shared" si="2"/>
        <v/>
      </c>
      <c r="R452" s="42"/>
      <c r="S452" s="42"/>
      <c r="T452" s="42"/>
      <c r="U452" s="51"/>
      <c r="V452" s="52"/>
      <c r="W452" s="55"/>
      <c r="X452" s="57"/>
      <c r="Y452" s="106"/>
      <c r="Z452" s="106"/>
      <c r="AA452" s="106"/>
      <c r="AB452" s="106"/>
    </row>
    <row r="453">
      <c r="A453" s="38">
        <v>452.0</v>
      </c>
      <c r="B453" s="42"/>
      <c r="C453" s="51"/>
      <c r="D453" s="38"/>
      <c r="E453" s="38" t="s">
        <v>1640</v>
      </c>
      <c r="F453" s="41" t="s">
        <v>1641</v>
      </c>
      <c r="G453" s="43"/>
      <c r="H453" s="45"/>
      <c r="I453" s="38"/>
      <c r="J453" s="38">
        <f>193</f>
        <v>193</v>
      </c>
      <c r="K453" s="46">
        <v>0.0017013888888888892</v>
      </c>
      <c r="L453" s="47" t="s">
        <v>1048</v>
      </c>
      <c r="M453" s="48"/>
      <c r="N453" s="48"/>
      <c r="O453" s="48">
        <f t="shared" si="1"/>
        <v>0</v>
      </c>
      <c r="P453" s="38"/>
      <c r="Q453" s="12" t="str">
        <f t="shared" si="2"/>
        <v/>
      </c>
      <c r="R453" s="42"/>
      <c r="S453" s="42"/>
      <c r="T453" s="42"/>
      <c r="U453" s="51"/>
      <c r="V453" s="52"/>
      <c r="W453" s="55"/>
      <c r="X453" s="57"/>
      <c r="Y453" s="106"/>
      <c r="Z453" s="106"/>
      <c r="AA453" s="106"/>
      <c r="AB453" s="106"/>
    </row>
    <row r="454">
      <c r="A454" s="38">
        <v>453.0</v>
      </c>
      <c r="B454" s="42"/>
      <c r="C454" s="51"/>
      <c r="D454" s="38"/>
      <c r="E454" s="38" t="s">
        <v>1642</v>
      </c>
      <c r="F454" s="41" t="s">
        <v>1643</v>
      </c>
      <c r="G454" s="43"/>
      <c r="H454" s="45"/>
      <c r="I454" s="38"/>
      <c r="J454" s="38">
        <f>1*1000</f>
        <v>1000</v>
      </c>
      <c r="K454" s="46">
        <v>0.007418981481481481</v>
      </c>
      <c r="L454" s="47" t="s">
        <v>1048</v>
      </c>
      <c r="M454" s="48"/>
      <c r="N454" s="48"/>
      <c r="O454" s="48">
        <f t="shared" si="1"/>
        <v>0</v>
      </c>
      <c r="P454" s="38"/>
      <c r="Q454" s="12" t="str">
        <f t="shared" si="2"/>
        <v/>
      </c>
      <c r="R454" s="42"/>
      <c r="S454" s="42"/>
      <c r="T454" s="42"/>
      <c r="U454" s="51"/>
      <c r="V454" s="52"/>
      <c r="W454" s="55"/>
      <c r="X454" s="57"/>
      <c r="Y454" s="106"/>
      <c r="Z454" s="106"/>
      <c r="AA454" s="106"/>
      <c r="AB454" s="106"/>
    </row>
    <row r="455">
      <c r="A455" s="38">
        <v>454.0</v>
      </c>
      <c r="B455" s="42"/>
      <c r="C455" s="51"/>
      <c r="D455" s="38"/>
      <c r="E455" s="38" t="s">
        <v>1644</v>
      </c>
      <c r="F455" s="41" t="s">
        <v>1645</v>
      </c>
      <c r="G455" s="43"/>
      <c r="H455" s="45"/>
      <c r="I455" s="38"/>
      <c r="J455" s="38">
        <f>530</f>
        <v>530</v>
      </c>
      <c r="K455" s="46">
        <v>0.0016666666666666668</v>
      </c>
      <c r="L455" s="47" t="s">
        <v>1048</v>
      </c>
      <c r="M455" s="48"/>
      <c r="N455" s="48"/>
      <c r="O455" s="48">
        <f t="shared" si="1"/>
        <v>0</v>
      </c>
      <c r="P455" s="38"/>
      <c r="Q455" s="12" t="str">
        <f t="shared" si="2"/>
        <v/>
      </c>
      <c r="R455" s="42"/>
      <c r="S455" s="42"/>
      <c r="T455" s="42"/>
      <c r="U455" s="51"/>
      <c r="V455" s="52"/>
      <c r="W455" s="55"/>
      <c r="X455" s="57"/>
      <c r="Y455" s="106"/>
      <c r="Z455" s="106"/>
      <c r="AA455" s="106"/>
      <c r="AB455" s="106"/>
    </row>
    <row r="456">
      <c r="A456" s="38">
        <v>455.0</v>
      </c>
      <c r="B456" s="42"/>
      <c r="C456" s="51"/>
      <c r="D456" s="38"/>
      <c r="E456" s="38" t="s">
        <v>1646</v>
      </c>
      <c r="F456" s="41" t="s">
        <v>1647</v>
      </c>
      <c r="G456" s="43"/>
      <c r="H456" s="45"/>
      <c r="I456" s="38"/>
      <c r="J456" s="38">
        <f>509</f>
        <v>509</v>
      </c>
      <c r="K456" s="46">
        <v>0.0013773148148148147</v>
      </c>
      <c r="L456" s="47" t="s">
        <v>1048</v>
      </c>
      <c r="M456" s="48"/>
      <c r="N456" s="48"/>
      <c r="O456" s="48">
        <f t="shared" si="1"/>
        <v>0</v>
      </c>
      <c r="P456" s="38"/>
      <c r="Q456" s="12" t="str">
        <f t="shared" si="2"/>
        <v/>
      </c>
      <c r="R456" s="42"/>
      <c r="S456" s="42"/>
      <c r="T456" s="42"/>
      <c r="U456" s="51"/>
      <c r="V456" s="52"/>
      <c r="W456" s="55"/>
      <c r="X456" s="57"/>
      <c r="Y456" s="106"/>
      <c r="Z456" s="106"/>
      <c r="AA456" s="106"/>
      <c r="AB456" s="106"/>
    </row>
    <row r="457">
      <c r="A457" s="38">
        <v>456.0</v>
      </c>
      <c r="B457" s="42"/>
      <c r="C457" s="51"/>
      <c r="D457" s="38"/>
      <c r="E457" s="38" t="s">
        <v>1648</v>
      </c>
      <c r="F457" s="41" t="s">
        <v>1649</v>
      </c>
      <c r="G457" s="43"/>
      <c r="H457" s="45"/>
      <c r="I457" s="38"/>
      <c r="J457" s="38">
        <f>352</f>
        <v>352</v>
      </c>
      <c r="K457" s="46">
        <v>0.002025462962962963</v>
      </c>
      <c r="L457" s="47" t="s">
        <v>1048</v>
      </c>
      <c r="M457" s="48"/>
      <c r="N457" s="48"/>
      <c r="O457" s="48">
        <f t="shared" si="1"/>
        <v>0</v>
      </c>
      <c r="P457" s="38"/>
      <c r="Q457" s="12" t="str">
        <f t="shared" si="2"/>
        <v/>
      </c>
      <c r="R457" s="42"/>
      <c r="S457" s="42"/>
      <c r="T457" s="42"/>
      <c r="U457" s="51"/>
      <c r="V457" s="52"/>
      <c r="W457" s="55"/>
      <c r="X457" s="57"/>
      <c r="Y457" s="106"/>
      <c r="Z457" s="106"/>
      <c r="AA457" s="106"/>
      <c r="AB457" s="106"/>
    </row>
    <row r="458">
      <c r="A458" s="38">
        <v>457.0</v>
      </c>
      <c r="B458" s="42"/>
      <c r="C458" s="51"/>
      <c r="D458" s="38"/>
      <c r="E458" s="38" t="s">
        <v>1650</v>
      </c>
      <c r="F458" s="41" t="s">
        <v>1651</v>
      </c>
      <c r="G458" s="43"/>
      <c r="H458" s="45"/>
      <c r="I458" s="38"/>
      <c r="J458" s="38">
        <f>223</f>
        <v>223</v>
      </c>
      <c r="K458" s="46">
        <v>0.0038888888888888883</v>
      </c>
      <c r="L458" s="47" t="s">
        <v>1048</v>
      </c>
      <c r="M458" s="48"/>
      <c r="N458" s="48"/>
      <c r="O458" s="48">
        <f t="shared" si="1"/>
        <v>0</v>
      </c>
      <c r="P458" s="38"/>
      <c r="Q458" s="12" t="str">
        <f t="shared" si="2"/>
        <v/>
      </c>
      <c r="R458" s="42"/>
      <c r="S458" s="42"/>
      <c r="T458" s="42"/>
      <c r="U458" s="51"/>
      <c r="V458" s="52"/>
      <c r="W458" s="55"/>
      <c r="X458" s="57"/>
      <c r="Y458" s="106"/>
      <c r="Z458" s="106"/>
      <c r="AA458" s="106"/>
      <c r="AB458" s="106"/>
    </row>
    <row r="459">
      <c r="A459" s="38">
        <v>458.0</v>
      </c>
      <c r="B459" s="42"/>
      <c r="C459" s="51"/>
      <c r="D459" s="38"/>
      <c r="E459" s="38" t="s">
        <v>1652</v>
      </c>
      <c r="F459" s="41" t="s">
        <v>1653</v>
      </c>
      <c r="G459" s="43"/>
      <c r="H459" s="45"/>
      <c r="I459" s="38"/>
      <c r="J459" s="38">
        <f>2.5*1000</f>
        <v>2500</v>
      </c>
      <c r="K459" s="46">
        <v>0.03434027777777778</v>
      </c>
      <c r="L459" s="47" t="s">
        <v>1048</v>
      </c>
      <c r="M459" s="48"/>
      <c r="N459" s="48"/>
      <c r="O459" s="48">
        <f t="shared" si="1"/>
        <v>0</v>
      </c>
      <c r="P459" s="38"/>
      <c r="Q459" s="12" t="str">
        <f t="shared" si="2"/>
        <v/>
      </c>
      <c r="R459" s="42"/>
      <c r="S459" s="42"/>
      <c r="T459" s="42"/>
      <c r="U459" s="51"/>
      <c r="V459" s="52"/>
      <c r="W459" s="55"/>
      <c r="X459" s="57"/>
      <c r="Y459" s="106"/>
      <c r="Z459" s="106"/>
      <c r="AA459" s="106"/>
      <c r="AB459" s="106"/>
    </row>
    <row r="460">
      <c r="A460" s="38">
        <v>459.0</v>
      </c>
      <c r="B460" s="42"/>
      <c r="C460" s="51"/>
      <c r="D460" s="38"/>
      <c r="E460" s="38" t="s">
        <v>1654</v>
      </c>
      <c r="F460" s="41" t="s">
        <v>1655</v>
      </c>
      <c r="G460" s="43"/>
      <c r="H460" s="45"/>
      <c r="I460" s="38"/>
      <c r="J460" s="38">
        <f>4.4*1000</f>
        <v>4400</v>
      </c>
      <c r="K460" s="46">
        <v>0.027303240740740743</v>
      </c>
      <c r="L460" s="47" t="s">
        <v>1048</v>
      </c>
      <c r="M460" s="48"/>
      <c r="N460" s="48"/>
      <c r="O460" s="48">
        <f t="shared" si="1"/>
        <v>0</v>
      </c>
      <c r="P460" s="38"/>
      <c r="Q460" s="12" t="str">
        <f t="shared" si="2"/>
        <v/>
      </c>
      <c r="R460" s="42"/>
      <c r="S460" s="42"/>
      <c r="T460" s="42"/>
      <c r="U460" s="51"/>
      <c r="V460" s="52"/>
      <c r="W460" s="55"/>
      <c r="X460" s="57"/>
      <c r="Y460" s="106"/>
      <c r="Z460" s="106"/>
      <c r="AA460" s="106"/>
      <c r="AB460" s="106"/>
    </row>
    <row r="461">
      <c r="A461" s="38">
        <v>460.0</v>
      </c>
      <c r="B461" s="42"/>
      <c r="C461" s="51"/>
      <c r="D461" s="38"/>
      <c r="E461" s="38" t="s">
        <v>1656</v>
      </c>
      <c r="F461" s="41" t="s">
        <v>1657</v>
      </c>
      <c r="G461" s="43"/>
      <c r="H461" s="45"/>
      <c r="I461" s="38"/>
      <c r="J461" s="38">
        <f>2.7*1000</f>
        <v>2700</v>
      </c>
      <c r="K461" s="46">
        <v>0.0019560185185185184</v>
      </c>
      <c r="L461" s="47" t="s">
        <v>1048</v>
      </c>
      <c r="M461" s="48"/>
      <c r="N461" s="48"/>
      <c r="O461" s="48">
        <f t="shared" si="1"/>
        <v>0</v>
      </c>
      <c r="P461" s="38"/>
      <c r="Q461" s="12" t="str">
        <f t="shared" si="2"/>
        <v/>
      </c>
      <c r="R461" s="42"/>
      <c r="S461" s="42"/>
      <c r="T461" s="42"/>
      <c r="U461" s="51"/>
      <c r="V461" s="52"/>
      <c r="W461" s="55"/>
      <c r="X461" s="57"/>
      <c r="Y461" s="106"/>
      <c r="Z461" s="106"/>
      <c r="AA461" s="106"/>
      <c r="AB461" s="106"/>
    </row>
    <row r="462">
      <c r="A462" s="38">
        <v>461.0</v>
      </c>
      <c r="B462" s="42"/>
      <c r="C462" s="51"/>
      <c r="D462" s="38"/>
      <c r="E462" s="38" t="s">
        <v>1658</v>
      </c>
      <c r="F462" s="41" t="s">
        <v>1659</v>
      </c>
      <c r="G462" s="43"/>
      <c r="H462" s="45"/>
      <c r="I462" s="38"/>
      <c r="J462" s="38">
        <f>2.2*1000</f>
        <v>2200</v>
      </c>
      <c r="K462" s="46">
        <v>0.011331018518518518</v>
      </c>
      <c r="L462" s="47" t="s">
        <v>1048</v>
      </c>
      <c r="M462" s="48"/>
      <c r="N462" s="48"/>
      <c r="O462" s="48">
        <f t="shared" si="1"/>
        <v>0</v>
      </c>
      <c r="P462" s="38"/>
      <c r="Q462" s="12" t="str">
        <f t="shared" si="2"/>
        <v/>
      </c>
      <c r="R462" s="42"/>
      <c r="S462" s="42"/>
      <c r="T462" s="42"/>
      <c r="U462" s="51"/>
      <c r="V462" s="52"/>
      <c r="W462" s="55"/>
      <c r="X462" s="57"/>
      <c r="Y462" s="106"/>
      <c r="Z462" s="106"/>
      <c r="AA462" s="106"/>
      <c r="AB462" s="106"/>
    </row>
    <row r="463">
      <c r="A463" s="38">
        <v>462.0</v>
      </c>
      <c r="B463" s="42"/>
      <c r="C463" s="51"/>
      <c r="D463" s="38"/>
      <c r="E463" s="38" t="s">
        <v>1660</v>
      </c>
      <c r="F463" s="41" t="s">
        <v>1661</v>
      </c>
      <c r="G463" s="43"/>
      <c r="H463" s="45"/>
      <c r="I463" s="38"/>
      <c r="J463" s="38">
        <f>1*1000</f>
        <v>1000</v>
      </c>
      <c r="K463" s="46">
        <v>0.007650462962962963</v>
      </c>
      <c r="L463" s="47" t="s">
        <v>1048</v>
      </c>
      <c r="M463" s="48"/>
      <c r="N463" s="48"/>
      <c r="O463" s="48">
        <f t="shared" si="1"/>
        <v>0</v>
      </c>
      <c r="P463" s="38"/>
      <c r="Q463" s="12" t="str">
        <f t="shared" si="2"/>
        <v/>
      </c>
      <c r="R463" s="42"/>
      <c r="S463" s="42"/>
      <c r="T463" s="42"/>
      <c r="U463" s="51"/>
      <c r="V463" s="52"/>
      <c r="W463" s="55"/>
      <c r="X463" s="57"/>
      <c r="Y463" s="106"/>
      <c r="Z463" s="106"/>
      <c r="AA463" s="106"/>
      <c r="AB463" s="106"/>
    </row>
    <row r="464">
      <c r="A464" s="38">
        <v>463.0</v>
      </c>
      <c r="B464" s="42"/>
      <c r="C464" s="51"/>
      <c r="D464" s="38"/>
      <c r="E464" s="38" t="s">
        <v>1662</v>
      </c>
      <c r="F464" s="41" t="s">
        <v>1663</v>
      </c>
      <c r="G464" s="43"/>
      <c r="H464" s="45"/>
      <c r="I464" s="38"/>
      <c r="J464" s="38">
        <f>704</f>
        <v>704</v>
      </c>
      <c r="K464" s="46">
        <v>0.004733796296296296</v>
      </c>
      <c r="L464" s="47" t="s">
        <v>1048</v>
      </c>
      <c r="M464" s="48"/>
      <c r="N464" s="48"/>
      <c r="O464" s="48">
        <f t="shared" si="1"/>
        <v>0</v>
      </c>
      <c r="P464" s="38"/>
      <c r="Q464" s="12" t="str">
        <f t="shared" si="2"/>
        <v/>
      </c>
      <c r="R464" s="42"/>
      <c r="S464" s="42"/>
      <c r="T464" s="42"/>
      <c r="U464" s="51"/>
      <c r="V464" s="52"/>
      <c r="W464" s="55"/>
      <c r="X464" s="57"/>
      <c r="Y464" s="106"/>
      <c r="Z464" s="106"/>
      <c r="AA464" s="106"/>
      <c r="AB464" s="106"/>
    </row>
    <row r="465">
      <c r="A465" s="38">
        <v>464.0</v>
      </c>
      <c r="B465" s="42"/>
      <c r="C465" s="51"/>
      <c r="D465" s="38"/>
      <c r="E465" s="38" t="s">
        <v>1665</v>
      </c>
      <c r="F465" s="41" t="s">
        <v>1666</v>
      </c>
      <c r="G465" s="43"/>
      <c r="H465" s="45"/>
      <c r="I465" s="38"/>
      <c r="J465" s="38">
        <f>396</f>
        <v>396</v>
      </c>
      <c r="K465" s="46">
        <v>0.0026041666666666665</v>
      </c>
      <c r="L465" s="47" t="s">
        <v>1048</v>
      </c>
      <c r="M465" s="48"/>
      <c r="N465" s="48"/>
      <c r="O465" s="48">
        <f t="shared" si="1"/>
        <v>0</v>
      </c>
      <c r="P465" s="38"/>
      <c r="Q465" s="12" t="str">
        <f t="shared" si="2"/>
        <v/>
      </c>
      <c r="R465" s="42"/>
      <c r="S465" s="42"/>
      <c r="T465" s="42"/>
      <c r="U465" s="51"/>
      <c r="V465" s="52"/>
      <c r="W465" s="55"/>
      <c r="X465" s="57"/>
      <c r="Y465" s="106"/>
      <c r="Z465" s="106"/>
      <c r="AA465" s="106"/>
      <c r="AB465" s="106"/>
    </row>
    <row r="466">
      <c r="A466" s="38">
        <v>465.0</v>
      </c>
      <c r="B466" s="42"/>
      <c r="C466" s="51"/>
      <c r="D466" s="38"/>
      <c r="E466" s="38" t="s">
        <v>1667</v>
      </c>
      <c r="F466" s="41" t="s">
        <v>1668</v>
      </c>
      <c r="G466" s="43"/>
      <c r="H466" s="45"/>
      <c r="I466" s="38"/>
      <c r="J466" s="38">
        <f>260</f>
        <v>260</v>
      </c>
      <c r="K466" s="46">
        <v>0.0015393518518518519</v>
      </c>
      <c r="L466" s="47" t="s">
        <v>1048</v>
      </c>
      <c r="M466" s="48"/>
      <c r="N466" s="48"/>
      <c r="O466" s="48">
        <f t="shared" si="1"/>
        <v>0</v>
      </c>
      <c r="P466" s="38"/>
      <c r="Q466" s="12" t="str">
        <f t="shared" si="2"/>
        <v/>
      </c>
      <c r="R466" s="42"/>
      <c r="S466" s="42"/>
      <c r="T466" s="42"/>
      <c r="U466" s="51"/>
      <c r="V466" s="52"/>
      <c r="W466" s="55"/>
      <c r="X466" s="57"/>
      <c r="Y466" s="106"/>
      <c r="Z466" s="106"/>
      <c r="AA466" s="106"/>
      <c r="AB466" s="106"/>
    </row>
    <row r="467">
      <c r="A467" s="38">
        <v>466.0</v>
      </c>
      <c r="B467" s="42"/>
      <c r="C467" s="51"/>
      <c r="D467" s="38"/>
      <c r="E467" s="38" t="s">
        <v>1669</v>
      </c>
      <c r="F467" s="41" t="s">
        <v>1670</v>
      </c>
      <c r="G467" s="43"/>
      <c r="H467" s="45"/>
      <c r="I467" s="38"/>
      <c r="J467" s="38">
        <f>366</f>
        <v>366</v>
      </c>
      <c r="K467" s="46">
        <v>0.0011342592592592591</v>
      </c>
      <c r="L467" s="47" t="s">
        <v>1048</v>
      </c>
      <c r="M467" s="48"/>
      <c r="N467" s="48"/>
      <c r="O467" s="48">
        <f t="shared" si="1"/>
        <v>0</v>
      </c>
      <c r="P467" s="38"/>
      <c r="Q467" s="12" t="str">
        <f t="shared" si="2"/>
        <v/>
      </c>
      <c r="R467" s="42"/>
      <c r="S467" s="42"/>
      <c r="T467" s="42"/>
      <c r="U467" s="51"/>
      <c r="V467" s="52"/>
      <c r="W467" s="55"/>
      <c r="X467" s="57"/>
      <c r="Y467" s="106"/>
      <c r="Z467" s="106"/>
      <c r="AA467" s="106"/>
      <c r="AB467" s="106"/>
    </row>
    <row r="468">
      <c r="A468" s="38">
        <v>467.0</v>
      </c>
      <c r="B468" s="42"/>
      <c r="C468" s="51"/>
      <c r="D468" s="38"/>
      <c r="E468" s="38" t="s">
        <v>1671</v>
      </c>
      <c r="F468" s="41" t="s">
        <v>1672</v>
      </c>
      <c r="G468" s="43"/>
      <c r="H468" s="45"/>
      <c r="I468" s="38"/>
      <c r="J468" s="38">
        <f>461</f>
        <v>461</v>
      </c>
      <c r="K468" s="46">
        <v>0.0018287037037037037</v>
      </c>
      <c r="L468" s="47" t="s">
        <v>1048</v>
      </c>
      <c r="M468" s="48"/>
      <c r="N468" s="48"/>
      <c r="O468" s="48">
        <f t="shared" si="1"/>
        <v>0</v>
      </c>
      <c r="P468" s="38"/>
      <c r="Q468" s="12" t="str">
        <f t="shared" si="2"/>
        <v/>
      </c>
      <c r="R468" s="42"/>
      <c r="S468" s="42"/>
      <c r="T468" s="42"/>
      <c r="U468" s="51"/>
      <c r="V468" s="52"/>
      <c r="W468" s="55"/>
      <c r="X468" s="57"/>
      <c r="Y468" s="106"/>
      <c r="Z468" s="106"/>
      <c r="AA468" s="106"/>
      <c r="AB468" s="106"/>
    </row>
    <row r="469">
      <c r="A469" s="38">
        <v>468.0</v>
      </c>
      <c r="B469" s="42"/>
      <c r="C469" s="51"/>
      <c r="D469" s="38"/>
      <c r="E469" s="38" t="s">
        <v>1674</v>
      </c>
      <c r="F469" s="41" t="s">
        <v>1675</v>
      </c>
      <c r="G469" s="43"/>
      <c r="H469" s="45"/>
      <c r="I469" s="38"/>
      <c r="J469" s="38">
        <f>849</f>
        <v>849</v>
      </c>
      <c r="K469" s="46">
        <v>9.490740740740741E-4</v>
      </c>
      <c r="L469" s="47" t="s">
        <v>1048</v>
      </c>
      <c r="M469" s="48"/>
      <c r="N469" s="48"/>
      <c r="O469" s="48">
        <f t="shared" si="1"/>
        <v>0</v>
      </c>
      <c r="P469" s="38"/>
      <c r="Q469" s="12" t="str">
        <f t="shared" si="2"/>
        <v/>
      </c>
      <c r="R469" s="42"/>
      <c r="S469" s="42"/>
      <c r="T469" s="42"/>
      <c r="U469" s="51"/>
      <c r="V469" s="52"/>
      <c r="W469" s="55"/>
      <c r="X469" s="57"/>
      <c r="Y469" s="106"/>
      <c r="Z469" s="106"/>
      <c r="AA469" s="106"/>
      <c r="AB469" s="106"/>
    </row>
    <row r="470">
      <c r="A470" s="38">
        <v>469.0</v>
      </c>
      <c r="B470" s="42"/>
      <c r="C470" s="51"/>
      <c r="D470" s="38"/>
      <c r="E470" s="38" t="s">
        <v>1676</v>
      </c>
      <c r="F470" s="41" t="s">
        <v>1677</v>
      </c>
      <c r="G470" s="43"/>
      <c r="H470" s="45"/>
      <c r="I470" s="38"/>
      <c r="J470" s="38">
        <f>248</f>
        <v>248</v>
      </c>
      <c r="K470" s="46">
        <v>0.0015046296296296294</v>
      </c>
      <c r="L470" s="47" t="s">
        <v>1048</v>
      </c>
      <c r="M470" s="48"/>
      <c r="N470" s="48"/>
      <c r="O470" s="48">
        <f t="shared" si="1"/>
        <v>0</v>
      </c>
      <c r="P470" s="38"/>
      <c r="Q470" s="12" t="str">
        <f t="shared" si="2"/>
        <v/>
      </c>
      <c r="R470" s="42"/>
      <c r="S470" s="42"/>
      <c r="T470" s="42"/>
      <c r="U470" s="51"/>
      <c r="V470" s="52"/>
      <c r="W470" s="55"/>
      <c r="X470" s="57"/>
      <c r="Y470" s="106"/>
      <c r="Z470" s="106"/>
      <c r="AA470" s="106"/>
      <c r="AB470" s="106"/>
    </row>
    <row r="471">
      <c r="A471" s="38">
        <v>470.0</v>
      </c>
      <c r="B471" s="42"/>
      <c r="C471" s="51"/>
      <c r="D471" s="38"/>
      <c r="E471" s="38" t="s">
        <v>1678</v>
      </c>
      <c r="F471" s="41" t="s">
        <v>1679</v>
      </c>
      <c r="G471" s="43"/>
      <c r="H471" s="45"/>
      <c r="I471" s="38"/>
      <c r="J471" s="38">
        <f>671</f>
        <v>671</v>
      </c>
      <c r="K471" s="46">
        <v>0.0013078703703703705</v>
      </c>
      <c r="L471" s="47" t="s">
        <v>1048</v>
      </c>
      <c r="M471" s="48"/>
      <c r="N471" s="48"/>
      <c r="O471" s="48">
        <f t="shared" si="1"/>
        <v>0</v>
      </c>
      <c r="P471" s="38"/>
      <c r="Q471" s="12" t="str">
        <f t="shared" si="2"/>
        <v/>
      </c>
      <c r="R471" s="42"/>
      <c r="S471" s="42"/>
      <c r="T471" s="42"/>
      <c r="U471" s="51"/>
      <c r="V471" s="52"/>
      <c r="W471" s="55"/>
      <c r="X471" s="57"/>
      <c r="Y471" s="106"/>
      <c r="Z471" s="106"/>
      <c r="AA471" s="106"/>
      <c r="AB471" s="106"/>
    </row>
    <row r="472">
      <c r="A472" s="38">
        <v>471.0</v>
      </c>
      <c r="B472" s="42"/>
      <c r="C472" s="51"/>
      <c r="D472" s="38"/>
      <c r="E472" s="38" t="s">
        <v>1680</v>
      </c>
      <c r="F472" s="41" t="s">
        <v>1681</v>
      </c>
      <c r="G472" s="43"/>
      <c r="H472" s="45"/>
      <c r="I472" s="38"/>
      <c r="J472" s="38">
        <f>335</f>
        <v>335</v>
      </c>
      <c r="K472" s="46">
        <v>7.060185185185185E-4</v>
      </c>
      <c r="L472" s="47" t="s">
        <v>1048</v>
      </c>
      <c r="M472" s="48"/>
      <c r="N472" s="48"/>
      <c r="O472" s="48">
        <f t="shared" si="1"/>
        <v>0</v>
      </c>
      <c r="P472" s="38"/>
      <c r="Q472" s="12" t="str">
        <f t="shared" si="2"/>
        <v/>
      </c>
      <c r="R472" s="42"/>
      <c r="S472" s="42"/>
      <c r="T472" s="42"/>
      <c r="U472" s="51"/>
      <c r="V472" s="52"/>
      <c r="W472" s="55"/>
      <c r="X472" s="57"/>
      <c r="Y472" s="106"/>
      <c r="Z472" s="106"/>
      <c r="AA472" s="106"/>
      <c r="AB472" s="106"/>
    </row>
    <row r="473">
      <c r="A473" s="38">
        <v>472.0</v>
      </c>
      <c r="B473" s="42"/>
      <c r="C473" s="51"/>
      <c r="D473" s="38"/>
      <c r="E473" s="38" t="s">
        <v>1682</v>
      </c>
      <c r="F473" s="41" t="s">
        <v>1683</v>
      </c>
      <c r="G473" s="43"/>
      <c r="H473" s="45"/>
      <c r="I473" s="38"/>
      <c r="J473" s="38">
        <f>1*1000</f>
        <v>1000</v>
      </c>
      <c r="K473" s="46">
        <v>0.0049884259259259265</v>
      </c>
      <c r="L473" s="47" t="s">
        <v>1048</v>
      </c>
      <c r="M473" s="48"/>
      <c r="N473" s="48"/>
      <c r="O473" s="48">
        <f t="shared" si="1"/>
        <v>0</v>
      </c>
      <c r="P473" s="38"/>
      <c r="Q473" s="12" t="str">
        <f t="shared" si="2"/>
        <v/>
      </c>
      <c r="R473" s="42"/>
      <c r="S473" s="42"/>
      <c r="T473" s="42"/>
      <c r="U473" s="51"/>
      <c r="V473" s="52"/>
      <c r="W473" s="55"/>
      <c r="X473" s="57"/>
      <c r="Y473" s="106"/>
      <c r="Z473" s="106"/>
      <c r="AA473" s="106"/>
      <c r="AB473" s="106"/>
    </row>
    <row r="474">
      <c r="A474" s="38">
        <v>473.0</v>
      </c>
      <c r="B474" s="42"/>
      <c r="C474" s="51"/>
      <c r="D474" s="38"/>
      <c r="E474" s="38" t="s">
        <v>1685</v>
      </c>
      <c r="F474" s="41" t="s">
        <v>1686</v>
      </c>
      <c r="G474" s="43"/>
      <c r="H474" s="45"/>
      <c r="I474" s="38"/>
      <c r="J474" s="38">
        <f>704</f>
        <v>704</v>
      </c>
      <c r="K474" s="46">
        <v>0.008425925925925925</v>
      </c>
      <c r="L474" s="47" t="s">
        <v>1048</v>
      </c>
      <c r="M474" s="48"/>
      <c r="N474" s="48"/>
      <c r="O474" s="48">
        <f t="shared" si="1"/>
        <v>0</v>
      </c>
      <c r="P474" s="38"/>
      <c r="Q474" s="12" t="str">
        <f t="shared" si="2"/>
        <v/>
      </c>
      <c r="R474" s="42"/>
      <c r="S474" s="42"/>
      <c r="T474" s="42"/>
      <c r="U474" s="51"/>
      <c r="V474" s="52"/>
      <c r="W474" s="55"/>
      <c r="X474" s="57"/>
      <c r="Y474" s="106"/>
      <c r="Z474" s="106"/>
      <c r="AA474" s="106"/>
      <c r="AB474" s="106"/>
    </row>
    <row r="475">
      <c r="A475" s="38">
        <v>474.0</v>
      </c>
      <c r="B475" s="42"/>
      <c r="C475" s="51"/>
      <c r="D475" s="38"/>
      <c r="E475" s="38" t="s">
        <v>1689</v>
      </c>
      <c r="F475" s="41" t="s">
        <v>1691</v>
      </c>
      <c r="G475" s="43"/>
      <c r="H475" s="45"/>
      <c r="I475" s="38"/>
      <c r="J475" s="38">
        <f>1.1*1000</f>
        <v>1100</v>
      </c>
      <c r="K475" s="46">
        <v>0.011099537037037038</v>
      </c>
      <c r="L475" s="47" t="s">
        <v>1048</v>
      </c>
      <c r="M475" s="48"/>
      <c r="N475" s="48"/>
      <c r="O475" s="48">
        <f t="shared" si="1"/>
        <v>0</v>
      </c>
      <c r="P475" s="38"/>
      <c r="Q475" s="12" t="str">
        <f t="shared" si="2"/>
        <v/>
      </c>
      <c r="R475" s="42"/>
      <c r="S475" s="42"/>
      <c r="T475" s="42"/>
      <c r="U475" s="51"/>
      <c r="V475" s="52"/>
      <c r="W475" s="55"/>
      <c r="X475" s="57"/>
      <c r="Y475" s="106"/>
      <c r="Z475" s="106"/>
      <c r="AA475" s="106"/>
      <c r="AB475" s="106"/>
    </row>
    <row r="476">
      <c r="A476" s="38">
        <v>475.0</v>
      </c>
      <c r="B476" s="42"/>
      <c r="C476" s="51"/>
      <c r="D476" s="38"/>
      <c r="E476" s="38" t="s">
        <v>1705</v>
      </c>
      <c r="F476" s="41" t="s">
        <v>1706</v>
      </c>
      <c r="G476" s="43"/>
      <c r="H476" s="45"/>
      <c r="I476" s="38"/>
      <c r="J476" s="38">
        <f>179</f>
        <v>179</v>
      </c>
      <c r="K476" s="46">
        <v>0.0022222222222222222</v>
      </c>
      <c r="L476" s="47" t="s">
        <v>1048</v>
      </c>
      <c r="M476" s="48"/>
      <c r="N476" s="48"/>
      <c r="O476" s="48">
        <f t="shared" si="1"/>
        <v>0</v>
      </c>
      <c r="P476" s="38"/>
      <c r="Q476" s="12" t="str">
        <f t="shared" si="2"/>
        <v/>
      </c>
      <c r="R476" s="42"/>
      <c r="S476" s="42"/>
      <c r="T476" s="42"/>
      <c r="U476" s="51"/>
      <c r="V476" s="52"/>
      <c r="W476" s="55"/>
      <c r="X476" s="57"/>
      <c r="Y476" s="106"/>
      <c r="Z476" s="106"/>
      <c r="AA476" s="106"/>
      <c r="AB476" s="106"/>
    </row>
    <row r="477">
      <c r="A477" s="38">
        <v>476.0</v>
      </c>
      <c r="B477" s="42"/>
      <c r="C477" s="51"/>
      <c r="D477" s="38"/>
      <c r="E477" s="38" t="s">
        <v>1707</v>
      </c>
      <c r="F477" s="41" t="s">
        <v>1708</v>
      </c>
      <c r="G477" s="43"/>
      <c r="H477" s="45"/>
      <c r="I477" s="38"/>
      <c r="J477" s="38">
        <f>961</f>
        <v>961</v>
      </c>
      <c r="K477" s="46">
        <v>0.005624999999999999</v>
      </c>
      <c r="L477" s="47" t="s">
        <v>1048</v>
      </c>
      <c r="M477" s="48"/>
      <c r="N477" s="48"/>
      <c r="O477" s="48">
        <f t="shared" si="1"/>
        <v>0</v>
      </c>
      <c r="P477" s="38"/>
      <c r="Q477" s="12" t="str">
        <f t="shared" si="2"/>
        <v/>
      </c>
      <c r="R477" s="42"/>
      <c r="S477" s="42"/>
      <c r="T477" s="42"/>
      <c r="U477" s="51"/>
      <c r="V477" s="52"/>
      <c r="W477" s="55"/>
      <c r="X477" s="57"/>
      <c r="Y477" s="106"/>
      <c r="Z477" s="106"/>
      <c r="AA477" s="106"/>
      <c r="AB477" s="106"/>
    </row>
    <row r="478">
      <c r="A478" s="38">
        <v>477.0</v>
      </c>
      <c r="B478" s="42"/>
      <c r="C478" s="51"/>
      <c r="D478" s="38"/>
      <c r="E478" s="38" t="s">
        <v>1709</v>
      </c>
      <c r="F478" s="41" t="s">
        <v>1712</v>
      </c>
      <c r="G478" s="43"/>
      <c r="H478" s="45"/>
      <c r="I478" s="38"/>
      <c r="J478" s="38">
        <f>144</f>
        <v>144</v>
      </c>
      <c r="K478" s="46">
        <v>0.0018287037037037037</v>
      </c>
      <c r="L478" s="47" t="s">
        <v>1048</v>
      </c>
      <c r="M478" s="48"/>
      <c r="N478" s="48"/>
      <c r="O478" s="48">
        <f t="shared" si="1"/>
        <v>0</v>
      </c>
      <c r="P478" s="38"/>
      <c r="Q478" s="12" t="str">
        <f t="shared" si="2"/>
        <v/>
      </c>
      <c r="R478" s="42"/>
      <c r="S478" s="42"/>
      <c r="T478" s="42"/>
      <c r="U478" s="51"/>
      <c r="V478" s="52"/>
      <c r="W478" s="55"/>
      <c r="X478" s="57"/>
      <c r="Y478" s="106"/>
      <c r="Z478" s="106"/>
      <c r="AA478" s="106"/>
      <c r="AB478" s="106"/>
    </row>
    <row r="479">
      <c r="A479" s="38">
        <v>478.0</v>
      </c>
      <c r="B479" s="42"/>
      <c r="C479" s="51"/>
      <c r="D479" s="38"/>
      <c r="E479" s="38" t="s">
        <v>1718</v>
      </c>
      <c r="F479" s="41" t="s">
        <v>1719</v>
      </c>
      <c r="G479" s="43"/>
      <c r="H479" s="45"/>
      <c r="I479" s="38"/>
      <c r="J479" s="38">
        <f>2.4*1000</f>
        <v>2400</v>
      </c>
      <c r="K479" s="46">
        <v>0.0026620370370370374</v>
      </c>
      <c r="L479" s="47" t="s">
        <v>1048</v>
      </c>
      <c r="M479" s="48"/>
      <c r="N479" s="48"/>
      <c r="O479" s="48">
        <f t="shared" si="1"/>
        <v>0</v>
      </c>
      <c r="P479" s="38"/>
      <c r="Q479" s="12" t="str">
        <f t="shared" si="2"/>
        <v/>
      </c>
      <c r="R479" s="42"/>
      <c r="S479" s="42"/>
      <c r="T479" s="42"/>
      <c r="U479" s="51"/>
      <c r="V479" s="52"/>
      <c r="W479" s="55"/>
      <c r="X479" s="57"/>
      <c r="Y479" s="106"/>
      <c r="Z479" s="106"/>
      <c r="AA479" s="106"/>
      <c r="AB479" s="106"/>
    </row>
    <row r="480">
      <c r="A480" s="38">
        <v>479.0</v>
      </c>
      <c r="B480" s="42"/>
      <c r="C480" s="51"/>
      <c r="D480" s="38"/>
      <c r="E480" s="38" t="s">
        <v>1746</v>
      </c>
      <c r="F480" s="41" t="s">
        <v>1749</v>
      </c>
      <c r="G480" s="43"/>
      <c r="H480" s="45"/>
      <c r="I480" s="38"/>
      <c r="J480" s="38">
        <f>2.8*1000</f>
        <v>2800</v>
      </c>
      <c r="K480" s="46">
        <v>0.0049884259259259265</v>
      </c>
      <c r="L480" s="47" t="s">
        <v>1048</v>
      </c>
      <c r="M480" s="48"/>
      <c r="N480" s="48"/>
      <c r="O480" s="48">
        <f t="shared" si="1"/>
        <v>0</v>
      </c>
      <c r="P480" s="38"/>
      <c r="Q480" s="12" t="str">
        <f t="shared" si="2"/>
        <v/>
      </c>
      <c r="R480" s="42"/>
      <c r="S480" s="42"/>
      <c r="T480" s="42"/>
      <c r="U480" s="51"/>
      <c r="V480" s="52"/>
      <c r="W480" s="55"/>
      <c r="X480" s="57"/>
      <c r="Y480" s="106"/>
      <c r="Z480" s="106"/>
      <c r="AA480" s="106"/>
      <c r="AB480" s="106"/>
    </row>
    <row r="481">
      <c r="A481" s="38">
        <v>480.0</v>
      </c>
      <c r="B481" s="42"/>
      <c r="C481" s="51"/>
      <c r="D481" s="38"/>
      <c r="E481" s="38" t="s">
        <v>1783</v>
      </c>
      <c r="F481" s="41" t="s">
        <v>1787</v>
      </c>
      <c r="G481" s="43"/>
      <c r="H481" s="45"/>
      <c r="I481" s="38"/>
      <c r="J481" s="38">
        <f>14*1000</f>
        <v>14000</v>
      </c>
      <c r="K481" s="46">
        <v>0.008541666666666668</v>
      </c>
      <c r="L481" s="47" t="s">
        <v>1048</v>
      </c>
      <c r="M481" s="48"/>
      <c r="N481" s="48"/>
      <c r="O481" s="48">
        <f t="shared" si="1"/>
        <v>0</v>
      </c>
      <c r="P481" s="38"/>
      <c r="Q481" s="12" t="str">
        <f t="shared" si="2"/>
        <v/>
      </c>
      <c r="R481" s="42"/>
      <c r="S481" s="42"/>
      <c r="T481" s="42"/>
      <c r="U481" s="51"/>
      <c r="V481" s="52"/>
      <c r="W481" s="55"/>
      <c r="X481" s="57"/>
      <c r="Y481" s="106"/>
      <c r="Z481" s="106"/>
      <c r="AA481" s="106"/>
      <c r="AB481" s="106"/>
    </row>
    <row r="482">
      <c r="A482" s="38">
        <v>481.0</v>
      </c>
      <c r="B482" s="63" t="s">
        <v>142</v>
      </c>
      <c r="C482" s="51"/>
      <c r="D482" s="39" t="s">
        <v>145</v>
      </c>
      <c r="E482" s="38" t="s">
        <v>1403</v>
      </c>
      <c r="F482" s="41" t="s">
        <v>1404</v>
      </c>
      <c r="G482" s="43"/>
      <c r="H482" s="45"/>
      <c r="I482" s="38"/>
      <c r="J482" s="38">
        <f>3.5*1000</f>
        <v>3500</v>
      </c>
      <c r="K482" s="46">
        <v>0.007488425925925926</v>
      </c>
      <c r="L482" s="47" t="s">
        <v>1048</v>
      </c>
      <c r="M482" s="48"/>
      <c r="N482" s="48"/>
      <c r="O482" s="48">
        <f t="shared" si="1"/>
        <v>0</v>
      </c>
      <c r="P482" s="38"/>
      <c r="Q482" s="12" t="str">
        <f t="shared" si="2"/>
        <v/>
      </c>
      <c r="R482" s="42"/>
      <c r="S482" s="42"/>
      <c r="T482" s="42"/>
      <c r="U482" s="51"/>
      <c r="V482" s="52"/>
      <c r="W482" s="55"/>
      <c r="X482" s="57"/>
      <c r="Y482" s="106"/>
      <c r="Z482" s="106"/>
      <c r="AA482" s="106"/>
      <c r="AB482" s="106"/>
    </row>
    <row r="483">
      <c r="A483" s="38">
        <v>482.0</v>
      </c>
      <c r="B483" s="42"/>
      <c r="C483" s="51"/>
      <c r="D483" s="38"/>
      <c r="E483" s="38" t="s">
        <v>1788</v>
      </c>
      <c r="F483" s="41" t="s">
        <v>1789</v>
      </c>
      <c r="G483" s="43"/>
      <c r="H483" s="45"/>
      <c r="I483" s="38"/>
      <c r="J483" s="38">
        <f>118</f>
        <v>118</v>
      </c>
      <c r="K483" s="46">
        <v>0.0010763888888888889</v>
      </c>
      <c r="L483" s="47" t="s">
        <v>1048</v>
      </c>
      <c r="M483" s="48"/>
      <c r="N483" s="48"/>
      <c r="O483" s="48">
        <f t="shared" si="1"/>
        <v>0</v>
      </c>
      <c r="P483" s="38"/>
      <c r="Q483" s="12" t="str">
        <f t="shared" si="2"/>
        <v/>
      </c>
      <c r="R483" s="42"/>
      <c r="S483" s="42"/>
      <c r="T483" s="42"/>
      <c r="U483" s="51"/>
      <c r="V483" s="52"/>
      <c r="W483" s="55"/>
      <c r="X483" s="57"/>
      <c r="Y483" s="106"/>
      <c r="Z483" s="106"/>
      <c r="AA483" s="106"/>
      <c r="AB483" s="106"/>
    </row>
    <row r="484">
      <c r="A484" s="38">
        <v>483.0</v>
      </c>
      <c r="B484" s="42"/>
      <c r="C484" s="51"/>
      <c r="D484" s="38"/>
      <c r="E484" s="38" t="s">
        <v>1790</v>
      </c>
      <c r="F484" s="41" t="s">
        <v>1791</v>
      </c>
      <c r="G484" s="43"/>
      <c r="H484" s="45"/>
      <c r="I484" s="38"/>
      <c r="J484" s="38">
        <f>317</f>
        <v>317</v>
      </c>
      <c r="K484" s="46">
        <v>0.0016319444444444445</v>
      </c>
      <c r="L484" s="47" t="s">
        <v>1048</v>
      </c>
      <c r="M484" s="48"/>
      <c r="N484" s="48"/>
      <c r="O484" s="48">
        <f t="shared" si="1"/>
        <v>0</v>
      </c>
      <c r="P484" s="38"/>
      <c r="Q484" s="12" t="str">
        <f t="shared" si="2"/>
        <v/>
      </c>
      <c r="R484" s="42"/>
      <c r="S484" s="42"/>
      <c r="T484" s="42"/>
      <c r="U484" s="51"/>
      <c r="V484" s="52"/>
      <c r="W484" s="55"/>
      <c r="X484" s="57"/>
      <c r="Y484" s="106"/>
      <c r="Z484" s="106"/>
      <c r="AA484" s="106"/>
      <c r="AB484" s="106"/>
    </row>
    <row r="485">
      <c r="A485" s="38">
        <v>484.0</v>
      </c>
      <c r="B485" s="42"/>
      <c r="C485" s="51"/>
      <c r="D485" s="38"/>
      <c r="E485" s="38" t="s">
        <v>1792</v>
      </c>
      <c r="F485" s="41" t="s">
        <v>1793</v>
      </c>
      <c r="G485" s="43"/>
      <c r="H485" s="45"/>
      <c r="I485" s="38"/>
      <c r="J485" s="38">
        <f>3.2*1000</f>
        <v>3200</v>
      </c>
      <c r="K485" s="46">
        <v>0.0043749999999999995</v>
      </c>
      <c r="L485" s="47" t="s">
        <v>1048</v>
      </c>
      <c r="M485" s="48"/>
      <c r="N485" s="48"/>
      <c r="O485" s="48">
        <f t="shared" si="1"/>
        <v>0</v>
      </c>
      <c r="P485" s="38"/>
      <c r="Q485" s="12" t="str">
        <f t="shared" si="2"/>
        <v/>
      </c>
      <c r="R485" s="42"/>
      <c r="S485" s="42"/>
      <c r="T485" s="42"/>
      <c r="U485" s="51"/>
      <c r="V485" s="52"/>
      <c r="W485" s="55"/>
      <c r="X485" s="57"/>
      <c r="Y485" s="106"/>
      <c r="Z485" s="106"/>
      <c r="AA485" s="106"/>
      <c r="AB485" s="106"/>
    </row>
    <row r="486">
      <c r="A486" s="38">
        <v>485.0</v>
      </c>
      <c r="B486" s="42"/>
      <c r="C486" s="51"/>
      <c r="D486" s="38"/>
      <c r="E486" s="38" t="s">
        <v>1794</v>
      </c>
      <c r="F486" s="41" t="s">
        <v>1795</v>
      </c>
      <c r="G486" s="43"/>
      <c r="H486" s="45"/>
      <c r="I486" s="38"/>
      <c r="J486" s="38">
        <f>219</f>
        <v>219</v>
      </c>
      <c r="K486" s="46">
        <v>0.0021296296296296298</v>
      </c>
      <c r="L486" s="47" t="s">
        <v>1048</v>
      </c>
      <c r="M486" s="48"/>
      <c r="N486" s="48"/>
      <c r="O486" s="48">
        <f t="shared" si="1"/>
        <v>0</v>
      </c>
      <c r="P486" s="38"/>
      <c r="Q486" s="12" t="str">
        <f t="shared" si="2"/>
        <v/>
      </c>
      <c r="R486" s="42"/>
      <c r="S486" s="42"/>
      <c r="T486" s="42"/>
      <c r="U486" s="51"/>
      <c r="V486" s="52"/>
      <c r="W486" s="55"/>
      <c r="X486" s="57"/>
      <c r="Y486" s="106"/>
      <c r="Z486" s="106"/>
      <c r="AA486" s="106"/>
      <c r="AB486" s="106"/>
    </row>
    <row r="487">
      <c r="A487" s="38">
        <v>486.0</v>
      </c>
      <c r="B487" s="63"/>
      <c r="C487" s="51"/>
      <c r="D487" s="38"/>
      <c r="E487" s="38" t="s">
        <v>1802</v>
      </c>
      <c r="F487" s="41" t="s">
        <v>1803</v>
      </c>
      <c r="G487" s="43"/>
      <c r="H487" s="45"/>
      <c r="I487" s="38"/>
      <c r="J487" s="38">
        <f>22*1000</f>
        <v>22000</v>
      </c>
      <c r="K487" s="46">
        <v>0.007245370370370371</v>
      </c>
      <c r="L487" s="47" t="s">
        <v>1048</v>
      </c>
      <c r="M487" s="48"/>
      <c r="N487" s="48"/>
      <c r="O487" s="48">
        <f t="shared" si="1"/>
        <v>0</v>
      </c>
      <c r="P487" s="38"/>
      <c r="Q487" s="12" t="str">
        <f t="shared" si="2"/>
        <v/>
      </c>
      <c r="R487" s="42"/>
      <c r="S487" s="42"/>
      <c r="T487" s="42"/>
      <c r="U487" s="51"/>
      <c r="V487" s="52"/>
      <c r="W487" s="55"/>
      <c r="X487" s="57"/>
      <c r="Y487" s="106"/>
      <c r="Z487" s="106"/>
      <c r="AA487" s="106"/>
      <c r="AB487" s="106"/>
    </row>
    <row r="488">
      <c r="A488" s="38">
        <v>487.0</v>
      </c>
      <c r="B488" s="42"/>
      <c r="C488" s="51"/>
      <c r="D488" s="38"/>
      <c r="E488" s="38" t="s">
        <v>1818</v>
      </c>
      <c r="F488" s="41" t="s">
        <v>1820</v>
      </c>
      <c r="G488" s="43"/>
      <c r="H488" s="45"/>
      <c r="I488" s="38"/>
      <c r="J488" s="38">
        <f>743</f>
        <v>743</v>
      </c>
      <c r="K488" s="46">
        <v>0.0021527777777777778</v>
      </c>
      <c r="L488" s="47" t="s">
        <v>1048</v>
      </c>
      <c r="M488" s="48"/>
      <c r="N488" s="48"/>
      <c r="O488" s="48">
        <f t="shared" si="1"/>
        <v>0</v>
      </c>
      <c r="P488" s="38"/>
      <c r="Q488" s="12" t="str">
        <f t="shared" si="2"/>
        <v/>
      </c>
      <c r="R488" s="42"/>
      <c r="S488" s="42"/>
      <c r="T488" s="42"/>
      <c r="U488" s="51"/>
      <c r="V488" s="52"/>
      <c r="W488" s="55"/>
      <c r="X488" s="57"/>
      <c r="Y488" s="106"/>
      <c r="Z488" s="106"/>
      <c r="AA488" s="106"/>
      <c r="AB488" s="106"/>
    </row>
    <row r="489">
      <c r="A489" s="38">
        <v>488.0</v>
      </c>
      <c r="B489" s="42"/>
      <c r="C489" s="51"/>
      <c r="D489" s="38"/>
      <c r="E489" s="38" t="s">
        <v>1822</v>
      </c>
      <c r="F489" s="41" t="s">
        <v>1823</v>
      </c>
      <c r="G489" s="43"/>
      <c r="H489" s="45"/>
      <c r="I489" s="38"/>
      <c r="J489" s="38">
        <f>408</f>
        <v>408</v>
      </c>
      <c r="K489" s="46">
        <v>0.0013773148148148147</v>
      </c>
      <c r="L489" s="47" t="s">
        <v>1048</v>
      </c>
      <c r="M489" s="48"/>
      <c r="N489" s="48"/>
      <c r="O489" s="48">
        <f t="shared" si="1"/>
        <v>0</v>
      </c>
      <c r="P489" s="38"/>
      <c r="Q489" s="12" t="str">
        <f t="shared" si="2"/>
        <v/>
      </c>
      <c r="R489" s="42"/>
      <c r="S489" s="42"/>
      <c r="T489" s="42"/>
      <c r="U489" s="51"/>
      <c r="V489" s="52"/>
      <c r="W489" s="55"/>
      <c r="X489" s="57"/>
      <c r="Y489" s="106"/>
      <c r="Z489" s="106"/>
      <c r="AA489" s="106"/>
      <c r="AB489" s="106"/>
    </row>
    <row r="490">
      <c r="A490" s="38">
        <v>489.0</v>
      </c>
      <c r="B490" s="42"/>
      <c r="C490" s="51"/>
      <c r="D490" s="38"/>
      <c r="E490" s="38" t="s">
        <v>1840</v>
      </c>
      <c r="F490" s="41" t="s">
        <v>1842</v>
      </c>
      <c r="G490" s="43"/>
      <c r="H490" s="45"/>
      <c r="I490" s="38"/>
      <c r="J490" s="38">
        <f>1.8*1000</f>
        <v>1800</v>
      </c>
      <c r="K490" s="46">
        <v>0.0032291666666666666</v>
      </c>
      <c r="L490" s="47" t="s">
        <v>1048</v>
      </c>
      <c r="M490" s="48"/>
      <c r="N490" s="48"/>
      <c r="O490" s="48">
        <f t="shared" si="1"/>
        <v>0</v>
      </c>
      <c r="P490" s="38"/>
      <c r="Q490" s="12" t="str">
        <f t="shared" si="2"/>
        <v/>
      </c>
      <c r="R490" s="42"/>
      <c r="S490" s="42"/>
      <c r="T490" s="42"/>
      <c r="U490" s="51"/>
      <c r="V490" s="52"/>
      <c r="W490" s="55"/>
      <c r="X490" s="57"/>
      <c r="Y490" s="106"/>
      <c r="Z490" s="106"/>
      <c r="AA490" s="106"/>
      <c r="AB490" s="106"/>
    </row>
    <row r="491">
      <c r="A491" s="38">
        <v>490.0</v>
      </c>
      <c r="B491" s="42"/>
      <c r="C491" s="51"/>
      <c r="D491" s="38"/>
      <c r="E491" s="38" t="s">
        <v>1854</v>
      </c>
      <c r="F491" s="41" t="s">
        <v>1856</v>
      </c>
      <c r="G491" s="43"/>
      <c r="H491" s="45"/>
      <c r="I491" s="38"/>
      <c r="J491" s="38">
        <f>577</f>
        <v>577</v>
      </c>
      <c r="K491" s="46">
        <v>0.0020370370370370373</v>
      </c>
      <c r="L491" s="47" t="s">
        <v>1048</v>
      </c>
      <c r="M491" s="48"/>
      <c r="N491" s="48"/>
      <c r="O491" s="48">
        <f t="shared" si="1"/>
        <v>0</v>
      </c>
      <c r="P491" s="38"/>
      <c r="Q491" s="12" t="str">
        <f t="shared" si="2"/>
        <v/>
      </c>
      <c r="R491" s="42"/>
      <c r="S491" s="42"/>
      <c r="T491" s="42"/>
      <c r="U491" s="51"/>
      <c r="V491" s="52"/>
      <c r="W491" s="55"/>
      <c r="X491" s="57"/>
      <c r="Y491" s="106"/>
      <c r="Z491" s="106"/>
      <c r="AA491" s="106"/>
      <c r="AB491" s="106"/>
    </row>
    <row r="492">
      <c r="A492" s="38">
        <v>491.0</v>
      </c>
      <c r="B492" s="42"/>
      <c r="C492" s="51"/>
      <c r="D492" s="38"/>
      <c r="E492" s="38" t="s">
        <v>1866</v>
      </c>
      <c r="F492" s="41" t="s">
        <v>1868</v>
      </c>
      <c r="G492" s="43"/>
      <c r="H492" s="45"/>
      <c r="I492" s="38"/>
      <c r="J492" s="38">
        <f>1.1*1000</f>
        <v>1100</v>
      </c>
      <c r="K492" s="46">
        <v>0.0028587962962962963</v>
      </c>
      <c r="L492" s="47" t="s">
        <v>1048</v>
      </c>
      <c r="M492" s="48"/>
      <c r="N492" s="48"/>
      <c r="O492" s="48">
        <f t="shared" si="1"/>
        <v>0</v>
      </c>
      <c r="P492" s="38"/>
      <c r="Q492" s="12" t="str">
        <f t="shared" si="2"/>
        <v/>
      </c>
      <c r="R492" s="42"/>
      <c r="S492" s="42"/>
      <c r="T492" s="42"/>
      <c r="U492" s="51"/>
      <c r="V492" s="52"/>
      <c r="W492" s="55"/>
      <c r="X492" s="57"/>
      <c r="Y492" s="106"/>
      <c r="Z492" s="106"/>
      <c r="AA492" s="106"/>
      <c r="AB492" s="106"/>
    </row>
    <row r="493">
      <c r="A493" s="38">
        <v>492.0</v>
      </c>
      <c r="B493" s="42"/>
      <c r="C493" s="51"/>
      <c r="D493" s="38"/>
      <c r="E493" s="38" t="s">
        <v>1877</v>
      </c>
      <c r="F493" s="41" t="s">
        <v>1878</v>
      </c>
      <c r="G493" s="43"/>
      <c r="H493" s="45"/>
      <c r="I493" s="38"/>
      <c r="J493" s="38">
        <f>225</f>
        <v>225</v>
      </c>
      <c r="K493" s="46">
        <v>0.0016319444444444445</v>
      </c>
      <c r="L493" s="47" t="s">
        <v>1048</v>
      </c>
      <c r="M493" s="48"/>
      <c r="N493" s="48"/>
      <c r="O493" s="48">
        <f t="shared" si="1"/>
        <v>0</v>
      </c>
      <c r="P493" s="38"/>
      <c r="Q493" s="12" t="str">
        <f t="shared" si="2"/>
        <v/>
      </c>
      <c r="R493" s="42"/>
      <c r="S493" s="42"/>
      <c r="T493" s="42"/>
      <c r="U493" s="51"/>
      <c r="V493" s="52"/>
      <c r="W493" s="55"/>
      <c r="X493" s="57"/>
      <c r="Y493" s="106"/>
      <c r="Z493" s="106"/>
      <c r="AA493" s="106"/>
      <c r="AB493" s="106"/>
    </row>
    <row r="494">
      <c r="A494" s="38">
        <v>493.0</v>
      </c>
      <c r="B494" s="42"/>
      <c r="C494" s="51"/>
      <c r="D494" s="38"/>
      <c r="E494" s="38" t="s">
        <v>1882</v>
      </c>
      <c r="F494" s="41" t="s">
        <v>1883</v>
      </c>
      <c r="G494" s="43"/>
      <c r="H494" s="45"/>
      <c r="I494" s="38"/>
      <c r="J494" s="38">
        <f>208</f>
        <v>208</v>
      </c>
      <c r="K494" s="46">
        <v>0.002847222222222222</v>
      </c>
      <c r="L494" s="47" t="s">
        <v>1048</v>
      </c>
      <c r="M494" s="48"/>
      <c r="N494" s="48"/>
      <c r="O494" s="48">
        <f t="shared" si="1"/>
        <v>0</v>
      </c>
      <c r="P494" s="38"/>
      <c r="Q494" s="12" t="str">
        <f t="shared" si="2"/>
        <v/>
      </c>
      <c r="R494" s="42"/>
      <c r="S494" s="42"/>
      <c r="T494" s="42"/>
      <c r="U494" s="51"/>
      <c r="V494" s="52"/>
      <c r="W494" s="55"/>
      <c r="X494" s="57"/>
      <c r="Y494" s="106"/>
      <c r="Z494" s="106"/>
      <c r="AA494" s="106"/>
      <c r="AB494" s="106"/>
    </row>
    <row r="495">
      <c r="A495" s="38">
        <v>494.0</v>
      </c>
      <c r="B495" s="42"/>
      <c r="C495" s="51"/>
      <c r="D495" s="38"/>
      <c r="E495" s="38" t="s">
        <v>1886</v>
      </c>
      <c r="F495" s="41" t="s">
        <v>1887</v>
      </c>
      <c r="G495" s="43"/>
      <c r="H495" s="45"/>
      <c r="I495" s="38"/>
      <c r="J495" s="38">
        <f>422</f>
        <v>422</v>
      </c>
      <c r="K495" s="46">
        <v>0.002685185185185185</v>
      </c>
      <c r="L495" s="47" t="s">
        <v>1048</v>
      </c>
      <c r="M495" s="48"/>
      <c r="N495" s="48"/>
      <c r="O495" s="48">
        <f t="shared" si="1"/>
        <v>0</v>
      </c>
      <c r="P495" s="38"/>
      <c r="Q495" s="12" t="str">
        <f t="shared" si="2"/>
        <v/>
      </c>
      <c r="R495" s="42"/>
      <c r="S495" s="42"/>
      <c r="T495" s="42"/>
      <c r="U495" s="51"/>
      <c r="V495" s="52"/>
      <c r="W495" s="55"/>
      <c r="X495" s="57"/>
      <c r="Y495" s="106"/>
      <c r="Z495" s="106"/>
      <c r="AA495" s="106"/>
      <c r="AB495" s="106"/>
    </row>
    <row r="496">
      <c r="A496" s="38">
        <v>495.0</v>
      </c>
      <c r="B496" s="42"/>
      <c r="C496" s="51"/>
      <c r="D496" s="38"/>
      <c r="E496" s="38" t="s">
        <v>1889</v>
      </c>
      <c r="F496" s="41" t="s">
        <v>1890</v>
      </c>
      <c r="G496" s="43"/>
      <c r="H496" s="45"/>
      <c r="I496" s="38"/>
      <c r="J496" s="38">
        <f>6.6*1000</f>
        <v>6600</v>
      </c>
      <c r="K496" s="46">
        <v>0.005509259259259259</v>
      </c>
      <c r="L496" s="47" t="s">
        <v>1048</v>
      </c>
      <c r="M496" s="48"/>
      <c r="N496" s="48"/>
      <c r="O496" s="48">
        <f t="shared" si="1"/>
        <v>0</v>
      </c>
      <c r="P496" s="38"/>
      <c r="Q496" s="12" t="str">
        <f t="shared" si="2"/>
        <v/>
      </c>
      <c r="R496" s="42"/>
      <c r="S496" s="42"/>
      <c r="T496" s="42"/>
      <c r="U496" s="51"/>
      <c r="V496" s="52"/>
      <c r="W496" s="55"/>
      <c r="X496" s="57"/>
      <c r="Y496" s="106"/>
      <c r="Z496" s="106"/>
      <c r="AA496" s="106"/>
      <c r="AB496" s="106"/>
    </row>
    <row r="497">
      <c r="A497" s="38">
        <v>496.0</v>
      </c>
      <c r="B497" s="42"/>
      <c r="C497" s="51"/>
      <c r="D497" s="38"/>
      <c r="E497" s="38" t="s">
        <v>1893</v>
      </c>
      <c r="F497" s="41" t="s">
        <v>1895</v>
      </c>
      <c r="G497" s="43"/>
      <c r="H497" s="45"/>
      <c r="I497" s="38"/>
      <c r="J497" s="38">
        <f>1*1000</f>
        <v>1000</v>
      </c>
      <c r="K497" s="46">
        <v>0.004039351851851852</v>
      </c>
      <c r="L497" s="47" t="s">
        <v>1048</v>
      </c>
      <c r="M497" s="48"/>
      <c r="N497" s="48"/>
      <c r="O497" s="48">
        <f t="shared" si="1"/>
        <v>0</v>
      </c>
      <c r="P497" s="38"/>
      <c r="Q497" s="12" t="str">
        <f t="shared" si="2"/>
        <v/>
      </c>
      <c r="R497" s="42"/>
      <c r="S497" s="42"/>
      <c r="T497" s="42"/>
      <c r="U497" s="51"/>
      <c r="V497" s="52"/>
      <c r="W497" s="55"/>
      <c r="X497" s="57"/>
      <c r="Y497" s="106"/>
      <c r="Z497" s="106"/>
      <c r="AA497" s="106"/>
      <c r="AB497" s="106"/>
    </row>
    <row r="498">
      <c r="A498" s="38">
        <v>497.0</v>
      </c>
      <c r="B498" s="42"/>
      <c r="C498" s="51"/>
      <c r="D498" s="38"/>
      <c r="E498" s="38" t="s">
        <v>1900</v>
      </c>
      <c r="F498" s="41" t="s">
        <v>1901</v>
      </c>
      <c r="G498" s="43"/>
      <c r="H498" s="45"/>
      <c r="I498" s="38"/>
      <c r="J498" s="38">
        <f>2.1*1000</f>
        <v>2100</v>
      </c>
      <c r="K498" s="46">
        <v>0.043946759259259255</v>
      </c>
      <c r="L498" s="47" t="s">
        <v>1048</v>
      </c>
      <c r="M498" s="48"/>
      <c r="N498" s="48"/>
      <c r="O498" s="48">
        <f t="shared" si="1"/>
        <v>0</v>
      </c>
      <c r="P498" s="38"/>
      <c r="Q498" s="12" t="str">
        <f t="shared" si="2"/>
        <v/>
      </c>
      <c r="R498" s="42"/>
      <c r="S498" s="42"/>
      <c r="T498" s="42"/>
      <c r="U498" s="51"/>
      <c r="V498" s="52"/>
      <c r="W498" s="55"/>
      <c r="X498" s="57"/>
      <c r="Y498" s="106"/>
      <c r="Z498" s="106"/>
      <c r="AA498" s="106"/>
      <c r="AB498" s="106"/>
    </row>
    <row r="499">
      <c r="A499" s="38">
        <v>498.0</v>
      </c>
      <c r="B499" s="42"/>
      <c r="C499" s="51"/>
      <c r="D499" s="38"/>
      <c r="E499" s="38" t="s">
        <v>1907</v>
      </c>
      <c r="F499" s="41" t="s">
        <v>1908</v>
      </c>
      <c r="G499" s="43"/>
      <c r="H499" s="45"/>
      <c r="I499" s="38"/>
      <c r="J499" s="38">
        <f>1.9*1000</f>
        <v>1900</v>
      </c>
      <c r="K499" s="46">
        <v>0.0250462962962963</v>
      </c>
      <c r="L499" s="47" t="s">
        <v>1048</v>
      </c>
      <c r="M499" s="48"/>
      <c r="N499" s="48"/>
      <c r="O499" s="48">
        <f t="shared" si="1"/>
        <v>0</v>
      </c>
      <c r="P499" s="38"/>
      <c r="Q499" s="12" t="str">
        <f t="shared" si="2"/>
        <v/>
      </c>
      <c r="R499" s="42"/>
      <c r="S499" s="42"/>
      <c r="T499" s="42"/>
      <c r="U499" s="51"/>
      <c r="V499" s="52"/>
      <c r="W499" s="55"/>
      <c r="X499" s="57"/>
      <c r="Y499" s="106"/>
      <c r="Z499" s="106"/>
      <c r="AA499" s="106"/>
      <c r="AB499" s="106"/>
    </row>
    <row r="500">
      <c r="A500" s="38">
        <v>499.0</v>
      </c>
      <c r="B500" s="42"/>
      <c r="C500" s="51"/>
      <c r="D500" s="38"/>
      <c r="E500" s="38" t="s">
        <v>1910</v>
      </c>
      <c r="F500" s="41" t="s">
        <v>1911</v>
      </c>
      <c r="G500" s="43"/>
      <c r="H500" s="45"/>
      <c r="I500" s="38"/>
      <c r="J500" s="38">
        <f>234</f>
        <v>234</v>
      </c>
      <c r="K500" s="46">
        <v>0.001388888888888889</v>
      </c>
      <c r="L500" s="47" t="s">
        <v>1048</v>
      </c>
      <c r="M500" s="48"/>
      <c r="N500" s="48"/>
      <c r="O500" s="48">
        <f t="shared" si="1"/>
        <v>0</v>
      </c>
      <c r="P500" s="38"/>
      <c r="Q500" s="12" t="str">
        <f t="shared" si="2"/>
        <v/>
      </c>
      <c r="R500" s="42"/>
      <c r="S500" s="42"/>
      <c r="T500" s="42"/>
      <c r="U500" s="51"/>
      <c r="V500" s="52"/>
      <c r="W500" s="55"/>
      <c r="X500" s="57"/>
      <c r="Y500" s="106"/>
      <c r="Z500" s="106"/>
      <c r="AA500" s="106"/>
      <c r="AB500" s="106"/>
    </row>
    <row r="501">
      <c r="A501" s="38">
        <v>500.0</v>
      </c>
      <c r="B501" s="42"/>
      <c r="C501" s="51"/>
      <c r="D501" s="38"/>
      <c r="E501" s="38" t="s">
        <v>1912</v>
      </c>
      <c r="F501" s="41" t="s">
        <v>1913</v>
      </c>
      <c r="G501" s="43"/>
      <c r="H501" s="45"/>
      <c r="I501" s="38"/>
      <c r="J501" s="38">
        <f>205</f>
        <v>205</v>
      </c>
      <c r="K501" s="46">
        <v>0.0021874999999999998</v>
      </c>
      <c r="L501" s="47" t="s">
        <v>1048</v>
      </c>
      <c r="M501" s="48"/>
      <c r="N501" s="48"/>
      <c r="O501" s="48">
        <f t="shared" si="1"/>
        <v>0</v>
      </c>
      <c r="P501" s="38"/>
      <c r="Q501" s="12" t="str">
        <f t="shared" si="2"/>
        <v/>
      </c>
      <c r="R501" s="42"/>
      <c r="S501" s="42"/>
      <c r="T501" s="42"/>
      <c r="U501" s="51"/>
      <c r="V501" s="52"/>
      <c r="W501" s="55"/>
      <c r="X501" s="57"/>
      <c r="Y501" s="106"/>
      <c r="Z501" s="106"/>
      <c r="AA501" s="106"/>
      <c r="AB501" s="106"/>
    </row>
    <row r="502">
      <c r="A502" s="38">
        <v>501.0</v>
      </c>
      <c r="B502" s="42"/>
      <c r="C502" s="51"/>
      <c r="D502" s="38"/>
      <c r="E502" s="38" t="s">
        <v>1914</v>
      </c>
      <c r="F502" s="41" t="s">
        <v>1915</v>
      </c>
      <c r="G502" s="43"/>
      <c r="H502" s="45"/>
      <c r="I502" s="38"/>
      <c r="J502" s="38">
        <f>3*1000</f>
        <v>3000</v>
      </c>
      <c r="K502" s="46">
        <v>0.02395833333333333</v>
      </c>
      <c r="L502" s="47" t="s">
        <v>1048</v>
      </c>
      <c r="M502" s="48"/>
      <c r="N502" s="48"/>
      <c r="O502" s="48">
        <f t="shared" si="1"/>
        <v>0</v>
      </c>
      <c r="P502" s="38"/>
      <c r="Q502" s="12" t="str">
        <f t="shared" si="2"/>
        <v/>
      </c>
      <c r="R502" s="42"/>
      <c r="S502" s="42"/>
      <c r="T502" s="42"/>
      <c r="U502" s="51"/>
      <c r="V502" s="52"/>
      <c r="W502" s="55"/>
      <c r="X502" s="57"/>
      <c r="Y502" s="106"/>
      <c r="Z502" s="106"/>
      <c r="AA502" s="106"/>
      <c r="AB502" s="106"/>
    </row>
    <row r="503">
      <c r="A503" s="38">
        <v>502.0</v>
      </c>
      <c r="B503" s="42"/>
      <c r="C503" s="51"/>
      <c r="D503" s="38"/>
      <c r="E503" s="38" t="s">
        <v>1916</v>
      </c>
      <c r="F503" s="41" t="s">
        <v>1917</v>
      </c>
      <c r="G503" s="43"/>
      <c r="H503" s="45"/>
      <c r="I503" s="38"/>
      <c r="J503" s="38">
        <f>2.4*1000</f>
        <v>2400</v>
      </c>
      <c r="K503" s="46">
        <v>0.03774305555555556</v>
      </c>
      <c r="L503" s="47" t="s">
        <v>1048</v>
      </c>
      <c r="M503" s="48"/>
      <c r="N503" s="48"/>
      <c r="O503" s="48">
        <f t="shared" si="1"/>
        <v>0</v>
      </c>
      <c r="P503" s="38"/>
      <c r="Q503" s="12" t="str">
        <f t="shared" si="2"/>
        <v/>
      </c>
      <c r="R503" s="42"/>
      <c r="S503" s="42"/>
      <c r="T503" s="42"/>
      <c r="U503" s="51"/>
      <c r="V503" s="52"/>
      <c r="W503" s="55"/>
      <c r="X503" s="57"/>
      <c r="Y503" s="106"/>
      <c r="Z503" s="106"/>
      <c r="AA503" s="106"/>
      <c r="AB503" s="106"/>
    </row>
    <row r="504">
      <c r="A504" s="38">
        <v>503.0</v>
      </c>
      <c r="B504" s="42"/>
      <c r="C504" s="51"/>
      <c r="D504" s="38"/>
      <c r="E504" s="38" t="s">
        <v>1918</v>
      </c>
      <c r="F504" s="41" t="s">
        <v>1919</v>
      </c>
      <c r="G504" s="43"/>
      <c r="H504" s="45"/>
      <c r="I504" s="38"/>
      <c r="J504" s="38">
        <f>2.8*1000</f>
        <v>2800</v>
      </c>
      <c r="K504" s="46">
        <v>0.018460648148148146</v>
      </c>
      <c r="L504" s="47" t="s">
        <v>1048</v>
      </c>
      <c r="M504" s="48"/>
      <c r="N504" s="48"/>
      <c r="O504" s="48">
        <f t="shared" si="1"/>
        <v>0</v>
      </c>
      <c r="P504" s="38"/>
      <c r="Q504" s="12" t="str">
        <f t="shared" si="2"/>
        <v/>
      </c>
      <c r="R504" s="42"/>
      <c r="S504" s="42"/>
      <c r="T504" s="42"/>
      <c r="U504" s="51"/>
      <c r="V504" s="52"/>
      <c r="W504" s="55"/>
      <c r="X504" s="57"/>
      <c r="Y504" s="106"/>
      <c r="Z504" s="106"/>
      <c r="AA504" s="106"/>
      <c r="AB504" s="106"/>
    </row>
    <row r="505">
      <c r="A505" s="38">
        <v>504.0</v>
      </c>
      <c r="B505" s="42"/>
      <c r="C505" s="51"/>
      <c r="D505" s="38"/>
      <c r="E505" s="38" t="s">
        <v>1920</v>
      </c>
      <c r="F505" s="41" t="s">
        <v>1921</v>
      </c>
      <c r="G505" s="43"/>
      <c r="H505" s="45"/>
      <c r="I505" s="38"/>
      <c r="J505" s="38">
        <f>3.5*1000</f>
        <v>3500</v>
      </c>
      <c r="K505" s="46">
        <v>0.03820601851851852</v>
      </c>
      <c r="L505" s="47" t="s">
        <v>1048</v>
      </c>
      <c r="M505" s="48"/>
      <c r="N505" s="48"/>
      <c r="O505" s="48">
        <f t="shared" si="1"/>
        <v>0</v>
      </c>
      <c r="P505" s="38"/>
      <c r="Q505" s="12" t="str">
        <f t="shared" si="2"/>
        <v/>
      </c>
      <c r="R505" s="42"/>
      <c r="S505" s="42"/>
      <c r="T505" s="42"/>
      <c r="U505" s="51"/>
      <c r="V505" s="52"/>
      <c r="W505" s="55"/>
      <c r="X505" s="57"/>
      <c r="Y505" s="106"/>
      <c r="Z505" s="106"/>
      <c r="AA505" s="106"/>
      <c r="AB505" s="106"/>
    </row>
    <row r="506">
      <c r="A506" s="38">
        <v>505.0</v>
      </c>
      <c r="B506" s="42"/>
      <c r="C506" s="51"/>
      <c r="D506" s="38"/>
      <c r="E506" s="38" t="s">
        <v>1922</v>
      </c>
      <c r="F506" s="41" t="s">
        <v>1923</v>
      </c>
      <c r="G506" s="43"/>
      <c r="H506" s="45"/>
      <c r="I506" s="38"/>
      <c r="J506" s="38">
        <f>1*1000</f>
        <v>1000</v>
      </c>
      <c r="K506" s="46">
        <v>0.011562499999999998</v>
      </c>
      <c r="L506" s="47" t="s">
        <v>1048</v>
      </c>
      <c r="M506" s="48"/>
      <c r="N506" s="48"/>
      <c r="O506" s="48">
        <f t="shared" si="1"/>
        <v>0</v>
      </c>
      <c r="P506" s="38"/>
      <c r="Q506" s="12" t="str">
        <f t="shared" si="2"/>
        <v/>
      </c>
      <c r="R506" s="42"/>
      <c r="S506" s="42"/>
      <c r="T506" s="42"/>
      <c r="U506" s="51"/>
      <c r="V506" s="52"/>
      <c r="W506" s="55"/>
      <c r="X506" s="57"/>
      <c r="Y506" s="106"/>
      <c r="Z506" s="106"/>
      <c r="AA506" s="106"/>
      <c r="AB506" s="106"/>
    </row>
    <row r="507">
      <c r="A507" s="38">
        <v>506.0</v>
      </c>
      <c r="B507" s="42"/>
      <c r="C507" s="51"/>
      <c r="D507" s="38"/>
      <c r="E507" s="38" t="s">
        <v>1924</v>
      </c>
      <c r="F507" s="41" t="s">
        <v>1925</v>
      </c>
      <c r="G507" s="43"/>
      <c r="H507" s="45"/>
      <c r="I507" s="38"/>
      <c r="J507" s="38">
        <f>4.3*1000</f>
        <v>4300</v>
      </c>
      <c r="K507" s="46">
        <v>0.024340277777777777</v>
      </c>
      <c r="L507" s="47" t="s">
        <v>1048</v>
      </c>
      <c r="M507" s="48"/>
      <c r="N507" s="48"/>
      <c r="O507" s="48">
        <f t="shared" si="1"/>
        <v>0</v>
      </c>
      <c r="P507" s="38"/>
      <c r="Q507" s="12" t="str">
        <f t="shared" si="2"/>
        <v/>
      </c>
      <c r="R507" s="42"/>
      <c r="S507" s="42"/>
      <c r="T507" s="42"/>
      <c r="U507" s="51"/>
      <c r="V507" s="52"/>
      <c r="W507" s="55"/>
      <c r="X507" s="57"/>
      <c r="Y507" s="106"/>
      <c r="Z507" s="106"/>
      <c r="AA507" s="106"/>
      <c r="AB507" s="106"/>
    </row>
    <row r="508">
      <c r="A508" s="38">
        <v>507.0</v>
      </c>
      <c r="B508" s="42"/>
      <c r="C508" s="51"/>
      <c r="D508" s="38"/>
      <c r="E508" s="38" t="s">
        <v>1926</v>
      </c>
      <c r="F508" s="41" t="s">
        <v>1927</v>
      </c>
      <c r="G508" s="43"/>
      <c r="H508" s="45"/>
      <c r="I508" s="38"/>
      <c r="J508" s="38">
        <f>2.6*1000</f>
        <v>2600</v>
      </c>
      <c r="K508" s="46">
        <v>0.01318287037037037</v>
      </c>
      <c r="L508" s="47" t="s">
        <v>1048</v>
      </c>
      <c r="M508" s="48"/>
      <c r="N508" s="48"/>
      <c r="O508" s="48">
        <f t="shared" si="1"/>
        <v>0</v>
      </c>
      <c r="P508" s="38"/>
      <c r="Q508" s="12" t="str">
        <f t="shared" si="2"/>
        <v/>
      </c>
      <c r="R508" s="42"/>
      <c r="S508" s="42"/>
      <c r="T508" s="42"/>
      <c r="U508" s="51"/>
      <c r="V508" s="52"/>
      <c r="W508" s="55"/>
      <c r="X508" s="57"/>
      <c r="Y508" s="106"/>
      <c r="Z508" s="106"/>
      <c r="AA508" s="106"/>
      <c r="AB508" s="106"/>
    </row>
    <row r="509">
      <c r="A509" s="38">
        <v>508.0</v>
      </c>
      <c r="B509" s="42"/>
      <c r="C509" s="51"/>
      <c r="D509" s="38"/>
      <c r="E509" s="38" t="s">
        <v>1928</v>
      </c>
      <c r="F509" s="41" t="s">
        <v>1929</v>
      </c>
      <c r="G509" s="43"/>
      <c r="H509" s="45"/>
      <c r="I509" s="38"/>
      <c r="J509" s="38">
        <f>473</f>
        <v>473</v>
      </c>
      <c r="K509" s="46">
        <v>0.006527777777777778</v>
      </c>
      <c r="L509" s="47" t="s">
        <v>1048</v>
      </c>
      <c r="M509" s="48"/>
      <c r="N509" s="48"/>
      <c r="O509" s="48">
        <f t="shared" si="1"/>
        <v>0</v>
      </c>
      <c r="P509" s="38"/>
      <c r="Q509" s="12" t="str">
        <f t="shared" si="2"/>
        <v/>
      </c>
      <c r="R509" s="42"/>
      <c r="S509" s="42"/>
      <c r="T509" s="42"/>
      <c r="U509" s="51"/>
      <c r="V509" s="52"/>
      <c r="W509" s="55"/>
      <c r="X509" s="57"/>
      <c r="Y509" s="106"/>
      <c r="Z509" s="106"/>
      <c r="AA509" s="106"/>
      <c r="AB509" s="106"/>
    </row>
    <row r="510">
      <c r="A510" s="38">
        <v>509.0</v>
      </c>
      <c r="B510" s="42"/>
      <c r="C510" s="51"/>
      <c r="D510" s="38"/>
      <c r="E510" s="38" t="s">
        <v>1930</v>
      </c>
      <c r="F510" s="41" t="s">
        <v>1931</v>
      </c>
      <c r="G510" s="43"/>
      <c r="H510" s="45"/>
      <c r="I510" s="38"/>
      <c r="J510" s="38">
        <f>974</f>
        <v>974</v>
      </c>
      <c r="K510" s="46">
        <v>0.002673611111111111</v>
      </c>
      <c r="L510" s="47" t="s">
        <v>1048</v>
      </c>
      <c r="M510" s="48"/>
      <c r="N510" s="48"/>
      <c r="O510" s="48">
        <f t="shared" si="1"/>
        <v>0</v>
      </c>
      <c r="P510" s="38"/>
      <c r="Q510" s="12" t="str">
        <f t="shared" si="2"/>
        <v/>
      </c>
      <c r="R510" s="42"/>
      <c r="S510" s="42"/>
      <c r="T510" s="42"/>
      <c r="U510" s="51"/>
      <c r="V510" s="52"/>
      <c r="W510" s="55"/>
      <c r="X510" s="57"/>
      <c r="Y510" s="106"/>
      <c r="Z510" s="106"/>
      <c r="AA510" s="106"/>
      <c r="AB510" s="106"/>
    </row>
    <row r="511">
      <c r="A511" s="38">
        <v>510.0</v>
      </c>
      <c r="B511" s="42"/>
      <c r="C511" s="51"/>
      <c r="D511" s="38"/>
      <c r="E511" s="38" t="s">
        <v>1932</v>
      </c>
      <c r="F511" s="41" t="s">
        <v>1933</v>
      </c>
      <c r="G511" s="43"/>
      <c r="H511" s="45"/>
      <c r="I511" s="38"/>
      <c r="J511" s="38">
        <f>437</f>
        <v>437</v>
      </c>
      <c r="K511" s="46">
        <v>0.0013194444444444443</v>
      </c>
      <c r="L511" s="47" t="s">
        <v>1048</v>
      </c>
      <c r="M511" s="48"/>
      <c r="N511" s="48"/>
      <c r="O511" s="48">
        <f t="shared" si="1"/>
        <v>0</v>
      </c>
      <c r="P511" s="38"/>
      <c r="Q511" s="12" t="str">
        <f t="shared" si="2"/>
        <v/>
      </c>
      <c r="R511" s="42"/>
      <c r="S511" s="42"/>
      <c r="T511" s="42"/>
      <c r="U511" s="51"/>
      <c r="V511" s="52"/>
      <c r="W511" s="55"/>
      <c r="X511" s="57"/>
      <c r="Y511" s="106"/>
      <c r="Z511" s="106"/>
      <c r="AA511" s="106"/>
      <c r="AB511" s="106"/>
    </row>
    <row r="512">
      <c r="A512" s="38">
        <v>511.0</v>
      </c>
      <c r="B512" s="42"/>
      <c r="C512" s="51"/>
      <c r="D512" s="38"/>
      <c r="E512" s="38" t="s">
        <v>1934</v>
      </c>
      <c r="F512" s="41" t="s">
        <v>1935</v>
      </c>
      <c r="G512" s="43"/>
      <c r="H512" s="45"/>
      <c r="I512" s="38"/>
      <c r="J512" s="38">
        <f>274</f>
        <v>274</v>
      </c>
      <c r="K512" s="46">
        <v>0.0014351851851851854</v>
      </c>
      <c r="L512" s="47" t="s">
        <v>1048</v>
      </c>
      <c r="M512" s="48"/>
      <c r="N512" s="48"/>
      <c r="O512" s="48">
        <f t="shared" si="1"/>
        <v>0</v>
      </c>
      <c r="P512" s="38"/>
      <c r="Q512" s="12" t="str">
        <f t="shared" si="2"/>
        <v/>
      </c>
      <c r="R512" s="42"/>
      <c r="S512" s="42"/>
      <c r="T512" s="42"/>
      <c r="U512" s="51"/>
      <c r="V512" s="52"/>
      <c r="W512" s="55"/>
      <c r="X512" s="57"/>
      <c r="Y512" s="106"/>
      <c r="Z512" s="106"/>
      <c r="AA512" s="106"/>
      <c r="AB512" s="106"/>
    </row>
    <row r="513">
      <c r="A513" s="38">
        <v>512.0</v>
      </c>
      <c r="B513" s="42"/>
      <c r="C513" s="51"/>
      <c r="D513" s="38"/>
      <c r="E513" s="38" t="s">
        <v>1936</v>
      </c>
      <c r="F513" s="41" t="s">
        <v>1937</v>
      </c>
      <c r="G513" s="43"/>
      <c r="H513" s="45"/>
      <c r="I513" s="38"/>
      <c r="J513" s="38">
        <f>4.2*1000</f>
        <v>4200</v>
      </c>
      <c r="K513" s="46">
        <v>0.001388888888888889</v>
      </c>
      <c r="L513" s="47" t="s">
        <v>1048</v>
      </c>
      <c r="M513" s="48"/>
      <c r="N513" s="48"/>
      <c r="O513" s="48">
        <f t="shared" si="1"/>
        <v>0</v>
      </c>
      <c r="P513" s="38"/>
      <c r="Q513" s="12" t="str">
        <f t="shared" si="2"/>
        <v/>
      </c>
      <c r="R513" s="42"/>
      <c r="S513" s="42"/>
      <c r="T513" s="42"/>
      <c r="U513" s="51"/>
      <c r="V513" s="52"/>
      <c r="W513" s="55"/>
      <c r="X513" s="57"/>
      <c r="Y513" s="106"/>
      <c r="Z513" s="106"/>
      <c r="AA513" s="106"/>
      <c r="AB513" s="106"/>
    </row>
    <row r="514">
      <c r="A514" s="38">
        <v>513.0</v>
      </c>
      <c r="B514" s="42"/>
      <c r="C514" s="51"/>
      <c r="D514" s="38"/>
      <c r="E514" s="38" t="s">
        <v>1938</v>
      </c>
      <c r="F514" s="41" t="s">
        <v>1939</v>
      </c>
      <c r="G514" s="43"/>
      <c r="H514" s="45"/>
      <c r="I514" s="38"/>
      <c r="J514" s="38">
        <f>366</f>
        <v>366</v>
      </c>
      <c r="K514" s="46">
        <v>0.0021874999999999998</v>
      </c>
      <c r="L514" s="47" t="s">
        <v>1048</v>
      </c>
      <c r="M514" s="48"/>
      <c r="N514" s="48"/>
      <c r="O514" s="48">
        <f t="shared" si="1"/>
        <v>0</v>
      </c>
      <c r="P514" s="38"/>
      <c r="Q514" s="12" t="str">
        <f t="shared" si="2"/>
        <v/>
      </c>
      <c r="R514" s="42"/>
      <c r="S514" s="42"/>
      <c r="T514" s="42"/>
      <c r="U514" s="51"/>
      <c r="V514" s="52"/>
      <c r="W514" s="55"/>
      <c r="X514" s="57"/>
      <c r="Y514" s="106"/>
      <c r="Z514" s="106"/>
      <c r="AA514" s="106"/>
      <c r="AB514" s="106"/>
    </row>
    <row r="515">
      <c r="A515" s="38">
        <v>514.0</v>
      </c>
      <c r="B515" s="42"/>
      <c r="C515" s="51"/>
      <c r="D515" s="38"/>
      <c r="E515" s="38" t="s">
        <v>1940</v>
      </c>
      <c r="F515" s="41" t="s">
        <v>1941</v>
      </c>
      <c r="G515" s="43"/>
      <c r="H515" s="45"/>
      <c r="I515" s="38"/>
      <c r="J515" s="38">
        <f>277</f>
        <v>277</v>
      </c>
      <c r="K515" s="46">
        <v>0.0024189814814814816</v>
      </c>
      <c r="L515" s="47" t="s">
        <v>1048</v>
      </c>
      <c r="M515" s="48"/>
      <c r="N515" s="48"/>
      <c r="O515" s="48">
        <f t="shared" si="1"/>
        <v>0</v>
      </c>
      <c r="P515" s="38"/>
      <c r="Q515" s="12" t="str">
        <f t="shared" si="2"/>
        <v/>
      </c>
      <c r="R515" s="42"/>
      <c r="S515" s="42"/>
      <c r="T515" s="42"/>
      <c r="U515" s="51"/>
      <c r="V515" s="52"/>
      <c r="W515" s="55"/>
      <c r="X515" s="57"/>
      <c r="Y515" s="106"/>
      <c r="Z515" s="106"/>
      <c r="AA515" s="106"/>
      <c r="AB515" s="106"/>
    </row>
    <row r="516">
      <c r="A516" s="38">
        <v>515.0</v>
      </c>
      <c r="B516" s="42"/>
      <c r="C516" s="51"/>
      <c r="D516" s="38"/>
      <c r="E516" s="38" t="s">
        <v>1942</v>
      </c>
      <c r="F516" s="41" t="s">
        <v>1943</v>
      </c>
      <c r="G516" s="43"/>
      <c r="H516" s="45"/>
      <c r="I516" s="38"/>
      <c r="J516" s="38">
        <f>667</f>
        <v>667</v>
      </c>
      <c r="K516" s="46">
        <v>0.0015277777777777779</v>
      </c>
      <c r="L516" s="47" t="s">
        <v>1048</v>
      </c>
      <c r="M516" s="48"/>
      <c r="N516" s="48"/>
      <c r="O516" s="48">
        <f t="shared" si="1"/>
        <v>0</v>
      </c>
      <c r="P516" s="38"/>
      <c r="Q516" s="12" t="str">
        <f t="shared" si="2"/>
        <v/>
      </c>
      <c r="R516" s="42"/>
      <c r="S516" s="42"/>
      <c r="T516" s="42"/>
      <c r="U516" s="51"/>
      <c r="V516" s="52"/>
      <c r="W516" s="55"/>
      <c r="X516" s="57"/>
      <c r="Y516" s="106"/>
      <c r="Z516" s="106"/>
      <c r="AA516" s="106"/>
      <c r="AB516" s="106"/>
    </row>
    <row r="517">
      <c r="A517" s="38">
        <v>516.0</v>
      </c>
      <c r="B517" s="42"/>
      <c r="C517" s="51"/>
      <c r="D517" s="38"/>
      <c r="E517" s="38" t="s">
        <v>1944</v>
      </c>
      <c r="F517" s="41" t="s">
        <v>1945</v>
      </c>
      <c r="G517" s="43"/>
      <c r="H517" s="45"/>
      <c r="I517" s="38"/>
      <c r="J517" s="38">
        <f>434</f>
        <v>434</v>
      </c>
      <c r="K517" s="46">
        <v>0.0013425925925925925</v>
      </c>
      <c r="L517" s="47" t="s">
        <v>1048</v>
      </c>
      <c r="M517" s="48"/>
      <c r="N517" s="48"/>
      <c r="O517" s="48">
        <f t="shared" si="1"/>
        <v>0</v>
      </c>
      <c r="P517" s="38"/>
      <c r="Q517" s="12" t="str">
        <f t="shared" si="2"/>
        <v/>
      </c>
      <c r="R517" s="42"/>
      <c r="S517" s="42"/>
      <c r="T517" s="42"/>
      <c r="U517" s="51"/>
      <c r="V517" s="52"/>
      <c r="W517" s="55"/>
      <c r="X517" s="57"/>
      <c r="Y517" s="106"/>
      <c r="Z517" s="106"/>
      <c r="AA517" s="106"/>
      <c r="AB517" s="106"/>
    </row>
    <row r="518">
      <c r="A518" s="38">
        <v>517.0</v>
      </c>
      <c r="B518" s="42"/>
      <c r="C518" s="51"/>
      <c r="D518" s="38"/>
      <c r="E518" s="38" t="s">
        <v>1946</v>
      </c>
      <c r="F518" s="41" t="s">
        <v>1947</v>
      </c>
      <c r="G518" s="43"/>
      <c r="H518" s="45"/>
      <c r="I518" s="38"/>
      <c r="J518" s="38">
        <f>556</f>
        <v>556</v>
      </c>
      <c r="K518" s="46">
        <v>0.0020370370370370373</v>
      </c>
      <c r="L518" s="47" t="s">
        <v>1048</v>
      </c>
      <c r="M518" s="48"/>
      <c r="N518" s="48"/>
      <c r="O518" s="48">
        <f t="shared" si="1"/>
        <v>0</v>
      </c>
      <c r="P518" s="38"/>
      <c r="Q518" s="12" t="str">
        <f t="shared" si="2"/>
        <v/>
      </c>
      <c r="R518" s="42"/>
      <c r="S518" s="42"/>
      <c r="T518" s="42"/>
      <c r="U518" s="51"/>
      <c r="V518" s="52"/>
      <c r="W518" s="55"/>
      <c r="X518" s="57"/>
      <c r="Y518" s="106"/>
      <c r="Z518" s="106"/>
      <c r="AA518" s="106"/>
      <c r="AB518" s="106"/>
    </row>
    <row r="519">
      <c r="A519" s="38">
        <v>518.0</v>
      </c>
      <c r="B519" s="42"/>
      <c r="C519" s="51"/>
      <c r="D519" s="38"/>
      <c r="E519" s="38" t="s">
        <v>1948</v>
      </c>
      <c r="F519" s="41" t="s">
        <v>1949</v>
      </c>
      <c r="G519" s="43"/>
      <c r="H519" s="45"/>
      <c r="I519" s="38"/>
      <c r="J519" s="38">
        <f>449</f>
        <v>449</v>
      </c>
      <c r="K519" s="46">
        <v>0.0035648148148148154</v>
      </c>
      <c r="L519" s="47" t="s">
        <v>1048</v>
      </c>
      <c r="M519" s="48"/>
      <c r="N519" s="48"/>
      <c r="O519" s="48">
        <f t="shared" si="1"/>
        <v>0</v>
      </c>
      <c r="P519" s="38"/>
      <c r="Q519" s="12" t="str">
        <f t="shared" si="2"/>
        <v/>
      </c>
      <c r="R519" s="42"/>
      <c r="S519" s="42"/>
      <c r="T519" s="42"/>
      <c r="U519" s="51"/>
      <c r="V519" s="52"/>
      <c r="W519" s="55"/>
      <c r="X519" s="57"/>
      <c r="Y519" s="106"/>
      <c r="Z519" s="106"/>
      <c r="AA519" s="106"/>
      <c r="AB519" s="106"/>
    </row>
    <row r="520">
      <c r="A520" s="38">
        <v>519.0</v>
      </c>
      <c r="B520" s="42"/>
      <c r="C520" s="51"/>
      <c r="D520" s="38"/>
      <c r="E520" s="38" t="s">
        <v>1950</v>
      </c>
      <c r="F520" s="41" t="s">
        <v>1951</v>
      </c>
      <c r="G520" s="43"/>
      <c r="H520" s="45"/>
      <c r="I520" s="38"/>
      <c r="J520" s="38">
        <f>813</f>
        <v>813</v>
      </c>
      <c r="K520" s="46">
        <v>0.003136574074074074</v>
      </c>
      <c r="L520" s="47" t="s">
        <v>1048</v>
      </c>
      <c r="M520" s="48"/>
      <c r="N520" s="48"/>
      <c r="O520" s="48">
        <f t="shared" si="1"/>
        <v>0</v>
      </c>
      <c r="P520" s="38"/>
      <c r="Q520" s="12" t="str">
        <f t="shared" si="2"/>
        <v/>
      </c>
      <c r="R520" s="42"/>
      <c r="S520" s="42"/>
      <c r="T520" s="42"/>
      <c r="U520" s="51"/>
      <c r="V520" s="52"/>
      <c r="W520" s="55"/>
      <c r="X520" s="57"/>
      <c r="Y520" s="106"/>
      <c r="Z520" s="106"/>
      <c r="AA520" s="106"/>
      <c r="AB520" s="106"/>
    </row>
    <row r="521">
      <c r="A521" s="38">
        <v>520.0</v>
      </c>
      <c r="B521" s="42"/>
      <c r="C521" s="51"/>
      <c r="D521" s="38"/>
      <c r="E521" s="38" t="s">
        <v>1952</v>
      </c>
      <c r="F521" s="41" t="s">
        <v>1953</v>
      </c>
      <c r="G521" s="43"/>
      <c r="H521" s="45"/>
      <c r="I521" s="38"/>
      <c r="J521" s="38">
        <f>1.4*1000</f>
        <v>1400</v>
      </c>
      <c r="K521" s="46">
        <v>0.0034606481481481485</v>
      </c>
      <c r="L521" s="47" t="s">
        <v>1048</v>
      </c>
      <c r="M521" s="48"/>
      <c r="N521" s="48"/>
      <c r="O521" s="48">
        <f t="shared" si="1"/>
        <v>0</v>
      </c>
      <c r="P521" s="38"/>
      <c r="Q521" s="12" t="str">
        <f t="shared" si="2"/>
        <v/>
      </c>
      <c r="R521" s="42"/>
      <c r="S521" s="42"/>
      <c r="T521" s="42"/>
      <c r="U521" s="51"/>
      <c r="V521" s="52"/>
      <c r="W521" s="55"/>
      <c r="X521" s="57"/>
      <c r="Y521" s="106"/>
      <c r="Z521" s="106"/>
      <c r="AA521" s="106"/>
      <c r="AB521" s="106"/>
    </row>
    <row r="522">
      <c r="A522" s="38">
        <v>521.0</v>
      </c>
      <c r="B522" s="42"/>
      <c r="C522" s="51"/>
      <c r="D522" s="38"/>
      <c r="E522" s="38" t="s">
        <v>1954</v>
      </c>
      <c r="F522" s="41" t="s">
        <v>1955</v>
      </c>
      <c r="G522" s="43"/>
      <c r="H522" s="45"/>
      <c r="I522" s="38"/>
      <c r="J522" s="38">
        <f>343</f>
        <v>343</v>
      </c>
      <c r="K522" s="46">
        <v>7.175925925925927E-4</v>
      </c>
      <c r="L522" s="47" t="s">
        <v>1048</v>
      </c>
      <c r="M522" s="48"/>
      <c r="N522" s="48"/>
      <c r="O522" s="48">
        <f t="shared" si="1"/>
        <v>0</v>
      </c>
      <c r="P522" s="38"/>
      <c r="Q522" s="12" t="str">
        <f t="shared" si="2"/>
        <v/>
      </c>
      <c r="R522" s="42"/>
      <c r="S522" s="42"/>
      <c r="T522" s="42"/>
      <c r="U522" s="51"/>
      <c r="V522" s="52"/>
      <c r="W522" s="55"/>
      <c r="X522" s="57"/>
      <c r="Y522" s="106"/>
      <c r="Z522" s="106"/>
      <c r="AA522" s="106"/>
      <c r="AB522" s="106"/>
    </row>
    <row r="523">
      <c r="A523" s="38">
        <v>522.0</v>
      </c>
      <c r="B523" s="42"/>
      <c r="C523" s="51"/>
      <c r="D523" s="38"/>
      <c r="E523" s="38" t="s">
        <v>1956</v>
      </c>
      <c r="F523" s="41" t="s">
        <v>1957</v>
      </c>
      <c r="G523" s="43"/>
      <c r="H523" s="45"/>
      <c r="I523" s="38"/>
      <c r="J523" s="38">
        <f>736</f>
        <v>736</v>
      </c>
      <c r="K523" s="46">
        <v>0.0024189814814814816</v>
      </c>
      <c r="L523" s="47" t="s">
        <v>1048</v>
      </c>
      <c r="M523" s="48"/>
      <c r="N523" s="48"/>
      <c r="O523" s="48">
        <f t="shared" si="1"/>
        <v>0</v>
      </c>
      <c r="P523" s="38"/>
      <c r="Q523" s="12" t="str">
        <f t="shared" si="2"/>
        <v/>
      </c>
      <c r="R523" s="42"/>
      <c r="S523" s="42"/>
      <c r="T523" s="42"/>
      <c r="U523" s="51"/>
      <c r="V523" s="52"/>
      <c r="W523" s="55"/>
      <c r="X523" s="57"/>
      <c r="Y523" s="106"/>
      <c r="Z523" s="106"/>
      <c r="AA523" s="106"/>
      <c r="AB523" s="106"/>
    </row>
    <row r="524">
      <c r="A524" s="38">
        <v>523.0</v>
      </c>
      <c r="B524" s="42"/>
      <c r="C524" s="51"/>
      <c r="D524" s="38"/>
      <c r="E524" s="38" t="s">
        <v>1958</v>
      </c>
      <c r="F524" s="41" t="s">
        <v>1959</v>
      </c>
      <c r="G524" s="43"/>
      <c r="H524" s="45"/>
      <c r="I524" s="38"/>
      <c r="J524" s="38">
        <f>2.3*1000</f>
        <v>2300</v>
      </c>
      <c r="K524" s="46">
        <v>0.0024189814814814816</v>
      </c>
      <c r="L524" s="47" t="s">
        <v>1048</v>
      </c>
      <c r="M524" s="48"/>
      <c r="N524" s="48"/>
      <c r="O524" s="48">
        <f t="shared" si="1"/>
        <v>0</v>
      </c>
      <c r="P524" s="38"/>
      <c r="Q524" s="12" t="str">
        <f t="shared" si="2"/>
        <v/>
      </c>
      <c r="R524" s="42"/>
      <c r="S524" s="42"/>
      <c r="T524" s="42"/>
      <c r="U524" s="51"/>
      <c r="V524" s="52"/>
      <c r="W524" s="55"/>
      <c r="X524" s="57"/>
      <c r="Y524" s="106"/>
      <c r="Z524" s="106"/>
      <c r="AA524" s="106"/>
      <c r="AB524" s="106"/>
    </row>
    <row r="525">
      <c r="A525" s="38">
        <v>524.0</v>
      </c>
      <c r="B525" s="42"/>
      <c r="C525" s="51"/>
      <c r="D525" s="38"/>
      <c r="E525" s="38" t="s">
        <v>1960</v>
      </c>
      <c r="F525" s="41" t="s">
        <v>1961</v>
      </c>
      <c r="G525" s="43"/>
      <c r="H525" s="45"/>
      <c r="I525" s="38"/>
      <c r="J525" s="38">
        <f>4.8*1000</f>
        <v>4800</v>
      </c>
      <c r="K525" s="46">
        <v>0.03180555555555555</v>
      </c>
      <c r="L525" s="47" t="s">
        <v>1048</v>
      </c>
      <c r="M525" s="48"/>
      <c r="N525" s="48"/>
      <c r="O525" s="48">
        <f t="shared" si="1"/>
        <v>0</v>
      </c>
      <c r="P525" s="38"/>
      <c r="Q525" s="12" t="str">
        <f t="shared" si="2"/>
        <v/>
      </c>
      <c r="R525" s="42"/>
      <c r="S525" s="42"/>
      <c r="T525" s="42"/>
      <c r="U525" s="51"/>
      <c r="V525" s="52"/>
      <c r="W525" s="55"/>
      <c r="X525" s="57"/>
      <c r="Y525" s="106"/>
      <c r="Z525" s="106"/>
      <c r="AA525" s="106"/>
      <c r="AB525" s="106"/>
    </row>
    <row r="526">
      <c r="A526" s="38">
        <v>525.0</v>
      </c>
      <c r="B526" s="42"/>
      <c r="C526" s="51"/>
      <c r="D526" s="38"/>
      <c r="E526" s="38" t="s">
        <v>1962</v>
      </c>
      <c r="F526" s="41" t="s">
        <v>1963</v>
      </c>
      <c r="G526" s="43"/>
      <c r="H526" s="45"/>
      <c r="I526" s="38"/>
      <c r="J526" s="38">
        <f>2*1000</f>
        <v>2000</v>
      </c>
      <c r="K526" s="46">
        <v>0.019733796296296298</v>
      </c>
      <c r="L526" s="47" t="s">
        <v>1048</v>
      </c>
      <c r="M526" s="48"/>
      <c r="N526" s="48"/>
      <c r="O526" s="48">
        <f t="shared" si="1"/>
        <v>0</v>
      </c>
      <c r="P526" s="38"/>
      <c r="Q526" s="12" t="str">
        <f t="shared" si="2"/>
        <v/>
      </c>
      <c r="R526" s="42"/>
      <c r="S526" s="42"/>
      <c r="T526" s="42"/>
      <c r="U526" s="51"/>
      <c r="V526" s="52"/>
      <c r="W526" s="55"/>
      <c r="X526" s="57"/>
      <c r="Y526" s="106"/>
      <c r="Z526" s="106"/>
      <c r="AA526" s="106"/>
      <c r="AB526" s="106"/>
    </row>
    <row r="527">
      <c r="A527" s="38">
        <v>526.0</v>
      </c>
      <c r="B527" s="42"/>
      <c r="C527" s="51"/>
      <c r="D527" s="38"/>
      <c r="E527" s="38" t="s">
        <v>1964</v>
      </c>
      <c r="F527" s="41" t="s">
        <v>1965</v>
      </c>
      <c r="G527" s="43"/>
      <c r="H527" s="45"/>
      <c r="I527" s="38"/>
      <c r="J527" s="38">
        <f>1.9*1000</f>
        <v>1900</v>
      </c>
      <c r="K527" s="46">
        <v>0.005162037037037037</v>
      </c>
      <c r="L527" s="47" t="s">
        <v>1048</v>
      </c>
      <c r="M527" s="48"/>
      <c r="N527" s="48"/>
      <c r="O527" s="48">
        <f t="shared" si="1"/>
        <v>0</v>
      </c>
      <c r="P527" s="38"/>
      <c r="Q527" s="12" t="str">
        <f t="shared" si="2"/>
        <v/>
      </c>
      <c r="R527" s="42"/>
      <c r="S527" s="42"/>
      <c r="T527" s="42"/>
      <c r="U527" s="51"/>
      <c r="V527" s="52"/>
      <c r="W527" s="55"/>
      <c r="X527" s="57"/>
      <c r="Y527" s="106"/>
      <c r="Z527" s="106"/>
      <c r="AA527" s="106"/>
      <c r="AB527" s="106"/>
    </row>
    <row r="528">
      <c r="A528" s="38">
        <v>527.0</v>
      </c>
      <c r="B528" s="42"/>
      <c r="C528" s="51"/>
      <c r="D528" s="38"/>
      <c r="E528" s="38" t="s">
        <v>1966</v>
      </c>
      <c r="F528" s="41" t="s">
        <v>1967</v>
      </c>
      <c r="G528" s="43"/>
      <c r="H528" s="45"/>
      <c r="I528" s="38"/>
      <c r="J528" s="38">
        <f>1.4*1000</f>
        <v>1400</v>
      </c>
      <c r="K528" s="46">
        <v>0.01707175925925926</v>
      </c>
      <c r="L528" s="47" t="s">
        <v>1048</v>
      </c>
      <c r="M528" s="48"/>
      <c r="N528" s="48"/>
      <c r="O528" s="48">
        <f t="shared" si="1"/>
        <v>0</v>
      </c>
      <c r="P528" s="38"/>
      <c r="Q528" s="12" t="str">
        <f t="shared" si="2"/>
        <v/>
      </c>
      <c r="R528" s="42"/>
      <c r="S528" s="42"/>
      <c r="T528" s="42"/>
      <c r="U528" s="51"/>
      <c r="V528" s="52"/>
      <c r="W528" s="55"/>
      <c r="X528" s="57"/>
      <c r="Y528" s="106"/>
      <c r="Z528" s="106"/>
      <c r="AA528" s="106"/>
      <c r="AB528" s="106"/>
    </row>
    <row r="529">
      <c r="A529" s="38">
        <v>528.0</v>
      </c>
      <c r="B529" s="42"/>
      <c r="C529" s="51"/>
      <c r="D529" s="38"/>
      <c r="E529" s="38" t="s">
        <v>1968</v>
      </c>
      <c r="F529" s="41" t="s">
        <v>1969</v>
      </c>
      <c r="G529" s="43"/>
      <c r="H529" s="45"/>
      <c r="I529" s="38"/>
      <c r="J529" s="38">
        <f>1*1000</f>
        <v>1000</v>
      </c>
      <c r="K529" s="46">
        <v>0.01596064814814815</v>
      </c>
      <c r="L529" s="47" t="s">
        <v>1048</v>
      </c>
      <c r="M529" s="48"/>
      <c r="N529" s="48"/>
      <c r="O529" s="48">
        <f t="shared" si="1"/>
        <v>0</v>
      </c>
      <c r="P529" s="38"/>
      <c r="Q529" s="12" t="str">
        <f t="shared" si="2"/>
        <v/>
      </c>
      <c r="R529" s="42"/>
      <c r="S529" s="42"/>
      <c r="T529" s="42"/>
      <c r="U529" s="51"/>
      <c r="V529" s="52"/>
      <c r="W529" s="55"/>
      <c r="X529" s="57"/>
      <c r="Y529" s="106"/>
      <c r="Z529" s="106"/>
      <c r="AA529" s="106"/>
      <c r="AB529" s="106"/>
    </row>
    <row r="530">
      <c r="A530" s="38">
        <v>529.0</v>
      </c>
      <c r="B530" s="42"/>
      <c r="C530" s="51"/>
      <c r="D530" s="38"/>
      <c r="E530" s="38" t="s">
        <v>1970</v>
      </c>
      <c r="F530" s="41" t="s">
        <v>1971</v>
      </c>
      <c r="G530" s="43"/>
      <c r="H530" s="45"/>
      <c r="I530" s="38"/>
      <c r="J530" s="38">
        <f>4.9*1000</f>
        <v>4900</v>
      </c>
      <c r="K530" s="46">
        <v>0.018032407407407407</v>
      </c>
      <c r="L530" s="47" t="s">
        <v>1048</v>
      </c>
      <c r="M530" s="48"/>
      <c r="N530" s="48"/>
      <c r="O530" s="48">
        <f t="shared" si="1"/>
        <v>0</v>
      </c>
      <c r="P530" s="38"/>
      <c r="Q530" s="12" t="str">
        <f t="shared" si="2"/>
        <v/>
      </c>
      <c r="R530" s="42"/>
      <c r="S530" s="42"/>
      <c r="T530" s="42"/>
      <c r="U530" s="51"/>
      <c r="V530" s="52"/>
      <c r="W530" s="55"/>
      <c r="X530" s="57"/>
      <c r="Y530" s="106"/>
      <c r="Z530" s="106"/>
      <c r="AA530" s="106"/>
      <c r="AB530" s="106"/>
    </row>
    <row r="531">
      <c r="A531" s="38">
        <v>530.0</v>
      </c>
      <c r="B531" s="42"/>
      <c r="C531" s="51"/>
      <c r="D531" s="38"/>
      <c r="E531" s="38" t="s">
        <v>1972</v>
      </c>
      <c r="F531" s="41" t="s">
        <v>1973</v>
      </c>
      <c r="G531" s="43"/>
      <c r="H531" s="45"/>
      <c r="I531" s="38"/>
      <c r="J531" s="38">
        <f>5.2*1000</f>
        <v>5200</v>
      </c>
      <c r="K531" s="46">
        <v>0.018055555555555557</v>
      </c>
      <c r="L531" s="47" t="s">
        <v>1048</v>
      </c>
      <c r="M531" s="48"/>
      <c r="N531" s="48"/>
      <c r="O531" s="48">
        <f t="shared" si="1"/>
        <v>0</v>
      </c>
      <c r="P531" s="38"/>
      <c r="Q531" s="12" t="str">
        <f t="shared" si="2"/>
        <v/>
      </c>
      <c r="R531" s="42"/>
      <c r="S531" s="42"/>
      <c r="T531" s="42"/>
      <c r="U531" s="51"/>
      <c r="V531" s="52"/>
      <c r="W531" s="55"/>
      <c r="X531" s="57"/>
      <c r="Y531" s="106"/>
      <c r="Z531" s="106"/>
      <c r="AA531" s="106"/>
      <c r="AB531" s="106"/>
    </row>
    <row r="532">
      <c r="A532" s="38">
        <v>531.0</v>
      </c>
      <c r="B532" s="42"/>
      <c r="C532" s="51"/>
      <c r="D532" s="38"/>
      <c r="E532" s="38" t="s">
        <v>1974</v>
      </c>
      <c r="F532" s="41" t="s">
        <v>1975</v>
      </c>
      <c r="G532" s="43"/>
      <c r="H532" s="45"/>
      <c r="I532" s="38"/>
      <c r="J532" s="38">
        <f>9.2*1000</f>
        <v>9200</v>
      </c>
      <c r="K532" s="46">
        <v>0.018171296296296297</v>
      </c>
      <c r="L532" s="47" t="s">
        <v>1048</v>
      </c>
      <c r="M532" s="48"/>
      <c r="N532" s="48"/>
      <c r="O532" s="48">
        <f t="shared" si="1"/>
        <v>0</v>
      </c>
      <c r="P532" s="38"/>
      <c r="Q532" s="12" t="str">
        <f t="shared" si="2"/>
        <v/>
      </c>
      <c r="R532" s="42"/>
      <c r="S532" s="42"/>
      <c r="T532" s="42"/>
      <c r="U532" s="51"/>
      <c r="V532" s="52"/>
      <c r="W532" s="55"/>
      <c r="X532" s="57"/>
      <c r="Y532" s="106"/>
      <c r="Z532" s="106"/>
      <c r="AA532" s="106"/>
      <c r="AB532" s="106"/>
    </row>
    <row r="533">
      <c r="A533" s="38">
        <v>532.0</v>
      </c>
      <c r="B533" s="42"/>
      <c r="C533" s="51"/>
      <c r="D533" s="38"/>
      <c r="E533" s="38" t="s">
        <v>1976</v>
      </c>
      <c r="F533" s="41" t="s">
        <v>1977</v>
      </c>
      <c r="G533" s="43"/>
      <c r="H533" s="45"/>
      <c r="I533" s="38"/>
      <c r="J533" s="38">
        <f>25*1000</f>
        <v>25000</v>
      </c>
      <c r="K533" s="46">
        <v>0.020787037037037038</v>
      </c>
      <c r="L533" s="47" t="s">
        <v>1048</v>
      </c>
      <c r="M533" s="48"/>
      <c r="N533" s="48"/>
      <c r="O533" s="48">
        <f t="shared" si="1"/>
        <v>0</v>
      </c>
      <c r="P533" s="38"/>
      <c r="Q533" s="12" t="str">
        <f t="shared" si="2"/>
        <v/>
      </c>
      <c r="R533" s="42"/>
      <c r="S533" s="42"/>
      <c r="T533" s="42"/>
      <c r="U533" s="51"/>
      <c r="V533" s="52"/>
      <c r="W533" s="55"/>
      <c r="X533" s="57"/>
      <c r="Y533" s="106"/>
      <c r="Z533" s="106"/>
      <c r="AA533" s="106"/>
      <c r="AB533" s="106"/>
    </row>
    <row r="534">
      <c r="A534" s="38">
        <v>533.0</v>
      </c>
      <c r="B534" s="42"/>
      <c r="C534" s="51"/>
      <c r="D534" s="38"/>
      <c r="E534" s="38" t="s">
        <v>1978</v>
      </c>
      <c r="F534" s="41" t="s">
        <v>1979</v>
      </c>
      <c r="G534" s="43"/>
      <c r="H534" s="45"/>
      <c r="I534" s="38"/>
      <c r="J534" s="38">
        <f>7.4*1000</f>
        <v>7400</v>
      </c>
      <c r="K534" s="46">
        <v>0.0023032407407407407</v>
      </c>
      <c r="L534" s="47" t="s">
        <v>1048</v>
      </c>
      <c r="M534" s="48"/>
      <c r="N534" s="48"/>
      <c r="O534" s="48">
        <f t="shared" si="1"/>
        <v>0</v>
      </c>
      <c r="P534" s="38"/>
      <c r="Q534" s="12" t="str">
        <f t="shared" si="2"/>
        <v/>
      </c>
      <c r="R534" s="42"/>
      <c r="S534" s="42"/>
      <c r="T534" s="42"/>
      <c r="U534" s="51"/>
      <c r="V534" s="52"/>
      <c r="W534" s="55"/>
      <c r="X534" s="57"/>
      <c r="Y534" s="106"/>
      <c r="Z534" s="106"/>
      <c r="AA534" s="106"/>
      <c r="AB534" s="106"/>
    </row>
    <row r="535">
      <c r="A535" s="38">
        <v>534.0</v>
      </c>
      <c r="B535" s="42"/>
      <c r="C535" s="51"/>
      <c r="D535" s="38"/>
      <c r="E535" s="38" t="s">
        <v>1980</v>
      </c>
      <c r="F535" s="41" t="s">
        <v>1981</v>
      </c>
      <c r="G535" s="43"/>
      <c r="H535" s="45"/>
      <c r="I535" s="38"/>
      <c r="J535" s="38">
        <f>716</f>
        <v>716</v>
      </c>
      <c r="K535" s="46">
        <v>0.020243055555555552</v>
      </c>
      <c r="L535" s="47" t="s">
        <v>1048</v>
      </c>
      <c r="M535" s="48"/>
      <c r="N535" s="48"/>
      <c r="O535" s="48">
        <f t="shared" si="1"/>
        <v>0</v>
      </c>
      <c r="P535" s="38"/>
      <c r="Q535" s="12" t="str">
        <f t="shared" si="2"/>
        <v/>
      </c>
      <c r="R535" s="42"/>
      <c r="S535" s="42"/>
      <c r="T535" s="42"/>
      <c r="U535" s="51"/>
      <c r="V535" s="52"/>
      <c r="W535" s="55"/>
      <c r="X535" s="57"/>
      <c r="Y535" s="106"/>
      <c r="Z535" s="106"/>
      <c r="AA535" s="106"/>
      <c r="AB535" s="106"/>
    </row>
    <row r="536">
      <c r="A536" s="38">
        <v>535.0</v>
      </c>
      <c r="B536" s="42"/>
      <c r="C536" s="51"/>
      <c r="D536" s="38"/>
      <c r="E536" s="38" t="s">
        <v>1982</v>
      </c>
      <c r="F536" s="41" t="s">
        <v>1983</v>
      </c>
      <c r="G536" s="43"/>
      <c r="H536" s="45"/>
      <c r="I536" s="38"/>
      <c r="J536" s="38">
        <f>629</f>
        <v>629</v>
      </c>
      <c r="K536" s="46">
        <v>0.02050925925925926</v>
      </c>
      <c r="L536" s="47" t="s">
        <v>1048</v>
      </c>
      <c r="M536" s="48"/>
      <c r="N536" s="48"/>
      <c r="O536" s="48">
        <f t="shared" si="1"/>
        <v>0</v>
      </c>
      <c r="P536" s="38"/>
      <c r="Q536" s="12" t="str">
        <f t="shared" si="2"/>
        <v/>
      </c>
      <c r="R536" s="42"/>
      <c r="S536" s="42"/>
      <c r="T536" s="42"/>
      <c r="U536" s="51"/>
      <c r="V536" s="52"/>
      <c r="W536" s="55"/>
      <c r="X536" s="57"/>
      <c r="Y536" s="106"/>
      <c r="Z536" s="106"/>
      <c r="AA536" s="106"/>
      <c r="AB536" s="106"/>
    </row>
    <row r="537">
      <c r="A537" s="38">
        <v>536.0</v>
      </c>
      <c r="B537" s="42"/>
      <c r="C537" s="51"/>
      <c r="D537" s="38"/>
      <c r="E537" s="38" t="s">
        <v>1984</v>
      </c>
      <c r="F537" s="41" t="s">
        <v>1985</v>
      </c>
      <c r="G537" s="43"/>
      <c r="H537" s="45"/>
      <c r="I537" s="38"/>
      <c r="J537" s="38">
        <f>858</f>
        <v>858</v>
      </c>
      <c r="K537" s="46">
        <v>0.022939814814814816</v>
      </c>
      <c r="L537" s="47" t="s">
        <v>1048</v>
      </c>
      <c r="M537" s="48"/>
      <c r="N537" s="48"/>
      <c r="O537" s="48">
        <f t="shared" si="1"/>
        <v>0</v>
      </c>
      <c r="P537" s="38"/>
      <c r="Q537" s="12" t="str">
        <f t="shared" si="2"/>
        <v/>
      </c>
      <c r="R537" s="42"/>
      <c r="S537" s="42"/>
      <c r="T537" s="42"/>
      <c r="U537" s="51"/>
      <c r="V537" s="52"/>
      <c r="W537" s="55"/>
      <c r="X537" s="57"/>
      <c r="Y537" s="106"/>
      <c r="Z537" s="106"/>
      <c r="AA537" s="106"/>
      <c r="AB537" s="106"/>
    </row>
    <row r="538">
      <c r="A538" s="38">
        <v>537.0</v>
      </c>
      <c r="B538" s="42"/>
      <c r="C538" s="51"/>
      <c r="D538" s="38"/>
      <c r="E538" s="38" t="s">
        <v>1986</v>
      </c>
      <c r="F538" s="41" t="s">
        <v>1987</v>
      </c>
      <c r="G538" s="43"/>
      <c r="H538" s="45"/>
      <c r="I538" s="38"/>
      <c r="J538" s="38">
        <f>1*1000</f>
        <v>1000</v>
      </c>
      <c r="K538" s="46">
        <v>0.02798611111111111</v>
      </c>
      <c r="L538" s="47" t="s">
        <v>1048</v>
      </c>
      <c r="M538" s="48"/>
      <c r="N538" s="48"/>
      <c r="O538" s="48">
        <f t="shared" si="1"/>
        <v>0</v>
      </c>
      <c r="P538" s="38"/>
      <c r="Q538" s="12" t="str">
        <f t="shared" si="2"/>
        <v/>
      </c>
      <c r="R538" s="42"/>
      <c r="S538" s="42"/>
      <c r="T538" s="42"/>
      <c r="U538" s="51"/>
      <c r="V538" s="52"/>
      <c r="W538" s="55"/>
      <c r="X538" s="57"/>
      <c r="Y538" s="106"/>
      <c r="Z538" s="106"/>
      <c r="AA538" s="106"/>
      <c r="AB538" s="106"/>
    </row>
    <row r="539">
      <c r="A539" s="38">
        <v>538.0</v>
      </c>
      <c r="B539" s="42"/>
      <c r="C539" s="51"/>
      <c r="D539" s="38"/>
      <c r="E539" s="38" t="s">
        <v>1988</v>
      </c>
      <c r="F539" s="41" t="s">
        <v>1989</v>
      </c>
      <c r="G539" s="43"/>
      <c r="H539" s="45"/>
      <c r="I539" s="38"/>
      <c r="J539" s="38">
        <f>2.6*1000</f>
        <v>2600</v>
      </c>
      <c r="K539" s="46">
        <v>0.015011574074074075</v>
      </c>
      <c r="L539" s="47" t="s">
        <v>1048</v>
      </c>
      <c r="M539" s="48"/>
      <c r="N539" s="48"/>
      <c r="O539" s="48">
        <f t="shared" si="1"/>
        <v>0</v>
      </c>
      <c r="P539" s="38"/>
      <c r="Q539" s="12" t="str">
        <f t="shared" si="2"/>
        <v/>
      </c>
      <c r="R539" s="42"/>
      <c r="S539" s="42"/>
      <c r="T539" s="42"/>
      <c r="U539" s="51"/>
      <c r="V539" s="52"/>
      <c r="W539" s="55"/>
      <c r="X539" s="57"/>
      <c r="Y539" s="106"/>
      <c r="Z539" s="106"/>
      <c r="AA539" s="106"/>
      <c r="AB539" s="106"/>
    </row>
    <row r="540">
      <c r="A540" s="38">
        <v>539.0</v>
      </c>
      <c r="B540" s="42"/>
      <c r="C540" s="51"/>
      <c r="D540" s="38"/>
      <c r="E540" s="38" t="s">
        <v>1990</v>
      </c>
      <c r="F540" s="41" t="s">
        <v>1991</v>
      </c>
      <c r="G540" s="43"/>
      <c r="H540" s="45"/>
      <c r="I540" s="38"/>
      <c r="J540" s="38">
        <f>4.6*1000</f>
        <v>4600</v>
      </c>
      <c r="K540" s="46">
        <v>0.021550925925925928</v>
      </c>
      <c r="L540" s="47" t="s">
        <v>1048</v>
      </c>
      <c r="M540" s="48"/>
      <c r="N540" s="48"/>
      <c r="O540" s="48">
        <f t="shared" si="1"/>
        <v>0</v>
      </c>
      <c r="P540" s="38"/>
      <c r="Q540" s="12" t="str">
        <f t="shared" si="2"/>
        <v/>
      </c>
      <c r="R540" s="42"/>
      <c r="S540" s="42"/>
      <c r="T540" s="42"/>
      <c r="U540" s="51"/>
      <c r="V540" s="52"/>
      <c r="W540" s="55"/>
      <c r="X540" s="57"/>
      <c r="Y540" s="106"/>
      <c r="Z540" s="106"/>
      <c r="AA540" s="106"/>
      <c r="AB540" s="106"/>
    </row>
    <row r="541">
      <c r="A541" s="38">
        <v>540.0</v>
      </c>
      <c r="B541" s="42"/>
      <c r="C541" s="51"/>
      <c r="D541" s="38"/>
      <c r="E541" s="38" t="s">
        <v>1992</v>
      </c>
      <c r="F541" s="41" t="s">
        <v>1993</v>
      </c>
      <c r="G541" s="43"/>
      <c r="H541" s="45"/>
      <c r="I541" s="38"/>
      <c r="J541" s="38">
        <f>1.9*1000</f>
        <v>1900</v>
      </c>
      <c r="K541" s="46">
        <v>0.021331018518518517</v>
      </c>
      <c r="L541" s="47" t="s">
        <v>1048</v>
      </c>
      <c r="M541" s="48"/>
      <c r="N541" s="48"/>
      <c r="O541" s="48">
        <f t="shared" si="1"/>
        <v>0</v>
      </c>
      <c r="P541" s="38"/>
      <c r="Q541" s="12" t="str">
        <f t="shared" si="2"/>
        <v/>
      </c>
      <c r="R541" s="42"/>
      <c r="S541" s="42"/>
      <c r="T541" s="42"/>
      <c r="U541" s="51"/>
      <c r="V541" s="52"/>
      <c r="W541" s="55"/>
      <c r="X541" s="57"/>
      <c r="Y541" s="106"/>
      <c r="Z541" s="106"/>
      <c r="AA541" s="106"/>
      <c r="AB541" s="106"/>
    </row>
    <row r="542">
      <c r="A542" s="38">
        <v>541.0</v>
      </c>
      <c r="B542" s="42"/>
      <c r="C542" s="51"/>
      <c r="D542" s="38"/>
      <c r="E542" s="38" t="s">
        <v>1994</v>
      </c>
      <c r="F542" s="41" t="s">
        <v>1995</v>
      </c>
      <c r="G542" s="43"/>
      <c r="H542" s="45"/>
      <c r="I542" s="38"/>
      <c r="J542" s="38">
        <f>5.6*1000</f>
        <v>5600</v>
      </c>
      <c r="K542" s="46">
        <v>0.008449074074074074</v>
      </c>
      <c r="L542" s="47" t="s">
        <v>1048</v>
      </c>
      <c r="M542" s="48"/>
      <c r="N542" s="48"/>
      <c r="O542" s="48">
        <f t="shared" si="1"/>
        <v>0</v>
      </c>
      <c r="P542" s="38"/>
      <c r="Q542" s="12" t="str">
        <f t="shared" si="2"/>
        <v/>
      </c>
      <c r="R542" s="42"/>
      <c r="S542" s="42"/>
      <c r="T542" s="42"/>
      <c r="U542" s="51"/>
      <c r="V542" s="52"/>
      <c r="W542" s="55"/>
      <c r="X542" s="57"/>
      <c r="Y542" s="106"/>
      <c r="Z542" s="106"/>
      <c r="AA542" s="106"/>
      <c r="AB542" s="106"/>
    </row>
    <row r="543">
      <c r="A543" s="38">
        <v>542.0</v>
      </c>
      <c r="B543" s="42"/>
      <c r="C543" s="51"/>
      <c r="D543" s="38"/>
      <c r="E543" s="38" t="s">
        <v>1996</v>
      </c>
      <c r="F543" s="41" t="s">
        <v>1997</v>
      </c>
      <c r="G543" s="43"/>
      <c r="H543" s="45"/>
      <c r="I543" s="38"/>
      <c r="J543" s="38">
        <f>984</f>
        <v>984</v>
      </c>
      <c r="K543" s="46">
        <v>0.034768518518518525</v>
      </c>
      <c r="L543" s="47" t="s">
        <v>1048</v>
      </c>
      <c r="M543" s="48"/>
      <c r="N543" s="48"/>
      <c r="O543" s="48">
        <f t="shared" si="1"/>
        <v>0</v>
      </c>
      <c r="P543" s="38"/>
      <c r="Q543" s="12" t="str">
        <f t="shared" si="2"/>
        <v/>
      </c>
      <c r="R543" s="42"/>
      <c r="S543" s="42"/>
      <c r="T543" s="42"/>
      <c r="U543" s="51"/>
      <c r="V543" s="52"/>
      <c r="W543" s="55"/>
      <c r="X543" s="57"/>
      <c r="Y543" s="106"/>
      <c r="Z543" s="106"/>
      <c r="AA543" s="106"/>
      <c r="AB543" s="106"/>
    </row>
    <row r="544">
      <c r="A544" s="38">
        <v>543.0</v>
      </c>
      <c r="B544" s="42"/>
      <c r="C544" s="51"/>
      <c r="D544" s="38"/>
      <c r="E544" s="38" t="s">
        <v>1998</v>
      </c>
      <c r="F544" s="41" t="s">
        <v>1999</v>
      </c>
      <c r="G544" s="43"/>
      <c r="H544" s="45"/>
      <c r="I544" s="38"/>
      <c r="J544" s="38">
        <f>722</f>
        <v>722</v>
      </c>
      <c r="K544" s="46">
        <v>0.015659722222222224</v>
      </c>
      <c r="L544" s="47" t="s">
        <v>1048</v>
      </c>
      <c r="M544" s="48"/>
      <c r="N544" s="48"/>
      <c r="O544" s="48">
        <f t="shared" si="1"/>
        <v>0</v>
      </c>
      <c r="P544" s="38"/>
      <c r="Q544" s="12" t="str">
        <f t="shared" si="2"/>
        <v/>
      </c>
      <c r="R544" s="42"/>
      <c r="S544" s="42"/>
      <c r="T544" s="42"/>
      <c r="U544" s="51"/>
      <c r="V544" s="52"/>
      <c r="W544" s="55"/>
      <c r="X544" s="57"/>
      <c r="Y544" s="106"/>
      <c r="Z544" s="106"/>
      <c r="AA544" s="106"/>
      <c r="AB544" s="106"/>
    </row>
    <row r="545">
      <c r="A545" s="38">
        <v>544.0</v>
      </c>
      <c r="B545" s="42"/>
      <c r="C545" s="51"/>
      <c r="D545" s="38"/>
      <c r="E545" s="38" t="s">
        <v>2000</v>
      </c>
      <c r="F545" s="41" t="s">
        <v>2001</v>
      </c>
      <c r="G545" s="43"/>
      <c r="H545" s="45"/>
      <c r="I545" s="38"/>
      <c r="J545" s="38">
        <f>4.9*1000</f>
        <v>4900</v>
      </c>
      <c r="K545" s="46">
        <v>0.010231481481481482</v>
      </c>
      <c r="L545" s="47" t="s">
        <v>1048</v>
      </c>
      <c r="M545" s="48"/>
      <c r="N545" s="48"/>
      <c r="O545" s="48">
        <f t="shared" si="1"/>
        <v>0</v>
      </c>
      <c r="P545" s="38"/>
      <c r="Q545" s="12" t="str">
        <f t="shared" si="2"/>
        <v/>
      </c>
      <c r="R545" s="42"/>
      <c r="S545" s="42"/>
      <c r="T545" s="42"/>
      <c r="U545" s="51"/>
      <c r="V545" s="52"/>
      <c r="W545" s="55"/>
      <c r="X545" s="57"/>
      <c r="Y545" s="106"/>
      <c r="Z545" s="106"/>
      <c r="AA545" s="106"/>
      <c r="AB545" s="106"/>
    </row>
    <row r="546">
      <c r="A546" s="38">
        <v>545.0</v>
      </c>
      <c r="B546" s="42"/>
      <c r="C546" s="51"/>
      <c r="D546" s="38"/>
      <c r="E546" s="38" t="s">
        <v>2002</v>
      </c>
      <c r="F546" s="41" t="s">
        <v>2003</v>
      </c>
      <c r="G546" s="43"/>
      <c r="H546" s="45"/>
      <c r="I546" s="38"/>
      <c r="J546" s="38">
        <f>1*1000</f>
        <v>1000</v>
      </c>
      <c r="K546" s="46">
        <v>0.004236111111111111</v>
      </c>
      <c r="L546" s="47" t="s">
        <v>1048</v>
      </c>
      <c r="M546" s="48"/>
      <c r="N546" s="48"/>
      <c r="O546" s="48">
        <f t="shared" si="1"/>
        <v>0</v>
      </c>
      <c r="P546" s="38"/>
      <c r="Q546" s="12" t="str">
        <f t="shared" si="2"/>
        <v/>
      </c>
      <c r="R546" s="42"/>
      <c r="S546" s="42"/>
      <c r="T546" s="42"/>
      <c r="U546" s="51"/>
      <c r="V546" s="52"/>
      <c r="W546" s="55"/>
      <c r="X546" s="57"/>
      <c r="Y546" s="106"/>
      <c r="Z546" s="106"/>
      <c r="AA546" s="106"/>
      <c r="AB546" s="106"/>
    </row>
    <row r="547">
      <c r="A547" s="38">
        <v>546.0</v>
      </c>
      <c r="B547" s="42"/>
      <c r="C547" s="51"/>
      <c r="D547" s="38"/>
      <c r="E547" s="38" t="s">
        <v>2004</v>
      </c>
      <c r="F547" s="41" t="s">
        <v>2005</v>
      </c>
      <c r="G547" s="43"/>
      <c r="H547" s="45"/>
      <c r="I547" s="38"/>
      <c r="J547" s="38">
        <f>3.5*1000</f>
        <v>3500</v>
      </c>
      <c r="K547" s="46">
        <v>0.013587962962962963</v>
      </c>
      <c r="L547" s="47" t="s">
        <v>1048</v>
      </c>
      <c r="M547" s="48"/>
      <c r="N547" s="48"/>
      <c r="O547" s="48">
        <f t="shared" si="1"/>
        <v>0</v>
      </c>
      <c r="P547" s="38"/>
      <c r="Q547" s="12" t="str">
        <f t="shared" si="2"/>
        <v/>
      </c>
      <c r="R547" s="42"/>
      <c r="S547" s="42"/>
      <c r="T547" s="42"/>
      <c r="U547" s="51"/>
      <c r="V547" s="52"/>
      <c r="W547" s="55"/>
      <c r="X547" s="57"/>
      <c r="Y547" s="106"/>
      <c r="Z547" s="106"/>
      <c r="AA547" s="106"/>
      <c r="AB547" s="106"/>
    </row>
    <row r="548">
      <c r="A548" s="38">
        <v>547.0</v>
      </c>
      <c r="B548" s="42"/>
      <c r="C548" s="51"/>
      <c r="D548" s="38"/>
      <c r="E548" s="38" t="s">
        <v>2006</v>
      </c>
      <c r="F548" s="41" t="s">
        <v>2007</v>
      </c>
      <c r="G548" s="43"/>
      <c r="H548" s="45"/>
      <c r="I548" s="38"/>
      <c r="J548" s="38">
        <f>1.9*1000</f>
        <v>1900</v>
      </c>
      <c r="K548" s="46">
        <v>0.00587962962962963</v>
      </c>
      <c r="L548" s="47" t="s">
        <v>1048</v>
      </c>
      <c r="M548" s="48"/>
      <c r="N548" s="48"/>
      <c r="O548" s="48">
        <f t="shared" si="1"/>
        <v>0</v>
      </c>
      <c r="P548" s="38"/>
      <c r="Q548" s="12" t="str">
        <f t="shared" si="2"/>
        <v/>
      </c>
      <c r="R548" s="42"/>
      <c r="S548" s="42"/>
      <c r="T548" s="42"/>
      <c r="U548" s="51"/>
      <c r="V548" s="52"/>
      <c r="W548" s="55"/>
      <c r="X548" s="57"/>
      <c r="Y548" s="106"/>
      <c r="Z548" s="106"/>
      <c r="AA548" s="106"/>
      <c r="AB548" s="106"/>
    </row>
    <row r="549">
      <c r="A549" s="38">
        <v>548.0</v>
      </c>
      <c r="B549" s="42"/>
      <c r="C549" s="51"/>
      <c r="D549" s="38"/>
      <c r="E549" s="38" t="s">
        <v>2008</v>
      </c>
      <c r="F549" s="41" t="s">
        <v>2009</v>
      </c>
      <c r="G549" s="43"/>
      <c r="H549" s="45"/>
      <c r="I549" s="38"/>
      <c r="J549" s="38">
        <f>1.3*1000</f>
        <v>1300</v>
      </c>
      <c r="K549" s="46">
        <v>0.003946759259259259</v>
      </c>
      <c r="L549" s="47" t="s">
        <v>1048</v>
      </c>
      <c r="M549" s="48"/>
      <c r="N549" s="48"/>
      <c r="O549" s="48">
        <f t="shared" si="1"/>
        <v>0</v>
      </c>
      <c r="P549" s="38"/>
      <c r="Q549" s="12" t="str">
        <f t="shared" si="2"/>
        <v/>
      </c>
      <c r="R549" s="42"/>
      <c r="S549" s="42"/>
      <c r="T549" s="42"/>
      <c r="U549" s="51"/>
      <c r="V549" s="52"/>
      <c r="W549" s="55"/>
      <c r="X549" s="57"/>
      <c r="Y549" s="106"/>
      <c r="Z549" s="106"/>
      <c r="AA549" s="106"/>
      <c r="AB549" s="106"/>
    </row>
    <row r="550">
      <c r="A550" s="38">
        <v>549.0</v>
      </c>
      <c r="B550" s="42"/>
      <c r="C550" s="51"/>
      <c r="D550" s="38"/>
      <c r="E550" s="38" t="s">
        <v>2010</v>
      </c>
      <c r="F550" s="41" t="s">
        <v>2011</v>
      </c>
      <c r="G550" s="43"/>
      <c r="H550" s="45"/>
      <c r="I550" s="38"/>
      <c r="J550" s="38">
        <f>1.2*1000</f>
        <v>1200</v>
      </c>
      <c r="K550" s="46">
        <v>0.001574074074074074</v>
      </c>
      <c r="L550" s="47" t="s">
        <v>1048</v>
      </c>
      <c r="M550" s="48"/>
      <c r="N550" s="48"/>
      <c r="O550" s="48">
        <f t="shared" si="1"/>
        <v>0</v>
      </c>
      <c r="P550" s="38"/>
      <c r="Q550" s="12" t="str">
        <f t="shared" si="2"/>
        <v/>
      </c>
      <c r="R550" s="42"/>
      <c r="S550" s="42"/>
      <c r="T550" s="42"/>
      <c r="U550" s="51"/>
      <c r="V550" s="52"/>
      <c r="W550" s="55"/>
      <c r="X550" s="57"/>
      <c r="Y550" s="106"/>
      <c r="Z550" s="106"/>
      <c r="AA550" s="106"/>
      <c r="AB550" s="106"/>
    </row>
    <row r="551">
      <c r="A551" s="38">
        <v>550.0</v>
      </c>
      <c r="B551" s="63"/>
      <c r="C551" s="51"/>
      <c r="D551" s="38"/>
      <c r="E551" s="38" t="s">
        <v>2012</v>
      </c>
      <c r="F551" s="41" t="s">
        <v>2013</v>
      </c>
      <c r="G551" s="43"/>
      <c r="H551" s="45"/>
      <c r="I551" s="38"/>
      <c r="J551" s="38">
        <f>4.9*1000</f>
        <v>4900</v>
      </c>
      <c r="K551" s="46">
        <v>0.014074074074074074</v>
      </c>
      <c r="L551" s="47" t="s">
        <v>1048</v>
      </c>
      <c r="M551" s="48"/>
      <c r="N551" s="48"/>
      <c r="O551" s="48">
        <f t="shared" si="1"/>
        <v>0</v>
      </c>
      <c r="P551" s="38"/>
      <c r="Q551" s="12" t="str">
        <f t="shared" si="2"/>
        <v/>
      </c>
      <c r="R551" s="42"/>
      <c r="S551" s="42"/>
      <c r="T551" s="42"/>
      <c r="U551" s="51"/>
      <c r="V551" s="52"/>
      <c r="W551" s="55"/>
      <c r="X551" s="57"/>
      <c r="Y551" s="106"/>
      <c r="Z551" s="106"/>
      <c r="AA551" s="106"/>
      <c r="AB551" s="106"/>
    </row>
    <row r="552">
      <c r="A552" s="38">
        <v>551.0</v>
      </c>
      <c r="B552" s="63"/>
      <c r="C552" s="51"/>
      <c r="D552" s="38"/>
      <c r="E552" s="38" t="s">
        <v>2014</v>
      </c>
      <c r="F552" s="41" t="s">
        <v>2015</v>
      </c>
      <c r="G552" s="43"/>
      <c r="H552" s="45"/>
      <c r="I552" s="38"/>
      <c r="J552" s="38">
        <f>62*1000</f>
        <v>62000</v>
      </c>
      <c r="K552" s="46">
        <v>0.039641203703703706</v>
      </c>
      <c r="L552" s="47" t="s">
        <v>1255</v>
      </c>
      <c r="M552" s="48"/>
      <c r="N552" s="48"/>
      <c r="O552" s="48">
        <f t="shared" si="1"/>
        <v>0</v>
      </c>
      <c r="P552" s="38"/>
      <c r="Q552" s="12" t="str">
        <f t="shared" si="2"/>
        <v/>
      </c>
      <c r="R552" s="42"/>
      <c r="S552" s="42"/>
      <c r="T552" s="42"/>
      <c r="U552" s="51"/>
      <c r="V552" s="52"/>
      <c r="W552" s="55"/>
      <c r="X552" s="57"/>
      <c r="Y552" s="106"/>
      <c r="Z552" s="106"/>
      <c r="AA552" s="106"/>
      <c r="AB552" s="106"/>
    </row>
    <row r="553">
      <c r="A553" s="38">
        <v>552.0</v>
      </c>
      <c r="B553" s="42"/>
      <c r="C553" s="51"/>
      <c r="D553" s="38"/>
      <c r="E553" s="38" t="s">
        <v>2016</v>
      </c>
      <c r="F553" s="41" t="s">
        <v>2017</v>
      </c>
      <c r="G553" s="43"/>
      <c r="H553" s="45"/>
      <c r="I553" s="38"/>
      <c r="J553" s="38">
        <f>7*1000</f>
        <v>7000</v>
      </c>
      <c r="K553" s="46">
        <v>0.0019328703703703704</v>
      </c>
      <c r="L553" s="47" t="s">
        <v>1255</v>
      </c>
      <c r="M553" s="48"/>
      <c r="N553" s="48"/>
      <c r="O553" s="48">
        <f t="shared" si="1"/>
        <v>0</v>
      </c>
      <c r="P553" s="38"/>
      <c r="Q553" s="12" t="str">
        <f t="shared" si="2"/>
        <v/>
      </c>
      <c r="R553" s="42"/>
      <c r="S553" s="42"/>
      <c r="T553" s="42"/>
      <c r="U553" s="51"/>
      <c r="V553" s="52"/>
      <c r="W553" s="55"/>
      <c r="X553" s="57"/>
      <c r="Y553" s="106"/>
      <c r="Z553" s="106"/>
      <c r="AA553" s="106"/>
      <c r="AB553" s="106"/>
    </row>
    <row r="554">
      <c r="A554" s="38">
        <v>553.0</v>
      </c>
      <c r="B554" s="63"/>
      <c r="C554" s="51"/>
      <c r="D554" s="38"/>
      <c r="E554" s="38" t="s">
        <v>2018</v>
      </c>
      <c r="F554" s="41" t="s">
        <v>2019</v>
      </c>
      <c r="G554" s="43"/>
      <c r="H554" s="45"/>
      <c r="I554" s="38"/>
      <c r="J554" s="38">
        <f>1.7*1000</f>
        <v>1700</v>
      </c>
      <c r="K554" s="46">
        <v>0.01884259259259259</v>
      </c>
      <c r="L554" s="47" t="s">
        <v>1255</v>
      </c>
      <c r="M554" s="48"/>
      <c r="N554" s="48"/>
      <c r="O554" s="48">
        <f t="shared" si="1"/>
        <v>0</v>
      </c>
      <c r="P554" s="38"/>
      <c r="Q554" s="12" t="str">
        <f t="shared" si="2"/>
        <v/>
      </c>
      <c r="R554" s="42"/>
      <c r="S554" s="42"/>
      <c r="T554" s="42"/>
      <c r="U554" s="51"/>
      <c r="V554" s="52"/>
      <c r="W554" s="55"/>
      <c r="X554" s="57"/>
      <c r="Y554" s="106"/>
      <c r="Z554" s="106"/>
      <c r="AA554" s="106"/>
      <c r="AB554" s="106"/>
    </row>
    <row r="555">
      <c r="A555" s="38">
        <v>554.0</v>
      </c>
      <c r="B555" s="63"/>
      <c r="C555" s="51"/>
      <c r="D555" s="38"/>
      <c r="E555" s="38" t="s">
        <v>2020</v>
      </c>
      <c r="F555" s="41" t="s">
        <v>2021</v>
      </c>
      <c r="G555" s="43"/>
      <c r="H555" s="45"/>
      <c r="I555" s="38"/>
      <c r="J555" s="38">
        <f>2.6*1000</f>
        <v>2600</v>
      </c>
      <c r="K555" s="46">
        <v>0.0241087962962963</v>
      </c>
      <c r="L555" s="47" t="s">
        <v>1255</v>
      </c>
      <c r="M555" s="48"/>
      <c r="N555" s="48"/>
      <c r="O555" s="48">
        <f t="shared" si="1"/>
        <v>0</v>
      </c>
      <c r="P555" s="38"/>
      <c r="Q555" s="12" t="str">
        <f t="shared" si="2"/>
        <v/>
      </c>
      <c r="R555" s="42"/>
      <c r="S555" s="42"/>
      <c r="T555" s="42"/>
      <c r="U555" s="51"/>
      <c r="V555" s="52"/>
      <c r="W555" s="55"/>
      <c r="X555" s="57"/>
      <c r="Y555" s="106"/>
      <c r="Z555" s="106"/>
      <c r="AA555" s="106"/>
      <c r="AB555" s="106"/>
    </row>
    <row r="556">
      <c r="A556" s="38">
        <v>555.0</v>
      </c>
      <c r="B556" s="63"/>
      <c r="C556" s="51"/>
      <c r="D556" s="38"/>
      <c r="E556" s="38" t="s">
        <v>2022</v>
      </c>
      <c r="F556" s="41" t="s">
        <v>2023</v>
      </c>
      <c r="G556" s="43"/>
      <c r="H556" s="45"/>
      <c r="I556" s="38"/>
      <c r="J556" s="38">
        <f>868</f>
        <v>868</v>
      </c>
      <c r="K556" s="46">
        <v>0.011423611111111112</v>
      </c>
      <c r="L556" s="47" t="s">
        <v>1255</v>
      </c>
      <c r="M556" s="48"/>
      <c r="N556" s="48"/>
      <c r="O556" s="48">
        <f t="shared" si="1"/>
        <v>0</v>
      </c>
      <c r="P556" s="38"/>
      <c r="Q556" s="12" t="str">
        <f t="shared" si="2"/>
        <v/>
      </c>
      <c r="R556" s="42"/>
      <c r="S556" s="42"/>
      <c r="T556" s="42"/>
      <c r="U556" s="51"/>
      <c r="V556" s="52"/>
      <c r="W556" s="55"/>
      <c r="X556" s="57"/>
      <c r="Y556" s="106"/>
      <c r="Z556" s="106"/>
      <c r="AA556" s="106"/>
      <c r="AB556" s="106"/>
    </row>
    <row r="557">
      <c r="A557" s="38">
        <v>556.0</v>
      </c>
      <c r="B557" s="63" t="s">
        <v>619</v>
      </c>
      <c r="C557" s="51"/>
      <c r="D557" s="39" t="s">
        <v>145</v>
      </c>
      <c r="E557" s="38" t="s">
        <v>1253</v>
      </c>
      <c r="F557" s="41" t="s">
        <v>1254</v>
      </c>
      <c r="G557" s="43"/>
      <c r="H557" s="45"/>
      <c r="I557" s="38"/>
      <c r="J557" s="38">
        <f>3.7*1000</f>
        <v>3700</v>
      </c>
      <c r="K557" s="46">
        <v>0.06787037037037037</v>
      </c>
      <c r="L557" s="47" t="s">
        <v>1255</v>
      </c>
      <c r="M557" s="48"/>
      <c r="N557" s="48"/>
      <c r="O557" s="48">
        <f t="shared" si="1"/>
        <v>0</v>
      </c>
      <c r="P557" s="38"/>
      <c r="Q557" s="12" t="str">
        <f t="shared" si="2"/>
        <v/>
      </c>
      <c r="R557" s="42"/>
      <c r="S557" s="42"/>
      <c r="T557" s="42"/>
      <c r="U557" s="51"/>
      <c r="V557" s="52"/>
      <c r="W557" s="55"/>
      <c r="X557" s="57"/>
      <c r="Y557" s="106"/>
      <c r="Z557" s="106"/>
      <c r="AA557" s="106"/>
      <c r="AB557" s="106"/>
    </row>
    <row r="558">
      <c r="A558" s="38">
        <v>557.0</v>
      </c>
      <c r="B558" s="42"/>
      <c r="C558" s="51"/>
      <c r="D558" s="38"/>
      <c r="E558" s="38" t="s">
        <v>2024</v>
      </c>
      <c r="F558" s="41" t="s">
        <v>2025</v>
      </c>
      <c r="G558" s="43"/>
      <c r="H558" s="45"/>
      <c r="I558" s="38"/>
      <c r="J558" s="38">
        <f>6.4*1000</f>
        <v>6400</v>
      </c>
      <c r="K558" s="46">
        <v>0.04168981481481482</v>
      </c>
      <c r="L558" s="47" t="s">
        <v>1255</v>
      </c>
      <c r="M558" s="48"/>
      <c r="N558" s="48"/>
      <c r="O558" s="48">
        <f t="shared" si="1"/>
        <v>0</v>
      </c>
      <c r="P558" s="38"/>
      <c r="Q558" s="12" t="str">
        <f t="shared" si="2"/>
        <v/>
      </c>
      <c r="R558" s="42"/>
      <c r="S558" s="42"/>
      <c r="T558" s="42"/>
      <c r="U558" s="51"/>
      <c r="V558" s="52"/>
      <c r="W558" s="55"/>
      <c r="X558" s="57"/>
      <c r="Y558" s="106"/>
      <c r="Z558" s="106"/>
      <c r="AA558" s="106"/>
      <c r="AB558" s="106"/>
    </row>
    <row r="559">
      <c r="A559" s="38">
        <v>558.0</v>
      </c>
      <c r="B559" s="42"/>
      <c r="C559" s="51"/>
      <c r="D559" s="38"/>
      <c r="E559" s="38" t="s">
        <v>2026</v>
      </c>
      <c r="F559" s="41" t="s">
        <v>2027</v>
      </c>
      <c r="G559" s="43"/>
      <c r="H559" s="45"/>
      <c r="I559" s="38"/>
      <c r="J559" s="38">
        <f>704</f>
        <v>704</v>
      </c>
      <c r="K559" s="46">
        <v>0.0050347222222222225</v>
      </c>
      <c r="L559" s="47" t="s">
        <v>1255</v>
      </c>
      <c r="M559" s="48"/>
      <c r="N559" s="48"/>
      <c r="O559" s="48">
        <f t="shared" si="1"/>
        <v>0</v>
      </c>
      <c r="P559" s="38"/>
      <c r="Q559" s="12" t="str">
        <f t="shared" si="2"/>
        <v/>
      </c>
      <c r="R559" s="42"/>
      <c r="S559" s="42"/>
      <c r="T559" s="42"/>
      <c r="U559" s="51"/>
      <c r="V559" s="52"/>
      <c r="W559" s="55"/>
      <c r="X559" s="57"/>
      <c r="Y559" s="106"/>
      <c r="Z559" s="106"/>
      <c r="AA559" s="106"/>
      <c r="AB559" s="106"/>
    </row>
    <row r="560">
      <c r="A560" s="38">
        <v>559.0</v>
      </c>
      <c r="B560" s="42"/>
      <c r="C560" s="51"/>
      <c r="D560" s="38"/>
      <c r="E560" s="38" t="s">
        <v>2028</v>
      </c>
      <c r="F560" s="41" t="s">
        <v>2029</v>
      </c>
      <c r="G560" s="43"/>
      <c r="H560" s="45"/>
      <c r="I560" s="38"/>
      <c r="J560" s="38">
        <f>692</f>
        <v>692</v>
      </c>
      <c r="K560" s="46">
        <v>0.006435185185185186</v>
      </c>
      <c r="L560" s="47" t="s">
        <v>1255</v>
      </c>
      <c r="M560" s="48"/>
      <c r="N560" s="48"/>
      <c r="O560" s="48">
        <f t="shared" si="1"/>
        <v>0</v>
      </c>
      <c r="P560" s="38"/>
      <c r="Q560" s="12" t="str">
        <f t="shared" si="2"/>
        <v/>
      </c>
      <c r="R560" s="42"/>
      <c r="S560" s="42"/>
      <c r="T560" s="42"/>
      <c r="U560" s="51"/>
      <c r="V560" s="52"/>
      <c r="W560" s="55"/>
      <c r="X560" s="57"/>
      <c r="Y560" s="106"/>
      <c r="Z560" s="106"/>
      <c r="AA560" s="106"/>
      <c r="AB560" s="106"/>
    </row>
    <row r="561">
      <c r="A561" s="38">
        <v>560.0</v>
      </c>
      <c r="B561" s="42"/>
      <c r="C561" s="51"/>
      <c r="D561" s="38"/>
      <c r="E561" s="38" t="s">
        <v>2030</v>
      </c>
      <c r="F561" s="41" t="s">
        <v>2031</v>
      </c>
      <c r="G561" s="43"/>
      <c r="H561" s="45"/>
      <c r="I561" s="38"/>
      <c r="J561" s="38">
        <f>3.6*1000</f>
        <v>3600</v>
      </c>
      <c r="K561" s="46">
        <v>0.04400462962962962</v>
      </c>
      <c r="L561" s="47" t="s">
        <v>1255</v>
      </c>
      <c r="M561" s="48"/>
      <c r="N561" s="48"/>
      <c r="O561" s="48">
        <f t="shared" si="1"/>
        <v>0</v>
      </c>
      <c r="P561" s="38"/>
      <c r="Q561" s="12" t="str">
        <f t="shared" si="2"/>
        <v/>
      </c>
      <c r="R561" s="42"/>
      <c r="S561" s="42"/>
      <c r="T561" s="42"/>
      <c r="U561" s="51"/>
      <c r="V561" s="52"/>
      <c r="W561" s="55"/>
      <c r="X561" s="57"/>
      <c r="Y561" s="106"/>
      <c r="Z561" s="106"/>
      <c r="AA561" s="106"/>
      <c r="AB561" s="106"/>
    </row>
    <row r="562">
      <c r="A562" s="38">
        <v>561.0</v>
      </c>
      <c r="B562" s="42"/>
      <c r="C562" s="51"/>
      <c r="D562" s="38"/>
      <c r="E562" s="38" t="s">
        <v>2032</v>
      </c>
      <c r="F562" s="41" t="s">
        <v>2033</v>
      </c>
      <c r="G562" s="43"/>
      <c r="H562" s="45"/>
      <c r="I562" s="38"/>
      <c r="J562" s="38">
        <f>3*1000</f>
        <v>3000</v>
      </c>
      <c r="K562" s="46">
        <v>0.011157407407407408</v>
      </c>
      <c r="L562" s="47" t="s">
        <v>1255</v>
      </c>
      <c r="M562" s="48"/>
      <c r="N562" s="48"/>
      <c r="O562" s="48">
        <f t="shared" si="1"/>
        <v>0</v>
      </c>
      <c r="P562" s="38"/>
      <c r="Q562" s="12" t="str">
        <f t="shared" si="2"/>
        <v/>
      </c>
      <c r="R562" s="42"/>
      <c r="S562" s="42"/>
      <c r="T562" s="42"/>
      <c r="U562" s="51"/>
      <c r="V562" s="52"/>
      <c r="W562" s="55"/>
      <c r="X562" s="57"/>
      <c r="Y562" s="106"/>
      <c r="Z562" s="106"/>
      <c r="AA562" s="106"/>
      <c r="AB562" s="106"/>
    </row>
    <row r="563">
      <c r="A563" s="38">
        <v>562.0</v>
      </c>
      <c r="B563" s="42"/>
      <c r="C563" s="51"/>
      <c r="D563" s="38"/>
      <c r="E563" s="38" t="s">
        <v>2034</v>
      </c>
      <c r="F563" s="41" t="s">
        <v>2035</v>
      </c>
      <c r="G563" s="43"/>
      <c r="H563" s="45"/>
      <c r="I563" s="38"/>
      <c r="J563" s="38">
        <f>953</f>
        <v>953</v>
      </c>
      <c r="K563" s="46">
        <v>0.017037037037037038</v>
      </c>
      <c r="L563" s="47" t="s">
        <v>1255</v>
      </c>
      <c r="M563" s="48"/>
      <c r="N563" s="48"/>
      <c r="O563" s="48">
        <f t="shared" si="1"/>
        <v>0</v>
      </c>
      <c r="P563" s="38"/>
      <c r="Q563" s="12" t="str">
        <f t="shared" si="2"/>
        <v/>
      </c>
      <c r="R563" s="42"/>
      <c r="S563" s="42"/>
      <c r="T563" s="42"/>
      <c r="U563" s="51"/>
      <c r="V563" s="52"/>
      <c r="W563" s="55"/>
      <c r="X563" s="57"/>
      <c r="Y563" s="106"/>
      <c r="Z563" s="106"/>
      <c r="AA563" s="106"/>
      <c r="AB563" s="106"/>
    </row>
    <row r="564">
      <c r="A564" s="38">
        <v>563.0</v>
      </c>
      <c r="B564" s="42"/>
      <c r="C564" s="51"/>
      <c r="D564" s="38"/>
      <c r="E564" s="38" t="s">
        <v>2036</v>
      </c>
      <c r="F564" s="41" t="s">
        <v>2037</v>
      </c>
      <c r="G564" s="43"/>
      <c r="H564" s="45"/>
      <c r="I564" s="38"/>
      <c r="J564" s="38">
        <f>851</f>
        <v>851</v>
      </c>
      <c r="K564" s="46">
        <v>0.008854166666666666</v>
      </c>
      <c r="L564" s="47" t="s">
        <v>1255</v>
      </c>
      <c r="M564" s="48"/>
      <c r="N564" s="48"/>
      <c r="O564" s="48">
        <f t="shared" si="1"/>
        <v>0</v>
      </c>
      <c r="P564" s="38"/>
      <c r="Q564" s="12" t="str">
        <f t="shared" si="2"/>
        <v/>
      </c>
      <c r="R564" s="42"/>
      <c r="S564" s="42"/>
      <c r="T564" s="42"/>
      <c r="U564" s="51"/>
      <c r="V564" s="52"/>
      <c r="W564" s="55"/>
      <c r="X564" s="57"/>
      <c r="Y564" s="106"/>
      <c r="Z564" s="106"/>
      <c r="AA564" s="106"/>
      <c r="AB564" s="106"/>
    </row>
    <row r="565">
      <c r="A565" s="38">
        <v>564.0</v>
      </c>
      <c r="B565" s="42"/>
      <c r="C565" s="51"/>
      <c r="D565" s="38"/>
      <c r="E565" s="38" t="s">
        <v>2038</v>
      </c>
      <c r="F565" s="41" t="s">
        <v>2039</v>
      </c>
      <c r="G565" s="43"/>
      <c r="H565" s="45"/>
      <c r="I565" s="38"/>
      <c r="J565" s="38">
        <f>454</f>
        <v>454</v>
      </c>
      <c r="K565" s="46">
        <v>0.007025462962962963</v>
      </c>
      <c r="L565" s="47" t="s">
        <v>1255</v>
      </c>
      <c r="M565" s="48"/>
      <c r="N565" s="48"/>
      <c r="O565" s="48">
        <f t="shared" si="1"/>
        <v>0</v>
      </c>
      <c r="P565" s="38"/>
      <c r="Q565" s="12" t="str">
        <f t="shared" si="2"/>
        <v/>
      </c>
      <c r="R565" s="42"/>
      <c r="S565" s="42"/>
      <c r="T565" s="42"/>
      <c r="U565" s="51"/>
      <c r="V565" s="52"/>
      <c r="W565" s="55"/>
      <c r="X565" s="57"/>
      <c r="Y565" s="106"/>
      <c r="Z565" s="106"/>
      <c r="AA565" s="106"/>
      <c r="AB565" s="106"/>
    </row>
    <row r="566">
      <c r="A566" s="38">
        <v>565.0</v>
      </c>
      <c r="B566" s="42"/>
      <c r="C566" s="51"/>
      <c r="D566" s="38"/>
      <c r="E566" s="38" t="s">
        <v>2040</v>
      </c>
      <c r="F566" s="41" t="s">
        <v>2041</v>
      </c>
      <c r="G566" s="43"/>
      <c r="H566" s="45"/>
      <c r="I566" s="38"/>
      <c r="J566" s="38">
        <f>979</f>
        <v>979</v>
      </c>
      <c r="K566" s="46">
        <v>0.009849537037037037</v>
      </c>
      <c r="L566" s="47" t="s">
        <v>1255</v>
      </c>
      <c r="M566" s="48"/>
      <c r="N566" s="48"/>
      <c r="O566" s="48">
        <f t="shared" si="1"/>
        <v>0</v>
      </c>
      <c r="P566" s="38"/>
      <c r="Q566" s="12" t="str">
        <f t="shared" si="2"/>
        <v/>
      </c>
      <c r="R566" s="42"/>
      <c r="S566" s="42"/>
      <c r="T566" s="42"/>
      <c r="U566" s="51"/>
      <c r="V566" s="52"/>
      <c r="W566" s="55"/>
      <c r="X566" s="57"/>
      <c r="Y566" s="106"/>
      <c r="Z566" s="106"/>
      <c r="AA566" s="106"/>
      <c r="AB566" s="106"/>
    </row>
    <row r="567">
      <c r="A567" s="38">
        <v>566.0</v>
      </c>
      <c r="B567" s="42"/>
      <c r="C567" s="51"/>
      <c r="D567" s="38"/>
      <c r="E567" s="38" t="s">
        <v>2042</v>
      </c>
      <c r="F567" s="41" t="s">
        <v>2043</v>
      </c>
      <c r="G567" s="43"/>
      <c r="H567" s="45"/>
      <c r="I567" s="38"/>
      <c r="J567" s="38">
        <f>609</f>
        <v>609</v>
      </c>
      <c r="K567" s="46">
        <v>0.005752314814814814</v>
      </c>
      <c r="L567" s="47" t="s">
        <v>1255</v>
      </c>
      <c r="M567" s="48"/>
      <c r="N567" s="48"/>
      <c r="O567" s="48">
        <f t="shared" si="1"/>
        <v>0</v>
      </c>
      <c r="P567" s="38"/>
      <c r="Q567" s="12" t="str">
        <f t="shared" si="2"/>
        <v/>
      </c>
      <c r="R567" s="42"/>
      <c r="S567" s="42"/>
      <c r="T567" s="42"/>
      <c r="U567" s="51"/>
      <c r="V567" s="52"/>
      <c r="W567" s="55"/>
      <c r="X567" s="57"/>
      <c r="Y567" s="106"/>
      <c r="Z567" s="106"/>
      <c r="AA567" s="106"/>
      <c r="AB567" s="106"/>
    </row>
    <row r="568">
      <c r="A568" s="38">
        <v>567.0</v>
      </c>
      <c r="B568" s="42"/>
      <c r="C568" s="51"/>
      <c r="D568" s="38"/>
      <c r="E568" s="38" t="s">
        <v>2044</v>
      </c>
      <c r="F568" s="41" t="s">
        <v>2045</v>
      </c>
      <c r="G568" s="43"/>
      <c r="H568" s="45"/>
      <c r="I568" s="38"/>
      <c r="J568" s="38">
        <f>1*1000</f>
        <v>1000</v>
      </c>
      <c r="K568" s="46">
        <v>0.0035069444444444445</v>
      </c>
      <c r="L568" s="47" t="s">
        <v>1255</v>
      </c>
      <c r="M568" s="48"/>
      <c r="N568" s="48"/>
      <c r="O568" s="48">
        <f t="shared" si="1"/>
        <v>0</v>
      </c>
      <c r="P568" s="38"/>
      <c r="Q568" s="12" t="str">
        <f t="shared" si="2"/>
        <v/>
      </c>
      <c r="R568" s="42"/>
      <c r="S568" s="42"/>
      <c r="T568" s="42"/>
      <c r="U568" s="51"/>
      <c r="V568" s="52"/>
      <c r="W568" s="55"/>
      <c r="X568" s="57"/>
      <c r="Y568" s="106"/>
      <c r="Z568" s="106"/>
      <c r="AA568" s="106"/>
      <c r="AB568" s="106"/>
    </row>
    <row r="569">
      <c r="A569" s="38">
        <v>568.0</v>
      </c>
      <c r="B569" s="42"/>
      <c r="C569" s="51"/>
      <c r="D569" s="38"/>
      <c r="E569" s="38" t="s">
        <v>2046</v>
      </c>
      <c r="F569" s="41" t="s">
        <v>2047</v>
      </c>
      <c r="G569" s="43"/>
      <c r="H569" s="45"/>
      <c r="I569" s="38"/>
      <c r="J569" s="38">
        <f>4.8*1000</f>
        <v>4800</v>
      </c>
      <c r="K569" s="46">
        <v>0.045162037037037035</v>
      </c>
      <c r="L569" s="47" t="s">
        <v>1255</v>
      </c>
      <c r="M569" s="48"/>
      <c r="N569" s="48"/>
      <c r="O569" s="48">
        <f t="shared" si="1"/>
        <v>0</v>
      </c>
      <c r="P569" s="38"/>
      <c r="Q569" s="12" t="str">
        <f t="shared" si="2"/>
        <v/>
      </c>
      <c r="R569" s="42"/>
      <c r="S569" s="42"/>
      <c r="T569" s="42"/>
      <c r="U569" s="51"/>
      <c r="V569" s="52"/>
      <c r="W569" s="55"/>
      <c r="X569" s="57"/>
      <c r="Y569" s="106"/>
      <c r="Z569" s="106"/>
      <c r="AA569" s="106"/>
      <c r="AB569" s="106"/>
    </row>
    <row r="570">
      <c r="A570" s="38">
        <v>569.0</v>
      </c>
      <c r="B570" s="42"/>
      <c r="C570" s="51"/>
      <c r="D570" s="38"/>
      <c r="E570" s="38" t="s">
        <v>2048</v>
      </c>
      <c r="F570" s="41" t="s">
        <v>2049</v>
      </c>
      <c r="G570" s="43"/>
      <c r="H570" s="45"/>
      <c r="I570" s="38"/>
      <c r="J570" s="38">
        <f>3.4*1000</f>
        <v>3400</v>
      </c>
      <c r="K570" s="46">
        <v>0.015694444444444445</v>
      </c>
      <c r="L570" s="47" t="s">
        <v>1255</v>
      </c>
      <c r="M570" s="48"/>
      <c r="N570" s="48"/>
      <c r="O570" s="48">
        <f t="shared" si="1"/>
        <v>0</v>
      </c>
      <c r="P570" s="38"/>
      <c r="Q570" s="12" t="str">
        <f t="shared" si="2"/>
        <v/>
      </c>
      <c r="R570" s="42"/>
      <c r="S570" s="42"/>
      <c r="T570" s="42"/>
      <c r="U570" s="51"/>
      <c r="V570" s="52"/>
      <c r="W570" s="55"/>
      <c r="X570" s="57"/>
      <c r="Y570" s="106"/>
      <c r="Z570" s="106"/>
      <c r="AA570" s="106"/>
      <c r="AB570" s="106"/>
    </row>
    <row r="571">
      <c r="A571" s="38">
        <v>570.0</v>
      </c>
      <c r="B571" s="42"/>
      <c r="C571" s="51"/>
      <c r="D571" s="38"/>
      <c r="E571" s="38" t="s">
        <v>2050</v>
      </c>
      <c r="F571" s="41" t="s">
        <v>2051</v>
      </c>
      <c r="G571" s="43"/>
      <c r="H571" s="45"/>
      <c r="I571" s="38"/>
      <c r="J571" s="38">
        <f>962</f>
        <v>962</v>
      </c>
      <c r="K571" s="46">
        <v>0.016747685185185185</v>
      </c>
      <c r="L571" s="47" t="s">
        <v>1255</v>
      </c>
      <c r="M571" s="48"/>
      <c r="N571" s="48"/>
      <c r="O571" s="48">
        <f t="shared" si="1"/>
        <v>0</v>
      </c>
      <c r="P571" s="38"/>
      <c r="Q571" s="12" t="str">
        <f t="shared" si="2"/>
        <v/>
      </c>
      <c r="R571" s="42"/>
      <c r="S571" s="42"/>
      <c r="T571" s="42"/>
      <c r="U571" s="51"/>
      <c r="V571" s="52"/>
      <c r="W571" s="55"/>
      <c r="X571" s="57"/>
      <c r="Y571" s="106"/>
      <c r="Z571" s="106"/>
      <c r="AA571" s="106"/>
      <c r="AB571" s="106"/>
    </row>
    <row r="572">
      <c r="A572" s="38">
        <v>571.0</v>
      </c>
      <c r="B572" s="42"/>
      <c r="C572" s="51"/>
      <c r="D572" s="38"/>
      <c r="E572" s="38" t="s">
        <v>2052</v>
      </c>
      <c r="F572" s="41" t="s">
        <v>2053</v>
      </c>
      <c r="G572" s="43"/>
      <c r="H572" s="45"/>
      <c r="I572" s="38"/>
      <c r="J572" s="38">
        <f>2.2*1000</f>
        <v>2200</v>
      </c>
      <c r="K572" s="46">
        <v>0.03435185185185185</v>
      </c>
      <c r="L572" s="47" t="s">
        <v>1255</v>
      </c>
      <c r="M572" s="48"/>
      <c r="N572" s="48"/>
      <c r="O572" s="48">
        <f t="shared" si="1"/>
        <v>0</v>
      </c>
      <c r="P572" s="38"/>
      <c r="Q572" s="12" t="str">
        <f t="shared" si="2"/>
        <v/>
      </c>
      <c r="R572" s="42"/>
      <c r="S572" s="42"/>
      <c r="T572" s="42"/>
      <c r="U572" s="51"/>
      <c r="V572" s="52"/>
      <c r="W572" s="55"/>
      <c r="X572" s="57"/>
      <c r="Y572" s="106"/>
      <c r="Z572" s="106"/>
      <c r="AA572" s="106"/>
      <c r="AB572" s="106"/>
    </row>
    <row r="573">
      <c r="A573" s="38">
        <v>572.0</v>
      </c>
      <c r="B573" s="42"/>
      <c r="C573" s="51"/>
      <c r="D573" s="38"/>
      <c r="E573" s="38" t="s">
        <v>2054</v>
      </c>
      <c r="F573" s="41" t="s">
        <v>2055</v>
      </c>
      <c r="G573" s="43"/>
      <c r="H573" s="45"/>
      <c r="I573" s="38"/>
      <c r="J573" s="38">
        <f>641</f>
        <v>641</v>
      </c>
      <c r="K573" s="46">
        <v>0.006469907407407407</v>
      </c>
      <c r="L573" s="47" t="s">
        <v>1255</v>
      </c>
      <c r="M573" s="48"/>
      <c r="N573" s="48"/>
      <c r="O573" s="48">
        <f t="shared" si="1"/>
        <v>0</v>
      </c>
      <c r="P573" s="38"/>
      <c r="Q573" s="12" t="str">
        <f t="shared" si="2"/>
        <v/>
      </c>
      <c r="R573" s="42"/>
      <c r="S573" s="42"/>
      <c r="T573" s="42"/>
      <c r="U573" s="51"/>
      <c r="V573" s="52"/>
      <c r="W573" s="55"/>
      <c r="X573" s="57"/>
      <c r="Y573" s="106"/>
      <c r="Z573" s="106"/>
      <c r="AA573" s="106"/>
      <c r="AB573" s="106"/>
    </row>
    <row r="574">
      <c r="A574" s="38">
        <v>573.0</v>
      </c>
      <c r="B574" s="42"/>
      <c r="C574" s="51"/>
      <c r="D574" s="38"/>
      <c r="E574" s="38" t="s">
        <v>2056</v>
      </c>
      <c r="F574" s="41" t="s">
        <v>2057</v>
      </c>
      <c r="G574" s="43"/>
      <c r="H574" s="45"/>
      <c r="I574" s="38"/>
      <c r="J574" s="38">
        <f>1.1*1000</f>
        <v>1100</v>
      </c>
      <c r="K574" s="46">
        <v>0.0025</v>
      </c>
      <c r="L574" s="47" t="s">
        <v>1255</v>
      </c>
      <c r="M574" s="48"/>
      <c r="N574" s="48"/>
      <c r="O574" s="48">
        <f t="shared" si="1"/>
        <v>0</v>
      </c>
      <c r="P574" s="38"/>
      <c r="Q574" s="12" t="str">
        <f t="shared" si="2"/>
        <v/>
      </c>
      <c r="R574" s="42"/>
      <c r="S574" s="42"/>
      <c r="T574" s="42"/>
      <c r="U574" s="51"/>
      <c r="V574" s="52"/>
      <c r="W574" s="55"/>
      <c r="X574" s="57"/>
      <c r="Y574" s="106"/>
      <c r="Z574" s="106"/>
      <c r="AA574" s="106"/>
      <c r="AB574" s="106"/>
    </row>
    <row r="575">
      <c r="A575" s="38">
        <v>574.0</v>
      </c>
      <c r="B575" s="42"/>
      <c r="C575" s="51"/>
      <c r="D575" s="38"/>
      <c r="E575" s="38" t="s">
        <v>2058</v>
      </c>
      <c r="F575" s="41" t="s">
        <v>2059</v>
      </c>
      <c r="G575" s="43"/>
      <c r="H575" s="45"/>
      <c r="I575" s="38"/>
      <c r="J575" s="38">
        <f>14*1000</f>
        <v>14000</v>
      </c>
      <c r="K575" s="46">
        <v>0.028460648148148148</v>
      </c>
      <c r="L575" s="47" t="s">
        <v>1528</v>
      </c>
      <c r="M575" s="48"/>
      <c r="N575" s="48"/>
      <c r="O575" s="48">
        <f t="shared" si="1"/>
        <v>0</v>
      </c>
      <c r="P575" s="38"/>
      <c r="Q575" s="12" t="str">
        <f t="shared" si="2"/>
        <v/>
      </c>
      <c r="R575" s="42"/>
      <c r="S575" s="42"/>
      <c r="T575" s="42"/>
      <c r="U575" s="51"/>
      <c r="V575" s="52"/>
      <c r="W575" s="55"/>
      <c r="X575" s="57"/>
      <c r="Y575" s="106"/>
      <c r="Z575" s="106"/>
      <c r="AA575" s="106"/>
      <c r="AB575" s="106"/>
    </row>
    <row r="576">
      <c r="A576" s="38">
        <v>575.0</v>
      </c>
      <c r="B576" s="42"/>
      <c r="C576" s="51"/>
      <c r="D576" s="38"/>
      <c r="E576" s="38" t="s">
        <v>2060</v>
      </c>
      <c r="F576" s="41" t="s">
        <v>2061</v>
      </c>
      <c r="G576" s="43"/>
      <c r="H576" s="45"/>
      <c r="I576" s="38"/>
      <c r="J576" s="38">
        <f>2.7*1000</f>
        <v>2700</v>
      </c>
      <c r="K576" s="46">
        <v>0.013287037037037036</v>
      </c>
      <c r="L576" s="47" t="s">
        <v>1528</v>
      </c>
      <c r="M576" s="48"/>
      <c r="N576" s="48"/>
      <c r="O576" s="48">
        <f t="shared" si="1"/>
        <v>0</v>
      </c>
      <c r="P576" s="38"/>
      <c r="Q576" s="12" t="str">
        <f t="shared" si="2"/>
        <v/>
      </c>
      <c r="R576" s="42"/>
      <c r="S576" s="42"/>
      <c r="T576" s="42"/>
      <c r="U576" s="51"/>
      <c r="V576" s="52"/>
      <c r="W576" s="55"/>
      <c r="X576" s="57"/>
      <c r="Y576" s="106"/>
      <c r="Z576" s="106"/>
      <c r="AA576" s="106"/>
      <c r="AB576" s="106"/>
    </row>
    <row r="577">
      <c r="A577" s="38">
        <v>576.0</v>
      </c>
      <c r="B577" s="42"/>
      <c r="C577" s="51"/>
      <c r="D577" s="38"/>
      <c r="E577" s="38" t="s">
        <v>2062</v>
      </c>
      <c r="F577" s="41" t="s">
        <v>2063</v>
      </c>
      <c r="G577" s="43"/>
      <c r="H577" s="45"/>
      <c r="I577" s="38"/>
      <c r="J577" s="38">
        <f>2.4*1000</f>
        <v>2400</v>
      </c>
      <c r="K577" s="46">
        <v>0.021909722222222223</v>
      </c>
      <c r="L577" s="47" t="s">
        <v>1528</v>
      </c>
      <c r="M577" s="48"/>
      <c r="N577" s="48"/>
      <c r="O577" s="48">
        <f t="shared" si="1"/>
        <v>0</v>
      </c>
      <c r="P577" s="38"/>
      <c r="Q577" s="12" t="str">
        <f t="shared" si="2"/>
        <v/>
      </c>
      <c r="R577" s="42"/>
      <c r="S577" s="42"/>
      <c r="T577" s="42"/>
      <c r="U577" s="51"/>
      <c r="V577" s="52"/>
      <c r="W577" s="55"/>
      <c r="X577" s="57"/>
      <c r="Y577" s="106"/>
      <c r="Z577" s="106"/>
      <c r="AA577" s="106"/>
      <c r="AB577" s="106"/>
    </row>
    <row r="578">
      <c r="A578" s="38">
        <v>577.0</v>
      </c>
      <c r="B578" s="42"/>
      <c r="C578" s="51"/>
      <c r="D578" s="38"/>
      <c r="E578" s="38" t="s">
        <v>2064</v>
      </c>
      <c r="F578" s="41" t="s">
        <v>2065</v>
      </c>
      <c r="G578" s="43"/>
      <c r="H578" s="45"/>
      <c r="I578" s="38"/>
      <c r="J578" s="38">
        <f>1.3*1000</f>
        <v>1300</v>
      </c>
      <c r="K578" s="46">
        <v>0.0024537037037037036</v>
      </c>
      <c r="L578" s="47" t="s">
        <v>1528</v>
      </c>
      <c r="M578" s="48"/>
      <c r="N578" s="48"/>
      <c r="O578" s="48">
        <f t="shared" si="1"/>
        <v>0</v>
      </c>
      <c r="P578" s="38"/>
      <c r="Q578" s="12" t="str">
        <f t="shared" si="2"/>
        <v/>
      </c>
      <c r="R578" s="42"/>
      <c r="S578" s="42"/>
      <c r="T578" s="42"/>
      <c r="U578" s="51"/>
      <c r="V578" s="52"/>
      <c r="W578" s="55"/>
      <c r="X578" s="57"/>
      <c r="Y578" s="106"/>
      <c r="Z578" s="106"/>
      <c r="AA578" s="106"/>
      <c r="AB578" s="106"/>
    </row>
    <row r="579">
      <c r="A579" s="38">
        <v>578.0</v>
      </c>
      <c r="B579" s="42"/>
      <c r="C579" s="51"/>
      <c r="D579" s="38"/>
      <c r="E579" s="38" t="s">
        <v>2066</v>
      </c>
      <c r="F579" s="41" t="s">
        <v>2067</v>
      </c>
      <c r="G579" s="43"/>
      <c r="H579" s="45"/>
      <c r="I579" s="38"/>
      <c r="J579" s="38">
        <f>6.5*1000</f>
        <v>6500</v>
      </c>
      <c r="K579" s="46">
        <v>0.02798611111111111</v>
      </c>
      <c r="L579" s="47" t="s">
        <v>1528</v>
      </c>
      <c r="M579" s="48"/>
      <c r="N579" s="48"/>
      <c r="O579" s="48">
        <f t="shared" si="1"/>
        <v>0</v>
      </c>
      <c r="P579" s="38"/>
      <c r="Q579" s="12" t="str">
        <f t="shared" si="2"/>
        <v/>
      </c>
      <c r="R579" s="42"/>
      <c r="S579" s="42"/>
      <c r="T579" s="42"/>
      <c r="U579" s="51"/>
      <c r="V579" s="52"/>
      <c r="W579" s="55"/>
      <c r="X579" s="57"/>
      <c r="Y579" s="106"/>
      <c r="Z579" s="106"/>
      <c r="AA579" s="106"/>
      <c r="AB579" s="106"/>
    </row>
    <row r="580">
      <c r="A580" s="38">
        <v>579.0</v>
      </c>
      <c r="B580" s="63" t="s">
        <v>516</v>
      </c>
      <c r="C580" s="51"/>
      <c r="D580" s="39" t="s">
        <v>145</v>
      </c>
      <c r="E580" s="38" t="s">
        <v>2068</v>
      </c>
      <c r="F580" s="41" t="s">
        <v>2069</v>
      </c>
      <c r="G580" s="43"/>
      <c r="H580" s="45"/>
      <c r="I580" s="38"/>
      <c r="J580" s="38">
        <f>7.9*1000</f>
        <v>7900</v>
      </c>
      <c r="K580" s="46">
        <v>0.045439814814814815</v>
      </c>
      <c r="L580" s="47" t="s">
        <v>1528</v>
      </c>
      <c r="M580" s="48"/>
      <c r="N580" s="48"/>
      <c r="O580" s="48">
        <f t="shared" si="1"/>
        <v>0</v>
      </c>
      <c r="P580" s="38"/>
      <c r="Q580" s="12" t="str">
        <f t="shared" si="2"/>
        <v/>
      </c>
      <c r="R580" s="42"/>
      <c r="S580" s="42"/>
      <c r="T580" s="42"/>
      <c r="U580" s="51"/>
      <c r="V580" s="52"/>
      <c r="W580" s="55"/>
      <c r="X580" s="57"/>
      <c r="Y580" s="106"/>
      <c r="Z580" s="106"/>
      <c r="AA580" s="106"/>
      <c r="AB580" s="106"/>
    </row>
    <row r="581">
      <c r="A581" s="38">
        <v>580.0</v>
      </c>
      <c r="B581" s="42"/>
      <c r="C581" s="51"/>
      <c r="D581" s="38"/>
      <c r="E581" s="38" t="s">
        <v>2070</v>
      </c>
      <c r="F581" s="41" t="s">
        <v>2071</v>
      </c>
      <c r="G581" s="43"/>
      <c r="H581" s="45"/>
      <c r="I581" s="38"/>
      <c r="J581" s="38">
        <f>520</f>
        <v>520</v>
      </c>
      <c r="K581" s="46">
        <v>0.0013541666666666667</v>
      </c>
      <c r="L581" s="47" t="s">
        <v>1528</v>
      </c>
      <c r="M581" s="48"/>
      <c r="N581" s="48"/>
      <c r="O581" s="48">
        <f t="shared" si="1"/>
        <v>0</v>
      </c>
      <c r="P581" s="38"/>
      <c r="Q581" s="12" t="str">
        <f t="shared" si="2"/>
        <v/>
      </c>
      <c r="R581" s="42"/>
      <c r="S581" s="42"/>
      <c r="T581" s="42"/>
      <c r="U581" s="51"/>
      <c r="V581" s="52"/>
      <c r="W581" s="55"/>
      <c r="X581" s="57"/>
      <c r="Y581" s="106"/>
      <c r="Z581" s="106"/>
      <c r="AA581" s="106"/>
      <c r="AB581" s="106"/>
    </row>
    <row r="582">
      <c r="A582" s="38">
        <v>581.0</v>
      </c>
      <c r="B582" s="42"/>
      <c r="C582" s="51"/>
      <c r="D582" s="38"/>
      <c r="E582" s="38" t="s">
        <v>2072</v>
      </c>
      <c r="F582" s="41" t="s">
        <v>2073</v>
      </c>
      <c r="G582" s="43"/>
      <c r="H582" s="45"/>
      <c r="I582" s="38"/>
      <c r="J582" s="38">
        <f>658</f>
        <v>658</v>
      </c>
      <c r="K582" s="46">
        <v>0.0038657407407407408</v>
      </c>
      <c r="L582" s="47" t="s">
        <v>1528</v>
      </c>
      <c r="M582" s="48"/>
      <c r="N582" s="48"/>
      <c r="O582" s="48">
        <f t="shared" si="1"/>
        <v>0</v>
      </c>
      <c r="P582" s="38"/>
      <c r="Q582" s="12" t="str">
        <f t="shared" si="2"/>
        <v/>
      </c>
      <c r="R582" s="42"/>
      <c r="S582" s="42"/>
      <c r="T582" s="42"/>
      <c r="U582" s="51"/>
      <c r="V582" s="52"/>
      <c r="W582" s="55"/>
      <c r="X582" s="57"/>
      <c r="Y582" s="106"/>
      <c r="Z582" s="106"/>
      <c r="AA582" s="106"/>
      <c r="AB582" s="106"/>
    </row>
    <row r="583">
      <c r="A583" s="38">
        <v>582.0</v>
      </c>
      <c r="B583" s="42"/>
      <c r="C583" s="51"/>
      <c r="D583" s="38"/>
      <c r="E583" s="38" t="s">
        <v>2074</v>
      </c>
      <c r="F583" s="41" t="s">
        <v>2075</v>
      </c>
      <c r="G583" s="43"/>
      <c r="H583" s="45"/>
      <c r="I583" s="38"/>
      <c r="J583" s="38">
        <f>457</f>
        <v>457</v>
      </c>
      <c r="K583" s="46">
        <v>0.002685185185185185</v>
      </c>
      <c r="L583" s="47" t="s">
        <v>1528</v>
      </c>
      <c r="M583" s="48"/>
      <c r="N583" s="48"/>
      <c r="O583" s="48">
        <f t="shared" si="1"/>
        <v>0</v>
      </c>
      <c r="P583" s="38"/>
      <c r="Q583" s="12" t="str">
        <f t="shared" si="2"/>
        <v/>
      </c>
      <c r="R583" s="42"/>
      <c r="S583" s="42"/>
      <c r="T583" s="42"/>
      <c r="U583" s="51"/>
      <c r="V583" s="52"/>
      <c r="W583" s="55"/>
      <c r="X583" s="57"/>
      <c r="Y583" s="106"/>
      <c r="Z583" s="106"/>
      <c r="AA583" s="106"/>
      <c r="AB583" s="106"/>
    </row>
    <row r="584">
      <c r="A584" s="38">
        <v>583.0</v>
      </c>
      <c r="B584" s="42"/>
      <c r="C584" s="51"/>
      <c r="D584" s="38"/>
      <c r="E584" s="38" t="s">
        <v>2076</v>
      </c>
      <c r="F584" s="41" t="s">
        <v>2077</v>
      </c>
      <c r="G584" s="43"/>
      <c r="H584" s="45"/>
      <c r="I584" s="38"/>
      <c r="J584" s="38">
        <f>689</f>
        <v>689</v>
      </c>
      <c r="K584" s="46">
        <v>0.0014583333333333334</v>
      </c>
      <c r="L584" s="47" t="s">
        <v>1528</v>
      </c>
      <c r="M584" s="48"/>
      <c r="N584" s="48"/>
      <c r="O584" s="48">
        <f t="shared" si="1"/>
        <v>0</v>
      </c>
      <c r="P584" s="38"/>
      <c r="Q584" s="12" t="str">
        <f t="shared" si="2"/>
        <v/>
      </c>
      <c r="R584" s="42"/>
      <c r="S584" s="42"/>
      <c r="T584" s="42"/>
      <c r="U584" s="51"/>
      <c r="V584" s="52"/>
      <c r="W584" s="55"/>
      <c r="X584" s="57"/>
      <c r="Y584" s="106"/>
      <c r="Z584" s="106"/>
      <c r="AA584" s="106"/>
      <c r="AB584" s="106"/>
    </row>
    <row r="585">
      <c r="A585" s="38">
        <v>584.0</v>
      </c>
      <c r="B585" s="42"/>
      <c r="C585" s="51"/>
      <c r="D585" s="38"/>
      <c r="E585" s="38" t="s">
        <v>2078</v>
      </c>
      <c r="F585" s="41" t="s">
        <v>2079</v>
      </c>
      <c r="G585" s="43"/>
      <c r="H585" s="45"/>
      <c r="I585" s="38"/>
      <c r="J585" s="38">
        <f>422</f>
        <v>422</v>
      </c>
      <c r="K585" s="46">
        <v>0.002627314814814815</v>
      </c>
      <c r="L585" s="47" t="s">
        <v>1528</v>
      </c>
      <c r="M585" s="48"/>
      <c r="N585" s="48"/>
      <c r="O585" s="48">
        <f t="shared" si="1"/>
        <v>0</v>
      </c>
      <c r="P585" s="38"/>
      <c r="Q585" s="12" t="str">
        <f t="shared" si="2"/>
        <v/>
      </c>
      <c r="R585" s="42"/>
      <c r="S585" s="42"/>
      <c r="T585" s="42"/>
      <c r="U585" s="51"/>
      <c r="V585" s="52"/>
      <c r="W585" s="55"/>
      <c r="X585" s="57"/>
      <c r="Y585" s="106"/>
      <c r="Z585" s="106"/>
      <c r="AA585" s="106"/>
      <c r="AB585" s="106"/>
    </row>
    <row r="586">
      <c r="A586" s="38">
        <v>585.0</v>
      </c>
      <c r="B586" s="42"/>
      <c r="C586" s="51"/>
      <c r="D586" s="38"/>
      <c r="E586" s="38" t="s">
        <v>2080</v>
      </c>
      <c r="F586" s="41" t="s">
        <v>2081</v>
      </c>
      <c r="G586" s="43"/>
      <c r="H586" s="45"/>
      <c r="I586" s="38"/>
      <c r="J586" s="38">
        <f>393</f>
        <v>393</v>
      </c>
      <c r="K586" s="46">
        <v>0.0020486111111111113</v>
      </c>
      <c r="L586" s="47" t="s">
        <v>1528</v>
      </c>
      <c r="M586" s="48"/>
      <c r="N586" s="48"/>
      <c r="O586" s="48">
        <f t="shared" si="1"/>
        <v>0</v>
      </c>
      <c r="P586" s="38"/>
      <c r="Q586" s="12" t="str">
        <f t="shared" si="2"/>
        <v/>
      </c>
      <c r="R586" s="42"/>
      <c r="S586" s="42"/>
      <c r="T586" s="42"/>
      <c r="U586" s="51"/>
      <c r="V586" s="52"/>
      <c r="W586" s="55"/>
      <c r="X586" s="57"/>
      <c r="Y586" s="106"/>
      <c r="Z586" s="106"/>
      <c r="AA586" s="106"/>
      <c r="AB586" s="106"/>
    </row>
    <row r="587">
      <c r="A587" s="38">
        <v>586.0</v>
      </c>
      <c r="B587" s="42"/>
      <c r="C587" s="51"/>
      <c r="D587" s="38"/>
      <c r="E587" s="38" t="s">
        <v>2082</v>
      </c>
      <c r="F587" s="41" t="s">
        <v>2083</v>
      </c>
      <c r="G587" s="43"/>
      <c r="H587" s="45"/>
      <c r="I587" s="38"/>
      <c r="J587" s="38">
        <f>397</f>
        <v>397</v>
      </c>
      <c r="K587" s="46">
        <v>0.002013888888888889</v>
      </c>
      <c r="L587" s="47" t="s">
        <v>1528</v>
      </c>
      <c r="M587" s="48"/>
      <c r="N587" s="48"/>
      <c r="O587" s="48">
        <f t="shared" si="1"/>
        <v>0</v>
      </c>
      <c r="P587" s="38"/>
      <c r="Q587" s="12" t="str">
        <f t="shared" si="2"/>
        <v/>
      </c>
      <c r="R587" s="42"/>
      <c r="S587" s="42"/>
      <c r="T587" s="42"/>
      <c r="U587" s="51"/>
      <c r="V587" s="52"/>
      <c r="W587" s="55"/>
      <c r="X587" s="57"/>
      <c r="Y587" s="106"/>
      <c r="Z587" s="106"/>
      <c r="AA587" s="106"/>
      <c r="AB587" s="106"/>
    </row>
    <row r="588">
      <c r="A588" s="38">
        <v>587.0</v>
      </c>
      <c r="B588" s="42"/>
      <c r="C588" s="51"/>
      <c r="D588" s="38"/>
      <c r="E588" s="38" t="s">
        <v>2084</v>
      </c>
      <c r="F588" s="41" t="s">
        <v>2085</v>
      </c>
      <c r="G588" s="43"/>
      <c r="H588" s="45"/>
      <c r="I588" s="38"/>
      <c r="J588" s="38">
        <f>1*1000</f>
        <v>1000</v>
      </c>
      <c r="K588" s="46">
        <v>0.0016666666666666668</v>
      </c>
      <c r="L588" s="47" t="s">
        <v>1528</v>
      </c>
      <c r="M588" s="48"/>
      <c r="N588" s="48"/>
      <c r="O588" s="48">
        <f t="shared" si="1"/>
        <v>0</v>
      </c>
      <c r="P588" s="38"/>
      <c r="Q588" s="12" t="str">
        <f t="shared" si="2"/>
        <v/>
      </c>
      <c r="R588" s="42"/>
      <c r="S588" s="42"/>
      <c r="T588" s="42"/>
      <c r="U588" s="51"/>
      <c r="V588" s="52"/>
      <c r="W588" s="55"/>
      <c r="X588" s="57"/>
      <c r="Y588" s="106"/>
      <c r="Z588" s="106"/>
      <c r="AA588" s="106"/>
      <c r="AB588" s="106"/>
    </row>
    <row r="589">
      <c r="A589" s="38">
        <v>588.0</v>
      </c>
      <c r="B589" s="42"/>
      <c r="C589" s="51"/>
      <c r="D589" s="38"/>
      <c r="E589" s="38" t="s">
        <v>2086</v>
      </c>
      <c r="F589" s="41" t="s">
        <v>2087</v>
      </c>
      <c r="G589" s="43"/>
      <c r="H589" s="45"/>
      <c r="I589" s="38"/>
      <c r="J589" s="38">
        <f>506</f>
        <v>506</v>
      </c>
      <c r="K589" s="46">
        <v>0.002916666666666667</v>
      </c>
      <c r="L589" s="47" t="s">
        <v>1528</v>
      </c>
      <c r="M589" s="48"/>
      <c r="N589" s="48"/>
      <c r="O589" s="48">
        <f t="shared" si="1"/>
        <v>0</v>
      </c>
      <c r="P589" s="38"/>
      <c r="Q589" s="12" t="str">
        <f t="shared" si="2"/>
        <v/>
      </c>
      <c r="R589" s="42"/>
      <c r="S589" s="42"/>
      <c r="T589" s="42"/>
      <c r="U589" s="51"/>
      <c r="V589" s="52"/>
      <c r="W589" s="55"/>
      <c r="X589" s="57"/>
      <c r="Y589" s="106"/>
      <c r="Z589" s="106"/>
      <c r="AA589" s="106"/>
      <c r="AB589" s="106"/>
    </row>
    <row r="590">
      <c r="A590" s="38">
        <v>589.0</v>
      </c>
      <c r="B590" s="63" t="s">
        <v>516</v>
      </c>
      <c r="C590" s="44"/>
      <c r="D590" s="39" t="s">
        <v>145</v>
      </c>
      <c r="E590" s="38" t="s">
        <v>1521</v>
      </c>
      <c r="F590" s="41" t="s">
        <v>1522</v>
      </c>
      <c r="G590" s="43"/>
      <c r="H590" s="45"/>
      <c r="I590" s="38"/>
      <c r="J590" s="38">
        <f>25*1000</f>
        <v>25000</v>
      </c>
      <c r="K590" s="46">
        <v>0.06903935185185185</v>
      </c>
      <c r="L590" s="47" t="s">
        <v>1528</v>
      </c>
      <c r="M590" s="48"/>
      <c r="N590" s="48"/>
      <c r="O590" s="48">
        <f t="shared" si="1"/>
        <v>0</v>
      </c>
      <c r="P590" s="38"/>
      <c r="Q590" s="12" t="str">
        <f t="shared" si="2"/>
        <v/>
      </c>
      <c r="R590" s="42"/>
      <c r="S590" s="42"/>
      <c r="T590" s="42"/>
      <c r="U590" s="51"/>
      <c r="V590" s="52"/>
      <c r="W590" s="55"/>
      <c r="X590" s="57"/>
      <c r="Y590" s="106"/>
      <c r="Z590" s="106"/>
      <c r="AA590" s="106"/>
      <c r="AB590" s="106"/>
    </row>
    <row r="591">
      <c r="A591" s="38">
        <v>590.0</v>
      </c>
      <c r="B591" s="42"/>
      <c r="C591" s="51"/>
      <c r="D591" s="38"/>
      <c r="E591" s="38" t="s">
        <v>2088</v>
      </c>
      <c r="F591" s="41" t="s">
        <v>2089</v>
      </c>
      <c r="G591" s="43"/>
      <c r="H591" s="45"/>
      <c r="I591" s="38"/>
      <c r="J591" s="38">
        <f>922</f>
        <v>922</v>
      </c>
      <c r="K591" s="46">
        <v>0.0037962962962962963</v>
      </c>
      <c r="L591" s="47" t="s">
        <v>1528</v>
      </c>
      <c r="M591" s="48"/>
      <c r="N591" s="48"/>
      <c r="O591" s="48">
        <f t="shared" si="1"/>
        <v>0</v>
      </c>
      <c r="P591" s="38"/>
      <c r="Q591" s="12" t="str">
        <f t="shared" si="2"/>
        <v/>
      </c>
      <c r="R591" s="42"/>
      <c r="S591" s="42"/>
      <c r="T591" s="42"/>
      <c r="U591" s="51"/>
      <c r="V591" s="52"/>
      <c r="W591" s="55"/>
      <c r="X591" s="57"/>
      <c r="Y591" s="106"/>
      <c r="Z591" s="106"/>
      <c r="AA591" s="106"/>
      <c r="AB591" s="106"/>
    </row>
    <row r="592">
      <c r="A592" s="38">
        <v>591.0</v>
      </c>
      <c r="B592" s="42"/>
      <c r="C592" s="51"/>
      <c r="D592" s="38"/>
      <c r="E592" s="38" t="s">
        <v>2090</v>
      </c>
      <c r="F592" s="41" t="s">
        <v>2091</v>
      </c>
      <c r="G592" s="43"/>
      <c r="H592" s="45"/>
      <c r="I592" s="38"/>
      <c r="J592" s="38">
        <f>931</f>
        <v>931</v>
      </c>
      <c r="K592" s="46">
        <v>0.0037152777777777774</v>
      </c>
      <c r="L592" s="47" t="s">
        <v>2092</v>
      </c>
      <c r="M592" s="48"/>
      <c r="N592" s="48"/>
      <c r="O592" s="48">
        <f t="shared" si="1"/>
        <v>0</v>
      </c>
      <c r="P592" s="38"/>
      <c r="Q592" s="12" t="str">
        <f t="shared" si="2"/>
        <v/>
      </c>
      <c r="R592" s="42"/>
      <c r="S592" s="42"/>
      <c r="T592" s="42"/>
      <c r="U592" s="51"/>
      <c r="V592" s="52"/>
      <c r="W592" s="55"/>
      <c r="X592" s="57"/>
      <c r="Y592" s="106"/>
      <c r="Z592" s="106"/>
      <c r="AA592" s="106"/>
      <c r="AB592" s="106"/>
    </row>
    <row r="593">
      <c r="A593" s="38">
        <v>592.0</v>
      </c>
      <c r="B593" s="42"/>
      <c r="C593" s="51"/>
      <c r="D593" s="38"/>
      <c r="E593" s="38" t="s">
        <v>2093</v>
      </c>
      <c r="F593" s="41" t="s">
        <v>2094</v>
      </c>
      <c r="G593" s="43"/>
      <c r="H593" s="45"/>
      <c r="I593" s="38"/>
      <c r="J593" s="38">
        <f>799</f>
        <v>799</v>
      </c>
      <c r="K593" s="46">
        <v>0.002777777777777778</v>
      </c>
      <c r="L593" s="47" t="s">
        <v>2092</v>
      </c>
      <c r="M593" s="48"/>
      <c r="N593" s="48"/>
      <c r="O593" s="48">
        <f t="shared" si="1"/>
        <v>0</v>
      </c>
      <c r="P593" s="38"/>
      <c r="Q593" s="12" t="str">
        <f t="shared" si="2"/>
        <v/>
      </c>
      <c r="R593" s="42"/>
      <c r="S593" s="42"/>
      <c r="T593" s="42"/>
      <c r="U593" s="51"/>
      <c r="V593" s="52"/>
      <c r="W593" s="55"/>
      <c r="X593" s="57"/>
      <c r="Y593" s="106"/>
      <c r="Z593" s="106"/>
      <c r="AA593" s="106"/>
      <c r="AB593" s="106"/>
    </row>
    <row r="594">
      <c r="A594" s="38">
        <v>593.0</v>
      </c>
      <c r="B594" s="42"/>
      <c r="C594" s="51"/>
      <c r="D594" s="38"/>
      <c r="E594" s="38" t="s">
        <v>2096</v>
      </c>
      <c r="F594" s="41" t="s">
        <v>2097</v>
      </c>
      <c r="G594" s="43"/>
      <c r="H594" s="45"/>
      <c r="I594" s="38"/>
      <c r="J594" s="38">
        <f>783</f>
        <v>783</v>
      </c>
      <c r="K594" s="46">
        <v>0.0037268518518518514</v>
      </c>
      <c r="L594" s="47" t="s">
        <v>2092</v>
      </c>
      <c r="M594" s="48"/>
      <c r="N594" s="48"/>
      <c r="O594" s="48">
        <f t="shared" si="1"/>
        <v>0</v>
      </c>
      <c r="P594" s="38"/>
      <c r="Q594" s="12" t="str">
        <f t="shared" si="2"/>
        <v/>
      </c>
      <c r="R594" s="42"/>
      <c r="S594" s="42"/>
      <c r="T594" s="42"/>
      <c r="U594" s="51"/>
      <c r="V594" s="52"/>
      <c r="W594" s="55"/>
      <c r="X594" s="57"/>
      <c r="Y594" s="106"/>
      <c r="Z594" s="106"/>
      <c r="AA594" s="106"/>
      <c r="AB594" s="106"/>
    </row>
    <row r="595">
      <c r="A595" s="38">
        <v>594.0</v>
      </c>
      <c r="B595" s="42"/>
      <c r="C595" s="51"/>
      <c r="D595" s="38"/>
      <c r="E595" s="38" t="s">
        <v>2098</v>
      </c>
      <c r="F595" s="41" t="s">
        <v>2099</v>
      </c>
      <c r="G595" s="43"/>
      <c r="H595" s="45"/>
      <c r="I595" s="38"/>
      <c r="J595" s="38">
        <f>1*1000</f>
        <v>1000</v>
      </c>
      <c r="K595" s="46">
        <v>0.010891203703703703</v>
      </c>
      <c r="L595" s="47" t="s">
        <v>2092</v>
      </c>
      <c r="M595" s="48"/>
      <c r="N595" s="48"/>
      <c r="O595" s="48">
        <f t="shared" si="1"/>
        <v>0</v>
      </c>
      <c r="P595" s="38"/>
      <c r="Q595" s="12" t="str">
        <f t="shared" si="2"/>
        <v/>
      </c>
      <c r="R595" s="42"/>
      <c r="S595" s="42"/>
      <c r="T595" s="42"/>
      <c r="U595" s="51"/>
      <c r="V595" s="52"/>
      <c r="W595" s="55"/>
      <c r="X595" s="57"/>
      <c r="Y595" s="106"/>
      <c r="Z595" s="106"/>
      <c r="AA595" s="106"/>
      <c r="AB595" s="106"/>
    </row>
    <row r="596">
      <c r="A596" s="38">
        <v>595.0</v>
      </c>
      <c r="B596" s="42"/>
      <c r="C596" s="51"/>
      <c r="D596" s="38"/>
      <c r="E596" s="38" t="s">
        <v>2100</v>
      </c>
      <c r="F596" s="41" t="s">
        <v>2101</v>
      </c>
      <c r="G596" s="43"/>
      <c r="H596" s="45"/>
      <c r="I596" s="38"/>
      <c r="J596" s="38">
        <f>13*1000</f>
        <v>13000</v>
      </c>
      <c r="K596" s="46">
        <v>0.012939814814814814</v>
      </c>
      <c r="L596" s="47" t="s">
        <v>2092</v>
      </c>
      <c r="M596" s="48"/>
      <c r="N596" s="48"/>
      <c r="O596" s="48">
        <f t="shared" si="1"/>
        <v>0</v>
      </c>
      <c r="P596" s="38"/>
      <c r="Q596" s="12" t="str">
        <f t="shared" si="2"/>
        <v/>
      </c>
      <c r="R596" s="42"/>
      <c r="S596" s="42"/>
      <c r="T596" s="42"/>
      <c r="U596" s="51"/>
      <c r="V596" s="52"/>
      <c r="W596" s="55"/>
      <c r="X596" s="57"/>
      <c r="Y596" s="106"/>
      <c r="Z596" s="106"/>
      <c r="AA596" s="106"/>
      <c r="AB596" s="106"/>
    </row>
    <row r="597">
      <c r="A597" s="38">
        <v>596.0</v>
      </c>
      <c r="B597" s="42"/>
      <c r="C597" s="51"/>
      <c r="D597" s="38"/>
      <c r="E597" s="38" t="s">
        <v>2102</v>
      </c>
      <c r="F597" s="41" t="s">
        <v>2103</v>
      </c>
      <c r="G597" s="43"/>
      <c r="H597" s="45"/>
      <c r="I597" s="38"/>
      <c r="J597" s="38">
        <f>20*1000</f>
        <v>20000</v>
      </c>
      <c r="K597" s="46">
        <v>0.02989583333333333</v>
      </c>
      <c r="L597" s="47" t="s">
        <v>2092</v>
      </c>
      <c r="M597" s="48"/>
      <c r="N597" s="48"/>
      <c r="O597" s="48">
        <f t="shared" si="1"/>
        <v>0</v>
      </c>
      <c r="P597" s="38"/>
      <c r="Q597" s="12" t="str">
        <f t="shared" si="2"/>
        <v/>
      </c>
      <c r="R597" s="42"/>
      <c r="S597" s="42"/>
      <c r="T597" s="42"/>
      <c r="U597" s="51"/>
      <c r="V597" s="52"/>
      <c r="W597" s="55"/>
      <c r="X597" s="57"/>
      <c r="Y597" s="106"/>
      <c r="Z597" s="106"/>
      <c r="AA597" s="106"/>
      <c r="AB597" s="106"/>
    </row>
    <row r="598">
      <c r="A598" s="38">
        <v>597.0</v>
      </c>
      <c r="B598" s="63" t="s">
        <v>516</v>
      </c>
      <c r="C598" s="51"/>
      <c r="D598" s="39" t="s">
        <v>71</v>
      </c>
      <c r="E598" s="38" t="s">
        <v>2104</v>
      </c>
      <c r="F598" s="41" t="s">
        <v>2105</v>
      </c>
      <c r="G598" s="43"/>
      <c r="H598" s="45"/>
      <c r="I598" s="38"/>
      <c r="J598" s="38">
        <f>5.6*1000</f>
        <v>5600</v>
      </c>
      <c r="K598" s="46">
        <v>0.01734953703703704</v>
      </c>
      <c r="L598" s="47" t="s">
        <v>2092</v>
      </c>
      <c r="M598" s="48"/>
      <c r="N598" s="48"/>
      <c r="O598" s="48">
        <f t="shared" si="1"/>
        <v>0</v>
      </c>
      <c r="P598" s="38"/>
      <c r="Q598" s="12" t="str">
        <f t="shared" si="2"/>
        <v/>
      </c>
      <c r="R598" s="42"/>
      <c r="S598" s="42"/>
      <c r="T598" s="42"/>
      <c r="U598" s="51"/>
      <c r="V598" s="52"/>
      <c r="W598" s="55"/>
      <c r="X598" s="57"/>
      <c r="Y598" s="106"/>
      <c r="Z598" s="106"/>
      <c r="AA598" s="106"/>
      <c r="AB598" s="106"/>
    </row>
    <row r="599">
      <c r="A599" s="38">
        <v>598.0</v>
      </c>
      <c r="B599" s="42"/>
      <c r="C599" s="51"/>
      <c r="D599" s="38"/>
      <c r="E599" s="38" t="s">
        <v>2107</v>
      </c>
      <c r="F599" s="41" t="s">
        <v>2108</v>
      </c>
      <c r="G599" s="43"/>
      <c r="H599" s="45"/>
      <c r="I599" s="38"/>
      <c r="J599" s="38">
        <f>909</f>
        <v>909</v>
      </c>
      <c r="K599" s="46">
        <v>0.004930555555555555</v>
      </c>
      <c r="L599" s="47" t="s">
        <v>2092</v>
      </c>
      <c r="M599" s="48"/>
      <c r="N599" s="48"/>
      <c r="O599" s="48">
        <f t="shared" si="1"/>
        <v>0</v>
      </c>
      <c r="P599" s="38"/>
      <c r="Q599" s="12" t="str">
        <f t="shared" si="2"/>
        <v/>
      </c>
      <c r="R599" s="42"/>
      <c r="S599" s="42"/>
      <c r="T599" s="42"/>
      <c r="U599" s="51"/>
      <c r="V599" s="52"/>
      <c r="W599" s="55"/>
      <c r="X599" s="57"/>
      <c r="Y599" s="106"/>
      <c r="Z599" s="106"/>
      <c r="AA599" s="106"/>
      <c r="AB599" s="106"/>
    </row>
    <row r="600">
      <c r="A600" s="38">
        <v>599.0</v>
      </c>
      <c r="B600" s="42"/>
      <c r="C600" s="51"/>
      <c r="D600" s="38"/>
      <c r="E600" s="38" t="s">
        <v>2110</v>
      </c>
      <c r="F600" s="41" t="s">
        <v>2111</v>
      </c>
      <c r="G600" s="43"/>
      <c r="H600" s="45"/>
      <c r="I600" s="38"/>
      <c r="J600" s="38">
        <f>366</f>
        <v>366</v>
      </c>
      <c r="K600" s="46">
        <v>0.003969907407407407</v>
      </c>
      <c r="L600" s="47" t="s">
        <v>2092</v>
      </c>
      <c r="M600" s="48"/>
      <c r="N600" s="48"/>
      <c r="O600" s="48">
        <f t="shared" si="1"/>
        <v>0</v>
      </c>
      <c r="P600" s="38"/>
      <c r="Q600" s="12" t="str">
        <f t="shared" si="2"/>
        <v/>
      </c>
      <c r="R600" s="42"/>
      <c r="S600" s="42"/>
      <c r="T600" s="42"/>
      <c r="U600" s="51"/>
      <c r="V600" s="52"/>
      <c r="W600" s="55"/>
      <c r="X600" s="57"/>
      <c r="Y600" s="106"/>
      <c r="Z600" s="106"/>
      <c r="AA600" s="106"/>
      <c r="AB600" s="106"/>
    </row>
    <row r="601">
      <c r="A601" s="38">
        <v>600.0</v>
      </c>
      <c r="B601" s="42"/>
      <c r="C601" s="51"/>
      <c r="D601" s="38"/>
      <c r="E601" s="38" t="s">
        <v>2112</v>
      </c>
      <c r="F601" s="41" t="s">
        <v>2113</v>
      </c>
      <c r="G601" s="43"/>
      <c r="H601" s="45"/>
      <c r="I601" s="38"/>
      <c r="J601" s="38">
        <f>559</f>
        <v>559</v>
      </c>
      <c r="K601" s="46">
        <v>0.0018287037037037037</v>
      </c>
      <c r="L601" s="47" t="s">
        <v>2092</v>
      </c>
      <c r="M601" s="48"/>
      <c r="N601" s="48"/>
      <c r="O601" s="48">
        <f t="shared" si="1"/>
        <v>0</v>
      </c>
      <c r="P601" s="38"/>
      <c r="Q601" s="12" t="str">
        <f t="shared" si="2"/>
        <v/>
      </c>
      <c r="R601" s="42"/>
      <c r="S601" s="42"/>
      <c r="T601" s="42"/>
      <c r="U601" s="51"/>
      <c r="V601" s="52"/>
      <c r="W601" s="55"/>
      <c r="X601" s="57"/>
      <c r="Y601" s="106"/>
      <c r="Z601" s="106"/>
      <c r="AA601" s="106"/>
      <c r="AB601" s="106"/>
    </row>
    <row r="602">
      <c r="A602" s="38">
        <v>601.0</v>
      </c>
      <c r="B602" s="42"/>
      <c r="C602" s="51"/>
      <c r="D602" s="38"/>
      <c r="E602" s="38" t="s">
        <v>2114</v>
      </c>
      <c r="F602" s="41" t="s">
        <v>2115</v>
      </c>
      <c r="G602" s="43"/>
      <c r="H602" s="45"/>
      <c r="I602" s="38"/>
      <c r="J602" s="38">
        <f>511</f>
        <v>511</v>
      </c>
      <c r="K602" s="46">
        <v>0.0017824074074074072</v>
      </c>
      <c r="L602" s="47" t="s">
        <v>2092</v>
      </c>
      <c r="M602" s="48"/>
      <c r="N602" s="48"/>
      <c r="O602" s="48">
        <f t="shared" si="1"/>
        <v>0</v>
      </c>
      <c r="P602" s="38"/>
      <c r="Q602" s="12" t="str">
        <f t="shared" si="2"/>
        <v/>
      </c>
      <c r="R602" s="42"/>
      <c r="S602" s="42"/>
      <c r="T602" s="42"/>
      <c r="U602" s="51"/>
      <c r="V602" s="52"/>
      <c r="W602" s="55"/>
      <c r="X602" s="57"/>
      <c r="Y602" s="106"/>
      <c r="Z602" s="106"/>
      <c r="AA602" s="106"/>
      <c r="AB602" s="106"/>
    </row>
    <row r="603">
      <c r="A603" s="38">
        <v>602.0</v>
      </c>
      <c r="B603" s="42"/>
      <c r="C603" s="51"/>
      <c r="D603" s="38"/>
      <c r="E603" s="38" t="s">
        <v>2116</v>
      </c>
      <c r="F603" s="41" t="s">
        <v>2117</v>
      </c>
      <c r="G603" s="43"/>
      <c r="H603" s="45"/>
      <c r="I603" s="38"/>
      <c r="J603" s="38">
        <f t="shared" ref="J603:J604" si="13">1*1000</f>
        <v>1000</v>
      </c>
      <c r="K603" s="46">
        <v>0.005648148148148148</v>
      </c>
      <c r="L603" s="47" t="s">
        <v>2092</v>
      </c>
      <c r="M603" s="48"/>
      <c r="N603" s="48"/>
      <c r="O603" s="48">
        <f t="shared" si="1"/>
        <v>0</v>
      </c>
      <c r="P603" s="38"/>
      <c r="Q603" s="12" t="str">
        <f t="shared" si="2"/>
        <v/>
      </c>
      <c r="R603" s="42"/>
      <c r="S603" s="42"/>
      <c r="T603" s="42"/>
      <c r="U603" s="51"/>
      <c r="V603" s="52"/>
      <c r="W603" s="55"/>
      <c r="X603" s="57"/>
      <c r="Y603" s="106"/>
      <c r="Z603" s="106"/>
      <c r="AA603" s="106"/>
      <c r="AB603" s="106"/>
    </row>
    <row r="604">
      <c r="A604" s="38">
        <v>603.0</v>
      </c>
      <c r="B604" s="42"/>
      <c r="C604" s="51"/>
      <c r="D604" s="38"/>
      <c r="E604" s="38" t="s">
        <v>2118</v>
      </c>
      <c r="F604" s="41" t="s">
        <v>2119</v>
      </c>
      <c r="G604" s="43"/>
      <c r="H604" s="45"/>
      <c r="I604" s="38"/>
      <c r="J604" s="38">
        <f t="shared" si="13"/>
        <v>1000</v>
      </c>
      <c r="K604" s="46">
        <v>0.001979166666666667</v>
      </c>
      <c r="L604" s="47" t="s">
        <v>2092</v>
      </c>
      <c r="M604" s="48"/>
      <c r="N604" s="48"/>
      <c r="O604" s="48">
        <f t="shared" si="1"/>
        <v>0</v>
      </c>
      <c r="P604" s="38"/>
      <c r="Q604" s="12" t="str">
        <f t="shared" si="2"/>
        <v/>
      </c>
      <c r="R604" s="42"/>
      <c r="S604" s="42"/>
      <c r="T604" s="42"/>
      <c r="U604" s="51"/>
      <c r="V604" s="52"/>
      <c r="W604" s="55"/>
      <c r="X604" s="57"/>
      <c r="Y604" s="106"/>
      <c r="Z604" s="106"/>
      <c r="AA604" s="106"/>
      <c r="AB604" s="106"/>
    </row>
    <row r="605">
      <c r="A605" s="38">
        <v>604.0</v>
      </c>
      <c r="B605" s="42"/>
      <c r="C605" s="51"/>
      <c r="D605" s="38"/>
      <c r="E605" s="38" t="s">
        <v>2120</v>
      </c>
      <c r="F605" s="41" t="s">
        <v>2121</v>
      </c>
      <c r="G605" s="43"/>
      <c r="H605" s="45"/>
      <c r="I605" s="38"/>
      <c r="J605" s="38">
        <f>1.7*1000</f>
        <v>1700</v>
      </c>
      <c r="K605" s="46">
        <v>0.003935185185185186</v>
      </c>
      <c r="L605" s="47" t="s">
        <v>2092</v>
      </c>
      <c r="M605" s="48"/>
      <c r="N605" s="48"/>
      <c r="O605" s="48">
        <f t="shared" si="1"/>
        <v>0</v>
      </c>
      <c r="P605" s="38"/>
      <c r="Q605" s="12" t="str">
        <f t="shared" si="2"/>
        <v/>
      </c>
      <c r="R605" s="42"/>
      <c r="S605" s="42"/>
      <c r="T605" s="42"/>
      <c r="U605" s="51"/>
      <c r="V605" s="52"/>
      <c r="W605" s="55"/>
      <c r="X605" s="57"/>
      <c r="Y605" s="106"/>
      <c r="Z605" s="106"/>
      <c r="AA605" s="106"/>
      <c r="AB605" s="106"/>
    </row>
    <row r="606">
      <c r="A606" s="38">
        <v>605.0</v>
      </c>
      <c r="B606" s="42"/>
      <c r="C606" s="51"/>
      <c r="D606" s="38"/>
      <c r="E606" s="38" t="s">
        <v>2122</v>
      </c>
      <c r="F606" s="41" t="s">
        <v>2123</v>
      </c>
      <c r="G606" s="43"/>
      <c r="H606" s="45"/>
      <c r="I606" s="38"/>
      <c r="J606" s="38">
        <f>429</f>
        <v>429</v>
      </c>
      <c r="K606" s="46">
        <v>0.001597222222222222</v>
      </c>
      <c r="L606" s="47" t="s">
        <v>2092</v>
      </c>
      <c r="M606" s="48"/>
      <c r="N606" s="48"/>
      <c r="O606" s="48">
        <f t="shared" si="1"/>
        <v>0</v>
      </c>
      <c r="P606" s="38"/>
      <c r="Q606" s="12" t="str">
        <f t="shared" si="2"/>
        <v/>
      </c>
      <c r="R606" s="42"/>
      <c r="S606" s="42"/>
      <c r="T606" s="42"/>
      <c r="U606" s="51"/>
      <c r="V606" s="52"/>
      <c r="W606" s="55"/>
      <c r="X606" s="57"/>
      <c r="Y606" s="106"/>
      <c r="Z606" s="106"/>
      <c r="AA606" s="106"/>
      <c r="AB606" s="106"/>
    </row>
    <row r="607">
      <c r="A607" s="38">
        <v>606.0</v>
      </c>
      <c r="B607" s="42"/>
      <c r="C607" s="51"/>
      <c r="D607" s="38"/>
      <c r="E607" s="38" t="s">
        <v>2124</v>
      </c>
      <c r="F607" s="41" t="s">
        <v>2125</v>
      </c>
      <c r="G607" s="43"/>
      <c r="H607" s="45"/>
      <c r="I607" s="38"/>
      <c r="J607" s="38">
        <f>2.1*1000</f>
        <v>2100</v>
      </c>
      <c r="K607" s="46">
        <v>0.001979166666666667</v>
      </c>
      <c r="L607" s="47" t="s">
        <v>2092</v>
      </c>
      <c r="M607" s="48"/>
      <c r="N607" s="48"/>
      <c r="O607" s="48">
        <f t="shared" si="1"/>
        <v>0</v>
      </c>
      <c r="P607" s="38"/>
      <c r="Q607" s="12" t="str">
        <f t="shared" si="2"/>
        <v/>
      </c>
      <c r="R607" s="42"/>
      <c r="S607" s="42"/>
      <c r="T607" s="42"/>
      <c r="U607" s="51"/>
      <c r="V607" s="52"/>
      <c r="W607" s="55"/>
      <c r="X607" s="57"/>
      <c r="Y607" s="106"/>
      <c r="Z607" s="106"/>
      <c r="AA607" s="106"/>
      <c r="AB607" s="106"/>
    </row>
    <row r="608">
      <c r="A608" s="38">
        <v>607.0</v>
      </c>
      <c r="B608" s="42"/>
      <c r="C608" s="51"/>
      <c r="D608" s="38"/>
      <c r="E608" s="38" t="s">
        <v>2126</v>
      </c>
      <c r="F608" s="41" t="s">
        <v>2127</v>
      </c>
      <c r="G608" s="43"/>
      <c r="H608" s="45"/>
      <c r="I608" s="38"/>
      <c r="J608" s="38">
        <f>468</f>
        <v>468</v>
      </c>
      <c r="K608" s="46">
        <v>8.796296296296296E-4</v>
      </c>
      <c r="L608" s="47" t="s">
        <v>2092</v>
      </c>
      <c r="M608" s="48"/>
      <c r="N608" s="48"/>
      <c r="O608" s="48">
        <f t="shared" si="1"/>
        <v>0</v>
      </c>
      <c r="P608" s="38"/>
      <c r="Q608" s="12" t="str">
        <f t="shared" si="2"/>
        <v/>
      </c>
      <c r="R608" s="42"/>
      <c r="S608" s="42"/>
      <c r="T608" s="42"/>
      <c r="U608" s="51"/>
      <c r="V608" s="52"/>
      <c r="W608" s="55"/>
      <c r="X608" s="57"/>
      <c r="Y608" s="106"/>
      <c r="Z608" s="106"/>
      <c r="AA608" s="106"/>
      <c r="AB608" s="106"/>
    </row>
    <row r="609">
      <c r="A609" s="38">
        <v>608.0</v>
      </c>
      <c r="B609" s="42"/>
      <c r="C609" s="51"/>
      <c r="D609" s="38"/>
      <c r="E609" s="38" t="s">
        <v>2128</v>
      </c>
      <c r="F609" s="41" t="s">
        <v>2129</v>
      </c>
      <c r="G609" s="43"/>
      <c r="H609" s="45"/>
      <c r="I609" s="38"/>
      <c r="J609" s="38">
        <f>833</f>
        <v>833</v>
      </c>
      <c r="K609" s="46">
        <v>0.001990740740740741</v>
      </c>
      <c r="L609" s="47" t="s">
        <v>2092</v>
      </c>
      <c r="M609" s="48"/>
      <c r="N609" s="48"/>
      <c r="O609" s="48">
        <f t="shared" si="1"/>
        <v>0</v>
      </c>
      <c r="P609" s="38"/>
      <c r="Q609" s="12" t="str">
        <f t="shared" si="2"/>
        <v/>
      </c>
      <c r="R609" s="42"/>
      <c r="S609" s="42"/>
      <c r="T609" s="42"/>
      <c r="U609" s="51"/>
      <c r="V609" s="52"/>
      <c r="W609" s="55"/>
      <c r="X609" s="57"/>
      <c r="Y609" s="106"/>
      <c r="Z609" s="106"/>
      <c r="AA609" s="106"/>
      <c r="AB609" s="106"/>
    </row>
    <row r="610">
      <c r="A610" s="38">
        <v>609.0</v>
      </c>
      <c r="B610" s="42"/>
      <c r="C610" s="51"/>
      <c r="D610" s="38"/>
      <c r="E610" s="38" t="s">
        <v>2130</v>
      </c>
      <c r="F610" s="41" t="s">
        <v>2131</v>
      </c>
      <c r="G610" s="43"/>
      <c r="H610" s="45"/>
      <c r="I610" s="38"/>
      <c r="J610" s="38">
        <f>32*1000</f>
        <v>32000</v>
      </c>
      <c r="K610" s="46">
        <v>0.03890046296296296</v>
      </c>
      <c r="L610" s="47" t="s">
        <v>2092</v>
      </c>
      <c r="M610" s="48"/>
      <c r="N610" s="48"/>
      <c r="O610" s="48">
        <f t="shared" si="1"/>
        <v>0</v>
      </c>
      <c r="P610" s="38"/>
      <c r="Q610" s="12" t="str">
        <f t="shared" si="2"/>
        <v/>
      </c>
      <c r="R610" s="42"/>
      <c r="S610" s="42"/>
      <c r="T610" s="42"/>
      <c r="U610" s="51"/>
      <c r="V610" s="52"/>
      <c r="W610" s="55"/>
      <c r="X610" s="57"/>
      <c r="Y610" s="106"/>
      <c r="Z610" s="106"/>
      <c r="AA610" s="106"/>
      <c r="AB610" s="106"/>
    </row>
    <row r="611">
      <c r="A611" s="38">
        <v>610.0</v>
      </c>
      <c r="B611" s="42"/>
      <c r="C611" s="51"/>
      <c r="D611" s="38"/>
      <c r="E611" s="38" t="s">
        <v>2132</v>
      </c>
      <c r="F611" s="41" t="s">
        <v>2133</v>
      </c>
      <c r="G611" s="43"/>
      <c r="H611" s="45"/>
      <c r="I611" s="38"/>
      <c r="J611" s="38">
        <f>14*1000</f>
        <v>14000</v>
      </c>
      <c r="K611" s="46">
        <v>0.011423611111111112</v>
      </c>
      <c r="L611" s="47" t="s">
        <v>2092</v>
      </c>
      <c r="M611" s="48"/>
      <c r="N611" s="48"/>
      <c r="O611" s="48">
        <f t="shared" si="1"/>
        <v>0</v>
      </c>
      <c r="P611" s="38"/>
      <c r="Q611" s="12" t="str">
        <f t="shared" si="2"/>
        <v/>
      </c>
      <c r="R611" s="42"/>
      <c r="S611" s="42"/>
      <c r="T611" s="42"/>
      <c r="U611" s="51"/>
      <c r="V611" s="52"/>
      <c r="W611" s="55"/>
      <c r="X611" s="57"/>
      <c r="Y611" s="106"/>
      <c r="Z611" s="106"/>
      <c r="AA611" s="106"/>
      <c r="AB611" s="106"/>
    </row>
    <row r="612">
      <c r="A612" s="38">
        <v>611.0</v>
      </c>
      <c r="B612" s="42"/>
      <c r="C612" s="51"/>
      <c r="D612" s="38"/>
      <c r="E612" s="38" t="s">
        <v>2134</v>
      </c>
      <c r="F612" s="41" t="s">
        <v>2135</v>
      </c>
      <c r="G612" s="43"/>
      <c r="H612" s="45"/>
      <c r="I612" s="38"/>
      <c r="J612" s="38">
        <f>617</f>
        <v>617</v>
      </c>
      <c r="K612" s="46">
        <v>0.005648148148148148</v>
      </c>
      <c r="L612" s="47" t="s">
        <v>2092</v>
      </c>
      <c r="M612" s="48"/>
      <c r="N612" s="48"/>
      <c r="O612" s="48">
        <f t="shared" si="1"/>
        <v>0</v>
      </c>
      <c r="P612" s="38"/>
      <c r="Q612" s="12" t="str">
        <f t="shared" si="2"/>
        <v/>
      </c>
      <c r="R612" s="42"/>
      <c r="S612" s="42"/>
      <c r="T612" s="42"/>
      <c r="U612" s="51"/>
      <c r="V612" s="52"/>
      <c r="W612" s="55"/>
      <c r="X612" s="57"/>
      <c r="Y612" s="106"/>
      <c r="Z612" s="106"/>
      <c r="AA612" s="106"/>
      <c r="AB612" s="106"/>
    </row>
    <row r="613">
      <c r="A613" s="38">
        <v>612.0</v>
      </c>
      <c r="B613" s="42"/>
      <c r="C613" s="51"/>
      <c r="D613" s="38"/>
      <c r="E613" s="38" t="s">
        <v>2136</v>
      </c>
      <c r="F613" s="41" t="s">
        <v>2137</v>
      </c>
      <c r="G613" s="43"/>
      <c r="H613" s="45"/>
      <c r="I613" s="38"/>
      <c r="J613" s="38">
        <f>8.2*1000</f>
        <v>8200</v>
      </c>
      <c r="K613" s="46">
        <v>0.04362268518518519</v>
      </c>
      <c r="L613" s="47" t="s">
        <v>2092</v>
      </c>
      <c r="M613" s="48"/>
      <c r="N613" s="48"/>
      <c r="O613" s="48">
        <f t="shared" si="1"/>
        <v>0</v>
      </c>
      <c r="P613" s="38"/>
      <c r="Q613" s="12" t="str">
        <f t="shared" si="2"/>
        <v/>
      </c>
      <c r="R613" s="42"/>
      <c r="S613" s="42"/>
      <c r="T613" s="42"/>
      <c r="U613" s="51"/>
      <c r="V613" s="52"/>
      <c r="W613" s="55"/>
      <c r="X613" s="57"/>
      <c r="Y613" s="106"/>
      <c r="Z613" s="106"/>
      <c r="AA613" s="106"/>
      <c r="AB613" s="106"/>
    </row>
    <row r="614">
      <c r="A614" s="38">
        <v>613.0</v>
      </c>
      <c r="B614" s="42"/>
      <c r="C614" s="51"/>
      <c r="D614" s="38"/>
      <c r="E614" s="38" t="s">
        <v>2138</v>
      </c>
      <c r="F614" s="41" t="s">
        <v>2139</v>
      </c>
      <c r="G614" s="43"/>
      <c r="H614" s="45"/>
      <c r="I614" s="38"/>
      <c r="J614" s="38">
        <f>878</f>
        <v>878</v>
      </c>
      <c r="K614" s="46">
        <v>0.0032870370370370367</v>
      </c>
      <c r="L614" s="47" t="s">
        <v>2092</v>
      </c>
      <c r="M614" s="48"/>
      <c r="N614" s="48"/>
      <c r="O614" s="48">
        <f t="shared" si="1"/>
        <v>0</v>
      </c>
      <c r="P614" s="38"/>
      <c r="Q614" s="12" t="str">
        <f t="shared" si="2"/>
        <v/>
      </c>
      <c r="R614" s="42"/>
      <c r="S614" s="42"/>
      <c r="T614" s="42"/>
      <c r="U614" s="51"/>
      <c r="V614" s="52"/>
      <c r="W614" s="55"/>
      <c r="X614" s="57"/>
      <c r="Y614" s="106"/>
      <c r="Z614" s="106"/>
      <c r="AA614" s="106"/>
      <c r="AB614" s="106"/>
    </row>
    <row r="615">
      <c r="A615" s="38">
        <v>614.0</v>
      </c>
      <c r="B615" s="42"/>
      <c r="C615" s="51"/>
      <c r="D615" s="38"/>
      <c r="E615" s="38" t="s">
        <v>2140</v>
      </c>
      <c r="F615" s="41" t="s">
        <v>2141</v>
      </c>
      <c r="G615" s="43"/>
      <c r="H615" s="45"/>
      <c r="I615" s="38"/>
      <c r="J615" s="38">
        <f>2.7*1000</f>
        <v>2700</v>
      </c>
      <c r="K615" s="46">
        <v>0.003483796296296296</v>
      </c>
      <c r="L615" s="47" t="s">
        <v>2092</v>
      </c>
      <c r="M615" s="48"/>
      <c r="N615" s="48"/>
      <c r="O615" s="48">
        <f t="shared" si="1"/>
        <v>0</v>
      </c>
      <c r="P615" s="38"/>
      <c r="Q615" s="12" t="str">
        <f t="shared" si="2"/>
        <v/>
      </c>
      <c r="R615" s="42"/>
      <c r="S615" s="42"/>
      <c r="T615" s="42"/>
      <c r="U615" s="51"/>
      <c r="V615" s="52"/>
      <c r="W615" s="55"/>
      <c r="X615" s="57"/>
      <c r="Y615" s="106"/>
      <c r="Z615" s="106"/>
      <c r="AA615" s="106"/>
      <c r="AB615" s="106"/>
    </row>
    <row r="616">
      <c r="A616" s="38">
        <v>615.0</v>
      </c>
      <c r="B616" s="42"/>
      <c r="C616" s="51"/>
      <c r="D616" s="38"/>
      <c r="E616" s="38" t="s">
        <v>2142</v>
      </c>
      <c r="F616" s="41" t="s">
        <v>2143</v>
      </c>
      <c r="G616" s="43"/>
      <c r="H616" s="45"/>
      <c r="I616" s="38"/>
      <c r="J616" s="38">
        <f>4.3*1000</f>
        <v>4300</v>
      </c>
      <c r="K616" s="46">
        <v>0.05004629629629629</v>
      </c>
      <c r="L616" s="47" t="s">
        <v>2092</v>
      </c>
      <c r="M616" s="48"/>
      <c r="N616" s="48"/>
      <c r="O616" s="48">
        <f t="shared" si="1"/>
        <v>0</v>
      </c>
      <c r="P616" s="38"/>
      <c r="Q616" s="12" t="str">
        <f t="shared" si="2"/>
        <v/>
      </c>
      <c r="R616" s="42"/>
      <c r="S616" s="42"/>
      <c r="T616" s="42"/>
      <c r="U616" s="51"/>
      <c r="V616" s="52"/>
      <c r="W616" s="55"/>
      <c r="X616" s="57"/>
      <c r="Y616" s="106"/>
      <c r="Z616" s="106"/>
      <c r="AA616" s="106"/>
      <c r="AB616" s="106"/>
    </row>
    <row r="617">
      <c r="A617" s="38">
        <v>616.0</v>
      </c>
      <c r="B617" s="42"/>
      <c r="C617" s="51"/>
      <c r="D617" s="38"/>
      <c r="E617" s="38" t="s">
        <v>2144</v>
      </c>
      <c r="F617" s="41" t="s">
        <v>2145</v>
      </c>
      <c r="G617" s="43"/>
      <c r="H617" s="45"/>
      <c r="I617" s="38"/>
      <c r="J617" s="38">
        <f>8.9*1000</f>
        <v>8900</v>
      </c>
      <c r="K617" s="46">
        <v>0.03881944444444444</v>
      </c>
      <c r="L617" s="47" t="s">
        <v>1260</v>
      </c>
      <c r="M617" s="48"/>
      <c r="N617" s="48"/>
      <c r="O617" s="48">
        <f t="shared" si="1"/>
        <v>0</v>
      </c>
      <c r="P617" s="38"/>
      <c r="Q617" s="12" t="str">
        <f t="shared" si="2"/>
        <v/>
      </c>
      <c r="R617" s="42"/>
      <c r="S617" s="42"/>
      <c r="T617" s="42"/>
      <c r="U617" s="51"/>
      <c r="V617" s="52"/>
      <c r="W617" s="55"/>
      <c r="X617" s="57"/>
      <c r="Y617" s="106"/>
      <c r="Z617" s="106"/>
      <c r="AA617" s="106"/>
      <c r="AB617" s="106"/>
    </row>
    <row r="618">
      <c r="A618" s="38">
        <v>617.0</v>
      </c>
      <c r="B618" s="42"/>
      <c r="C618" s="51"/>
      <c r="D618" s="38"/>
      <c r="E618" s="38" t="s">
        <v>2146</v>
      </c>
      <c r="F618" s="41" t="s">
        <v>2147</v>
      </c>
      <c r="G618" s="43"/>
      <c r="H618" s="45"/>
      <c r="I618" s="38"/>
      <c r="J618" s="38">
        <f>72*1000</f>
        <v>72000</v>
      </c>
      <c r="K618" s="46">
        <v>0.11864583333333334</v>
      </c>
      <c r="L618" s="47" t="s">
        <v>1260</v>
      </c>
      <c r="M618" s="48"/>
      <c r="N618" s="48"/>
      <c r="O618" s="48">
        <f t="shared" si="1"/>
        <v>0</v>
      </c>
      <c r="P618" s="38"/>
      <c r="Q618" s="12" t="str">
        <f t="shared" si="2"/>
        <v/>
      </c>
      <c r="R618" s="42"/>
      <c r="S618" s="42"/>
      <c r="T618" s="42"/>
      <c r="U618" s="51"/>
      <c r="V618" s="52"/>
      <c r="W618" s="55"/>
      <c r="X618" s="57"/>
      <c r="Y618" s="106"/>
      <c r="Z618" s="106"/>
      <c r="AA618" s="106"/>
      <c r="AB618" s="106"/>
    </row>
    <row r="619">
      <c r="A619" s="38">
        <v>618.0</v>
      </c>
      <c r="B619" s="42"/>
      <c r="C619" s="51"/>
      <c r="D619" s="38"/>
      <c r="E619" s="38" t="s">
        <v>2148</v>
      </c>
      <c r="F619" s="41" t="s">
        <v>2149</v>
      </c>
      <c r="G619" s="43"/>
      <c r="H619" s="45"/>
      <c r="I619" s="38"/>
      <c r="J619" s="38">
        <f>12*1000</f>
        <v>12000</v>
      </c>
      <c r="K619" s="46">
        <v>0.03270833333333333</v>
      </c>
      <c r="L619" s="47" t="s">
        <v>1260</v>
      </c>
      <c r="M619" s="48"/>
      <c r="N619" s="48"/>
      <c r="O619" s="48">
        <f t="shared" si="1"/>
        <v>0</v>
      </c>
      <c r="P619" s="38"/>
      <c r="Q619" s="12" t="str">
        <f t="shared" si="2"/>
        <v/>
      </c>
      <c r="R619" s="42"/>
      <c r="S619" s="42"/>
      <c r="T619" s="42"/>
      <c r="U619" s="51"/>
      <c r="V619" s="52"/>
      <c r="W619" s="55"/>
      <c r="X619" s="57"/>
      <c r="Y619" s="106"/>
      <c r="Z619" s="106"/>
      <c r="AA619" s="106"/>
      <c r="AB619" s="106"/>
    </row>
    <row r="620">
      <c r="A620" s="38">
        <v>619.0</v>
      </c>
      <c r="B620" s="42"/>
      <c r="C620" s="51"/>
      <c r="D620" s="38"/>
      <c r="E620" s="38" t="s">
        <v>2150</v>
      </c>
      <c r="F620" s="41" t="s">
        <v>2151</v>
      </c>
      <c r="G620" s="43"/>
      <c r="H620" s="45"/>
      <c r="I620" s="38"/>
      <c r="J620" s="38">
        <f>657</f>
        <v>657</v>
      </c>
      <c r="K620" s="46">
        <v>0.0037847222222222223</v>
      </c>
      <c r="L620" s="47" t="s">
        <v>1260</v>
      </c>
      <c r="M620" s="48"/>
      <c r="N620" s="48"/>
      <c r="O620" s="48">
        <f t="shared" si="1"/>
        <v>0</v>
      </c>
      <c r="P620" s="38"/>
      <c r="Q620" s="12" t="str">
        <f t="shared" si="2"/>
        <v/>
      </c>
      <c r="R620" s="42"/>
      <c r="S620" s="42"/>
      <c r="T620" s="42"/>
      <c r="U620" s="51"/>
      <c r="V620" s="52"/>
      <c r="W620" s="55"/>
      <c r="X620" s="57"/>
      <c r="Y620" s="106"/>
      <c r="Z620" s="106"/>
      <c r="AA620" s="106"/>
      <c r="AB620" s="106"/>
    </row>
    <row r="621">
      <c r="A621" s="38">
        <v>620.0</v>
      </c>
      <c r="B621" s="42"/>
      <c r="C621" s="51"/>
      <c r="D621" s="38"/>
      <c r="E621" s="38" t="s">
        <v>2152</v>
      </c>
      <c r="F621" s="41" t="s">
        <v>2153</v>
      </c>
      <c r="G621" s="43"/>
      <c r="H621" s="45"/>
      <c r="I621" s="38"/>
      <c r="J621" s="38">
        <f>624</f>
        <v>624</v>
      </c>
      <c r="K621" s="46">
        <v>6.25E-4</v>
      </c>
      <c r="L621" s="47" t="s">
        <v>1260</v>
      </c>
      <c r="M621" s="48"/>
      <c r="N621" s="48"/>
      <c r="O621" s="48">
        <f t="shared" si="1"/>
        <v>0</v>
      </c>
      <c r="P621" s="38"/>
      <c r="Q621" s="12" t="str">
        <f t="shared" si="2"/>
        <v/>
      </c>
      <c r="R621" s="42"/>
      <c r="S621" s="42"/>
      <c r="T621" s="42"/>
      <c r="U621" s="51"/>
      <c r="V621" s="52"/>
      <c r="W621" s="55"/>
      <c r="X621" s="57"/>
      <c r="Y621" s="106"/>
      <c r="Z621" s="106"/>
      <c r="AA621" s="106"/>
      <c r="AB621" s="106"/>
    </row>
    <row r="622">
      <c r="A622" s="38">
        <v>621.0</v>
      </c>
      <c r="B622" s="42"/>
      <c r="C622" s="51"/>
      <c r="D622" s="38"/>
      <c r="E622" s="38" t="s">
        <v>2154</v>
      </c>
      <c r="F622" s="41" t="s">
        <v>2155</v>
      </c>
      <c r="G622" s="43"/>
      <c r="H622" s="45"/>
      <c r="I622" s="38"/>
      <c r="J622" s="38">
        <f>461</f>
        <v>461</v>
      </c>
      <c r="K622" s="46">
        <v>0.0013078703703703705</v>
      </c>
      <c r="L622" s="47" t="s">
        <v>1260</v>
      </c>
      <c r="M622" s="48"/>
      <c r="N622" s="48"/>
      <c r="O622" s="48">
        <f t="shared" si="1"/>
        <v>0</v>
      </c>
      <c r="P622" s="38"/>
      <c r="Q622" s="12" t="str">
        <f t="shared" si="2"/>
        <v/>
      </c>
      <c r="R622" s="42"/>
      <c r="S622" s="42"/>
      <c r="T622" s="42"/>
      <c r="U622" s="51"/>
      <c r="V622" s="52"/>
      <c r="W622" s="55"/>
      <c r="X622" s="57"/>
      <c r="Y622" s="106"/>
      <c r="Z622" s="106"/>
      <c r="AA622" s="106"/>
      <c r="AB622" s="106"/>
    </row>
    <row r="623">
      <c r="A623" s="38">
        <v>622.0</v>
      </c>
      <c r="B623" s="42"/>
      <c r="C623" s="51"/>
      <c r="D623" s="38"/>
      <c r="E623" s="38" t="s">
        <v>2156</v>
      </c>
      <c r="F623" s="41" t="s">
        <v>2157</v>
      </c>
      <c r="G623" s="43"/>
      <c r="H623" s="45"/>
      <c r="I623" s="38"/>
      <c r="J623" s="38">
        <f>369</f>
        <v>369</v>
      </c>
      <c r="K623" s="46">
        <v>0.002546296296296296</v>
      </c>
      <c r="L623" s="47" t="s">
        <v>1260</v>
      </c>
      <c r="M623" s="48"/>
      <c r="N623" s="48"/>
      <c r="O623" s="48">
        <f t="shared" si="1"/>
        <v>0</v>
      </c>
      <c r="P623" s="38"/>
      <c r="Q623" s="12" t="str">
        <f t="shared" si="2"/>
        <v/>
      </c>
      <c r="R623" s="42"/>
      <c r="S623" s="42"/>
      <c r="T623" s="42"/>
      <c r="U623" s="51"/>
      <c r="V623" s="52"/>
      <c r="W623" s="55"/>
      <c r="X623" s="57"/>
      <c r="Y623" s="106"/>
      <c r="Z623" s="106"/>
      <c r="AA623" s="106"/>
      <c r="AB623" s="106"/>
    </row>
    <row r="624">
      <c r="A624" s="38">
        <v>623.0</v>
      </c>
      <c r="B624" s="42"/>
      <c r="C624" s="51"/>
      <c r="D624" s="38"/>
      <c r="E624" s="38" t="s">
        <v>2158</v>
      </c>
      <c r="F624" s="41" t="s">
        <v>2159</v>
      </c>
      <c r="G624" s="43"/>
      <c r="H624" s="45"/>
      <c r="I624" s="38"/>
      <c r="J624" s="38">
        <f>554</f>
        <v>554</v>
      </c>
      <c r="K624" s="46">
        <v>0.0053125</v>
      </c>
      <c r="L624" s="47" t="s">
        <v>1260</v>
      </c>
      <c r="M624" s="48"/>
      <c r="N624" s="48"/>
      <c r="O624" s="48">
        <f t="shared" si="1"/>
        <v>0</v>
      </c>
      <c r="P624" s="38"/>
      <c r="Q624" s="12" t="str">
        <f t="shared" si="2"/>
        <v/>
      </c>
      <c r="R624" s="42"/>
      <c r="S624" s="42"/>
      <c r="T624" s="42"/>
      <c r="U624" s="51"/>
      <c r="V624" s="52"/>
      <c r="W624" s="55"/>
      <c r="X624" s="57"/>
      <c r="Y624" s="106"/>
      <c r="Z624" s="106"/>
      <c r="AA624" s="106"/>
      <c r="AB624" s="106"/>
    </row>
    <row r="625">
      <c r="A625" s="38">
        <v>624.0</v>
      </c>
      <c r="B625" s="63" t="s">
        <v>619</v>
      </c>
      <c r="C625" s="51"/>
      <c r="D625" s="39" t="s">
        <v>145</v>
      </c>
      <c r="E625" s="38" t="s">
        <v>1256</v>
      </c>
      <c r="F625" s="41" t="s">
        <v>1257</v>
      </c>
      <c r="G625" s="43"/>
      <c r="H625" s="45"/>
      <c r="I625" s="38"/>
      <c r="J625" s="38">
        <f>8.5*1000</f>
        <v>8500</v>
      </c>
      <c r="K625" s="46">
        <v>0.05704861111111111</v>
      </c>
      <c r="L625" s="47" t="s">
        <v>1260</v>
      </c>
      <c r="M625" s="48"/>
      <c r="N625" s="48"/>
      <c r="O625" s="48">
        <f t="shared" si="1"/>
        <v>0</v>
      </c>
      <c r="P625" s="38"/>
      <c r="Q625" s="12" t="str">
        <f t="shared" si="2"/>
        <v/>
      </c>
      <c r="R625" s="42"/>
      <c r="S625" s="42"/>
      <c r="T625" s="42"/>
      <c r="U625" s="51"/>
      <c r="V625" s="52"/>
      <c r="W625" s="55"/>
      <c r="X625" s="57"/>
      <c r="Y625" s="106"/>
      <c r="Z625" s="106"/>
      <c r="AA625" s="106"/>
      <c r="AB625" s="106"/>
    </row>
    <row r="626">
      <c r="A626" s="38">
        <v>625.0</v>
      </c>
      <c r="B626" s="63"/>
      <c r="C626" s="51"/>
      <c r="D626" s="38"/>
      <c r="E626" s="38" t="s">
        <v>2160</v>
      </c>
      <c r="F626" s="41" t="s">
        <v>2161</v>
      </c>
      <c r="G626" s="43"/>
      <c r="H626" s="45"/>
      <c r="I626" s="38"/>
      <c r="J626" s="38">
        <f>686</f>
        <v>686</v>
      </c>
      <c r="K626" s="46">
        <v>8.333333333333334E-4</v>
      </c>
      <c r="L626" s="47" t="s">
        <v>1260</v>
      </c>
      <c r="M626" s="48"/>
      <c r="N626" s="48"/>
      <c r="O626" s="48">
        <f t="shared" si="1"/>
        <v>0</v>
      </c>
      <c r="P626" s="38"/>
      <c r="Q626" s="12" t="str">
        <f t="shared" si="2"/>
        <v/>
      </c>
      <c r="R626" s="42"/>
      <c r="S626" s="42"/>
      <c r="T626" s="42"/>
      <c r="U626" s="51"/>
      <c r="V626" s="52"/>
      <c r="W626" s="55"/>
      <c r="X626" s="57"/>
      <c r="Y626" s="106"/>
      <c r="Z626" s="106"/>
      <c r="AA626" s="106"/>
      <c r="AB626" s="106"/>
    </row>
    <row r="627">
      <c r="A627" s="38">
        <v>626.0</v>
      </c>
      <c r="B627" s="42"/>
      <c r="C627" s="51"/>
      <c r="D627" s="38"/>
      <c r="E627" s="38" t="s">
        <v>2162</v>
      </c>
      <c r="F627" s="41" t="s">
        <v>2163</v>
      </c>
      <c r="G627" s="43"/>
      <c r="H627" s="45"/>
      <c r="I627" s="38"/>
      <c r="J627" s="38">
        <f>7.1*1000</f>
        <v>7100</v>
      </c>
      <c r="K627" s="46">
        <v>0.04221064814814815</v>
      </c>
      <c r="L627" s="47" t="s">
        <v>1260</v>
      </c>
      <c r="M627" s="48"/>
      <c r="N627" s="48"/>
      <c r="O627" s="48">
        <f t="shared" si="1"/>
        <v>0</v>
      </c>
      <c r="P627" s="38"/>
      <c r="Q627" s="12" t="str">
        <f t="shared" si="2"/>
        <v/>
      </c>
      <c r="R627" s="42"/>
      <c r="S627" s="42"/>
      <c r="T627" s="42"/>
      <c r="U627" s="51"/>
      <c r="V627" s="52"/>
      <c r="W627" s="55"/>
      <c r="X627" s="57"/>
      <c r="Y627" s="106"/>
      <c r="Z627" s="106"/>
      <c r="AA627" s="106"/>
      <c r="AB627" s="106"/>
    </row>
    <row r="628">
      <c r="A628" s="38">
        <v>627.0</v>
      </c>
      <c r="B628" s="63"/>
      <c r="C628" s="51"/>
      <c r="D628" s="38"/>
      <c r="E628" s="38" t="s">
        <v>2164</v>
      </c>
      <c r="F628" s="41" t="s">
        <v>2165</v>
      </c>
      <c r="G628" s="43"/>
      <c r="H628" s="45"/>
      <c r="I628" s="38"/>
      <c r="J628" s="38">
        <f>265</f>
        <v>265</v>
      </c>
      <c r="K628" s="46">
        <v>0.0012847222222222223</v>
      </c>
      <c r="L628" s="47" t="s">
        <v>1260</v>
      </c>
      <c r="M628" s="48"/>
      <c r="N628" s="48"/>
      <c r="O628" s="48">
        <f t="shared" si="1"/>
        <v>0</v>
      </c>
      <c r="P628" s="38"/>
      <c r="Q628" s="12" t="str">
        <f t="shared" si="2"/>
        <v/>
      </c>
      <c r="R628" s="42"/>
      <c r="S628" s="42"/>
      <c r="T628" s="42"/>
      <c r="U628" s="51"/>
      <c r="V628" s="52"/>
      <c r="W628" s="55"/>
      <c r="X628" s="57"/>
      <c r="Y628" s="106"/>
      <c r="Z628" s="106"/>
      <c r="AA628" s="106"/>
      <c r="AB628" s="106"/>
    </row>
    <row r="629">
      <c r="A629" s="38">
        <v>628.0</v>
      </c>
      <c r="B629" s="42"/>
      <c r="C629" s="51"/>
      <c r="D629" s="38"/>
      <c r="E629" s="38" t="s">
        <v>2166</v>
      </c>
      <c r="F629" s="41" t="s">
        <v>2167</v>
      </c>
      <c r="G629" s="43"/>
      <c r="H629" s="45"/>
      <c r="I629" s="38"/>
      <c r="J629" s="38">
        <f>476</f>
        <v>476</v>
      </c>
      <c r="K629" s="46">
        <v>0.0021064814814814813</v>
      </c>
      <c r="L629" s="47" t="s">
        <v>1260</v>
      </c>
      <c r="M629" s="48"/>
      <c r="N629" s="48"/>
      <c r="O629" s="48">
        <f t="shared" si="1"/>
        <v>0</v>
      </c>
      <c r="P629" s="38"/>
      <c r="Q629" s="12" t="str">
        <f t="shared" si="2"/>
        <v/>
      </c>
      <c r="R629" s="42"/>
      <c r="S629" s="42"/>
      <c r="T629" s="42"/>
      <c r="U629" s="51"/>
      <c r="V629" s="52"/>
      <c r="W629" s="55"/>
      <c r="X629" s="57"/>
      <c r="Y629" s="106"/>
      <c r="Z629" s="106"/>
      <c r="AA629" s="106"/>
      <c r="AB629" s="106"/>
    </row>
    <row r="630">
      <c r="A630" s="38">
        <v>629.0</v>
      </c>
      <c r="B630" s="42"/>
      <c r="C630" s="51"/>
      <c r="D630" s="38"/>
      <c r="E630" s="38" t="s">
        <v>2168</v>
      </c>
      <c r="F630" s="41" t="s">
        <v>2169</v>
      </c>
      <c r="G630" s="43"/>
      <c r="H630" s="45"/>
      <c r="I630" s="38"/>
      <c r="J630" s="38">
        <f>359</f>
        <v>359</v>
      </c>
      <c r="K630" s="46">
        <v>0.002511574074074074</v>
      </c>
      <c r="L630" s="47" t="s">
        <v>1260</v>
      </c>
      <c r="M630" s="48"/>
      <c r="N630" s="48"/>
      <c r="O630" s="48">
        <f t="shared" si="1"/>
        <v>0</v>
      </c>
      <c r="P630" s="38"/>
      <c r="Q630" s="12" t="str">
        <f t="shared" si="2"/>
        <v/>
      </c>
      <c r="R630" s="42"/>
      <c r="S630" s="42"/>
      <c r="T630" s="42"/>
      <c r="U630" s="51"/>
      <c r="V630" s="52"/>
      <c r="W630" s="55"/>
      <c r="X630" s="57"/>
      <c r="Y630" s="106"/>
      <c r="Z630" s="106"/>
      <c r="AA630" s="106"/>
      <c r="AB630" s="106"/>
    </row>
    <row r="631">
      <c r="A631" s="38">
        <v>630.0</v>
      </c>
      <c r="B631" s="42"/>
      <c r="C631" s="51"/>
      <c r="D631" s="38"/>
      <c r="E631" s="38" t="s">
        <v>2170</v>
      </c>
      <c r="F631" s="41" t="s">
        <v>2171</v>
      </c>
      <c r="G631" s="43"/>
      <c r="H631" s="45"/>
      <c r="I631" s="38"/>
      <c r="J631" s="38">
        <f>522</f>
        <v>522</v>
      </c>
      <c r="K631" s="46">
        <v>0.0018750000000000001</v>
      </c>
      <c r="L631" s="47" t="s">
        <v>1260</v>
      </c>
      <c r="M631" s="48"/>
      <c r="N631" s="48"/>
      <c r="O631" s="48">
        <f t="shared" si="1"/>
        <v>0</v>
      </c>
      <c r="P631" s="38"/>
      <c r="Q631" s="12" t="str">
        <f t="shared" si="2"/>
        <v/>
      </c>
      <c r="R631" s="42"/>
      <c r="S631" s="42"/>
      <c r="T631" s="42"/>
      <c r="U631" s="51"/>
      <c r="V631" s="52"/>
      <c r="W631" s="55"/>
      <c r="X631" s="57"/>
      <c r="Y631" s="106"/>
      <c r="Z631" s="106"/>
      <c r="AA631" s="106"/>
      <c r="AB631" s="106"/>
    </row>
    <row r="632">
      <c r="A632" s="38">
        <v>631.0</v>
      </c>
      <c r="B632" s="42"/>
      <c r="C632" s="51"/>
      <c r="D632" s="38"/>
      <c r="E632" s="38" t="s">
        <v>2172</v>
      </c>
      <c r="F632" s="41" t="s">
        <v>2173</v>
      </c>
      <c r="G632" s="43"/>
      <c r="H632" s="45"/>
      <c r="I632" s="38"/>
      <c r="J632" s="38">
        <f>403</f>
        <v>403</v>
      </c>
      <c r="K632" s="46">
        <v>0.0011805555555555556</v>
      </c>
      <c r="L632" s="47" t="s">
        <v>1260</v>
      </c>
      <c r="M632" s="48"/>
      <c r="N632" s="48"/>
      <c r="O632" s="48">
        <f t="shared" si="1"/>
        <v>0</v>
      </c>
      <c r="P632" s="38"/>
      <c r="Q632" s="12" t="str">
        <f t="shared" si="2"/>
        <v/>
      </c>
      <c r="R632" s="42"/>
      <c r="S632" s="42"/>
      <c r="T632" s="42"/>
      <c r="U632" s="51"/>
      <c r="V632" s="52"/>
      <c r="W632" s="55"/>
      <c r="X632" s="57"/>
      <c r="Y632" s="106"/>
      <c r="Z632" s="106"/>
      <c r="AA632" s="106"/>
      <c r="AB632" s="106"/>
    </row>
    <row r="633">
      <c r="A633" s="38">
        <v>632.0</v>
      </c>
      <c r="B633" s="42"/>
      <c r="C633" s="51"/>
      <c r="D633" s="38"/>
      <c r="E633" s="38" t="s">
        <v>2174</v>
      </c>
      <c r="F633" s="41" t="s">
        <v>2175</v>
      </c>
      <c r="G633" s="43"/>
      <c r="H633" s="45"/>
      <c r="I633" s="38"/>
      <c r="J633" s="38">
        <f>499</f>
        <v>499</v>
      </c>
      <c r="K633" s="46">
        <v>0.001400462962962963</v>
      </c>
      <c r="L633" s="47" t="s">
        <v>1260</v>
      </c>
      <c r="M633" s="48"/>
      <c r="N633" s="48"/>
      <c r="O633" s="48">
        <f t="shared" si="1"/>
        <v>0</v>
      </c>
      <c r="P633" s="38"/>
      <c r="Q633" s="12" t="str">
        <f t="shared" si="2"/>
        <v/>
      </c>
      <c r="R633" s="42"/>
      <c r="S633" s="42"/>
      <c r="T633" s="42"/>
      <c r="U633" s="51"/>
      <c r="V633" s="52"/>
      <c r="W633" s="55"/>
      <c r="X633" s="57"/>
      <c r="Y633" s="106"/>
      <c r="Z633" s="106"/>
      <c r="AA633" s="106"/>
      <c r="AB633" s="106"/>
    </row>
    <row r="634">
      <c r="A634" s="38">
        <v>633.0</v>
      </c>
      <c r="B634" s="42"/>
      <c r="C634" s="51"/>
      <c r="D634" s="38"/>
      <c r="E634" s="38" t="s">
        <v>2176</v>
      </c>
      <c r="F634" s="41" t="s">
        <v>2177</v>
      </c>
      <c r="G634" s="43"/>
      <c r="H634" s="45"/>
      <c r="I634" s="38"/>
      <c r="J634" s="38">
        <f>390</f>
        <v>390</v>
      </c>
      <c r="K634" s="46">
        <v>0.0016666666666666668</v>
      </c>
      <c r="L634" s="47" t="s">
        <v>1260</v>
      </c>
      <c r="M634" s="48"/>
      <c r="N634" s="48"/>
      <c r="O634" s="48">
        <f t="shared" si="1"/>
        <v>0</v>
      </c>
      <c r="P634" s="38"/>
      <c r="Q634" s="12" t="str">
        <f t="shared" si="2"/>
        <v/>
      </c>
      <c r="R634" s="42"/>
      <c r="S634" s="42"/>
      <c r="T634" s="42"/>
      <c r="U634" s="51"/>
      <c r="V634" s="52"/>
      <c r="W634" s="55"/>
      <c r="X634" s="57"/>
      <c r="Y634" s="106"/>
      <c r="Z634" s="106"/>
      <c r="AA634" s="106"/>
      <c r="AB634" s="106"/>
    </row>
    <row r="635">
      <c r="A635" s="38">
        <v>634.0</v>
      </c>
      <c r="B635" s="42"/>
      <c r="C635" s="51"/>
      <c r="D635" s="38"/>
      <c r="E635" s="38" t="s">
        <v>2178</v>
      </c>
      <c r="F635" s="41" t="s">
        <v>2179</v>
      </c>
      <c r="G635" s="43"/>
      <c r="H635" s="45"/>
      <c r="I635" s="38"/>
      <c r="J635" s="38">
        <f>275</f>
        <v>275</v>
      </c>
      <c r="K635" s="46">
        <v>0.0011458333333333333</v>
      </c>
      <c r="L635" s="47" t="s">
        <v>1260</v>
      </c>
      <c r="M635" s="48"/>
      <c r="N635" s="48"/>
      <c r="O635" s="48">
        <f t="shared" si="1"/>
        <v>0</v>
      </c>
      <c r="P635" s="38"/>
      <c r="Q635" s="12" t="str">
        <f t="shared" si="2"/>
        <v/>
      </c>
      <c r="R635" s="42"/>
      <c r="S635" s="42"/>
      <c r="T635" s="42"/>
      <c r="U635" s="51"/>
      <c r="V635" s="52"/>
      <c r="W635" s="55"/>
      <c r="X635" s="57"/>
      <c r="Y635" s="106"/>
      <c r="Z635" s="106"/>
      <c r="AA635" s="106"/>
      <c r="AB635" s="106"/>
    </row>
    <row r="636">
      <c r="A636" s="38">
        <v>635.0</v>
      </c>
      <c r="B636" s="42"/>
      <c r="C636" s="51"/>
      <c r="D636" s="38"/>
      <c r="E636" s="38" t="s">
        <v>2181</v>
      </c>
      <c r="F636" s="41" t="s">
        <v>2182</v>
      </c>
      <c r="G636" s="43"/>
      <c r="H636" s="45"/>
      <c r="I636" s="38"/>
      <c r="J636" s="38">
        <f>822</f>
        <v>822</v>
      </c>
      <c r="K636" s="46">
        <v>0.0018055555555555557</v>
      </c>
      <c r="L636" s="47" t="s">
        <v>1260</v>
      </c>
      <c r="M636" s="48"/>
      <c r="N636" s="48"/>
      <c r="O636" s="48">
        <f t="shared" si="1"/>
        <v>0</v>
      </c>
      <c r="P636" s="38"/>
      <c r="Q636" s="12" t="str">
        <f t="shared" si="2"/>
        <v/>
      </c>
      <c r="R636" s="42"/>
      <c r="S636" s="42"/>
      <c r="T636" s="42"/>
      <c r="U636" s="51"/>
      <c r="V636" s="52"/>
      <c r="W636" s="55"/>
      <c r="X636" s="57"/>
      <c r="Y636" s="106"/>
      <c r="Z636" s="106"/>
      <c r="AA636" s="106"/>
      <c r="AB636" s="106"/>
    </row>
    <row r="637">
      <c r="A637" s="38">
        <v>636.0</v>
      </c>
      <c r="B637" s="42"/>
      <c r="C637" s="51"/>
      <c r="D637" s="38"/>
      <c r="E637" s="38" t="s">
        <v>2183</v>
      </c>
      <c r="F637" s="41" t="s">
        <v>2184</v>
      </c>
      <c r="G637" s="43"/>
      <c r="H637" s="45"/>
      <c r="I637" s="38"/>
      <c r="J637" s="38">
        <f>2.2*1000</f>
        <v>2200</v>
      </c>
      <c r="K637" s="46">
        <v>0.02255787037037037</v>
      </c>
      <c r="L637" s="47" t="s">
        <v>1260</v>
      </c>
      <c r="M637" s="48"/>
      <c r="N637" s="48"/>
      <c r="O637" s="48">
        <f t="shared" si="1"/>
        <v>0</v>
      </c>
      <c r="P637" s="38"/>
      <c r="Q637" s="12" t="str">
        <f t="shared" si="2"/>
        <v/>
      </c>
      <c r="R637" s="42"/>
      <c r="S637" s="42"/>
      <c r="T637" s="42"/>
      <c r="U637" s="51"/>
      <c r="V637" s="52"/>
      <c r="W637" s="55"/>
      <c r="X637" s="57"/>
      <c r="Y637" s="106"/>
      <c r="Z637" s="106"/>
      <c r="AA637" s="106"/>
      <c r="AB637" s="106"/>
    </row>
    <row r="638">
      <c r="A638" s="38">
        <v>637.0</v>
      </c>
      <c r="B638" s="42"/>
      <c r="C638" s="51"/>
      <c r="D638" s="38"/>
      <c r="E638" s="38" t="s">
        <v>2185</v>
      </c>
      <c r="F638" s="41" t="s">
        <v>2186</v>
      </c>
      <c r="G638" s="43"/>
      <c r="H638" s="45"/>
      <c r="I638" s="38"/>
      <c r="J638" s="38">
        <f>1.3*1000</f>
        <v>1300</v>
      </c>
      <c r="K638" s="46">
        <v>0.004212962962962963</v>
      </c>
      <c r="L638" s="47" t="s">
        <v>1260</v>
      </c>
      <c r="M638" s="48"/>
      <c r="N638" s="48"/>
      <c r="O638" s="48">
        <f t="shared" si="1"/>
        <v>0</v>
      </c>
      <c r="P638" s="38"/>
      <c r="Q638" s="12" t="str">
        <f t="shared" si="2"/>
        <v/>
      </c>
      <c r="R638" s="42"/>
      <c r="S638" s="42"/>
      <c r="T638" s="42"/>
      <c r="U638" s="51"/>
      <c r="V638" s="52"/>
      <c r="W638" s="55"/>
      <c r="X638" s="57"/>
      <c r="Y638" s="106"/>
      <c r="Z638" s="106"/>
      <c r="AA638" s="106"/>
      <c r="AB638" s="106"/>
    </row>
    <row r="639">
      <c r="A639" s="38">
        <v>638.0</v>
      </c>
      <c r="B639" s="42"/>
      <c r="C639" s="51"/>
      <c r="D639" s="38"/>
      <c r="E639" s="38" t="s">
        <v>2187</v>
      </c>
      <c r="F639" s="41" t="s">
        <v>2188</v>
      </c>
      <c r="G639" s="43"/>
      <c r="H639" s="45"/>
      <c r="I639" s="38"/>
      <c r="J639" s="38">
        <f>481</f>
        <v>481</v>
      </c>
      <c r="K639" s="46">
        <v>0.005277777777777777</v>
      </c>
      <c r="L639" s="47" t="s">
        <v>1260</v>
      </c>
      <c r="M639" s="48"/>
      <c r="N639" s="48"/>
      <c r="O639" s="48">
        <f t="shared" si="1"/>
        <v>0</v>
      </c>
      <c r="P639" s="38"/>
      <c r="Q639" s="12" t="str">
        <f t="shared" si="2"/>
        <v/>
      </c>
      <c r="R639" s="42"/>
      <c r="S639" s="42"/>
      <c r="T639" s="42"/>
      <c r="U639" s="51"/>
      <c r="V639" s="52"/>
      <c r="W639" s="55"/>
      <c r="X639" s="57"/>
      <c r="Y639" s="106"/>
      <c r="Z639" s="106"/>
      <c r="AA639" s="106"/>
      <c r="AB639" s="106"/>
    </row>
    <row r="640">
      <c r="A640" s="38">
        <v>639.0</v>
      </c>
      <c r="B640" s="42"/>
      <c r="C640" s="51"/>
      <c r="D640" s="38"/>
      <c r="E640" s="38" t="s">
        <v>2189</v>
      </c>
      <c r="F640" s="41" t="s">
        <v>2190</v>
      </c>
      <c r="G640" s="43"/>
      <c r="H640" s="45"/>
      <c r="I640" s="38"/>
      <c r="J640" s="38">
        <f>411</f>
        <v>411</v>
      </c>
      <c r="K640" s="46">
        <v>5.324074074074074E-4</v>
      </c>
      <c r="L640" s="47" t="s">
        <v>1260</v>
      </c>
      <c r="M640" s="48"/>
      <c r="N640" s="48"/>
      <c r="O640" s="48">
        <f t="shared" si="1"/>
        <v>0</v>
      </c>
      <c r="P640" s="38"/>
      <c r="Q640" s="12" t="str">
        <f t="shared" si="2"/>
        <v/>
      </c>
      <c r="R640" s="42"/>
      <c r="S640" s="42"/>
      <c r="T640" s="42"/>
      <c r="U640" s="51"/>
      <c r="V640" s="52"/>
      <c r="W640" s="55"/>
      <c r="X640" s="57"/>
      <c r="Y640" s="106"/>
      <c r="Z640" s="106"/>
      <c r="AA640" s="106"/>
      <c r="AB640" s="106"/>
    </row>
    <row r="641">
      <c r="A641" s="38">
        <v>640.0</v>
      </c>
      <c r="B641" s="42"/>
      <c r="C641" s="51"/>
      <c r="D641" s="38"/>
      <c r="E641" s="38" t="s">
        <v>2191</v>
      </c>
      <c r="F641" s="41" t="s">
        <v>2192</v>
      </c>
      <c r="G641" s="43"/>
      <c r="H641" s="45"/>
      <c r="I641" s="38"/>
      <c r="J641" s="38">
        <f>301</f>
        <v>301</v>
      </c>
      <c r="K641" s="46">
        <v>0.0011226851851851851</v>
      </c>
      <c r="L641" s="47" t="s">
        <v>1260</v>
      </c>
      <c r="M641" s="48"/>
      <c r="N641" s="48"/>
      <c r="O641" s="48">
        <f t="shared" si="1"/>
        <v>0</v>
      </c>
      <c r="P641" s="38"/>
      <c r="Q641" s="12" t="str">
        <f t="shared" si="2"/>
        <v/>
      </c>
      <c r="R641" s="42"/>
      <c r="S641" s="42"/>
      <c r="T641" s="42"/>
      <c r="U641" s="51"/>
      <c r="V641" s="52"/>
      <c r="W641" s="55"/>
      <c r="X641" s="57"/>
      <c r="Y641" s="106"/>
      <c r="Z641" s="106"/>
      <c r="AA641" s="106"/>
      <c r="AB641" s="106"/>
    </row>
    <row r="642">
      <c r="A642" s="38">
        <v>641.0</v>
      </c>
      <c r="B642" s="42"/>
      <c r="C642" s="51"/>
      <c r="D642" s="38"/>
      <c r="E642" s="38" t="s">
        <v>2193</v>
      </c>
      <c r="F642" s="41" t="s">
        <v>2194</v>
      </c>
      <c r="G642" s="43"/>
      <c r="H642" s="45"/>
      <c r="I642" s="38"/>
      <c r="J642" s="38">
        <f>343</f>
        <v>343</v>
      </c>
      <c r="K642" s="46">
        <v>0.001736111111111111</v>
      </c>
      <c r="L642" s="47" t="s">
        <v>1260</v>
      </c>
      <c r="M642" s="48"/>
      <c r="N642" s="48"/>
      <c r="O642" s="48">
        <f t="shared" si="1"/>
        <v>0</v>
      </c>
      <c r="P642" s="38"/>
      <c r="Q642" s="12" t="str">
        <f t="shared" si="2"/>
        <v/>
      </c>
      <c r="R642" s="42"/>
      <c r="S642" s="42"/>
      <c r="T642" s="42"/>
      <c r="U642" s="51"/>
      <c r="V642" s="52"/>
      <c r="W642" s="55"/>
      <c r="X642" s="57"/>
      <c r="Y642" s="106"/>
      <c r="Z642" s="106"/>
      <c r="AA642" s="106"/>
      <c r="AB642" s="106"/>
    </row>
    <row r="643">
      <c r="A643" s="38">
        <v>642.0</v>
      </c>
      <c r="B643" s="42"/>
      <c r="C643" s="51"/>
      <c r="D643" s="38"/>
      <c r="E643" s="38" t="s">
        <v>2195</v>
      </c>
      <c r="F643" s="41" t="s">
        <v>2196</v>
      </c>
      <c r="G643" s="43"/>
      <c r="H643" s="45"/>
      <c r="I643" s="38"/>
      <c r="J643" s="38">
        <f>816</f>
        <v>816</v>
      </c>
      <c r="K643" s="46">
        <v>8.796296296296296E-4</v>
      </c>
      <c r="L643" s="47" t="s">
        <v>1260</v>
      </c>
      <c r="M643" s="48"/>
      <c r="N643" s="48"/>
      <c r="O643" s="48">
        <f t="shared" si="1"/>
        <v>0</v>
      </c>
      <c r="P643" s="38"/>
      <c r="Q643" s="12" t="str">
        <f t="shared" si="2"/>
        <v/>
      </c>
      <c r="R643" s="42"/>
      <c r="S643" s="42"/>
      <c r="T643" s="42"/>
      <c r="U643" s="51"/>
      <c r="V643" s="52"/>
      <c r="W643" s="55"/>
      <c r="X643" s="57"/>
      <c r="Y643" s="106"/>
      <c r="Z643" s="106"/>
      <c r="AA643" s="106"/>
      <c r="AB643" s="106"/>
    </row>
    <row r="644">
      <c r="A644" s="38">
        <v>643.0</v>
      </c>
      <c r="B644" s="42"/>
      <c r="C644" s="51"/>
      <c r="D644" s="38"/>
      <c r="E644" s="38" t="s">
        <v>2197</v>
      </c>
      <c r="F644" s="41" t="s">
        <v>2198</v>
      </c>
      <c r="G644" s="43"/>
      <c r="H644" s="45"/>
      <c r="I644" s="38"/>
      <c r="J644" s="38">
        <f>443</f>
        <v>443</v>
      </c>
      <c r="K644" s="46">
        <v>0.0021643518518518518</v>
      </c>
      <c r="L644" s="47" t="s">
        <v>1260</v>
      </c>
      <c r="M644" s="48"/>
      <c r="N644" s="48"/>
      <c r="O644" s="48">
        <f t="shared" si="1"/>
        <v>0</v>
      </c>
      <c r="P644" s="38"/>
      <c r="Q644" s="12" t="str">
        <f t="shared" si="2"/>
        <v/>
      </c>
      <c r="R644" s="42"/>
      <c r="S644" s="42"/>
      <c r="T644" s="42"/>
      <c r="U644" s="51"/>
      <c r="V644" s="52"/>
      <c r="W644" s="55"/>
      <c r="X644" s="57"/>
      <c r="Y644" s="106"/>
      <c r="Z644" s="106"/>
      <c r="AA644" s="106"/>
      <c r="AB644" s="106"/>
    </row>
    <row r="645">
      <c r="A645" s="38">
        <v>644.0</v>
      </c>
      <c r="B645" s="42"/>
      <c r="C645" s="51"/>
      <c r="D645" s="38"/>
      <c r="E645" s="38" t="s">
        <v>2199</v>
      </c>
      <c r="F645" s="41" t="s">
        <v>2200</v>
      </c>
      <c r="G645" s="43"/>
      <c r="H645" s="45"/>
      <c r="I645" s="38"/>
      <c r="J645" s="38">
        <f>467</f>
        <v>467</v>
      </c>
      <c r="K645" s="46">
        <v>0.0012268518518518518</v>
      </c>
      <c r="L645" s="47" t="s">
        <v>1260</v>
      </c>
      <c r="M645" s="48"/>
      <c r="N645" s="48"/>
      <c r="O645" s="48">
        <f t="shared" si="1"/>
        <v>0</v>
      </c>
      <c r="P645" s="38"/>
      <c r="Q645" s="12" t="str">
        <f t="shared" si="2"/>
        <v/>
      </c>
      <c r="R645" s="42"/>
      <c r="S645" s="42"/>
      <c r="T645" s="42"/>
      <c r="U645" s="51"/>
      <c r="V645" s="52"/>
      <c r="W645" s="55"/>
      <c r="X645" s="57"/>
      <c r="Y645" s="106"/>
      <c r="Z645" s="106"/>
      <c r="AA645" s="106"/>
      <c r="AB645" s="106"/>
    </row>
    <row r="646">
      <c r="A646" s="38">
        <v>645.0</v>
      </c>
      <c r="B646" s="42"/>
      <c r="C646" s="51"/>
      <c r="D646" s="38"/>
      <c r="E646" s="38" t="s">
        <v>2201</v>
      </c>
      <c r="F646" s="41" t="s">
        <v>2202</v>
      </c>
      <c r="G646" s="43"/>
      <c r="H646" s="45"/>
      <c r="I646" s="38"/>
      <c r="J646" s="38">
        <f>360</f>
        <v>360</v>
      </c>
      <c r="K646" s="46">
        <v>0.002546296296296296</v>
      </c>
      <c r="L646" s="47" t="s">
        <v>1260</v>
      </c>
      <c r="M646" s="48"/>
      <c r="N646" s="48"/>
      <c r="O646" s="48">
        <f t="shared" si="1"/>
        <v>0</v>
      </c>
      <c r="P646" s="38"/>
      <c r="Q646" s="12" t="str">
        <f t="shared" si="2"/>
        <v/>
      </c>
      <c r="R646" s="42"/>
      <c r="S646" s="42"/>
      <c r="T646" s="42"/>
      <c r="U646" s="51"/>
      <c r="V646" s="52"/>
      <c r="W646" s="55"/>
      <c r="X646" s="57"/>
      <c r="Y646" s="106"/>
      <c r="Z646" s="106"/>
      <c r="AA646" s="106"/>
      <c r="AB646" s="106"/>
    </row>
    <row r="647">
      <c r="A647" s="38">
        <v>646.0</v>
      </c>
      <c r="B647" s="42"/>
      <c r="C647" s="51"/>
      <c r="D647" s="38"/>
      <c r="E647" s="38" t="s">
        <v>2203</v>
      </c>
      <c r="F647" s="41" t="s">
        <v>2204</v>
      </c>
      <c r="G647" s="43"/>
      <c r="H647" s="45"/>
      <c r="I647" s="38"/>
      <c r="J647" s="38">
        <f>771</f>
        <v>771</v>
      </c>
      <c r="K647" s="46">
        <v>0.004247685185185185</v>
      </c>
      <c r="L647" s="47" t="s">
        <v>1260</v>
      </c>
      <c r="M647" s="48"/>
      <c r="N647" s="48"/>
      <c r="O647" s="48">
        <f t="shared" si="1"/>
        <v>0</v>
      </c>
      <c r="P647" s="38"/>
      <c r="Q647" s="12" t="str">
        <f t="shared" si="2"/>
        <v/>
      </c>
      <c r="R647" s="42"/>
      <c r="S647" s="42"/>
      <c r="T647" s="42"/>
      <c r="U647" s="51"/>
      <c r="V647" s="52"/>
      <c r="W647" s="55"/>
      <c r="X647" s="57"/>
      <c r="Y647" s="106"/>
      <c r="Z647" s="106"/>
      <c r="AA647" s="106"/>
      <c r="AB647" s="106"/>
    </row>
    <row r="648">
      <c r="A648" s="38">
        <v>647.0</v>
      </c>
      <c r="B648" s="42"/>
      <c r="C648" s="51"/>
      <c r="D648" s="38"/>
      <c r="E648" s="38" t="s">
        <v>2205</v>
      </c>
      <c r="F648" s="41" t="s">
        <v>2206</v>
      </c>
      <c r="G648" s="43"/>
      <c r="H648" s="45"/>
      <c r="I648" s="38"/>
      <c r="J648" s="38">
        <f>546</f>
        <v>546</v>
      </c>
      <c r="K648" s="46">
        <v>0.0021064814814814813</v>
      </c>
      <c r="L648" s="47" t="s">
        <v>1260</v>
      </c>
      <c r="M648" s="48"/>
      <c r="N648" s="48"/>
      <c r="O648" s="48">
        <f t="shared" si="1"/>
        <v>0</v>
      </c>
      <c r="P648" s="38"/>
      <c r="Q648" s="12" t="str">
        <f t="shared" si="2"/>
        <v/>
      </c>
      <c r="R648" s="42"/>
      <c r="S648" s="42"/>
      <c r="T648" s="42"/>
      <c r="U648" s="51"/>
      <c r="V648" s="52"/>
      <c r="W648" s="55"/>
      <c r="X648" s="57"/>
      <c r="Y648" s="106"/>
      <c r="Z648" s="106"/>
      <c r="AA648" s="106"/>
      <c r="AB648" s="106"/>
    </row>
    <row r="649">
      <c r="A649" s="38">
        <v>648.0</v>
      </c>
      <c r="B649" s="42"/>
      <c r="C649" s="51"/>
      <c r="D649" s="38"/>
      <c r="E649" s="38" t="s">
        <v>2207</v>
      </c>
      <c r="F649" s="41" t="s">
        <v>2208</v>
      </c>
      <c r="G649" s="43"/>
      <c r="H649" s="45"/>
      <c r="I649" s="38"/>
      <c r="J649" s="38">
        <f>2.5*1000</f>
        <v>2500</v>
      </c>
      <c r="K649" s="46">
        <v>0.0035532407407407405</v>
      </c>
      <c r="L649" s="47" t="s">
        <v>1260</v>
      </c>
      <c r="M649" s="48"/>
      <c r="N649" s="48"/>
      <c r="O649" s="48">
        <f t="shared" si="1"/>
        <v>0</v>
      </c>
      <c r="P649" s="38"/>
      <c r="Q649" s="12" t="str">
        <f t="shared" si="2"/>
        <v/>
      </c>
      <c r="R649" s="42"/>
      <c r="S649" s="42"/>
      <c r="T649" s="42"/>
      <c r="U649" s="51"/>
      <c r="V649" s="52"/>
      <c r="W649" s="55"/>
      <c r="X649" s="57"/>
      <c r="Y649" s="106"/>
      <c r="Z649" s="106"/>
      <c r="AA649" s="106"/>
      <c r="AB649" s="106"/>
    </row>
    <row r="650">
      <c r="A650" s="38">
        <v>649.0</v>
      </c>
      <c r="B650" s="42"/>
      <c r="C650" s="51"/>
      <c r="D650" s="38"/>
      <c r="E650" s="38" t="s">
        <v>2209</v>
      </c>
      <c r="F650" s="41" t="s">
        <v>2210</v>
      </c>
      <c r="G650" s="43"/>
      <c r="H650" s="45"/>
      <c r="I650" s="38"/>
      <c r="J650" s="38">
        <f>570</f>
        <v>570</v>
      </c>
      <c r="K650" s="46">
        <v>0.0013773148148148147</v>
      </c>
      <c r="L650" s="47" t="s">
        <v>1260</v>
      </c>
      <c r="M650" s="48"/>
      <c r="N650" s="48"/>
      <c r="O650" s="48">
        <f t="shared" si="1"/>
        <v>0</v>
      </c>
      <c r="P650" s="38"/>
      <c r="Q650" s="12" t="str">
        <f t="shared" si="2"/>
        <v/>
      </c>
      <c r="R650" s="42"/>
      <c r="S650" s="42"/>
      <c r="T650" s="42"/>
      <c r="U650" s="51"/>
      <c r="V650" s="52"/>
      <c r="W650" s="55"/>
      <c r="X650" s="57"/>
      <c r="Y650" s="106"/>
      <c r="Z650" s="106"/>
      <c r="AA650" s="106"/>
      <c r="AB650" s="106"/>
    </row>
    <row r="651">
      <c r="A651" s="38">
        <v>650.0</v>
      </c>
      <c r="B651" s="42"/>
      <c r="C651" s="51"/>
      <c r="D651" s="38"/>
      <c r="E651" s="38" t="s">
        <v>2211</v>
      </c>
      <c r="F651" s="41" t="s">
        <v>2212</v>
      </c>
      <c r="G651" s="43"/>
      <c r="H651" s="45"/>
      <c r="I651" s="38"/>
      <c r="J651" s="38">
        <f>2.6*1000</f>
        <v>2600</v>
      </c>
      <c r="K651" s="46">
        <v>0.0019212962962962962</v>
      </c>
      <c r="L651" s="47" t="s">
        <v>1260</v>
      </c>
      <c r="M651" s="48"/>
      <c r="N651" s="48"/>
      <c r="O651" s="48">
        <f t="shared" si="1"/>
        <v>0</v>
      </c>
      <c r="P651" s="38"/>
      <c r="Q651" s="12" t="str">
        <f t="shared" si="2"/>
        <v/>
      </c>
      <c r="R651" s="42"/>
      <c r="S651" s="42"/>
      <c r="T651" s="42"/>
      <c r="U651" s="51"/>
      <c r="V651" s="52"/>
      <c r="W651" s="55"/>
      <c r="X651" s="57"/>
      <c r="Y651" s="106"/>
      <c r="Z651" s="106"/>
      <c r="AA651" s="106"/>
      <c r="AB651" s="106"/>
    </row>
    <row r="652">
      <c r="A652" s="38">
        <v>651.0</v>
      </c>
      <c r="B652" s="42"/>
      <c r="C652" s="51"/>
      <c r="D652" s="38"/>
      <c r="E652" s="38" t="s">
        <v>2213</v>
      </c>
      <c r="F652" s="41" t="s">
        <v>2214</v>
      </c>
      <c r="G652" s="43"/>
      <c r="H652" s="45"/>
      <c r="I652" s="38"/>
      <c r="J652" s="38">
        <f>173</f>
        <v>173</v>
      </c>
      <c r="K652" s="46">
        <v>8.101851851851852E-4</v>
      </c>
      <c r="L652" s="47" t="s">
        <v>1260</v>
      </c>
      <c r="M652" s="48"/>
      <c r="N652" s="48"/>
      <c r="O652" s="48">
        <f t="shared" si="1"/>
        <v>0</v>
      </c>
      <c r="P652" s="38"/>
      <c r="Q652" s="12" t="str">
        <f t="shared" si="2"/>
        <v/>
      </c>
      <c r="R652" s="42"/>
      <c r="S652" s="42"/>
      <c r="T652" s="42"/>
      <c r="U652" s="51"/>
      <c r="V652" s="52"/>
      <c r="W652" s="55"/>
      <c r="X652" s="57"/>
      <c r="Y652" s="106"/>
      <c r="Z652" s="106"/>
      <c r="AA652" s="106"/>
      <c r="AB652" s="106"/>
    </row>
    <row r="653">
      <c r="A653" s="38">
        <v>652.0</v>
      </c>
      <c r="B653" s="42"/>
      <c r="C653" s="51"/>
      <c r="D653" s="38"/>
      <c r="E653" s="38" t="s">
        <v>2215</v>
      </c>
      <c r="F653" s="41" t="s">
        <v>2216</v>
      </c>
      <c r="G653" s="43"/>
      <c r="H653" s="45"/>
      <c r="I653" s="38"/>
      <c r="J653" s="38">
        <f>789</f>
        <v>789</v>
      </c>
      <c r="K653" s="46">
        <v>0.004108796296296297</v>
      </c>
      <c r="L653" s="47" t="s">
        <v>1260</v>
      </c>
      <c r="M653" s="48"/>
      <c r="N653" s="48"/>
      <c r="O653" s="48">
        <f t="shared" si="1"/>
        <v>0</v>
      </c>
      <c r="P653" s="38"/>
      <c r="Q653" s="12" t="str">
        <f t="shared" si="2"/>
        <v/>
      </c>
      <c r="R653" s="42"/>
      <c r="S653" s="42"/>
      <c r="T653" s="42"/>
      <c r="U653" s="51"/>
      <c r="V653" s="52"/>
      <c r="W653" s="55"/>
      <c r="X653" s="57"/>
      <c r="Y653" s="106"/>
      <c r="Z653" s="106"/>
      <c r="AA653" s="106"/>
      <c r="AB653" s="106"/>
    </row>
    <row r="654">
      <c r="A654" s="38">
        <v>653.0</v>
      </c>
      <c r="B654" s="42"/>
      <c r="C654" s="51"/>
      <c r="D654" s="38"/>
      <c r="E654" s="38" t="s">
        <v>2217</v>
      </c>
      <c r="F654" s="41" t="s">
        <v>2218</v>
      </c>
      <c r="G654" s="43"/>
      <c r="H654" s="45"/>
      <c r="I654" s="38"/>
      <c r="J654" s="38">
        <f>15*1000</f>
        <v>15000</v>
      </c>
      <c r="K654" s="46">
        <v>0.09204861111111111</v>
      </c>
      <c r="L654" s="47" t="s">
        <v>1260</v>
      </c>
      <c r="M654" s="48"/>
      <c r="N654" s="48"/>
      <c r="O654" s="48">
        <f t="shared" si="1"/>
        <v>0</v>
      </c>
      <c r="P654" s="38"/>
      <c r="Q654" s="12" t="str">
        <f t="shared" si="2"/>
        <v/>
      </c>
      <c r="R654" s="42"/>
      <c r="S654" s="42"/>
      <c r="T654" s="42"/>
      <c r="U654" s="51"/>
      <c r="V654" s="52"/>
      <c r="W654" s="55"/>
      <c r="X654" s="57"/>
      <c r="Y654" s="106"/>
      <c r="Z654" s="106"/>
      <c r="AA654" s="106"/>
      <c r="AB654" s="106"/>
    </row>
    <row r="655">
      <c r="A655" s="38">
        <v>654.0</v>
      </c>
      <c r="B655" s="42"/>
      <c r="C655" s="51"/>
      <c r="D655" s="38"/>
      <c r="E655" s="38" t="s">
        <v>2219</v>
      </c>
      <c r="F655" s="41" t="s">
        <v>2220</v>
      </c>
      <c r="G655" s="43"/>
      <c r="H655" s="45"/>
      <c r="I655" s="38"/>
      <c r="J655" s="38">
        <f>1.6*1000</f>
        <v>1600</v>
      </c>
      <c r="K655" s="46">
        <v>0.0018171296296296297</v>
      </c>
      <c r="L655" s="47" t="s">
        <v>1260</v>
      </c>
      <c r="M655" s="48"/>
      <c r="N655" s="48"/>
      <c r="O655" s="48">
        <f t="shared" si="1"/>
        <v>0</v>
      </c>
      <c r="P655" s="38"/>
      <c r="Q655" s="12" t="str">
        <f t="shared" si="2"/>
        <v/>
      </c>
      <c r="R655" s="42"/>
      <c r="S655" s="42"/>
      <c r="T655" s="42"/>
      <c r="U655" s="51"/>
      <c r="V655" s="52"/>
      <c r="W655" s="55"/>
      <c r="X655" s="57"/>
      <c r="Y655" s="106"/>
      <c r="Z655" s="106"/>
      <c r="AA655" s="106"/>
      <c r="AB655" s="106"/>
    </row>
    <row r="656">
      <c r="A656" s="38">
        <v>655.0</v>
      </c>
      <c r="B656" s="42"/>
      <c r="C656" s="51"/>
      <c r="D656" s="38"/>
      <c r="E656" s="38" t="s">
        <v>2222</v>
      </c>
      <c r="F656" s="41" t="s">
        <v>2223</v>
      </c>
      <c r="G656" s="43"/>
      <c r="H656" s="45"/>
      <c r="I656" s="38"/>
      <c r="J656" s="38">
        <f>1.2*1000</f>
        <v>1200</v>
      </c>
      <c r="K656" s="46">
        <v>0.0012152777777777778</v>
      </c>
      <c r="L656" s="47" t="s">
        <v>2224</v>
      </c>
      <c r="M656" s="48"/>
      <c r="N656" s="48"/>
      <c r="O656" s="48">
        <f t="shared" si="1"/>
        <v>0</v>
      </c>
      <c r="P656" s="38"/>
      <c r="Q656" s="12" t="str">
        <f t="shared" si="2"/>
        <v/>
      </c>
      <c r="R656" s="42"/>
      <c r="S656" s="42"/>
      <c r="T656" s="42"/>
      <c r="U656" s="51"/>
      <c r="V656" s="52"/>
      <c r="W656" s="55"/>
      <c r="X656" s="57"/>
      <c r="Y656" s="106"/>
      <c r="Z656" s="106"/>
      <c r="AA656" s="106"/>
      <c r="AB656" s="106"/>
    </row>
    <row r="657">
      <c r="A657" s="38">
        <v>656.0</v>
      </c>
      <c r="B657" s="42"/>
      <c r="C657" s="51"/>
      <c r="D657" s="38"/>
      <c r="E657" s="38" t="s">
        <v>2225</v>
      </c>
      <c r="F657" s="41" t="s">
        <v>2226</v>
      </c>
      <c r="G657" s="43"/>
      <c r="H657" s="45"/>
      <c r="I657" s="38"/>
      <c r="J657" s="38">
        <f>2.3*1000</f>
        <v>2300</v>
      </c>
      <c r="K657" s="46">
        <v>0.0037962962962962963</v>
      </c>
      <c r="L657" s="47" t="s">
        <v>2224</v>
      </c>
      <c r="M657" s="48"/>
      <c r="N657" s="48"/>
      <c r="O657" s="48">
        <f t="shared" si="1"/>
        <v>0</v>
      </c>
      <c r="P657" s="38"/>
      <c r="Q657" s="12" t="str">
        <f t="shared" si="2"/>
        <v/>
      </c>
      <c r="R657" s="42"/>
      <c r="S657" s="42"/>
      <c r="T657" s="42"/>
      <c r="U657" s="51"/>
      <c r="V657" s="52"/>
      <c r="W657" s="55"/>
      <c r="X657" s="57"/>
      <c r="Y657" s="106"/>
      <c r="Z657" s="106"/>
      <c r="AA657" s="106"/>
      <c r="AB657" s="106"/>
    </row>
    <row r="658">
      <c r="A658" s="38">
        <v>657.0</v>
      </c>
      <c r="B658" s="42"/>
      <c r="C658" s="51"/>
      <c r="D658" s="38"/>
      <c r="E658" s="38" t="s">
        <v>2227</v>
      </c>
      <c r="F658" s="41" t="s">
        <v>2228</v>
      </c>
      <c r="G658" s="43"/>
      <c r="H658" s="45"/>
      <c r="I658" s="38"/>
      <c r="J658" s="38">
        <f>2.6*1000</f>
        <v>2600</v>
      </c>
      <c r="K658" s="46">
        <v>0.012916666666666667</v>
      </c>
      <c r="L658" s="47" t="s">
        <v>2224</v>
      </c>
      <c r="M658" s="48"/>
      <c r="N658" s="48"/>
      <c r="O658" s="48">
        <f t="shared" si="1"/>
        <v>0</v>
      </c>
      <c r="P658" s="38"/>
      <c r="Q658" s="12" t="str">
        <f t="shared" si="2"/>
        <v/>
      </c>
      <c r="R658" s="42"/>
      <c r="S658" s="42"/>
      <c r="T658" s="42"/>
      <c r="U658" s="51"/>
      <c r="V658" s="52"/>
      <c r="W658" s="55"/>
      <c r="X658" s="57"/>
      <c r="Y658" s="106"/>
      <c r="Z658" s="106"/>
      <c r="AA658" s="106"/>
      <c r="AB658" s="106"/>
    </row>
    <row r="659">
      <c r="A659" s="38">
        <v>658.0</v>
      </c>
      <c r="B659" s="42"/>
      <c r="C659" s="51"/>
      <c r="D659" s="38"/>
      <c r="E659" s="38" t="s">
        <v>2229</v>
      </c>
      <c r="F659" s="41" t="s">
        <v>2230</v>
      </c>
      <c r="G659" s="43"/>
      <c r="H659" s="45"/>
      <c r="I659" s="38"/>
      <c r="J659" s="38">
        <f>5.8*1000</f>
        <v>5800</v>
      </c>
      <c r="K659" s="46">
        <v>0.00400462962962963</v>
      </c>
      <c r="L659" s="47" t="s">
        <v>2224</v>
      </c>
      <c r="M659" s="48"/>
      <c r="N659" s="48"/>
      <c r="O659" s="48">
        <f t="shared" si="1"/>
        <v>0</v>
      </c>
      <c r="P659" s="38"/>
      <c r="Q659" s="12" t="str">
        <f t="shared" si="2"/>
        <v/>
      </c>
      <c r="R659" s="42"/>
      <c r="S659" s="42"/>
      <c r="T659" s="42"/>
      <c r="U659" s="51"/>
      <c r="V659" s="52"/>
      <c r="W659" s="55"/>
      <c r="X659" s="57"/>
      <c r="Y659" s="106"/>
      <c r="Z659" s="106"/>
      <c r="AA659" s="106"/>
      <c r="AB659" s="106"/>
    </row>
    <row r="660">
      <c r="A660" s="38">
        <v>659.0</v>
      </c>
      <c r="B660" s="42"/>
      <c r="C660" s="51"/>
      <c r="D660" s="38"/>
      <c r="E660" s="38" t="s">
        <v>2231</v>
      </c>
      <c r="F660" s="41" t="s">
        <v>2232</v>
      </c>
      <c r="G660" s="43"/>
      <c r="H660" s="45"/>
      <c r="I660" s="38"/>
      <c r="J660" s="38">
        <f>1.4*1000</f>
        <v>1400</v>
      </c>
      <c r="K660" s="46">
        <v>0.0018634259259259261</v>
      </c>
      <c r="L660" s="47" t="s">
        <v>2224</v>
      </c>
      <c r="M660" s="48"/>
      <c r="N660" s="48"/>
      <c r="O660" s="48">
        <f t="shared" si="1"/>
        <v>0</v>
      </c>
      <c r="P660" s="38"/>
      <c r="Q660" s="12" t="str">
        <f t="shared" si="2"/>
        <v/>
      </c>
      <c r="R660" s="42"/>
      <c r="S660" s="42"/>
      <c r="T660" s="42"/>
      <c r="U660" s="51"/>
      <c r="V660" s="52"/>
      <c r="W660" s="55"/>
      <c r="X660" s="57"/>
      <c r="Y660" s="106"/>
      <c r="Z660" s="106"/>
      <c r="AA660" s="106"/>
      <c r="AB660" s="106"/>
    </row>
    <row r="661">
      <c r="A661" s="38">
        <v>660.0</v>
      </c>
      <c r="B661" s="42"/>
      <c r="C661" s="51"/>
      <c r="D661" s="38"/>
      <c r="E661" s="38" t="s">
        <v>2233</v>
      </c>
      <c r="F661" s="41" t="s">
        <v>2234</v>
      </c>
      <c r="G661" s="43"/>
      <c r="H661" s="45"/>
      <c r="I661" s="38"/>
      <c r="J661" s="38">
        <f>773</f>
        <v>773</v>
      </c>
      <c r="K661" s="46">
        <v>0.0015624999999999999</v>
      </c>
      <c r="L661" s="47" t="s">
        <v>2224</v>
      </c>
      <c r="M661" s="48"/>
      <c r="N661" s="48"/>
      <c r="O661" s="48">
        <f t="shared" si="1"/>
        <v>0</v>
      </c>
      <c r="P661" s="38"/>
      <c r="Q661" s="12" t="str">
        <f t="shared" si="2"/>
        <v/>
      </c>
      <c r="R661" s="42"/>
      <c r="S661" s="42"/>
      <c r="T661" s="42"/>
      <c r="U661" s="51"/>
      <c r="V661" s="52"/>
      <c r="W661" s="55"/>
      <c r="X661" s="57"/>
      <c r="Y661" s="106"/>
      <c r="Z661" s="106"/>
      <c r="AA661" s="106"/>
      <c r="AB661" s="106"/>
    </row>
    <row r="662">
      <c r="A662" s="38">
        <v>661.0</v>
      </c>
      <c r="B662" s="42"/>
      <c r="C662" s="51"/>
      <c r="D662" s="38"/>
      <c r="E662" s="38" t="s">
        <v>2235</v>
      </c>
      <c r="F662" s="41" t="s">
        <v>2236</v>
      </c>
      <c r="G662" s="43"/>
      <c r="H662" s="45"/>
      <c r="I662" s="38"/>
      <c r="J662" s="38">
        <f>1*1000</f>
        <v>1000</v>
      </c>
      <c r="K662" s="46">
        <v>0.008032407407407407</v>
      </c>
      <c r="L662" s="47" t="s">
        <v>2224</v>
      </c>
      <c r="M662" s="48"/>
      <c r="N662" s="48"/>
      <c r="O662" s="48">
        <f t="shared" si="1"/>
        <v>0</v>
      </c>
      <c r="P662" s="38"/>
      <c r="Q662" s="12" t="str">
        <f t="shared" si="2"/>
        <v/>
      </c>
      <c r="R662" s="42"/>
      <c r="S662" s="42"/>
      <c r="T662" s="42"/>
      <c r="U662" s="51"/>
      <c r="V662" s="52"/>
      <c r="W662" s="55"/>
      <c r="X662" s="57"/>
      <c r="Y662" s="106"/>
      <c r="Z662" s="106"/>
      <c r="AA662" s="106"/>
      <c r="AB662" s="106"/>
    </row>
    <row r="663">
      <c r="A663" s="38">
        <v>662.0</v>
      </c>
      <c r="B663" s="42"/>
      <c r="C663" s="51"/>
      <c r="D663" s="38"/>
      <c r="E663" s="38" t="s">
        <v>2237</v>
      </c>
      <c r="F663" s="41" t="s">
        <v>2238</v>
      </c>
      <c r="G663" s="43"/>
      <c r="H663" s="45"/>
      <c r="I663" s="38"/>
      <c r="J663" s="38">
        <f>536</f>
        <v>536</v>
      </c>
      <c r="K663" s="46">
        <v>0.001099537037037037</v>
      </c>
      <c r="L663" s="47" t="s">
        <v>2224</v>
      </c>
      <c r="M663" s="48"/>
      <c r="N663" s="48"/>
      <c r="O663" s="48">
        <f t="shared" si="1"/>
        <v>0</v>
      </c>
      <c r="P663" s="38"/>
      <c r="Q663" s="12" t="str">
        <f t="shared" si="2"/>
        <v/>
      </c>
      <c r="R663" s="42"/>
      <c r="S663" s="42"/>
      <c r="T663" s="42"/>
      <c r="U663" s="51"/>
      <c r="V663" s="52"/>
      <c r="W663" s="55"/>
      <c r="X663" s="57"/>
      <c r="Y663" s="106"/>
      <c r="Z663" s="106"/>
      <c r="AA663" s="106"/>
      <c r="AB663" s="106"/>
    </row>
    <row r="664">
      <c r="A664" s="38">
        <v>663.0</v>
      </c>
      <c r="B664" s="42"/>
      <c r="C664" s="51"/>
      <c r="D664" s="38"/>
      <c r="E664" s="38" t="s">
        <v>2239</v>
      </c>
      <c r="F664" s="41" t="s">
        <v>2240</v>
      </c>
      <c r="G664" s="43"/>
      <c r="H664" s="45"/>
      <c r="I664" s="38"/>
      <c r="J664" s="38">
        <f>912</f>
        <v>912</v>
      </c>
      <c r="K664" s="46">
        <v>0.0019444444444444442</v>
      </c>
      <c r="L664" s="47" t="s">
        <v>2224</v>
      </c>
      <c r="M664" s="48"/>
      <c r="N664" s="48"/>
      <c r="O664" s="48">
        <f t="shared" si="1"/>
        <v>0</v>
      </c>
      <c r="P664" s="38"/>
      <c r="Q664" s="12" t="str">
        <f t="shared" si="2"/>
        <v/>
      </c>
      <c r="R664" s="42"/>
      <c r="S664" s="42"/>
      <c r="T664" s="42"/>
      <c r="U664" s="51"/>
      <c r="V664" s="52"/>
      <c r="W664" s="55"/>
      <c r="X664" s="57"/>
      <c r="Y664" s="106"/>
      <c r="Z664" s="106"/>
      <c r="AA664" s="106"/>
      <c r="AB664" s="106"/>
    </row>
    <row r="665">
      <c r="A665" s="38">
        <v>664.0</v>
      </c>
      <c r="B665" s="42"/>
      <c r="C665" s="51"/>
      <c r="D665" s="38"/>
      <c r="E665" s="38" t="s">
        <v>2241</v>
      </c>
      <c r="F665" s="41" t="s">
        <v>2242</v>
      </c>
      <c r="G665" s="43"/>
      <c r="H665" s="45"/>
      <c r="I665" s="38"/>
      <c r="J665" s="38">
        <f>4.1*1000</f>
        <v>4100</v>
      </c>
      <c r="K665" s="46">
        <v>0.043020833333333335</v>
      </c>
      <c r="L665" s="47" t="s">
        <v>2224</v>
      </c>
      <c r="M665" s="48"/>
      <c r="N665" s="48"/>
      <c r="O665" s="48">
        <f t="shared" si="1"/>
        <v>0</v>
      </c>
      <c r="P665" s="38"/>
      <c r="Q665" s="12" t="str">
        <f t="shared" si="2"/>
        <v/>
      </c>
      <c r="R665" s="42"/>
      <c r="S665" s="42"/>
      <c r="T665" s="42"/>
      <c r="U665" s="51"/>
      <c r="V665" s="52"/>
      <c r="W665" s="55"/>
      <c r="X665" s="57"/>
      <c r="Y665" s="106"/>
      <c r="Z665" s="106"/>
      <c r="AA665" s="106"/>
      <c r="AB665" s="106"/>
    </row>
    <row r="666">
      <c r="A666" s="38">
        <v>665.0</v>
      </c>
      <c r="B666" s="42"/>
      <c r="C666" s="51"/>
      <c r="D666" s="38"/>
      <c r="E666" s="38" t="s">
        <v>2243</v>
      </c>
      <c r="F666" s="41" t="s">
        <v>2244</v>
      </c>
      <c r="G666" s="43"/>
      <c r="H666" s="45"/>
      <c r="I666" s="38"/>
      <c r="J666" s="38">
        <f>728</f>
        <v>728</v>
      </c>
      <c r="K666" s="46">
        <v>0.001574074074074074</v>
      </c>
      <c r="L666" s="47" t="s">
        <v>2224</v>
      </c>
      <c r="M666" s="48"/>
      <c r="N666" s="48"/>
      <c r="O666" s="48">
        <f t="shared" si="1"/>
        <v>0</v>
      </c>
      <c r="P666" s="38"/>
      <c r="Q666" s="12" t="str">
        <f t="shared" si="2"/>
        <v/>
      </c>
      <c r="R666" s="42"/>
      <c r="S666" s="42"/>
      <c r="T666" s="42"/>
      <c r="U666" s="51"/>
      <c r="V666" s="52"/>
      <c r="W666" s="55"/>
      <c r="X666" s="57"/>
      <c r="Y666" s="106"/>
      <c r="Z666" s="106"/>
      <c r="AA666" s="106"/>
      <c r="AB666" s="106"/>
    </row>
    <row r="667">
      <c r="A667" s="38">
        <v>666.0</v>
      </c>
      <c r="B667" s="42"/>
      <c r="C667" s="51"/>
      <c r="D667" s="38"/>
      <c r="E667" s="38" t="s">
        <v>2245</v>
      </c>
      <c r="F667" s="41" t="s">
        <v>2246</v>
      </c>
      <c r="G667" s="43"/>
      <c r="H667" s="45"/>
      <c r="I667" s="38"/>
      <c r="J667" s="38">
        <f>2.7*1000</f>
        <v>2700</v>
      </c>
      <c r="K667" s="46">
        <v>0.0024074074074074076</v>
      </c>
      <c r="L667" s="47" t="s">
        <v>2224</v>
      </c>
      <c r="M667" s="48"/>
      <c r="N667" s="48"/>
      <c r="O667" s="48">
        <f t="shared" si="1"/>
        <v>0</v>
      </c>
      <c r="P667" s="38"/>
      <c r="Q667" s="12" t="str">
        <f t="shared" si="2"/>
        <v/>
      </c>
      <c r="R667" s="42"/>
      <c r="S667" s="42"/>
      <c r="T667" s="42"/>
      <c r="U667" s="51"/>
      <c r="V667" s="52"/>
      <c r="W667" s="55"/>
      <c r="X667" s="57"/>
      <c r="Y667" s="106"/>
      <c r="Z667" s="106"/>
      <c r="AA667" s="106"/>
      <c r="AB667" s="106"/>
    </row>
    <row r="668">
      <c r="A668" s="38">
        <v>667.0</v>
      </c>
      <c r="B668" s="63"/>
      <c r="C668" s="51"/>
      <c r="D668" s="38"/>
      <c r="E668" s="38" t="s">
        <v>2247</v>
      </c>
      <c r="F668" s="41" t="s">
        <v>2248</v>
      </c>
      <c r="G668" s="43"/>
      <c r="H668" s="45"/>
      <c r="I668" s="38"/>
      <c r="J668" s="38">
        <f>2.4*1000</f>
        <v>2400</v>
      </c>
      <c r="K668" s="46">
        <v>0.0021180555555555553</v>
      </c>
      <c r="L668" s="47" t="s">
        <v>2224</v>
      </c>
      <c r="M668" s="48"/>
      <c r="N668" s="48"/>
      <c r="O668" s="48">
        <f t="shared" si="1"/>
        <v>0</v>
      </c>
      <c r="P668" s="38"/>
      <c r="Q668" s="12" t="str">
        <f t="shared" si="2"/>
        <v/>
      </c>
      <c r="R668" s="42"/>
      <c r="S668" s="42"/>
      <c r="T668" s="42"/>
      <c r="U668" s="51"/>
      <c r="V668" s="52"/>
      <c r="W668" s="55"/>
      <c r="X668" s="57"/>
      <c r="Y668" s="106"/>
      <c r="Z668" s="106"/>
      <c r="AA668" s="106"/>
      <c r="AB668" s="106"/>
    </row>
    <row r="669">
      <c r="A669" s="38">
        <v>668.0</v>
      </c>
      <c r="B669" s="42"/>
      <c r="C669" s="51"/>
      <c r="D669" s="38"/>
      <c r="E669" s="38" t="s">
        <v>2249</v>
      </c>
      <c r="F669" s="41" t="s">
        <v>2250</v>
      </c>
      <c r="G669" s="43"/>
      <c r="H669" s="45"/>
      <c r="I669" s="38"/>
      <c r="J669" s="38">
        <f>2.8*1000</f>
        <v>2800</v>
      </c>
      <c r="K669" s="46">
        <v>0.006944444444444444</v>
      </c>
      <c r="L669" s="47" t="s">
        <v>2224</v>
      </c>
      <c r="M669" s="48"/>
      <c r="N669" s="48"/>
      <c r="O669" s="48">
        <f t="shared" si="1"/>
        <v>0</v>
      </c>
      <c r="P669" s="38"/>
      <c r="Q669" s="12" t="str">
        <f t="shared" si="2"/>
        <v/>
      </c>
      <c r="R669" s="42"/>
      <c r="S669" s="42"/>
      <c r="T669" s="42"/>
      <c r="U669" s="51"/>
      <c r="V669" s="52"/>
      <c r="W669" s="55"/>
      <c r="X669" s="57"/>
      <c r="Y669" s="106"/>
      <c r="Z669" s="106"/>
      <c r="AA669" s="106"/>
      <c r="AB669" s="106"/>
    </row>
    <row r="670">
      <c r="A670" s="38">
        <v>669.0</v>
      </c>
      <c r="B670" s="42"/>
      <c r="C670" s="51"/>
      <c r="D670" s="38"/>
      <c r="E670" s="38" t="s">
        <v>2251</v>
      </c>
      <c r="F670" s="41" t="s">
        <v>2252</v>
      </c>
      <c r="G670" s="43"/>
      <c r="H670" s="45"/>
      <c r="I670" s="38"/>
      <c r="J670" s="38">
        <f>14*1000</f>
        <v>14000</v>
      </c>
      <c r="K670" s="46">
        <v>0.05643518518518518</v>
      </c>
      <c r="L670" s="47" t="s">
        <v>2253</v>
      </c>
      <c r="M670" s="48"/>
      <c r="N670" s="48"/>
      <c r="O670" s="48">
        <f t="shared" si="1"/>
        <v>0</v>
      </c>
      <c r="P670" s="38"/>
      <c r="Q670" s="12" t="str">
        <f t="shared" si="2"/>
        <v/>
      </c>
      <c r="R670" s="42"/>
      <c r="S670" s="42"/>
      <c r="T670" s="42"/>
      <c r="U670" s="51"/>
      <c r="V670" s="52"/>
      <c r="W670" s="55"/>
      <c r="X670" s="57"/>
      <c r="Y670" s="106"/>
      <c r="Z670" s="106"/>
      <c r="AA670" s="106"/>
      <c r="AB670" s="106"/>
    </row>
    <row r="671">
      <c r="A671" s="38">
        <v>670.0</v>
      </c>
      <c r="B671" s="42"/>
      <c r="C671" s="51"/>
      <c r="D671" s="38"/>
      <c r="E671" s="38" t="s">
        <v>2254</v>
      </c>
      <c r="F671" s="41" t="s">
        <v>2255</v>
      </c>
      <c r="G671" s="43"/>
      <c r="H671" s="45"/>
      <c r="I671" s="38"/>
      <c r="J671" s="38">
        <f>15*1000</f>
        <v>15000</v>
      </c>
      <c r="K671" s="46">
        <v>0.06305555555555555</v>
      </c>
      <c r="L671" s="47" t="s">
        <v>2253</v>
      </c>
      <c r="M671" s="48"/>
      <c r="N671" s="48"/>
      <c r="O671" s="48">
        <f t="shared" si="1"/>
        <v>0</v>
      </c>
      <c r="P671" s="38"/>
      <c r="Q671" s="12" t="str">
        <f t="shared" si="2"/>
        <v/>
      </c>
      <c r="R671" s="42"/>
      <c r="S671" s="42"/>
      <c r="T671" s="42"/>
      <c r="U671" s="51"/>
      <c r="V671" s="52"/>
      <c r="W671" s="55"/>
      <c r="X671" s="57"/>
      <c r="Y671" s="106"/>
      <c r="Z671" s="106"/>
      <c r="AA671" s="106"/>
      <c r="AB671" s="106"/>
    </row>
    <row r="672">
      <c r="A672" s="38">
        <v>671.0</v>
      </c>
      <c r="B672" s="42"/>
      <c r="C672" s="51"/>
      <c r="D672" s="38"/>
      <c r="E672" s="38" t="s">
        <v>2256</v>
      </c>
      <c r="F672" s="41" t="s">
        <v>2257</v>
      </c>
      <c r="G672" s="43"/>
      <c r="H672" s="45"/>
      <c r="I672" s="38"/>
      <c r="J672" s="38">
        <f>6.8*1000</f>
        <v>6800</v>
      </c>
      <c r="K672" s="46">
        <v>0.05990740740740741</v>
      </c>
      <c r="L672" s="47" t="s">
        <v>2253</v>
      </c>
      <c r="M672" s="48"/>
      <c r="N672" s="48"/>
      <c r="O672" s="48">
        <f t="shared" si="1"/>
        <v>0</v>
      </c>
      <c r="P672" s="38"/>
      <c r="Q672" s="12" t="str">
        <f t="shared" si="2"/>
        <v/>
      </c>
      <c r="R672" s="42"/>
      <c r="S672" s="42"/>
      <c r="T672" s="42"/>
      <c r="U672" s="51"/>
      <c r="V672" s="52"/>
      <c r="W672" s="55"/>
      <c r="X672" s="57"/>
      <c r="Y672" s="106"/>
      <c r="Z672" s="106"/>
      <c r="AA672" s="106"/>
      <c r="AB672" s="106"/>
    </row>
    <row r="673">
      <c r="A673" s="38">
        <v>672.0</v>
      </c>
      <c r="B673" s="63" t="s">
        <v>516</v>
      </c>
      <c r="C673" s="51"/>
      <c r="D673" s="39" t="s">
        <v>145</v>
      </c>
      <c r="E673" s="38" t="s">
        <v>2258</v>
      </c>
      <c r="F673" s="41" t="s">
        <v>2259</v>
      </c>
      <c r="G673" s="43"/>
      <c r="H673" s="45"/>
      <c r="I673" s="38"/>
      <c r="J673" s="38">
        <f>27*1000</f>
        <v>27000</v>
      </c>
      <c r="K673" s="46">
        <v>0.024826388888888887</v>
      </c>
      <c r="L673" s="47" t="s">
        <v>2253</v>
      </c>
      <c r="M673" s="48"/>
      <c r="N673" s="48"/>
      <c r="O673" s="48">
        <f t="shared" si="1"/>
        <v>0</v>
      </c>
      <c r="P673" s="38"/>
      <c r="Q673" s="12" t="str">
        <f t="shared" si="2"/>
        <v/>
      </c>
      <c r="R673" s="42"/>
      <c r="S673" s="42"/>
      <c r="T673" s="42"/>
      <c r="U673" s="51"/>
      <c r="V673" s="52"/>
      <c r="W673" s="55"/>
      <c r="X673" s="57"/>
      <c r="Y673" s="106"/>
      <c r="Z673" s="106"/>
      <c r="AA673" s="106"/>
      <c r="AB673" s="106"/>
    </row>
    <row r="674">
      <c r="A674" s="38">
        <v>673.0</v>
      </c>
      <c r="B674" s="63" t="s">
        <v>516</v>
      </c>
      <c r="C674" s="51"/>
      <c r="D674" s="39" t="s">
        <v>71</v>
      </c>
      <c r="E674" s="38" t="s">
        <v>2260</v>
      </c>
      <c r="F674" s="41" t="s">
        <v>2261</v>
      </c>
      <c r="G674" s="43"/>
      <c r="H674" s="45"/>
      <c r="I674" s="38"/>
      <c r="J674" s="38">
        <f>10*1000</f>
        <v>10000</v>
      </c>
      <c r="K674" s="46">
        <v>0.028564814814814817</v>
      </c>
      <c r="L674" s="47" t="s">
        <v>2262</v>
      </c>
      <c r="M674" s="48"/>
      <c r="N674" s="48"/>
      <c r="O674" s="48">
        <f t="shared" si="1"/>
        <v>0</v>
      </c>
      <c r="P674" s="38"/>
      <c r="Q674" s="12" t="str">
        <f t="shared" si="2"/>
        <v/>
      </c>
      <c r="R674" s="42"/>
      <c r="S674" s="42"/>
      <c r="T674" s="42"/>
      <c r="U674" s="51"/>
      <c r="V674" s="52"/>
      <c r="W674" s="55"/>
      <c r="X674" s="57"/>
      <c r="Y674" s="106"/>
      <c r="Z674" s="106"/>
      <c r="AA674" s="106"/>
      <c r="AB674" s="106"/>
    </row>
    <row r="675">
      <c r="A675" s="38">
        <v>674.0</v>
      </c>
      <c r="B675" s="42"/>
      <c r="C675" s="51"/>
      <c r="D675" s="38"/>
      <c r="E675" s="38" t="s">
        <v>2263</v>
      </c>
      <c r="F675" s="41" t="s">
        <v>2264</v>
      </c>
      <c r="G675" s="43"/>
      <c r="H675" s="45"/>
      <c r="I675" s="38"/>
      <c r="J675" s="38">
        <f>1.8*1000</f>
        <v>1800</v>
      </c>
      <c r="K675" s="46">
        <v>0.003958333333333334</v>
      </c>
      <c r="L675" s="47" t="s">
        <v>2262</v>
      </c>
      <c r="M675" s="48"/>
      <c r="N675" s="48"/>
      <c r="O675" s="48">
        <f t="shared" si="1"/>
        <v>0</v>
      </c>
      <c r="P675" s="38"/>
      <c r="Q675" s="12" t="str">
        <f t="shared" si="2"/>
        <v/>
      </c>
      <c r="R675" s="42"/>
      <c r="S675" s="42"/>
      <c r="T675" s="42"/>
      <c r="U675" s="51"/>
      <c r="V675" s="52"/>
      <c r="W675" s="55"/>
      <c r="X675" s="57"/>
      <c r="Y675" s="106"/>
      <c r="Z675" s="106"/>
      <c r="AA675" s="106"/>
      <c r="AB675" s="106"/>
    </row>
    <row r="676">
      <c r="A676" s="38">
        <v>675.0</v>
      </c>
      <c r="B676" s="42"/>
      <c r="C676" s="51"/>
      <c r="D676" s="38"/>
      <c r="E676" s="38" t="s">
        <v>2265</v>
      </c>
      <c r="F676" s="41" t="s">
        <v>2266</v>
      </c>
      <c r="G676" s="43"/>
      <c r="H676" s="45"/>
      <c r="I676" s="38"/>
      <c r="J676" s="38">
        <f>2.3*1000</f>
        <v>2300</v>
      </c>
      <c r="K676" s="46">
        <v>0.0630787037037037</v>
      </c>
      <c r="L676" s="47" t="s">
        <v>2262</v>
      </c>
      <c r="M676" s="48"/>
      <c r="N676" s="48"/>
      <c r="O676" s="48">
        <f t="shared" si="1"/>
        <v>0</v>
      </c>
      <c r="P676" s="38"/>
      <c r="Q676" s="12" t="str">
        <f t="shared" si="2"/>
        <v/>
      </c>
      <c r="R676" s="42"/>
      <c r="S676" s="42"/>
      <c r="T676" s="42"/>
      <c r="U676" s="51"/>
      <c r="V676" s="52"/>
      <c r="W676" s="55"/>
      <c r="X676" s="57"/>
      <c r="Y676" s="106"/>
      <c r="Z676" s="106"/>
      <c r="AA676" s="106"/>
      <c r="AB676" s="106"/>
    </row>
    <row r="677">
      <c r="A677" s="38">
        <v>676.0</v>
      </c>
      <c r="B677" s="42"/>
      <c r="C677" s="51"/>
      <c r="D677" s="38"/>
      <c r="E677" s="38" t="s">
        <v>2267</v>
      </c>
      <c r="F677" s="41" t="s">
        <v>2268</v>
      </c>
      <c r="G677" s="43"/>
      <c r="H677" s="45"/>
      <c r="I677" s="38"/>
      <c r="J677" s="38">
        <f>1.2*1000</f>
        <v>1200</v>
      </c>
      <c r="K677" s="46">
        <v>0.06527777777777778</v>
      </c>
      <c r="L677" s="47" t="s">
        <v>2262</v>
      </c>
      <c r="M677" s="48"/>
      <c r="N677" s="48"/>
      <c r="O677" s="48">
        <f t="shared" si="1"/>
        <v>0</v>
      </c>
      <c r="P677" s="38"/>
      <c r="Q677" s="12" t="str">
        <f t="shared" si="2"/>
        <v/>
      </c>
      <c r="R677" s="42"/>
      <c r="S677" s="42"/>
      <c r="T677" s="42"/>
      <c r="U677" s="51"/>
      <c r="V677" s="52"/>
      <c r="W677" s="55"/>
      <c r="X677" s="57"/>
      <c r="Y677" s="106"/>
      <c r="Z677" s="106"/>
      <c r="AA677" s="106"/>
      <c r="AB677" s="106"/>
    </row>
    <row r="678">
      <c r="A678" s="38">
        <v>677.0</v>
      </c>
      <c r="B678" s="42"/>
      <c r="C678" s="51"/>
      <c r="D678" s="38"/>
      <c r="E678" s="38" t="s">
        <v>2269</v>
      </c>
      <c r="F678" s="41" t="s">
        <v>2270</v>
      </c>
      <c r="G678" s="43"/>
      <c r="H678" s="45"/>
      <c r="I678" s="38"/>
      <c r="J678" s="38">
        <f>3.7*1000</f>
        <v>3700</v>
      </c>
      <c r="K678" s="46">
        <v>0.03770833333333333</v>
      </c>
      <c r="L678" s="47" t="s">
        <v>2262</v>
      </c>
      <c r="M678" s="48"/>
      <c r="N678" s="48"/>
      <c r="O678" s="48">
        <f t="shared" si="1"/>
        <v>0</v>
      </c>
      <c r="P678" s="38"/>
      <c r="Q678" s="12" t="str">
        <f t="shared" si="2"/>
        <v/>
      </c>
      <c r="R678" s="42"/>
      <c r="S678" s="42"/>
      <c r="T678" s="42"/>
      <c r="U678" s="51"/>
      <c r="V678" s="52"/>
      <c r="W678" s="55"/>
      <c r="X678" s="57"/>
      <c r="Y678" s="106"/>
      <c r="Z678" s="106"/>
      <c r="AA678" s="106"/>
      <c r="AB678" s="106"/>
    </row>
    <row r="679">
      <c r="A679" s="38">
        <v>678.0</v>
      </c>
      <c r="B679" s="42"/>
      <c r="C679" s="51"/>
      <c r="D679" s="38"/>
      <c r="E679" s="38" t="s">
        <v>2271</v>
      </c>
      <c r="F679" s="41" t="s">
        <v>2272</v>
      </c>
      <c r="G679" s="43"/>
      <c r="H679" s="45"/>
      <c r="I679" s="38"/>
      <c r="J679" s="38">
        <f>6.7*1000</f>
        <v>6700</v>
      </c>
      <c r="K679" s="46">
        <v>0.027349537037037037</v>
      </c>
      <c r="L679" s="47" t="s">
        <v>2262</v>
      </c>
      <c r="M679" s="48"/>
      <c r="N679" s="48"/>
      <c r="O679" s="48">
        <f t="shared" si="1"/>
        <v>0</v>
      </c>
      <c r="P679" s="38"/>
      <c r="Q679" s="12" t="str">
        <f t="shared" si="2"/>
        <v/>
      </c>
      <c r="R679" s="42"/>
      <c r="S679" s="42"/>
      <c r="T679" s="42"/>
      <c r="U679" s="51"/>
      <c r="V679" s="52"/>
      <c r="W679" s="55"/>
      <c r="X679" s="57"/>
      <c r="Y679" s="106"/>
      <c r="Z679" s="106"/>
      <c r="AA679" s="106"/>
      <c r="AB679" s="106"/>
    </row>
    <row r="680">
      <c r="A680" s="38">
        <v>679.0</v>
      </c>
      <c r="B680" s="42"/>
      <c r="C680" s="51"/>
      <c r="D680" s="38"/>
      <c r="E680" s="38" t="s">
        <v>2273</v>
      </c>
      <c r="F680" s="41" t="s">
        <v>2274</v>
      </c>
      <c r="G680" s="43"/>
      <c r="H680" s="45"/>
      <c r="I680" s="38"/>
      <c r="J680" s="38">
        <f>3.7*1000</f>
        <v>3700</v>
      </c>
      <c r="K680" s="46">
        <v>0.028599537037037034</v>
      </c>
      <c r="L680" s="47" t="s">
        <v>2262</v>
      </c>
      <c r="M680" s="48"/>
      <c r="N680" s="48"/>
      <c r="O680" s="48">
        <f t="shared" si="1"/>
        <v>0</v>
      </c>
      <c r="P680" s="38"/>
      <c r="Q680" s="12" t="str">
        <f t="shared" si="2"/>
        <v/>
      </c>
      <c r="R680" s="42"/>
      <c r="S680" s="42"/>
      <c r="T680" s="42"/>
      <c r="U680" s="51"/>
      <c r="V680" s="52"/>
      <c r="W680" s="55"/>
      <c r="X680" s="57"/>
      <c r="Y680" s="106"/>
      <c r="Z680" s="106"/>
      <c r="AA680" s="106"/>
      <c r="AB680" s="106"/>
    </row>
    <row r="681">
      <c r="A681" s="38">
        <v>680.0</v>
      </c>
      <c r="B681" s="42"/>
      <c r="C681" s="51"/>
      <c r="D681" s="38"/>
      <c r="E681" s="38" t="s">
        <v>2275</v>
      </c>
      <c r="F681" s="41" t="s">
        <v>2276</v>
      </c>
      <c r="G681" s="43"/>
      <c r="H681" s="45"/>
      <c r="I681" s="38"/>
      <c r="J681" s="38">
        <f>6.5*1000</f>
        <v>6500</v>
      </c>
      <c r="K681" s="46">
        <v>0.022685185185185183</v>
      </c>
      <c r="L681" s="47" t="s">
        <v>2262</v>
      </c>
      <c r="M681" s="48"/>
      <c r="N681" s="48"/>
      <c r="O681" s="48">
        <f t="shared" si="1"/>
        <v>0</v>
      </c>
      <c r="P681" s="38"/>
      <c r="Q681" s="12" t="str">
        <f t="shared" si="2"/>
        <v/>
      </c>
      <c r="R681" s="42"/>
      <c r="S681" s="42"/>
      <c r="T681" s="42"/>
      <c r="U681" s="51"/>
      <c r="V681" s="52"/>
      <c r="W681" s="55"/>
      <c r="X681" s="57"/>
      <c r="Y681" s="106"/>
      <c r="Z681" s="106"/>
      <c r="AA681" s="106"/>
      <c r="AB681" s="106"/>
    </row>
    <row r="682">
      <c r="A682" s="38">
        <v>681.0</v>
      </c>
      <c r="B682" s="42"/>
      <c r="C682" s="51"/>
      <c r="D682" s="38"/>
      <c r="E682" s="38" t="s">
        <v>2277</v>
      </c>
      <c r="F682" s="41" t="s">
        <v>2278</v>
      </c>
      <c r="G682" s="43"/>
      <c r="H682" s="45"/>
      <c r="I682" s="38"/>
      <c r="J682" s="38">
        <f>2.9*1000</f>
        <v>2900</v>
      </c>
      <c r="K682" s="46">
        <v>0.02888888888888889</v>
      </c>
      <c r="L682" s="47" t="s">
        <v>2262</v>
      </c>
      <c r="M682" s="48"/>
      <c r="N682" s="48"/>
      <c r="O682" s="48">
        <f t="shared" si="1"/>
        <v>0</v>
      </c>
      <c r="P682" s="38"/>
      <c r="Q682" s="12" t="str">
        <f t="shared" si="2"/>
        <v/>
      </c>
      <c r="R682" s="42"/>
      <c r="S682" s="42"/>
      <c r="T682" s="42"/>
      <c r="U682" s="51"/>
      <c r="V682" s="52"/>
      <c r="W682" s="55"/>
      <c r="X682" s="57"/>
      <c r="Y682" s="106"/>
      <c r="Z682" s="106"/>
      <c r="AA682" s="106"/>
      <c r="AB682" s="106"/>
    </row>
    <row r="683">
      <c r="A683" s="38">
        <v>682.0</v>
      </c>
      <c r="B683" s="42"/>
      <c r="C683" s="51"/>
      <c r="D683" s="38"/>
      <c r="E683" s="38" t="s">
        <v>2279</v>
      </c>
      <c r="F683" s="41" t="s">
        <v>2280</v>
      </c>
      <c r="G683" s="43"/>
      <c r="H683" s="45"/>
      <c r="I683" s="38"/>
      <c r="J683" s="38">
        <f>2.1*1000</f>
        <v>2100</v>
      </c>
      <c r="K683" s="46">
        <v>0.026261574074074076</v>
      </c>
      <c r="L683" s="47" t="s">
        <v>2262</v>
      </c>
      <c r="M683" s="48"/>
      <c r="N683" s="48"/>
      <c r="O683" s="48">
        <f t="shared" si="1"/>
        <v>0</v>
      </c>
      <c r="P683" s="38"/>
      <c r="Q683" s="12" t="str">
        <f t="shared" si="2"/>
        <v/>
      </c>
      <c r="R683" s="42"/>
      <c r="S683" s="42"/>
      <c r="T683" s="42"/>
      <c r="U683" s="51"/>
      <c r="V683" s="52"/>
      <c r="W683" s="55"/>
      <c r="X683" s="57"/>
      <c r="Y683" s="106"/>
      <c r="Z683" s="106"/>
      <c r="AA683" s="106"/>
      <c r="AB683" s="106"/>
    </row>
    <row r="684">
      <c r="A684" s="38">
        <v>683.0</v>
      </c>
      <c r="B684" s="42"/>
      <c r="C684" s="51"/>
      <c r="D684" s="38"/>
      <c r="E684" s="38" t="s">
        <v>2281</v>
      </c>
      <c r="F684" s="41" t="s">
        <v>2282</v>
      </c>
      <c r="G684" s="43"/>
      <c r="H684" s="45"/>
      <c r="I684" s="38"/>
      <c r="J684" s="38">
        <f>3*1000</f>
        <v>3000</v>
      </c>
      <c r="K684" s="46">
        <v>0.015324074074074073</v>
      </c>
      <c r="L684" s="47" t="s">
        <v>2262</v>
      </c>
      <c r="M684" s="48"/>
      <c r="N684" s="48"/>
      <c r="O684" s="48">
        <f t="shared" si="1"/>
        <v>0</v>
      </c>
      <c r="P684" s="38"/>
      <c r="Q684" s="12" t="str">
        <f t="shared" si="2"/>
        <v/>
      </c>
      <c r="R684" s="42"/>
      <c r="S684" s="42"/>
      <c r="T684" s="42"/>
      <c r="U684" s="51"/>
      <c r="V684" s="52"/>
      <c r="W684" s="55"/>
      <c r="X684" s="57"/>
      <c r="Y684" s="106"/>
      <c r="Z684" s="106"/>
      <c r="AA684" s="106"/>
      <c r="AB684" s="106"/>
    </row>
    <row r="685">
      <c r="A685" s="38">
        <v>684.0</v>
      </c>
      <c r="B685" s="42"/>
      <c r="C685" s="51"/>
      <c r="D685" s="38"/>
      <c r="E685" s="38" t="s">
        <v>2283</v>
      </c>
      <c r="F685" s="41" t="s">
        <v>2284</v>
      </c>
      <c r="G685" s="43"/>
      <c r="H685" s="45"/>
      <c r="I685" s="38"/>
      <c r="J685" s="38">
        <f>5.4*1000</f>
        <v>5400</v>
      </c>
      <c r="K685" s="46">
        <v>0.01958333333333333</v>
      </c>
      <c r="L685" s="47" t="s">
        <v>2262</v>
      </c>
      <c r="M685" s="48"/>
      <c r="N685" s="48"/>
      <c r="O685" s="48">
        <f t="shared" si="1"/>
        <v>0</v>
      </c>
      <c r="P685" s="38"/>
      <c r="Q685" s="12" t="str">
        <f t="shared" si="2"/>
        <v/>
      </c>
      <c r="R685" s="42"/>
      <c r="S685" s="42"/>
      <c r="T685" s="42"/>
      <c r="U685" s="51"/>
      <c r="V685" s="52"/>
      <c r="W685" s="55"/>
      <c r="X685" s="57"/>
      <c r="Y685" s="106"/>
      <c r="Z685" s="106"/>
      <c r="AA685" s="106"/>
      <c r="AB685" s="106"/>
    </row>
    <row r="686">
      <c r="A686" s="38">
        <v>685.0</v>
      </c>
      <c r="B686" s="42"/>
      <c r="C686" s="51"/>
      <c r="D686" s="38"/>
      <c r="E686" s="38" t="s">
        <v>2285</v>
      </c>
      <c r="F686" s="41" t="s">
        <v>2286</v>
      </c>
      <c r="G686" s="43"/>
      <c r="H686" s="45"/>
      <c r="I686" s="38"/>
      <c r="J686" s="38">
        <f>3.3*1000</f>
        <v>3300</v>
      </c>
      <c r="K686" s="46">
        <v>0.01633101851851852</v>
      </c>
      <c r="L686" s="47" t="s">
        <v>2262</v>
      </c>
      <c r="M686" s="48"/>
      <c r="N686" s="48"/>
      <c r="O686" s="48">
        <f t="shared" si="1"/>
        <v>0</v>
      </c>
      <c r="P686" s="38"/>
      <c r="Q686" s="12" t="str">
        <f t="shared" si="2"/>
        <v/>
      </c>
      <c r="R686" s="42"/>
      <c r="S686" s="42"/>
      <c r="T686" s="42"/>
      <c r="U686" s="51"/>
      <c r="V686" s="52"/>
      <c r="W686" s="55"/>
      <c r="X686" s="57"/>
      <c r="Y686" s="106"/>
      <c r="Z686" s="106"/>
      <c r="AA686" s="106"/>
      <c r="AB686" s="106"/>
    </row>
    <row r="687">
      <c r="A687" s="38">
        <v>686.0</v>
      </c>
      <c r="B687" s="42"/>
      <c r="C687" s="51"/>
      <c r="D687" s="38"/>
      <c r="E687" s="38" t="s">
        <v>2287</v>
      </c>
      <c r="F687" s="41" t="s">
        <v>2288</v>
      </c>
      <c r="G687" s="43"/>
      <c r="H687" s="45"/>
      <c r="I687" s="38"/>
      <c r="J687" s="38">
        <f>2.6*1000</f>
        <v>2600</v>
      </c>
      <c r="K687" s="46">
        <v>0.021944444444444447</v>
      </c>
      <c r="L687" s="47" t="s">
        <v>2262</v>
      </c>
      <c r="M687" s="48"/>
      <c r="N687" s="48"/>
      <c r="O687" s="48">
        <f t="shared" si="1"/>
        <v>0</v>
      </c>
      <c r="P687" s="38"/>
      <c r="Q687" s="12" t="str">
        <f t="shared" si="2"/>
        <v/>
      </c>
      <c r="R687" s="42"/>
      <c r="S687" s="42"/>
      <c r="T687" s="42"/>
      <c r="U687" s="51"/>
      <c r="V687" s="52"/>
      <c r="W687" s="55"/>
      <c r="X687" s="57"/>
      <c r="Y687" s="106"/>
      <c r="Z687" s="106"/>
      <c r="AA687" s="106"/>
      <c r="AB687" s="106"/>
    </row>
    <row r="688">
      <c r="A688" s="38">
        <v>687.0</v>
      </c>
      <c r="B688" s="42"/>
      <c r="C688" s="51"/>
      <c r="D688" s="38"/>
      <c r="E688" s="38" t="s">
        <v>2289</v>
      </c>
      <c r="F688" s="41" t="s">
        <v>2290</v>
      </c>
      <c r="G688" s="43"/>
      <c r="H688" s="45"/>
      <c r="I688" s="38"/>
      <c r="J688" s="38">
        <f>5.8*1000</f>
        <v>5800</v>
      </c>
      <c r="K688" s="46">
        <v>0.006122685185185185</v>
      </c>
      <c r="L688" s="47" t="s">
        <v>2262</v>
      </c>
      <c r="M688" s="48"/>
      <c r="N688" s="48"/>
      <c r="O688" s="48">
        <f t="shared" si="1"/>
        <v>0</v>
      </c>
      <c r="P688" s="38"/>
      <c r="Q688" s="12" t="str">
        <f t="shared" si="2"/>
        <v/>
      </c>
      <c r="R688" s="42"/>
      <c r="S688" s="42"/>
      <c r="T688" s="42"/>
      <c r="U688" s="51"/>
      <c r="V688" s="52"/>
      <c r="W688" s="55"/>
      <c r="X688" s="57"/>
      <c r="Y688" s="106"/>
      <c r="Z688" s="106"/>
      <c r="AA688" s="106"/>
      <c r="AB688" s="106"/>
    </row>
    <row r="689">
      <c r="A689" s="38">
        <v>688.0</v>
      </c>
      <c r="B689" s="42"/>
      <c r="C689" s="51"/>
      <c r="D689" s="38"/>
      <c r="E689" s="38" t="s">
        <v>2291</v>
      </c>
      <c r="F689" s="41" t="s">
        <v>2292</v>
      </c>
      <c r="G689" s="43"/>
      <c r="H689" s="45"/>
      <c r="I689" s="38"/>
      <c r="J689" s="38">
        <f>12*1000</f>
        <v>12000</v>
      </c>
      <c r="K689" s="46">
        <v>0.007905092592592592</v>
      </c>
      <c r="L689" s="47" t="s">
        <v>2262</v>
      </c>
      <c r="M689" s="48"/>
      <c r="N689" s="48"/>
      <c r="O689" s="48">
        <f t="shared" si="1"/>
        <v>0</v>
      </c>
      <c r="P689" s="38"/>
      <c r="Q689" s="12" t="str">
        <f t="shared" si="2"/>
        <v/>
      </c>
      <c r="R689" s="42"/>
      <c r="S689" s="42"/>
      <c r="T689" s="42"/>
      <c r="U689" s="51"/>
      <c r="V689" s="52"/>
      <c r="W689" s="55"/>
      <c r="X689" s="57"/>
      <c r="Y689" s="106"/>
      <c r="Z689" s="106"/>
      <c r="AA689" s="106"/>
      <c r="AB689" s="106"/>
    </row>
    <row r="690">
      <c r="A690" s="38">
        <v>689.0</v>
      </c>
      <c r="B690" s="42"/>
      <c r="C690" s="51"/>
      <c r="D690" s="38"/>
      <c r="E690" s="38" t="s">
        <v>2293</v>
      </c>
      <c r="F690" s="41" t="s">
        <v>2294</v>
      </c>
      <c r="G690" s="43"/>
      <c r="H690" s="45"/>
      <c r="I690" s="38"/>
      <c r="J690" s="38">
        <f>4.8*1000</f>
        <v>4800</v>
      </c>
      <c r="K690" s="46">
        <v>0.0031134259259259257</v>
      </c>
      <c r="L690" s="47" t="s">
        <v>2262</v>
      </c>
      <c r="M690" s="48"/>
      <c r="N690" s="48"/>
      <c r="O690" s="48">
        <f t="shared" si="1"/>
        <v>0</v>
      </c>
      <c r="P690" s="38"/>
      <c r="Q690" s="12" t="str">
        <f t="shared" si="2"/>
        <v/>
      </c>
      <c r="R690" s="42"/>
      <c r="S690" s="42"/>
      <c r="T690" s="42"/>
      <c r="U690" s="51"/>
      <c r="V690" s="52"/>
      <c r="W690" s="55"/>
      <c r="X690" s="57"/>
      <c r="Y690" s="106"/>
      <c r="Z690" s="106"/>
      <c r="AA690" s="106"/>
      <c r="AB690" s="106"/>
    </row>
    <row r="691">
      <c r="A691" s="38">
        <v>690.0</v>
      </c>
      <c r="B691" s="42"/>
      <c r="C691" s="51"/>
      <c r="D691" s="38"/>
      <c r="E691" s="38" t="s">
        <v>2295</v>
      </c>
      <c r="F691" s="41" t="s">
        <v>2296</v>
      </c>
      <c r="G691" s="43"/>
      <c r="H691" s="45"/>
      <c r="I691" s="38"/>
      <c r="J691" s="38">
        <f>9.1*1000</f>
        <v>9100</v>
      </c>
      <c r="K691" s="46">
        <v>0.03210648148148148</v>
      </c>
      <c r="L691" s="47" t="s">
        <v>2262</v>
      </c>
      <c r="M691" s="48"/>
      <c r="N691" s="48"/>
      <c r="O691" s="48">
        <f t="shared" si="1"/>
        <v>0</v>
      </c>
      <c r="P691" s="38"/>
      <c r="Q691" s="12" t="str">
        <f t="shared" si="2"/>
        <v/>
      </c>
      <c r="R691" s="42"/>
      <c r="S691" s="42"/>
      <c r="T691" s="42"/>
      <c r="U691" s="51"/>
      <c r="V691" s="52"/>
      <c r="W691" s="55"/>
      <c r="X691" s="57"/>
      <c r="Y691" s="106"/>
      <c r="Z691" s="106"/>
      <c r="AA691" s="106"/>
      <c r="AB691" s="106"/>
    </row>
    <row r="692">
      <c r="A692" s="38">
        <v>691.0</v>
      </c>
      <c r="B692" s="42"/>
      <c r="C692" s="51"/>
      <c r="D692" s="38"/>
      <c r="E692" s="38" t="s">
        <v>2297</v>
      </c>
      <c r="F692" s="41" t="s">
        <v>2298</v>
      </c>
      <c r="G692" s="43"/>
      <c r="H692" s="45"/>
      <c r="I692" s="38"/>
      <c r="J692" s="38">
        <f>24*1000</f>
        <v>24000</v>
      </c>
      <c r="K692" s="46">
        <v>0.044583333333333336</v>
      </c>
      <c r="L692" s="47" t="s">
        <v>2262</v>
      </c>
      <c r="M692" s="48"/>
      <c r="N692" s="48"/>
      <c r="O692" s="48">
        <f t="shared" si="1"/>
        <v>0</v>
      </c>
      <c r="P692" s="38"/>
      <c r="Q692" s="12" t="str">
        <f t="shared" si="2"/>
        <v/>
      </c>
      <c r="R692" s="42"/>
      <c r="S692" s="42"/>
      <c r="T692" s="42"/>
      <c r="U692" s="51"/>
      <c r="V692" s="52"/>
      <c r="W692" s="55"/>
      <c r="X692" s="57"/>
      <c r="Y692" s="106"/>
      <c r="Z692" s="106"/>
      <c r="AA692" s="106"/>
      <c r="AB692" s="106"/>
    </row>
    <row r="693">
      <c r="A693" s="38">
        <v>692.0</v>
      </c>
      <c r="B693" s="42"/>
      <c r="C693" s="51"/>
      <c r="D693" s="38"/>
      <c r="E693" s="38" t="s">
        <v>2299</v>
      </c>
      <c r="F693" s="41" t="s">
        <v>2300</v>
      </c>
      <c r="G693" s="43"/>
      <c r="H693" s="45"/>
      <c r="I693" s="38"/>
      <c r="J693" s="38">
        <f>4.9*1000</f>
        <v>4900</v>
      </c>
      <c r="K693" s="46">
        <v>0.028055555555555556</v>
      </c>
      <c r="L693" s="47" t="s">
        <v>2262</v>
      </c>
      <c r="M693" s="48"/>
      <c r="N693" s="48"/>
      <c r="O693" s="48">
        <f t="shared" si="1"/>
        <v>0</v>
      </c>
      <c r="P693" s="38"/>
      <c r="Q693" s="12" t="str">
        <f t="shared" si="2"/>
        <v/>
      </c>
      <c r="R693" s="42"/>
      <c r="S693" s="42"/>
      <c r="T693" s="42"/>
      <c r="U693" s="51"/>
      <c r="V693" s="52"/>
      <c r="W693" s="55"/>
      <c r="X693" s="57"/>
      <c r="Y693" s="106"/>
      <c r="Z693" s="106"/>
      <c r="AA693" s="106"/>
      <c r="AB693" s="106"/>
    </row>
    <row r="694">
      <c r="A694" s="38">
        <v>693.0</v>
      </c>
      <c r="B694" s="42"/>
      <c r="C694" s="51"/>
      <c r="D694" s="38"/>
      <c r="E694" s="38" t="s">
        <v>2301</v>
      </c>
      <c r="F694" s="41" t="s">
        <v>2302</v>
      </c>
      <c r="G694" s="43"/>
      <c r="H694" s="45"/>
      <c r="I694" s="38"/>
      <c r="J694" s="38">
        <f>5.3*1000</f>
        <v>5300</v>
      </c>
      <c r="K694" s="46">
        <v>0.014733796296296295</v>
      </c>
      <c r="L694" s="47" t="s">
        <v>2262</v>
      </c>
      <c r="M694" s="48"/>
      <c r="N694" s="48"/>
      <c r="O694" s="48">
        <f t="shared" si="1"/>
        <v>0</v>
      </c>
      <c r="P694" s="38"/>
      <c r="Q694" s="12" t="str">
        <f t="shared" si="2"/>
        <v/>
      </c>
      <c r="R694" s="42"/>
      <c r="S694" s="42"/>
      <c r="T694" s="42"/>
      <c r="U694" s="51"/>
      <c r="V694" s="52"/>
      <c r="W694" s="55"/>
      <c r="X694" s="57"/>
      <c r="Y694" s="106"/>
      <c r="Z694" s="106"/>
      <c r="AA694" s="106"/>
      <c r="AB694" s="106"/>
    </row>
    <row r="695">
      <c r="A695" s="38">
        <v>694.0</v>
      </c>
      <c r="B695" s="42"/>
      <c r="C695" s="51"/>
      <c r="D695" s="38"/>
      <c r="E695" s="38" t="s">
        <v>2303</v>
      </c>
      <c r="F695" s="41" t="s">
        <v>2304</v>
      </c>
      <c r="G695" s="43"/>
      <c r="H695" s="45"/>
      <c r="I695" s="38"/>
      <c r="J695" s="38">
        <f>18*1000</f>
        <v>18000</v>
      </c>
      <c r="K695" s="46">
        <v>0.033402777777777774</v>
      </c>
      <c r="L695" s="47" t="s">
        <v>1170</v>
      </c>
      <c r="M695" s="48"/>
      <c r="N695" s="48"/>
      <c r="O695" s="48">
        <f t="shared" si="1"/>
        <v>0</v>
      </c>
      <c r="P695" s="38"/>
      <c r="Q695" s="12" t="str">
        <f t="shared" si="2"/>
        <v/>
      </c>
      <c r="R695" s="42"/>
      <c r="S695" s="42"/>
      <c r="T695" s="42"/>
      <c r="U695" s="51"/>
      <c r="V695" s="52"/>
      <c r="W695" s="55"/>
      <c r="X695" s="57"/>
      <c r="Y695" s="106"/>
      <c r="Z695" s="106"/>
      <c r="AA695" s="106"/>
      <c r="AB695" s="106"/>
    </row>
    <row r="696">
      <c r="A696" s="38">
        <v>695.0</v>
      </c>
      <c r="B696" s="42"/>
      <c r="C696" s="51"/>
      <c r="D696" s="38"/>
      <c r="E696" s="38" t="s">
        <v>2305</v>
      </c>
      <c r="F696" s="41" t="s">
        <v>2306</v>
      </c>
      <c r="G696" s="43"/>
      <c r="H696" s="45"/>
      <c r="I696" s="38"/>
      <c r="J696" s="38">
        <f>9.1*1000</f>
        <v>9100</v>
      </c>
      <c r="K696" s="46">
        <v>0.04234953703703703</v>
      </c>
      <c r="L696" s="47" t="s">
        <v>1170</v>
      </c>
      <c r="M696" s="48"/>
      <c r="N696" s="48"/>
      <c r="O696" s="48">
        <f t="shared" si="1"/>
        <v>0</v>
      </c>
      <c r="P696" s="38"/>
      <c r="Q696" s="12" t="str">
        <f t="shared" si="2"/>
        <v/>
      </c>
      <c r="R696" s="42"/>
      <c r="S696" s="42"/>
      <c r="T696" s="42"/>
      <c r="U696" s="51"/>
      <c r="V696" s="52"/>
      <c r="W696" s="55"/>
      <c r="X696" s="57"/>
      <c r="Y696" s="106"/>
      <c r="Z696" s="106"/>
      <c r="AA696" s="106"/>
      <c r="AB696" s="106"/>
    </row>
    <row r="697">
      <c r="A697" s="38">
        <v>696.0</v>
      </c>
      <c r="B697" s="63" t="s">
        <v>516</v>
      </c>
      <c r="C697" s="51"/>
      <c r="D697" s="38"/>
      <c r="E697" s="38" t="s">
        <v>2307</v>
      </c>
      <c r="F697" s="41" t="s">
        <v>2308</v>
      </c>
      <c r="G697" s="43"/>
      <c r="H697" s="45"/>
      <c r="I697" s="38"/>
      <c r="J697" s="38">
        <f>10*1000</f>
        <v>10000</v>
      </c>
      <c r="K697" s="46">
        <v>0.021979166666666664</v>
      </c>
      <c r="L697" s="47" t="s">
        <v>1170</v>
      </c>
      <c r="M697" s="48"/>
      <c r="N697" s="48"/>
      <c r="O697" s="48">
        <f t="shared" si="1"/>
        <v>0</v>
      </c>
      <c r="P697" s="38"/>
      <c r="Q697" s="12" t="str">
        <f t="shared" si="2"/>
        <v/>
      </c>
      <c r="R697" s="42"/>
      <c r="S697" s="42"/>
      <c r="T697" s="42"/>
      <c r="U697" s="51"/>
      <c r="V697" s="52"/>
      <c r="W697" s="55"/>
      <c r="X697" s="57"/>
      <c r="Y697" s="106"/>
      <c r="Z697" s="106"/>
      <c r="AA697" s="106"/>
      <c r="AB697" s="106"/>
    </row>
    <row r="698">
      <c r="A698" s="38">
        <v>697.0</v>
      </c>
      <c r="B698" s="42"/>
      <c r="C698" s="51"/>
      <c r="D698" s="38"/>
      <c r="E698" s="38" t="s">
        <v>2309</v>
      </c>
      <c r="F698" s="41" t="s">
        <v>2310</v>
      </c>
      <c r="G698" s="43"/>
      <c r="H698" s="45"/>
      <c r="I698" s="38"/>
      <c r="J698" s="38">
        <f>3.7*1000</f>
        <v>3700</v>
      </c>
      <c r="K698" s="46">
        <v>0.0017824074074074072</v>
      </c>
      <c r="L698" s="47" t="s">
        <v>1170</v>
      </c>
      <c r="M698" s="48"/>
      <c r="N698" s="48"/>
      <c r="O698" s="48">
        <f t="shared" si="1"/>
        <v>0</v>
      </c>
      <c r="P698" s="38"/>
      <c r="Q698" s="12" t="str">
        <f t="shared" si="2"/>
        <v/>
      </c>
      <c r="R698" s="42"/>
      <c r="S698" s="42"/>
      <c r="T698" s="42"/>
      <c r="U698" s="51"/>
      <c r="V698" s="52"/>
      <c r="W698" s="55"/>
      <c r="X698" s="57"/>
      <c r="Y698" s="106"/>
      <c r="Z698" s="106"/>
      <c r="AA698" s="106"/>
      <c r="AB698" s="106"/>
    </row>
    <row r="699">
      <c r="A699" s="38">
        <v>698.0</v>
      </c>
      <c r="B699" s="42"/>
      <c r="C699" s="51"/>
      <c r="D699" s="38"/>
      <c r="E699" s="38" t="s">
        <v>2311</v>
      </c>
      <c r="F699" s="41" t="s">
        <v>2312</v>
      </c>
      <c r="G699" s="43"/>
      <c r="H699" s="45"/>
      <c r="I699" s="38"/>
      <c r="J699" s="38">
        <f t="shared" ref="J699:J700" si="14">16*1000</f>
        <v>16000</v>
      </c>
      <c r="K699" s="46">
        <v>0.038483796296296294</v>
      </c>
      <c r="L699" s="47" t="s">
        <v>1170</v>
      </c>
      <c r="M699" s="48"/>
      <c r="N699" s="48"/>
      <c r="O699" s="48">
        <f t="shared" si="1"/>
        <v>0</v>
      </c>
      <c r="P699" s="38"/>
      <c r="Q699" s="12" t="str">
        <f t="shared" si="2"/>
        <v/>
      </c>
      <c r="R699" s="42"/>
      <c r="S699" s="42"/>
      <c r="T699" s="42"/>
      <c r="U699" s="51"/>
      <c r="V699" s="52"/>
      <c r="W699" s="55"/>
      <c r="X699" s="57"/>
      <c r="Y699" s="106"/>
      <c r="Z699" s="106"/>
      <c r="AA699" s="106"/>
      <c r="AB699" s="106"/>
    </row>
    <row r="700">
      <c r="A700" s="38">
        <v>699.0</v>
      </c>
      <c r="B700" s="42"/>
      <c r="C700" s="51"/>
      <c r="D700" s="38"/>
      <c r="E700" s="38" t="s">
        <v>2313</v>
      </c>
      <c r="F700" s="41" t="s">
        <v>2314</v>
      </c>
      <c r="G700" s="43"/>
      <c r="H700" s="45"/>
      <c r="I700" s="38"/>
      <c r="J700" s="38">
        <f t="shared" si="14"/>
        <v>16000</v>
      </c>
      <c r="K700" s="46">
        <v>0.035312500000000004</v>
      </c>
      <c r="L700" s="47" t="s">
        <v>1170</v>
      </c>
      <c r="M700" s="48"/>
      <c r="N700" s="48"/>
      <c r="O700" s="48">
        <f t="shared" si="1"/>
        <v>0</v>
      </c>
      <c r="P700" s="38"/>
      <c r="Q700" s="12" t="str">
        <f t="shared" si="2"/>
        <v/>
      </c>
      <c r="R700" s="42"/>
      <c r="S700" s="42"/>
      <c r="T700" s="42"/>
      <c r="U700" s="51"/>
      <c r="V700" s="52"/>
      <c r="W700" s="55"/>
      <c r="X700" s="57"/>
      <c r="Y700" s="106"/>
      <c r="Z700" s="106"/>
      <c r="AA700" s="106"/>
      <c r="AB700" s="106"/>
    </row>
    <row r="701">
      <c r="A701" s="38">
        <v>700.0</v>
      </c>
      <c r="B701" s="63" t="s">
        <v>619</v>
      </c>
      <c r="C701" s="51"/>
      <c r="D701" s="38"/>
      <c r="E701" s="38" t="s">
        <v>1167</v>
      </c>
      <c r="F701" s="41" t="s">
        <v>1168</v>
      </c>
      <c r="G701" s="43"/>
      <c r="H701" s="45"/>
      <c r="I701" s="38"/>
      <c r="J701" s="38">
        <f>12*1000</f>
        <v>12000</v>
      </c>
      <c r="K701" s="46">
        <v>0.027951388888888887</v>
      </c>
      <c r="L701" s="47" t="s">
        <v>1170</v>
      </c>
      <c r="M701" s="48"/>
      <c r="N701" s="48"/>
      <c r="O701" s="48">
        <f t="shared" si="1"/>
        <v>0</v>
      </c>
      <c r="P701" s="38"/>
      <c r="Q701" s="12" t="str">
        <f t="shared" si="2"/>
        <v/>
      </c>
      <c r="R701" s="42"/>
      <c r="S701" s="42"/>
      <c r="T701" s="42"/>
      <c r="U701" s="51"/>
      <c r="V701" s="52"/>
      <c r="W701" s="55"/>
      <c r="X701" s="57"/>
      <c r="Y701" s="106"/>
      <c r="Z701" s="106"/>
      <c r="AA701" s="106"/>
      <c r="AB701" s="106"/>
    </row>
    <row r="702">
      <c r="A702" s="38">
        <v>701.0</v>
      </c>
      <c r="B702" s="42"/>
      <c r="C702" s="51"/>
      <c r="D702" s="38"/>
      <c r="E702" s="38" t="s">
        <v>2315</v>
      </c>
      <c r="F702" s="41" t="s">
        <v>2316</v>
      </c>
      <c r="G702" s="43"/>
      <c r="H702" s="45"/>
      <c r="I702" s="38"/>
      <c r="J702" s="38">
        <f>895</f>
        <v>895</v>
      </c>
      <c r="K702" s="46">
        <v>0.015902777777777776</v>
      </c>
      <c r="L702" s="47" t="s">
        <v>1093</v>
      </c>
      <c r="M702" s="48"/>
      <c r="N702" s="48"/>
      <c r="O702" s="48">
        <f t="shared" si="1"/>
        <v>0</v>
      </c>
      <c r="P702" s="38"/>
      <c r="Q702" s="12" t="str">
        <f t="shared" si="2"/>
        <v/>
      </c>
      <c r="R702" s="42"/>
      <c r="S702" s="42"/>
      <c r="T702" s="42"/>
      <c r="U702" s="51"/>
      <c r="V702" s="52"/>
      <c r="W702" s="55"/>
      <c r="X702" s="57"/>
      <c r="Y702" s="106"/>
      <c r="Z702" s="106"/>
      <c r="AA702" s="106"/>
      <c r="AB702" s="106"/>
    </row>
    <row r="703">
      <c r="A703" s="38">
        <v>702.0</v>
      </c>
      <c r="B703" s="42"/>
      <c r="C703" s="51"/>
      <c r="D703" s="38"/>
      <c r="E703" s="38" t="s">
        <v>2317</v>
      </c>
      <c r="F703" s="41" t="s">
        <v>2318</v>
      </c>
      <c r="G703" s="43"/>
      <c r="H703" s="45"/>
      <c r="I703" s="38"/>
      <c r="J703" s="38">
        <f>214</f>
        <v>214</v>
      </c>
      <c r="K703" s="46">
        <v>0.030034722222222223</v>
      </c>
      <c r="L703" s="47" t="s">
        <v>1093</v>
      </c>
      <c r="M703" s="48"/>
      <c r="N703" s="48"/>
      <c r="O703" s="48">
        <f t="shared" si="1"/>
        <v>0</v>
      </c>
      <c r="P703" s="38"/>
      <c r="Q703" s="12" t="str">
        <f t="shared" si="2"/>
        <v/>
      </c>
      <c r="R703" s="42"/>
      <c r="S703" s="42"/>
      <c r="T703" s="42"/>
      <c r="U703" s="51"/>
      <c r="V703" s="52"/>
      <c r="W703" s="55"/>
      <c r="X703" s="57"/>
      <c r="Y703" s="106"/>
      <c r="Z703" s="106"/>
      <c r="AA703" s="106"/>
      <c r="AB703" s="106"/>
    </row>
    <row r="704">
      <c r="A704" s="38">
        <v>703.0</v>
      </c>
      <c r="B704" s="42"/>
      <c r="C704" s="51"/>
      <c r="D704" s="38"/>
      <c r="E704" s="38" t="s">
        <v>2319</v>
      </c>
      <c r="F704" s="41" t="s">
        <v>2320</v>
      </c>
      <c r="G704" s="43"/>
      <c r="H704" s="45"/>
      <c r="I704" s="38"/>
      <c r="J704" s="38">
        <f>1.4*1000</f>
        <v>1400</v>
      </c>
      <c r="K704" s="46">
        <v>0.025208333333333333</v>
      </c>
      <c r="L704" s="47" t="s">
        <v>1093</v>
      </c>
      <c r="M704" s="48"/>
      <c r="N704" s="48"/>
      <c r="O704" s="48">
        <f t="shared" si="1"/>
        <v>0</v>
      </c>
      <c r="P704" s="38"/>
      <c r="Q704" s="12" t="str">
        <f t="shared" si="2"/>
        <v/>
      </c>
      <c r="R704" s="42"/>
      <c r="S704" s="42"/>
      <c r="T704" s="42"/>
      <c r="U704" s="51"/>
      <c r="V704" s="52"/>
      <c r="W704" s="55"/>
      <c r="X704" s="57"/>
      <c r="Y704" s="106"/>
      <c r="Z704" s="106"/>
      <c r="AA704" s="106"/>
      <c r="AB704" s="106"/>
    </row>
    <row r="705">
      <c r="A705" s="38">
        <v>704.0</v>
      </c>
      <c r="B705" s="42"/>
      <c r="C705" s="51"/>
      <c r="D705" s="38"/>
      <c r="E705" s="38" t="s">
        <v>2321</v>
      </c>
      <c r="F705" s="41" t="s">
        <v>2322</v>
      </c>
      <c r="G705" s="43"/>
      <c r="H705" s="45"/>
      <c r="I705" s="38"/>
      <c r="J705" s="38">
        <f>159</f>
        <v>159</v>
      </c>
      <c r="K705" s="46">
        <v>0.013703703703703704</v>
      </c>
      <c r="L705" s="47" t="s">
        <v>1093</v>
      </c>
      <c r="M705" s="48"/>
      <c r="N705" s="48"/>
      <c r="O705" s="48">
        <f t="shared" si="1"/>
        <v>0</v>
      </c>
      <c r="P705" s="38"/>
      <c r="Q705" s="12" t="str">
        <f t="shared" si="2"/>
        <v/>
      </c>
      <c r="R705" s="42"/>
      <c r="S705" s="42"/>
      <c r="T705" s="42"/>
      <c r="U705" s="51"/>
      <c r="V705" s="52"/>
      <c r="W705" s="55"/>
      <c r="X705" s="57"/>
      <c r="Y705" s="106"/>
      <c r="Z705" s="106"/>
      <c r="AA705" s="106"/>
      <c r="AB705" s="106"/>
    </row>
    <row r="706">
      <c r="A706" s="38">
        <v>705.0</v>
      </c>
      <c r="B706" s="42"/>
      <c r="C706" s="51"/>
      <c r="D706" s="38"/>
      <c r="E706" s="38" t="s">
        <v>2323</v>
      </c>
      <c r="F706" s="41" t="s">
        <v>2324</v>
      </c>
      <c r="G706" s="43"/>
      <c r="H706" s="45"/>
      <c r="I706" s="38"/>
      <c r="J706" s="38">
        <f>1.7*1000</f>
        <v>1700</v>
      </c>
      <c r="K706" s="46">
        <v>0.021979166666666664</v>
      </c>
      <c r="L706" s="47" t="s">
        <v>1093</v>
      </c>
      <c r="M706" s="48"/>
      <c r="N706" s="48"/>
      <c r="O706" s="48">
        <f t="shared" si="1"/>
        <v>0</v>
      </c>
      <c r="P706" s="38"/>
      <c r="Q706" s="12" t="str">
        <f t="shared" si="2"/>
        <v/>
      </c>
      <c r="R706" s="42"/>
      <c r="S706" s="42"/>
      <c r="T706" s="42"/>
      <c r="U706" s="51"/>
      <c r="V706" s="52"/>
      <c r="W706" s="55"/>
      <c r="X706" s="57"/>
      <c r="Y706" s="106"/>
      <c r="Z706" s="106"/>
      <c r="AA706" s="106"/>
      <c r="AB706" s="106"/>
    </row>
    <row r="707">
      <c r="A707" s="38">
        <v>706.0</v>
      </c>
      <c r="B707" s="42"/>
      <c r="C707" s="51"/>
      <c r="D707" s="38"/>
      <c r="E707" s="38" t="s">
        <v>2325</v>
      </c>
      <c r="F707" s="41" t="s">
        <v>2326</v>
      </c>
      <c r="G707" s="43"/>
      <c r="H707" s="45"/>
      <c r="I707" s="38"/>
      <c r="J707" s="38">
        <f>395</f>
        <v>395</v>
      </c>
      <c r="K707" s="46">
        <v>0.010601851851851854</v>
      </c>
      <c r="L707" s="47" t="s">
        <v>1093</v>
      </c>
      <c r="M707" s="48"/>
      <c r="N707" s="48"/>
      <c r="O707" s="48">
        <f t="shared" si="1"/>
        <v>0</v>
      </c>
      <c r="P707" s="38"/>
      <c r="Q707" s="12" t="str">
        <f t="shared" si="2"/>
        <v/>
      </c>
      <c r="R707" s="42"/>
      <c r="S707" s="42"/>
      <c r="T707" s="42"/>
      <c r="U707" s="51"/>
      <c r="V707" s="52"/>
      <c r="W707" s="55"/>
      <c r="X707" s="57"/>
      <c r="Y707" s="106"/>
      <c r="Z707" s="106"/>
      <c r="AA707" s="106"/>
      <c r="AB707" s="106"/>
    </row>
    <row r="708">
      <c r="A708" s="38">
        <v>707.0</v>
      </c>
      <c r="B708" s="42"/>
      <c r="C708" s="51"/>
      <c r="D708" s="38"/>
      <c r="E708" s="38" t="s">
        <v>2327</v>
      </c>
      <c r="F708" s="41" t="s">
        <v>2328</v>
      </c>
      <c r="G708" s="43"/>
      <c r="H708" s="45"/>
      <c r="I708" s="38"/>
      <c r="J708" s="38">
        <f>4.2*1000</f>
        <v>4200</v>
      </c>
      <c r="K708" s="46">
        <v>0.024050925925925924</v>
      </c>
      <c r="L708" s="47" t="s">
        <v>1093</v>
      </c>
      <c r="M708" s="48"/>
      <c r="N708" s="48"/>
      <c r="O708" s="48">
        <f t="shared" si="1"/>
        <v>0</v>
      </c>
      <c r="P708" s="38"/>
      <c r="Q708" s="12" t="str">
        <f t="shared" si="2"/>
        <v/>
      </c>
      <c r="R708" s="42"/>
      <c r="S708" s="42"/>
      <c r="T708" s="42"/>
      <c r="U708" s="51"/>
      <c r="V708" s="52"/>
      <c r="W708" s="55"/>
      <c r="X708" s="57"/>
      <c r="Y708" s="106"/>
      <c r="Z708" s="106"/>
      <c r="AA708" s="106"/>
      <c r="AB708" s="106"/>
    </row>
    <row r="709">
      <c r="A709" s="38">
        <v>708.0</v>
      </c>
      <c r="B709" s="42"/>
      <c r="C709" s="51"/>
      <c r="D709" s="38"/>
      <c r="E709" s="38" t="s">
        <v>2329</v>
      </c>
      <c r="F709" s="41" t="s">
        <v>2330</v>
      </c>
      <c r="G709" s="43"/>
      <c r="H709" s="45"/>
      <c r="I709" s="38"/>
      <c r="J709" s="38">
        <f>131</f>
        <v>131</v>
      </c>
      <c r="K709" s="46">
        <v>0.008865740740740742</v>
      </c>
      <c r="L709" s="47" t="s">
        <v>1093</v>
      </c>
      <c r="M709" s="48"/>
      <c r="N709" s="48"/>
      <c r="O709" s="48">
        <f t="shared" si="1"/>
        <v>0</v>
      </c>
      <c r="P709" s="38"/>
      <c r="Q709" s="12" t="str">
        <f t="shared" si="2"/>
        <v/>
      </c>
      <c r="R709" s="42"/>
      <c r="S709" s="42"/>
      <c r="T709" s="42"/>
      <c r="U709" s="51"/>
      <c r="V709" s="52"/>
      <c r="W709" s="55"/>
      <c r="X709" s="57"/>
      <c r="Y709" s="106"/>
      <c r="Z709" s="106"/>
      <c r="AA709" s="106"/>
      <c r="AB709" s="106"/>
    </row>
    <row r="710">
      <c r="A710" s="38">
        <v>709.0</v>
      </c>
      <c r="B710" s="42"/>
      <c r="C710" s="51"/>
      <c r="D710" s="38"/>
      <c r="E710" s="38" t="s">
        <v>2332</v>
      </c>
      <c r="F710" s="41" t="s">
        <v>2333</v>
      </c>
      <c r="G710" s="43"/>
      <c r="H710" s="45"/>
      <c r="I710" s="38"/>
      <c r="J710" s="38">
        <f>420</f>
        <v>420</v>
      </c>
      <c r="K710" s="46">
        <v>0.005</v>
      </c>
      <c r="L710" s="47" t="s">
        <v>1093</v>
      </c>
      <c r="M710" s="48"/>
      <c r="N710" s="48"/>
      <c r="O710" s="48">
        <f t="shared" si="1"/>
        <v>0</v>
      </c>
      <c r="P710" s="38"/>
      <c r="Q710" s="12" t="str">
        <f t="shared" si="2"/>
        <v/>
      </c>
      <c r="R710" s="42"/>
      <c r="S710" s="42"/>
      <c r="T710" s="42"/>
      <c r="U710" s="51"/>
      <c r="V710" s="52"/>
      <c r="W710" s="55"/>
      <c r="X710" s="57"/>
      <c r="Y710" s="106"/>
      <c r="Z710" s="106"/>
      <c r="AA710" s="106"/>
      <c r="AB710" s="106"/>
    </row>
    <row r="711">
      <c r="A711" s="38">
        <v>710.0</v>
      </c>
      <c r="B711" s="42"/>
      <c r="C711" s="51"/>
      <c r="D711" s="38"/>
      <c r="E711" s="38" t="s">
        <v>2335</v>
      </c>
      <c r="F711" s="41" t="s">
        <v>2336</v>
      </c>
      <c r="G711" s="43"/>
      <c r="H711" s="45"/>
      <c r="I711" s="38"/>
      <c r="J711" s="38">
        <f>1*1000</f>
        <v>1000</v>
      </c>
      <c r="K711" s="46">
        <v>0.020324074074074074</v>
      </c>
      <c r="L711" s="47" t="s">
        <v>1093</v>
      </c>
      <c r="M711" s="48"/>
      <c r="N711" s="48"/>
      <c r="O711" s="48">
        <f t="shared" si="1"/>
        <v>0</v>
      </c>
      <c r="P711" s="38"/>
      <c r="Q711" s="12" t="str">
        <f t="shared" si="2"/>
        <v/>
      </c>
      <c r="R711" s="42"/>
      <c r="S711" s="42"/>
      <c r="T711" s="42"/>
      <c r="U711" s="51"/>
      <c r="V711" s="52"/>
      <c r="W711" s="55"/>
      <c r="X711" s="57"/>
      <c r="Y711" s="106"/>
      <c r="Z711" s="106"/>
      <c r="AA711" s="106"/>
      <c r="AB711" s="106"/>
    </row>
    <row r="712">
      <c r="A712" s="38">
        <v>711.0</v>
      </c>
      <c r="B712" s="42"/>
      <c r="C712" s="51"/>
      <c r="D712" s="38"/>
      <c r="E712" s="38" t="s">
        <v>2338</v>
      </c>
      <c r="F712" s="41" t="s">
        <v>2339</v>
      </c>
      <c r="G712" s="43"/>
      <c r="H712" s="45"/>
      <c r="I712" s="38"/>
      <c r="J712" s="38">
        <f>508</f>
        <v>508</v>
      </c>
      <c r="K712" s="46">
        <v>0.01940972222222222</v>
      </c>
      <c r="L712" s="47" t="s">
        <v>1093</v>
      </c>
      <c r="M712" s="48"/>
      <c r="N712" s="48"/>
      <c r="O712" s="48">
        <f t="shared" si="1"/>
        <v>0</v>
      </c>
      <c r="P712" s="38"/>
      <c r="Q712" s="12" t="str">
        <f t="shared" si="2"/>
        <v/>
      </c>
      <c r="R712" s="42"/>
      <c r="S712" s="42"/>
      <c r="T712" s="42"/>
      <c r="U712" s="51"/>
      <c r="V712" s="52"/>
      <c r="W712" s="55"/>
      <c r="X712" s="57"/>
      <c r="Y712" s="106"/>
      <c r="Z712" s="106"/>
      <c r="AA712" s="106"/>
      <c r="AB712" s="106"/>
    </row>
    <row r="713">
      <c r="A713" s="38">
        <v>712.0</v>
      </c>
      <c r="B713" s="42"/>
      <c r="C713" s="51"/>
      <c r="D713" s="38"/>
      <c r="E713" s="38" t="s">
        <v>2340</v>
      </c>
      <c r="F713" s="41" t="s">
        <v>2341</v>
      </c>
      <c r="G713" s="43"/>
      <c r="H713" s="45"/>
      <c r="I713" s="38"/>
      <c r="J713" s="38">
        <f>710</f>
        <v>710</v>
      </c>
      <c r="K713" s="46">
        <v>0.012604166666666666</v>
      </c>
      <c r="L713" s="47" t="s">
        <v>1093</v>
      </c>
      <c r="M713" s="48"/>
      <c r="N713" s="48"/>
      <c r="O713" s="48">
        <f t="shared" si="1"/>
        <v>0</v>
      </c>
      <c r="P713" s="38"/>
      <c r="Q713" s="12" t="str">
        <f t="shared" si="2"/>
        <v/>
      </c>
      <c r="R713" s="42"/>
      <c r="S713" s="42"/>
      <c r="T713" s="42"/>
      <c r="U713" s="51"/>
      <c r="V713" s="52"/>
      <c r="W713" s="55"/>
      <c r="X713" s="57"/>
      <c r="Y713" s="106"/>
      <c r="Z713" s="106"/>
      <c r="AA713" s="106"/>
      <c r="AB713" s="106"/>
    </row>
    <row r="714">
      <c r="A714" s="38">
        <v>713.0</v>
      </c>
      <c r="B714" s="42"/>
      <c r="C714" s="51"/>
      <c r="D714" s="38"/>
      <c r="E714" s="38" t="s">
        <v>2343</v>
      </c>
      <c r="F714" s="41" t="s">
        <v>2344</v>
      </c>
      <c r="G714" s="43"/>
      <c r="H714" s="45"/>
      <c r="I714" s="38"/>
      <c r="J714" s="38">
        <f>1*1000</f>
        <v>1000</v>
      </c>
      <c r="K714" s="46">
        <v>0.015243055555555557</v>
      </c>
      <c r="L714" s="47" t="s">
        <v>1093</v>
      </c>
      <c r="M714" s="48"/>
      <c r="N714" s="48"/>
      <c r="O714" s="48">
        <f t="shared" si="1"/>
        <v>0</v>
      </c>
      <c r="P714" s="38"/>
      <c r="Q714" s="12" t="str">
        <f t="shared" si="2"/>
        <v/>
      </c>
      <c r="R714" s="42"/>
      <c r="S714" s="42"/>
      <c r="T714" s="42"/>
      <c r="U714" s="51"/>
      <c r="V714" s="52"/>
      <c r="W714" s="55"/>
      <c r="X714" s="57"/>
      <c r="Y714" s="106"/>
      <c r="Z714" s="106"/>
      <c r="AA714" s="106"/>
      <c r="AB714" s="106"/>
    </row>
    <row r="715">
      <c r="A715" s="38">
        <v>714.0</v>
      </c>
      <c r="B715" s="42"/>
      <c r="C715" s="51"/>
      <c r="D715" s="38"/>
      <c r="E715" s="38" t="s">
        <v>2346</v>
      </c>
      <c r="F715" s="41" t="s">
        <v>2347</v>
      </c>
      <c r="G715" s="43"/>
      <c r="H715" s="45"/>
      <c r="I715" s="38"/>
      <c r="J715" s="38">
        <f>878</f>
        <v>878</v>
      </c>
      <c r="K715" s="46">
        <v>0.01892361111111111</v>
      </c>
      <c r="L715" s="47" t="s">
        <v>1093</v>
      </c>
      <c r="M715" s="48"/>
      <c r="N715" s="48"/>
      <c r="O715" s="48">
        <f t="shared" si="1"/>
        <v>0</v>
      </c>
      <c r="P715" s="38"/>
      <c r="Q715" s="12" t="str">
        <f t="shared" si="2"/>
        <v/>
      </c>
      <c r="R715" s="42"/>
      <c r="S715" s="42"/>
      <c r="T715" s="42"/>
      <c r="U715" s="51"/>
      <c r="V715" s="52"/>
      <c r="W715" s="55"/>
      <c r="X715" s="57"/>
      <c r="Y715" s="106"/>
      <c r="Z715" s="106"/>
      <c r="AA715" s="106"/>
      <c r="AB715" s="106"/>
    </row>
    <row r="716">
      <c r="A716" s="38">
        <v>715.0</v>
      </c>
      <c r="B716" s="42"/>
      <c r="C716" s="51"/>
      <c r="D716" s="38"/>
      <c r="E716" s="38" t="s">
        <v>2348</v>
      </c>
      <c r="F716" s="41" t="s">
        <v>2349</v>
      </c>
      <c r="G716" s="43"/>
      <c r="H716" s="45"/>
      <c r="I716" s="38"/>
      <c r="J716" s="38">
        <f>1.1*1000</f>
        <v>1100</v>
      </c>
      <c r="K716" s="46">
        <v>0.014074074074074074</v>
      </c>
      <c r="L716" s="47" t="s">
        <v>1093</v>
      </c>
      <c r="M716" s="48"/>
      <c r="N716" s="48"/>
      <c r="O716" s="48">
        <f t="shared" si="1"/>
        <v>0</v>
      </c>
      <c r="P716" s="38"/>
      <c r="Q716" s="12" t="str">
        <f t="shared" si="2"/>
        <v/>
      </c>
      <c r="R716" s="42"/>
      <c r="S716" s="42"/>
      <c r="T716" s="42"/>
      <c r="U716" s="51"/>
      <c r="V716" s="52"/>
      <c r="W716" s="55"/>
      <c r="X716" s="57"/>
      <c r="Y716" s="106"/>
      <c r="Z716" s="106"/>
      <c r="AA716" s="106"/>
      <c r="AB716" s="106"/>
    </row>
    <row r="717">
      <c r="A717" s="38">
        <v>716.0</v>
      </c>
      <c r="B717" s="42"/>
      <c r="C717" s="51"/>
      <c r="D717" s="38"/>
      <c r="E717" s="38" t="s">
        <v>2350</v>
      </c>
      <c r="F717" s="41" t="s">
        <v>2351</v>
      </c>
      <c r="G717" s="43"/>
      <c r="H717" s="45"/>
      <c r="I717" s="38"/>
      <c r="J717" s="38">
        <f>347</f>
        <v>347</v>
      </c>
      <c r="K717" s="46">
        <v>0.01925925925925926</v>
      </c>
      <c r="L717" s="47" t="s">
        <v>1093</v>
      </c>
      <c r="M717" s="48"/>
      <c r="N717" s="48"/>
      <c r="O717" s="48">
        <f t="shared" si="1"/>
        <v>0</v>
      </c>
      <c r="P717" s="38"/>
      <c r="Q717" s="12" t="str">
        <f t="shared" si="2"/>
        <v/>
      </c>
      <c r="R717" s="42"/>
      <c r="S717" s="42"/>
      <c r="T717" s="42"/>
      <c r="U717" s="51"/>
      <c r="V717" s="52"/>
      <c r="W717" s="55"/>
      <c r="X717" s="57"/>
      <c r="Y717" s="106"/>
      <c r="Z717" s="106"/>
      <c r="AA717" s="106"/>
      <c r="AB717" s="106"/>
    </row>
    <row r="718">
      <c r="A718" s="38">
        <v>717.0</v>
      </c>
      <c r="B718" s="42"/>
      <c r="C718" s="51"/>
      <c r="D718" s="38"/>
      <c r="E718" s="38" t="s">
        <v>2353</v>
      </c>
      <c r="F718" s="41" t="s">
        <v>2354</v>
      </c>
      <c r="G718" s="43"/>
      <c r="H718" s="45"/>
      <c r="I718" s="38"/>
      <c r="J718" s="38">
        <f>465</f>
        <v>465</v>
      </c>
      <c r="K718" s="46">
        <v>0.014363425925925925</v>
      </c>
      <c r="L718" s="47" t="s">
        <v>1093</v>
      </c>
      <c r="M718" s="48"/>
      <c r="N718" s="48"/>
      <c r="O718" s="48">
        <f t="shared" si="1"/>
        <v>0</v>
      </c>
      <c r="P718" s="38"/>
      <c r="Q718" s="12" t="str">
        <f t="shared" si="2"/>
        <v/>
      </c>
      <c r="R718" s="42"/>
      <c r="S718" s="42"/>
      <c r="T718" s="42"/>
      <c r="U718" s="51"/>
      <c r="V718" s="52"/>
      <c r="W718" s="55"/>
      <c r="X718" s="57"/>
      <c r="Y718" s="106"/>
      <c r="Z718" s="106"/>
      <c r="AA718" s="106"/>
      <c r="AB718" s="106"/>
    </row>
    <row r="719">
      <c r="A719" s="38">
        <v>718.0</v>
      </c>
      <c r="B719" s="42"/>
      <c r="C719" s="51"/>
      <c r="D719" s="38"/>
      <c r="E719" s="38" t="s">
        <v>2356</v>
      </c>
      <c r="F719" s="41" t="s">
        <v>2357</v>
      </c>
      <c r="G719" s="43"/>
      <c r="H719" s="45"/>
      <c r="I719" s="38"/>
      <c r="J719" s="38">
        <f>1.1*1000</f>
        <v>1100</v>
      </c>
      <c r="K719" s="46">
        <v>0.0031249999999999997</v>
      </c>
      <c r="L719" s="47" t="s">
        <v>1093</v>
      </c>
      <c r="M719" s="48"/>
      <c r="N719" s="48"/>
      <c r="O719" s="48">
        <f t="shared" si="1"/>
        <v>0</v>
      </c>
      <c r="P719" s="38"/>
      <c r="Q719" s="12" t="str">
        <f t="shared" si="2"/>
        <v/>
      </c>
      <c r="R719" s="42"/>
      <c r="S719" s="42"/>
      <c r="T719" s="42"/>
      <c r="U719" s="51"/>
      <c r="V719" s="52"/>
      <c r="W719" s="55"/>
      <c r="X719" s="57"/>
      <c r="Y719" s="106"/>
      <c r="Z719" s="106"/>
      <c r="AA719" s="106"/>
      <c r="AB719" s="106"/>
    </row>
    <row r="720">
      <c r="A720" s="38">
        <v>719.0</v>
      </c>
      <c r="B720" s="42"/>
      <c r="C720" s="51"/>
      <c r="D720" s="38"/>
      <c r="E720" s="38" t="s">
        <v>2358</v>
      </c>
      <c r="F720" s="41" t="s">
        <v>2359</v>
      </c>
      <c r="G720" s="43"/>
      <c r="H720" s="45"/>
      <c r="I720" s="38"/>
      <c r="J720" s="38">
        <f>690</f>
        <v>690</v>
      </c>
      <c r="K720" s="46">
        <v>0.005821759259259259</v>
      </c>
      <c r="L720" s="47" t="s">
        <v>1093</v>
      </c>
      <c r="M720" s="48"/>
      <c r="N720" s="48"/>
      <c r="O720" s="48">
        <f t="shared" si="1"/>
        <v>0</v>
      </c>
      <c r="P720" s="38"/>
      <c r="Q720" s="12" t="str">
        <f t="shared" si="2"/>
        <v/>
      </c>
      <c r="R720" s="42"/>
      <c r="S720" s="42"/>
      <c r="T720" s="42"/>
      <c r="U720" s="51"/>
      <c r="V720" s="52"/>
      <c r="W720" s="55"/>
      <c r="X720" s="57"/>
      <c r="Y720" s="106"/>
      <c r="Z720" s="106"/>
      <c r="AA720" s="106"/>
      <c r="AB720" s="106"/>
    </row>
    <row r="721">
      <c r="A721" s="38">
        <v>720.0</v>
      </c>
      <c r="B721" s="42"/>
      <c r="C721" s="51"/>
      <c r="D721" s="38"/>
      <c r="E721" s="38" t="s">
        <v>2360</v>
      </c>
      <c r="F721" s="41" t="s">
        <v>2361</v>
      </c>
      <c r="G721" s="43"/>
      <c r="H721" s="45"/>
      <c r="I721" s="38"/>
      <c r="J721" s="38">
        <f>734</f>
        <v>734</v>
      </c>
      <c r="K721" s="46">
        <v>0.02378472222222222</v>
      </c>
      <c r="L721" s="47" t="s">
        <v>1093</v>
      </c>
      <c r="M721" s="48"/>
      <c r="N721" s="48"/>
      <c r="O721" s="48">
        <f t="shared" si="1"/>
        <v>0</v>
      </c>
      <c r="P721" s="38"/>
      <c r="Q721" s="12" t="str">
        <f t="shared" si="2"/>
        <v/>
      </c>
      <c r="R721" s="42"/>
      <c r="S721" s="42"/>
      <c r="T721" s="42"/>
      <c r="U721" s="51"/>
      <c r="V721" s="52"/>
      <c r="W721" s="55"/>
      <c r="X721" s="57"/>
      <c r="Y721" s="106"/>
      <c r="Z721" s="106"/>
      <c r="AA721" s="106"/>
      <c r="AB721" s="106"/>
    </row>
    <row r="722">
      <c r="A722" s="38">
        <v>721.0</v>
      </c>
      <c r="B722" s="42"/>
      <c r="C722" s="51"/>
      <c r="D722" s="38"/>
      <c r="E722" s="38" t="s">
        <v>2362</v>
      </c>
      <c r="F722" s="41" t="s">
        <v>2363</v>
      </c>
      <c r="G722" s="43"/>
      <c r="H722" s="45"/>
      <c r="I722" s="38"/>
      <c r="J722" s="38">
        <f>2.4*1000</f>
        <v>2400</v>
      </c>
      <c r="K722" s="46">
        <v>0.02550925925925926</v>
      </c>
      <c r="L722" s="47" t="s">
        <v>1093</v>
      </c>
      <c r="M722" s="48"/>
      <c r="N722" s="48"/>
      <c r="O722" s="48">
        <f t="shared" si="1"/>
        <v>0</v>
      </c>
      <c r="P722" s="38"/>
      <c r="Q722" s="12" t="str">
        <f t="shared" si="2"/>
        <v/>
      </c>
      <c r="R722" s="42"/>
      <c r="S722" s="42"/>
      <c r="T722" s="42"/>
      <c r="U722" s="51"/>
      <c r="V722" s="52"/>
      <c r="W722" s="55"/>
      <c r="X722" s="57"/>
      <c r="Y722" s="106"/>
      <c r="Z722" s="106"/>
      <c r="AA722" s="106"/>
      <c r="AB722" s="106"/>
    </row>
    <row r="723">
      <c r="A723" s="38">
        <v>722.0</v>
      </c>
      <c r="B723" s="42"/>
      <c r="C723" s="51"/>
      <c r="D723" s="38"/>
      <c r="E723" s="38" t="s">
        <v>2364</v>
      </c>
      <c r="F723" s="41" t="s">
        <v>2365</v>
      </c>
      <c r="G723" s="43"/>
      <c r="H723" s="45"/>
      <c r="I723" s="38"/>
      <c r="J723" s="38">
        <f>698</f>
        <v>698</v>
      </c>
      <c r="K723" s="46">
        <v>0.0166087962962963</v>
      </c>
      <c r="L723" s="47" t="s">
        <v>1093</v>
      </c>
      <c r="M723" s="48"/>
      <c r="N723" s="48"/>
      <c r="O723" s="48">
        <f t="shared" si="1"/>
        <v>0</v>
      </c>
      <c r="P723" s="38"/>
      <c r="Q723" s="12" t="str">
        <f t="shared" si="2"/>
        <v/>
      </c>
      <c r="R723" s="42"/>
      <c r="S723" s="42"/>
      <c r="T723" s="42"/>
      <c r="U723" s="51"/>
      <c r="V723" s="52"/>
      <c r="W723" s="55"/>
      <c r="X723" s="57"/>
      <c r="Y723" s="106"/>
      <c r="Z723" s="106"/>
      <c r="AA723" s="106"/>
      <c r="AB723" s="106"/>
    </row>
    <row r="724">
      <c r="A724" s="38">
        <v>723.0</v>
      </c>
      <c r="B724" s="42"/>
      <c r="C724" s="51"/>
      <c r="D724" s="38"/>
      <c r="E724" s="38" t="s">
        <v>2366</v>
      </c>
      <c r="F724" s="41" t="s">
        <v>2367</v>
      </c>
      <c r="G724" s="43"/>
      <c r="H724" s="45"/>
      <c r="I724" s="38"/>
      <c r="J724" s="38">
        <f>587</f>
        <v>587</v>
      </c>
      <c r="K724" s="46">
        <v>0.013506944444444445</v>
      </c>
      <c r="L724" s="47" t="s">
        <v>1093</v>
      </c>
      <c r="M724" s="48"/>
      <c r="N724" s="48"/>
      <c r="O724" s="48">
        <f t="shared" si="1"/>
        <v>0</v>
      </c>
      <c r="P724" s="38"/>
      <c r="Q724" s="12" t="str">
        <f t="shared" si="2"/>
        <v/>
      </c>
      <c r="R724" s="42"/>
      <c r="S724" s="42"/>
      <c r="T724" s="42"/>
      <c r="U724" s="51"/>
      <c r="V724" s="52"/>
      <c r="W724" s="55"/>
      <c r="X724" s="57"/>
      <c r="Y724" s="106"/>
      <c r="Z724" s="106"/>
      <c r="AA724" s="106"/>
      <c r="AB724" s="106"/>
    </row>
    <row r="725">
      <c r="A725" s="38">
        <v>724.0</v>
      </c>
      <c r="B725" s="42"/>
      <c r="C725" s="51"/>
      <c r="D725" s="38"/>
      <c r="E725" s="38" t="s">
        <v>2368</v>
      </c>
      <c r="F725" s="41" t="s">
        <v>2369</v>
      </c>
      <c r="G725" s="43"/>
      <c r="H725" s="45"/>
      <c r="I725" s="38"/>
      <c r="J725" s="38">
        <f>304</f>
        <v>304</v>
      </c>
      <c r="K725" s="46">
        <v>0.022141203703703705</v>
      </c>
      <c r="L725" s="47" t="s">
        <v>1093</v>
      </c>
      <c r="M725" s="48"/>
      <c r="N725" s="48"/>
      <c r="O725" s="48">
        <f t="shared" si="1"/>
        <v>0</v>
      </c>
      <c r="P725" s="38"/>
      <c r="Q725" s="12" t="str">
        <f t="shared" si="2"/>
        <v/>
      </c>
      <c r="R725" s="42"/>
      <c r="S725" s="42"/>
      <c r="T725" s="42"/>
      <c r="U725" s="51"/>
      <c r="V725" s="52"/>
      <c r="W725" s="55"/>
      <c r="X725" s="57"/>
      <c r="Y725" s="106"/>
      <c r="Z725" s="106"/>
      <c r="AA725" s="106"/>
      <c r="AB725" s="106"/>
    </row>
    <row r="726">
      <c r="A726" s="38">
        <v>725.0</v>
      </c>
      <c r="B726" s="42"/>
      <c r="C726" s="51"/>
      <c r="D726" s="38"/>
      <c r="E726" s="38" t="s">
        <v>2370</v>
      </c>
      <c r="F726" s="41" t="s">
        <v>2371</v>
      </c>
      <c r="G726" s="43"/>
      <c r="H726" s="45"/>
      <c r="I726" s="38"/>
      <c r="J726" s="38">
        <f>361</f>
        <v>361</v>
      </c>
      <c r="K726" s="46">
        <v>0.02568287037037037</v>
      </c>
      <c r="L726" s="47" t="s">
        <v>1093</v>
      </c>
      <c r="M726" s="48"/>
      <c r="N726" s="48"/>
      <c r="O726" s="48">
        <f t="shared" si="1"/>
        <v>0</v>
      </c>
      <c r="P726" s="38"/>
      <c r="Q726" s="12" t="str">
        <f t="shared" si="2"/>
        <v/>
      </c>
      <c r="R726" s="42"/>
      <c r="S726" s="42"/>
      <c r="T726" s="42"/>
      <c r="U726" s="51"/>
      <c r="V726" s="52"/>
      <c r="W726" s="55"/>
      <c r="X726" s="57"/>
      <c r="Y726" s="106"/>
      <c r="Z726" s="106"/>
      <c r="AA726" s="106"/>
      <c r="AB726" s="106"/>
    </row>
    <row r="727">
      <c r="A727" s="38">
        <v>726.0</v>
      </c>
      <c r="B727" s="42"/>
      <c r="C727" s="51"/>
      <c r="D727" s="38"/>
      <c r="E727" s="38" t="s">
        <v>2372</v>
      </c>
      <c r="F727" s="41" t="s">
        <v>2373</v>
      </c>
      <c r="G727" s="43"/>
      <c r="H727" s="45"/>
      <c r="I727" s="38"/>
      <c r="J727" s="38">
        <f>2.2*1000</f>
        <v>2200</v>
      </c>
      <c r="K727" s="46">
        <v>0.01972222222222222</v>
      </c>
      <c r="L727" s="47" t="s">
        <v>1093</v>
      </c>
      <c r="M727" s="48"/>
      <c r="N727" s="48"/>
      <c r="O727" s="48">
        <f t="shared" si="1"/>
        <v>0</v>
      </c>
      <c r="P727" s="38"/>
      <c r="Q727" s="12" t="str">
        <f t="shared" si="2"/>
        <v/>
      </c>
      <c r="R727" s="42"/>
      <c r="S727" s="42"/>
      <c r="T727" s="42"/>
      <c r="U727" s="51"/>
      <c r="V727" s="52"/>
      <c r="W727" s="55"/>
      <c r="X727" s="57"/>
      <c r="Y727" s="106"/>
      <c r="Z727" s="106"/>
      <c r="AA727" s="106"/>
      <c r="AB727" s="106"/>
    </row>
    <row r="728">
      <c r="A728" s="38">
        <v>727.0</v>
      </c>
      <c r="B728" s="42"/>
      <c r="C728" s="51"/>
      <c r="D728" s="38"/>
      <c r="E728" s="38" t="s">
        <v>2374</v>
      </c>
      <c r="F728" s="41" t="s">
        <v>2375</v>
      </c>
      <c r="G728" s="43"/>
      <c r="H728" s="45"/>
      <c r="I728" s="38"/>
      <c r="J728" s="38">
        <f>1.6*1000</f>
        <v>1600</v>
      </c>
      <c r="K728" s="46">
        <v>0.033888888888888885</v>
      </c>
      <c r="L728" s="47" t="s">
        <v>1093</v>
      </c>
      <c r="M728" s="48"/>
      <c r="N728" s="48"/>
      <c r="O728" s="48">
        <f t="shared" si="1"/>
        <v>0</v>
      </c>
      <c r="P728" s="38"/>
      <c r="Q728" s="12" t="str">
        <f t="shared" si="2"/>
        <v/>
      </c>
      <c r="R728" s="42"/>
      <c r="S728" s="42"/>
      <c r="T728" s="42"/>
      <c r="U728" s="51"/>
      <c r="V728" s="52"/>
      <c r="W728" s="55"/>
      <c r="X728" s="57"/>
      <c r="Y728" s="106"/>
      <c r="Z728" s="106"/>
      <c r="AA728" s="106"/>
      <c r="AB728" s="106"/>
    </row>
    <row r="729">
      <c r="A729" s="38">
        <v>728.0</v>
      </c>
      <c r="B729" s="42"/>
      <c r="C729" s="51"/>
      <c r="D729" s="38"/>
      <c r="E729" s="38" t="s">
        <v>2376</v>
      </c>
      <c r="F729" s="41" t="s">
        <v>2377</v>
      </c>
      <c r="G729" s="43"/>
      <c r="H729" s="45"/>
      <c r="I729" s="38"/>
      <c r="J729" s="38">
        <f>245</f>
        <v>245</v>
      </c>
      <c r="K729" s="46">
        <v>0.02344907407407407</v>
      </c>
      <c r="L729" s="47" t="s">
        <v>1093</v>
      </c>
      <c r="M729" s="48"/>
      <c r="N729" s="48"/>
      <c r="O729" s="48">
        <f t="shared" si="1"/>
        <v>0</v>
      </c>
      <c r="P729" s="38"/>
      <c r="Q729" s="12" t="str">
        <f t="shared" si="2"/>
        <v/>
      </c>
      <c r="R729" s="42"/>
      <c r="S729" s="42"/>
      <c r="T729" s="42"/>
      <c r="U729" s="51"/>
      <c r="V729" s="52"/>
      <c r="W729" s="55"/>
      <c r="X729" s="57"/>
      <c r="Y729" s="106"/>
      <c r="Z729" s="106"/>
      <c r="AA729" s="106"/>
      <c r="AB729" s="106"/>
    </row>
    <row r="730">
      <c r="A730" s="38">
        <v>729.0</v>
      </c>
      <c r="B730" s="42"/>
      <c r="C730" s="51"/>
      <c r="D730" s="38"/>
      <c r="E730" s="38" t="s">
        <v>2378</v>
      </c>
      <c r="F730" s="41" t="s">
        <v>2379</v>
      </c>
      <c r="G730" s="43"/>
      <c r="H730" s="45"/>
      <c r="I730" s="38"/>
      <c r="J730" s="38">
        <f>479</f>
        <v>479</v>
      </c>
      <c r="K730" s="46">
        <v>0.029953703703703705</v>
      </c>
      <c r="L730" s="47" t="s">
        <v>1093</v>
      </c>
      <c r="M730" s="48"/>
      <c r="N730" s="48"/>
      <c r="O730" s="48">
        <f t="shared" si="1"/>
        <v>0</v>
      </c>
      <c r="P730" s="38"/>
      <c r="Q730" s="12" t="str">
        <f t="shared" si="2"/>
        <v/>
      </c>
      <c r="R730" s="42"/>
      <c r="S730" s="42"/>
      <c r="T730" s="42"/>
      <c r="U730" s="51"/>
      <c r="V730" s="52"/>
      <c r="W730" s="55"/>
      <c r="X730" s="57"/>
      <c r="Y730" s="106"/>
      <c r="Z730" s="106"/>
      <c r="AA730" s="106"/>
      <c r="AB730" s="106"/>
    </row>
    <row r="731">
      <c r="A731" s="38">
        <v>730.0</v>
      </c>
      <c r="B731" s="42"/>
      <c r="C731" s="51"/>
      <c r="D731" s="38"/>
      <c r="E731" s="38" t="s">
        <v>2380</v>
      </c>
      <c r="F731" s="41" t="s">
        <v>2381</v>
      </c>
      <c r="G731" s="43"/>
      <c r="H731" s="45"/>
      <c r="I731" s="38"/>
      <c r="J731" s="38">
        <f>217</f>
        <v>217</v>
      </c>
      <c r="K731" s="46">
        <v>0.012881944444444446</v>
      </c>
      <c r="L731" s="47" t="s">
        <v>1093</v>
      </c>
      <c r="M731" s="48"/>
      <c r="N731" s="48"/>
      <c r="O731" s="48">
        <f t="shared" si="1"/>
        <v>0</v>
      </c>
      <c r="P731" s="38"/>
      <c r="Q731" s="12" t="str">
        <f t="shared" si="2"/>
        <v/>
      </c>
      <c r="R731" s="42"/>
      <c r="S731" s="42"/>
      <c r="T731" s="42"/>
      <c r="U731" s="51"/>
      <c r="V731" s="52"/>
      <c r="W731" s="55"/>
      <c r="X731" s="57"/>
      <c r="Y731" s="106"/>
      <c r="Z731" s="106"/>
      <c r="AA731" s="106"/>
      <c r="AB731" s="106"/>
    </row>
    <row r="732">
      <c r="A732" s="38">
        <v>731.0</v>
      </c>
      <c r="B732" s="42"/>
      <c r="C732" s="51"/>
      <c r="D732" s="38"/>
      <c r="E732" s="38" t="s">
        <v>2382</v>
      </c>
      <c r="F732" s="41" t="s">
        <v>2383</v>
      </c>
      <c r="G732" s="43"/>
      <c r="H732" s="45"/>
      <c r="I732" s="38"/>
      <c r="J732" s="38">
        <f>5.5*1000</f>
        <v>5500</v>
      </c>
      <c r="K732" s="46">
        <v>0.018912037037037036</v>
      </c>
      <c r="L732" s="47" t="s">
        <v>1093</v>
      </c>
      <c r="M732" s="48"/>
      <c r="N732" s="48"/>
      <c r="O732" s="48">
        <f t="shared" si="1"/>
        <v>0</v>
      </c>
      <c r="P732" s="38"/>
      <c r="Q732" s="12" t="str">
        <f t="shared" si="2"/>
        <v/>
      </c>
      <c r="R732" s="42"/>
      <c r="S732" s="42"/>
      <c r="T732" s="42"/>
      <c r="U732" s="51"/>
      <c r="V732" s="52"/>
      <c r="W732" s="55"/>
      <c r="X732" s="57"/>
      <c r="Y732" s="106"/>
      <c r="Z732" s="106"/>
      <c r="AA732" s="106"/>
      <c r="AB732" s="106"/>
    </row>
    <row r="733">
      <c r="A733" s="38">
        <v>732.0</v>
      </c>
      <c r="B733" s="42"/>
      <c r="C733" s="51"/>
      <c r="D733" s="38"/>
      <c r="E733" s="38" t="s">
        <v>2384</v>
      </c>
      <c r="F733" s="41" t="s">
        <v>2385</v>
      </c>
      <c r="G733" s="43"/>
      <c r="H733" s="45"/>
      <c r="I733" s="38"/>
      <c r="J733" s="38">
        <f>335</f>
        <v>335</v>
      </c>
      <c r="K733" s="46">
        <v>0.023877314814814813</v>
      </c>
      <c r="L733" s="47" t="s">
        <v>1093</v>
      </c>
      <c r="M733" s="48"/>
      <c r="N733" s="48"/>
      <c r="O733" s="48">
        <f t="shared" si="1"/>
        <v>0</v>
      </c>
      <c r="P733" s="38"/>
      <c r="Q733" s="12" t="str">
        <f t="shared" si="2"/>
        <v/>
      </c>
      <c r="R733" s="42"/>
      <c r="S733" s="42"/>
      <c r="T733" s="42"/>
      <c r="U733" s="51"/>
      <c r="V733" s="52"/>
      <c r="W733" s="55"/>
      <c r="X733" s="57"/>
      <c r="Y733" s="106"/>
      <c r="Z733" s="106"/>
      <c r="AA733" s="106"/>
      <c r="AB733" s="106"/>
    </row>
    <row r="734">
      <c r="A734" s="38">
        <v>733.0</v>
      </c>
      <c r="B734" s="42"/>
      <c r="C734" s="51"/>
      <c r="D734" s="38"/>
      <c r="E734" s="38" t="s">
        <v>2386</v>
      </c>
      <c r="F734" s="41" t="s">
        <v>2387</v>
      </c>
      <c r="G734" s="43"/>
      <c r="H734" s="45"/>
      <c r="I734" s="38"/>
      <c r="J734" s="38">
        <f>4.4*1000</f>
        <v>4400</v>
      </c>
      <c r="K734" s="46">
        <v>0.017638888888888888</v>
      </c>
      <c r="L734" s="47" t="s">
        <v>1093</v>
      </c>
      <c r="M734" s="48"/>
      <c r="N734" s="48"/>
      <c r="O734" s="48">
        <f t="shared" si="1"/>
        <v>0</v>
      </c>
      <c r="P734" s="38"/>
      <c r="Q734" s="12" t="str">
        <f t="shared" si="2"/>
        <v/>
      </c>
      <c r="R734" s="42"/>
      <c r="S734" s="42"/>
      <c r="T734" s="42"/>
      <c r="U734" s="51"/>
      <c r="V734" s="52"/>
      <c r="W734" s="55"/>
      <c r="X734" s="57"/>
      <c r="Y734" s="106"/>
      <c r="Z734" s="106"/>
      <c r="AA734" s="106"/>
      <c r="AB734" s="106"/>
    </row>
    <row r="735">
      <c r="A735" s="38">
        <v>734.0</v>
      </c>
      <c r="B735" s="42"/>
      <c r="C735" s="51"/>
      <c r="D735" s="38"/>
      <c r="E735" s="38" t="s">
        <v>2388</v>
      </c>
      <c r="F735" s="41" t="s">
        <v>2389</v>
      </c>
      <c r="G735" s="43"/>
      <c r="H735" s="45"/>
      <c r="I735" s="38"/>
      <c r="J735" s="38">
        <f>1.3*1000</f>
        <v>1300</v>
      </c>
      <c r="K735" s="46">
        <v>0.012222222222222223</v>
      </c>
      <c r="L735" s="47" t="s">
        <v>1093</v>
      </c>
      <c r="M735" s="48"/>
      <c r="N735" s="48"/>
      <c r="O735" s="48">
        <f t="shared" si="1"/>
        <v>0</v>
      </c>
      <c r="P735" s="38"/>
      <c r="Q735" s="12" t="str">
        <f t="shared" si="2"/>
        <v/>
      </c>
      <c r="R735" s="42"/>
      <c r="S735" s="42"/>
      <c r="T735" s="42"/>
      <c r="U735" s="51"/>
      <c r="V735" s="52"/>
      <c r="W735" s="55"/>
      <c r="X735" s="57"/>
      <c r="Y735" s="106"/>
      <c r="Z735" s="106"/>
      <c r="AA735" s="106"/>
      <c r="AB735" s="106"/>
    </row>
    <row r="736">
      <c r="A736" s="38">
        <v>735.0</v>
      </c>
      <c r="B736" s="42"/>
      <c r="C736" s="51"/>
      <c r="D736" s="38"/>
      <c r="E736" s="38" t="s">
        <v>2390</v>
      </c>
      <c r="F736" s="41" t="s">
        <v>2391</v>
      </c>
      <c r="G736" s="43"/>
      <c r="H736" s="45"/>
      <c r="I736" s="38"/>
      <c r="J736" s="38">
        <f>684</f>
        <v>684</v>
      </c>
      <c r="K736" s="46">
        <v>0.003009259259259259</v>
      </c>
      <c r="L736" s="47" t="s">
        <v>1093</v>
      </c>
      <c r="M736" s="48"/>
      <c r="N736" s="48"/>
      <c r="O736" s="48">
        <f t="shared" si="1"/>
        <v>0</v>
      </c>
      <c r="P736" s="38"/>
      <c r="Q736" s="12" t="str">
        <f t="shared" si="2"/>
        <v/>
      </c>
      <c r="R736" s="42"/>
      <c r="S736" s="42"/>
      <c r="T736" s="42"/>
      <c r="U736" s="51"/>
      <c r="V736" s="52"/>
      <c r="W736" s="55"/>
      <c r="X736" s="57"/>
      <c r="Y736" s="106"/>
      <c r="Z736" s="106"/>
      <c r="AA736" s="106"/>
      <c r="AB736" s="106"/>
    </row>
    <row r="737">
      <c r="A737" s="38">
        <v>736.0</v>
      </c>
      <c r="B737" s="42"/>
      <c r="C737" s="51"/>
      <c r="D737" s="38"/>
      <c r="E737" s="38" t="s">
        <v>2392</v>
      </c>
      <c r="F737" s="41" t="s">
        <v>2393</v>
      </c>
      <c r="G737" s="43"/>
      <c r="H737" s="45"/>
      <c r="I737" s="38"/>
      <c r="J737" s="38">
        <f>570</f>
        <v>570</v>
      </c>
      <c r="K737" s="46">
        <v>0.0052893518518518515</v>
      </c>
      <c r="L737" s="47" t="s">
        <v>1093</v>
      </c>
      <c r="M737" s="48"/>
      <c r="N737" s="48"/>
      <c r="O737" s="48">
        <f t="shared" si="1"/>
        <v>0</v>
      </c>
      <c r="P737" s="38"/>
      <c r="Q737" s="12" t="str">
        <f t="shared" si="2"/>
        <v/>
      </c>
      <c r="R737" s="42"/>
      <c r="S737" s="42"/>
      <c r="T737" s="42"/>
      <c r="U737" s="51"/>
      <c r="V737" s="52"/>
      <c r="W737" s="55"/>
      <c r="X737" s="57"/>
      <c r="Y737" s="106"/>
      <c r="Z737" s="106"/>
      <c r="AA737" s="106"/>
      <c r="AB737" s="106"/>
    </row>
    <row r="738">
      <c r="A738" s="38">
        <v>737.0</v>
      </c>
      <c r="B738" s="42"/>
      <c r="C738" s="51"/>
      <c r="D738" s="38"/>
      <c r="E738" s="38" t="s">
        <v>2394</v>
      </c>
      <c r="F738" s="41" t="s">
        <v>2395</v>
      </c>
      <c r="G738" s="43"/>
      <c r="H738" s="45"/>
      <c r="I738" s="38"/>
      <c r="J738" s="38">
        <f>431</f>
        <v>431</v>
      </c>
      <c r="K738" s="46">
        <v>0.005347222222222222</v>
      </c>
      <c r="L738" s="47" t="s">
        <v>1093</v>
      </c>
      <c r="M738" s="48"/>
      <c r="N738" s="48"/>
      <c r="O738" s="48">
        <f t="shared" si="1"/>
        <v>0</v>
      </c>
      <c r="P738" s="38"/>
      <c r="Q738" s="12" t="str">
        <f t="shared" si="2"/>
        <v/>
      </c>
      <c r="R738" s="42"/>
      <c r="S738" s="42"/>
      <c r="T738" s="42"/>
      <c r="U738" s="51"/>
      <c r="V738" s="52"/>
      <c r="W738" s="55"/>
      <c r="X738" s="57"/>
      <c r="Y738" s="106"/>
      <c r="Z738" s="106"/>
      <c r="AA738" s="106"/>
      <c r="AB738" s="106"/>
    </row>
    <row r="739">
      <c r="A739" s="38">
        <v>738.0</v>
      </c>
      <c r="B739" s="42"/>
      <c r="C739" s="51"/>
      <c r="D739" s="38"/>
      <c r="E739" s="38" t="s">
        <v>2396</v>
      </c>
      <c r="F739" s="41" t="s">
        <v>2397</v>
      </c>
      <c r="G739" s="43"/>
      <c r="H739" s="45"/>
      <c r="I739" s="38"/>
      <c r="J739" s="38">
        <f>1.3*1000</f>
        <v>1300</v>
      </c>
      <c r="K739" s="46">
        <v>0.0228125</v>
      </c>
      <c r="L739" s="47" t="s">
        <v>1093</v>
      </c>
      <c r="M739" s="48"/>
      <c r="N739" s="48"/>
      <c r="O739" s="48">
        <f t="shared" si="1"/>
        <v>0</v>
      </c>
      <c r="P739" s="38"/>
      <c r="Q739" s="12" t="str">
        <f t="shared" si="2"/>
        <v/>
      </c>
      <c r="R739" s="42"/>
      <c r="S739" s="42"/>
      <c r="T739" s="42"/>
      <c r="U739" s="51"/>
      <c r="V739" s="52"/>
      <c r="W739" s="55"/>
      <c r="X739" s="57"/>
      <c r="Y739" s="106"/>
      <c r="Z739" s="106"/>
      <c r="AA739" s="106"/>
      <c r="AB739" s="106"/>
    </row>
    <row r="740">
      <c r="A740" s="38">
        <v>739.0</v>
      </c>
      <c r="B740" s="63" t="s">
        <v>516</v>
      </c>
      <c r="C740" s="51"/>
      <c r="D740" s="39" t="s">
        <v>145</v>
      </c>
      <c r="E740" s="38" t="s">
        <v>1553</v>
      </c>
      <c r="F740" s="41" t="s">
        <v>1554</v>
      </c>
      <c r="G740" s="43"/>
      <c r="H740" s="45"/>
      <c r="I740" s="38"/>
      <c r="J740" s="38">
        <f>14*1000</f>
        <v>14000</v>
      </c>
      <c r="K740" s="46">
        <v>0.03953703703703703</v>
      </c>
      <c r="L740" s="47" t="s">
        <v>1093</v>
      </c>
      <c r="M740" s="48"/>
      <c r="N740" s="48"/>
      <c r="O740" s="48">
        <f t="shared" si="1"/>
        <v>0</v>
      </c>
      <c r="P740" s="38"/>
      <c r="Q740" s="12" t="str">
        <f t="shared" si="2"/>
        <v/>
      </c>
      <c r="R740" s="42"/>
      <c r="S740" s="42"/>
      <c r="T740" s="42"/>
      <c r="U740" s="51"/>
      <c r="V740" s="52"/>
      <c r="W740" s="55"/>
      <c r="X740" s="57"/>
      <c r="Y740" s="106"/>
      <c r="Z740" s="106"/>
      <c r="AA740" s="106"/>
      <c r="AB740" s="106"/>
    </row>
    <row r="741">
      <c r="A741" s="38">
        <v>740.0</v>
      </c>
      <c r="B741" s="63" t="s">
        <v>619</v>
      </c>
      <c r="C741" s="51"/>
      <c r="D741" s="39" t="s">
        <v>145</v>
      </c>
      <c r="E741" s="38" t="s">
        <v>1091</v>
      </c>
      <c r="F741" s="41" t="s">
        <v>1092</v>
      </c>
      <c r="G741" s="43"/>
      <c r="H741" s="45"/>
      <c r="I741" s="38"/>
      <c r="J741" s="38">
        <f>8.1*1000</f>
        <v>8100</v>
      </c>
      <c r="K741" s="46">
        <v>0.07232638888888888</v>
      </c>
      <c r="L741" s="47" t="s">
        <v>1093</v>
      </c>
      <c r="M741" s="48"/>
      <c r="N741" s="48"/>
      <c r="O741" s="48">
        <f t="shared" si="1"/>
        <v>0</v>
      </c>
      <c r="P741" s="38"/>
      <c r="Q741" s="12" t="str">
        <f t="shared" si="2"/>
        <v/>
      </c>
      <c r="R741" s="42"/>
      <c r="S741" s="42"/>
      <c r="T741" s="42"/>
      <c r="U741" s="51"/>
      <c r="V741" s="52"/>
      <c r="W741" s="55"/>
      <c r="X741" s="57"/>
      <c r="Y741" s="106"/>
      <c r="Z741" s="106"/>
      <c r="AA741" s="106"/>
      <c r="AB741" s="106"/>
    </row>
    <row r="742">
      <c r="A742" s="38">
        <v>741.0</v>
      </c>
      <c r="B742" s="63" t="s">
        <v>49</v>
      </c>
      <c r="C742" s="51"/>
      <c r="D742" s="39" t="s">
        <v>71</v>
      </c>
      <c r="E742" s="38" t="s">
        <v>2398</v>
      </c>
      <c r="F742" s="41" t="s">
        <v>1092</v>
      </c>
      <c r="G742" s="43"/>
      <c r="H742" s="45"/>
      <c r="I742" s="38"/>
      <c r="J742" s="38"/>
      <c r="K742" s="46"/>
      <c r="L742" s="47"/>
      <c r="M742" s="48"/>
      <c r="N742" s="48"/>
      <c r="O742" s="48">
        <f t="shared" si="1"/>
        <v>0</v>
      </c>
      <c r="P742" s="38"/>
      <c r="Q742" s="12" t="str">
        <f t="shared" si="2"/>
        <v/>
      </c>
      <c r="R742" s="42"/>
      <c r="S742" s="42"/>
      <c r="T742" s="42"/>
      <c r="U742" s="51"/>
      <c r="V742" s="52"/>
      <c r="W742" s="55"/>
      <c r="X742" s="57"/>
      <c r="Y742" s="106"/>
      <c r="Z742" s="134" t="s">
        <v>2399</v>
      </c>
      <c r="AA742" s="106"/>
      <c r="AB742" s="106"/>
    </row>
    <row r="743">
      <c r="A743" s="38">
        <v>742.0</v>
      </c>
      <c r="B743" s="63"/>
      <c r="C743" s="51"/>
      <c r="D743" s="39"/>
      <c r="E743" s="38" t="s">
        <v>1568</v>
      </c>
      <c r="F743" s="41" t="s">
        <v>1569</v>
      </c>
      <c r="G743" s="43"/>
      <c r="H743" s="45"/>
      <c r="I743" s="38"/>
      <c r="J743" s="38">
        <f>18*1000</f>
        <v>18000</v>
      </c>
      <c r="K743" s="46">
        <v>0.04446759259259259</v>
      </c>
      <c r="L743" s="47" t="s">
        <v>1093</v>
      </c>
      <c r="M743" s="48"/>
      <c r="N743" s="48"/>
      <c r="O743" s="48">
        <f t="shared" si="1"/>
        <v>0</v>
      </c>
      <c r="P743" s="89">
        <v>43019.0</v>
      </c>
      <c r="Q743" s="12" t="str">
        <f t="shared" si="2"/>
        <v/>
      </c>
      <c r="R743" s="42"/>
      <c r="S743" s="42"/>
      <c r="T743" s="42"/>
      <c r="U743" s="51"/>
      <c r="V743" s="52"/>
      <c r="W743" s="55"/>
      <c r="X743" s="57"/>
      <c r="Y743" s="106"/>
      <c r="Z743" s="106"/>
      <c r="AA743" s="106"/>
      <c r="AB743" s="106"/>
    </row>
    <row r="744">
      <c r="A744" s="38">
        <v>743.0</v>
      </c>
      <c r="B744" s="63" t="s">
        <v>619</v>
      </c>
      <c r="C744" s="51"/>
      <c r="D744" s="39" t="s">
        <v>145</v>
      </c>
      <c r="E744" s="38" t="s">
        <v>2400</v>
      </c>
      <c r="F744" s="41" t="s">
        <v>2401</v>
      </c>
      <c r="G744" s="43"/>
      <c r="H744" s="45"/>
      <c r="I744" s="38"/>
      <c r="J744" s="38">
        <f>10*1000</f>
        <v>10000</v>
      </c>
      <c r="K744" s="46">
        <v>0.04547453703703704</v>
      </c>
      <c r="L744" s="47" t="s">
        <v>1093</v>
      </c>
      <c r="M744" s="48"/>
      <c r="N744" s="48"/>
      <c r="O744" s="48">
        <f t="shared" si="1"/>
        <v>0</v>
      </c>
      <c r="P744" s="38"/>
      <c r="Q744" s="12" t="str">
        <f t="shared" si="2"/>
        <v/>
      </c>
      <c r="R744" s="42"/>
      <c r="S744" s="42"/>
      <c r="T744" s="42"/>
      <c r="U744" s="51"/>
      <c r="V744" s="52"/>
      <c r="W744" s="55"/>
      <c r="X744" s="57"/>
      <c r="Y744" s="106"/>
      <c r="Z744" s="106"/>
      <c r="AA744" s="106"/>
      <c r="AB744" s="106"/>
    </row>
    <row r="745">
      <c r="A745" s="38">
        <v>744.0</v>
      </c>
      <c r="B745" s="42"/>
      <c r="C745" s="51"/>
      <c r="D745" s="38"/>
      <c r="E745" s="38" t="s">
        <v>2402</v>
      </c>
      <c r="F745" s="41" t="s">
        <v>2403</v>
      </c>
      <c r="G745" s="43"/>
      <c r="H745" s="45"/>
      <c r="I745" s="38"/>
      <c r="J745" s="38">
        <f>114*1000</f>
        <v>114000</v>
      </c>
      <c r="K745" s="46">
        <v>0.04265046296296296</v>
      </c>
      <c r="L745" s="47" t="s">
        <v>2404</v>
      </c>
      <c r="M745" s="48"/>
      <c r="N745" s="48"/>
      <c r="O745" s="48">
        <f t="shared" si="1"/>
        <v>0</v>
      </c>
      <c r="P745" s="38"/>
      <c r="Q745" s="12" t="str">
        <f t="shared" si="2"/>
        <v/>
      </c>
      <c r="R745" s="42"/>
      <c r="S745" s="42"/>
      <c r="T745" s="42"/>
      <c r="U745" s="51"/>
      <c r="V745" s="52"/>
      <c r="W745" s="55"/>
      <c r="X745" s="57"/>
      <c r="Y745" s="106"/>
      <c r="Z745" s="106"/>
      <c r="AA745" s="106"/>
      <c r="AB745" s="106"/>
    </row>
    <row r="746">
      <c r="A746" s="38">
        <v>745.0</v>
      </c>
      <c r="B746" s="63" t="s">
        <v>516</v>
      </c>
      <c r="C746" s="51"/>
      <c r="D746" s="39" t="s">
        <v>145</v>
      </c>
      <c r="E746" s="38" t="s">
        <v>2405</v>
      </c>
      <c r="F746" s="41" t="s">
        <v>2406</v>
      </c>
      <c r="G746" s="43"/>
      <c r="H746" s="45"/>
      <c r="I746" s="38"/>
      <c r="J746" s="38">
        <f>27*1000</f>
        <v>27000</v>
      </c>
      <c r="K746" s="46">
        <v>0.042083333333333334</v>
      </c>
      <c r="L746" s="47" t="s">
        <v>2404</v>
      </c>
      <c r="M746" s="48"/>
      <c r="N746" s="48"/>
      <c r="O746" s="48">
        <f t="shared" si="1"/>
        <v>0</v>
      </c>
      <c r="P746" s="38"/>
      <c r="Q746" s="12" t="str">
        <f t="shared" si="2"/>
        <v/>
      </c>
      <c r="R746" s="42"/>
      <c r="S746" s="42"/>
      <c r="T746" s="42"/>
      <c r="U746" s="51"/>
      <c r="V746" s="52"/>
      <c r="W746" s="55"/>
      <c r="X746" s="57"/>
      <c r="Y746" s="106"/>
      <c r="Z746" s="106"/>
      <c r="AA746" s="106"/>
      <c r="AB746" s="106"/>
    </row>
    <row r="747">
      <c r="A747" s="38">
        <v>746.0</v>
      </c>
      <c r="B747" s="42"/>
      <c r="C747" s="51"/>
      <c r="D747" s="38"/>
      <c r="E747" s="38" t="s">
        <v>2407</v>
      </c>
      <c r="F747" s="41" t="s">
        <v>2408</v>
      </c>
      <c r="G747" s="43"/>
      <c r="H747" s="45"/>
      <c r="I747" s="38"/>
      <c r="J747" s="38">
        <f>17*1000</f>
        <v>17000</v>
      </c>
      <c r="K747" s="46">
        <v>0.039560185185185184</v>
      </c>
      <c r="L747" s="47" t="s">
        <v>2404</v>
      </c>
      <c r="M747" s="48"/>
      <c r="N747" s="48"/>
      <c r="O747" s="48">
        <f t="shared" si="1"/>
        <v>0</v>
      </c>
      <c r="P747" s="38"/>
      <c r="Q747" s="12" t="str">
        <f t="shared" si="2"/>
        <v/>
      </c>
      <c r="R747" s="42"/>
      <c r="S747" s="42"/>
      <c r="T747" s="42"/>
      <c r="U747" s="51"/>
      <c r="V747" s="52"/>
      <c r="W747" s="55"/>
      <c r="X747" s="57"/>
      <c r="Y747" s="106"/>
      <c r="Z747" s="106"/>
      <c r="AA747" s="106"/>
      <c r="AB747" s="106"/>
    </row>
    <row r="748">
      <c r="A748" s="38">
        <v>747.0</v>
      </c>
      <c r="B748" s="42"/>
      <c r="C748" s="51"/>
      <c r="D748" s="38"/>
      <c r="E748" s="38" t="s">
        <v>2409</v>
      </c>
      <c r="F748" s="41" t="s">
        <v>2410</v>
      </c>
      <c r="G748" s="43"/>
      <c r="H748" s="45"/>
      <c r="I748" s="38"/>
      <c r="J748" s="38">
        <f>24*1000</f>
        <v>24000</v>
      </c>
      <c r="K748" s="46">
        <v>0.04546296296296296</v>
      </c>
      <c r="L748" s="47" t="s">
        <v>2404</v>
      </c>
      <c r="M748" s="48"/>
      <c r="N748" s="48"/>
      <c r="O748" s="48">
        <f t="shared" si="1"/>
        <v>0</v>
      </c>
      <c r="P748" s="38"/>
      <c r="Q748" s="12" t="str">
        <f t="shared" si="2"/>
        <v/>
      </c>
      <c r="R748" s="42"/>
      <c r="S748" s="42"/>
      <c r="T748" s="42"/>
      <c r="U748" s="51"/>
      <c r="V748" s="52"/>
      <c r="W748" s="55"/>
      <c r="X748" s="57"/>
      <c r="Y748" s="106"/>
      <c r="Z748" s="106"/>
      <c r="AA748" s="106"/>
      <c r="AB748" s="106"/>
    </row>
    <row r="749">
      <c r="A749" s="38">
        <v>748.0</v>
      </c>
      <c r="B749" s="42"/>
      <c r="C749" s="51"/>
      <c r="D749" s="38"/>
      <c r="E749" s="38" t="s">
        <v>2411</v>
      </c>
      <c r="F749" s="41" t="s">
        <v>2412</v>
      </c>
      <c r="G749" s="43"/>
      <c r="H749" s="45"/>
      <c r="I749" s="38"/>
      <c r="J749" s="38">
        <f>22*1000</f>
        <v>22000</v>
      </c>
      <c r="K749" s="46">
        <v>0.03255787037037037</v>
      </c>
      <c r="L749" s="47" t="s">
        <v>2404</v>
      </c>
      <c r="M749" s="48"/>
      <c r="N749" s="48"/>
      <c r="O749" s="48">
        <f t="shared" si="1"/>
        <v>0</v>
      </c>
      <c r="P749" s="38"/>
      <c r="Q749" s="12" t="str">
        <f t="shared" si="2"/>
        <v/>
      </c>
      <c r="R749" s="42"/>
      <c r="S749" s="42"/>
      <c r="T749" s="42"/>
      <c r="U749" s="51"/>
      <c r="V749" s="52"/>
      <c r="W749" s="55"/>
      <c r="X749" s="57"/>
      <c r="Y749" s="106"/>
      <c r="Z749" s="106"/>
      <c r="AA749" s="106"/>
      <c r="AB749" s="106"/>
    </row>
    <row r="750">
      <c r="A750" s="38">
        <v>749.0</v>
      </c>
      <c r="B750" s="42"/>
      <c r="C750" s="51"/>
      <c r="D750" s="38"/>
      <c r="E750" s="38" t="s">
        <v>2413</v>
      </c>
      <c r="F750" s="41" t="s">
        <v>2414</v>
      </c>
      <c r="G750" s="43"/>
      <c r="H750" s="45"/>
      <c r="I750" s="38"/>
      <c r="J750" s="38">
        <f>27*1000</f>
        <v>27000</v>
      </c>
      <c r="K750" s="46">
        <v>0.033379629629629634</v>
      </c>
      <c r="L750" s="47" t="s">
        <v>1060</v>
      </c>
      <c r="M750" s="48"/>
      <c r="N750" s="48"/>
      <c r="O750" s="48">
        <f t="shared" si="1"/>
        <v>0</v>
      </c>
      <c r="P750" s="38"/>
      <c r="Q750" s="12" t="str">
        <f t="shared" si="2"/>
        <v/>
      </c>
      <c r="R750" s="42"/>
      <c r="S750" s="42"/>
      <c r="T750" s="42"/>
      <c r="U750" s="51"/>
      <c r="V750" s="52"/>
      <c r="W750" s="55"/>
      <c r="X750" s="57"/>
      <c r="Y750" s="106"/>
      <c r="Z750" s="106"/>
      <c r="AA750" s="106"/>
      <c r="AB750" s="106"/>
    </row>
    <row r="751">
      <c r="A751" s="38">
        <v>750.0</v>
      </c>
      <c r="B751" s="63" t="s">
        <v>619</v>
      </c>
      <c r="C751" s="51"/>
      <c r="D751" s="39" t="s">
        <v>145</v>
      </c>
      <c r="E751" s="38" t="s">
        <v>1058</v>
      </c>
      <c r="F751" s="41" t="s">
        <v>1059</v>
      </c>
      <c r="G751" s="43"/>
      <c r="H751" s="45"/>
      <c r="I751" s="38"/>
      <c r="J751" s="38">
        <f>14*1000</f>
        <v>14000</v>
      </c>
      <c r="K751" s="46">
        <v>0.042465277777777775</v>
      </c>
      <c r="L751" s="47" t="s">
        <v>1060</v>
      </c>
      <c r="M751" s="48"/>
      <c r="N751" s="48"/>
      <c r="O751" s="48">
        <f t="shared" si="1"/>
        <v>0</v>
      </c>
      <c r="P751" s="38"/>
      <c r="Q751" s="12" t="str">
        <f t="shared" si="2"/>
        <v/>
      </c>
      <c r="R751" s="42"/>
      <c r="S751" s="42"/>
      <c r="T751" s="42"/>
      <c r="U751" s="51"/>
      <c r="V751" s="52"/>
      <c r="W751" s="55"/>
      <c r="X751" s="57"/>
      <c r="Y751" s="106"/>
      <c r="Z751" s="106"/>
      <c r="AA751" s="106"/>
      <c r="AB751" s="106"/>
    </row>
    <row r="752">
      <c r="A752" s="38">
        <v>751.0</v>
      </c>
      <c r="B752" s="63" t="s">
        <v>142</v>
      </c>
      <c r="C752" s="51"/>
      <c r="D752" s="39" t="s">
        <v>145</v>
      </c>
      <c r="E752" s="38" t="s">
        <v>1407</v>
      </c>
      <c r="F752" s="41" t="s">
        <v>1408</v>
      </c>
      <c r="G752" s="43"/>
      <c r="H752" s="45"/>
      <c r="I752" s="38"/>
      <c r="J752" s="38">
        <f>6.7*1000</f>
        <v>6700</v>
      </c>
      <c r="K752" s="46">
        <v>0.08165509259259258</v>
      </c>
      <c r="L752" s="47" t="s">
        <v>1060</v>
      </c>
      <c r="M752" s="48"/>
      <c r="N752" s="48"/>
      <c r="O752" s="48">
        <f t="shared" si="1"/>
        <v>0</v>
      </c>
      <c r="P752" s="38"/>
      <c r="Q752" s="12" t="str">
        <f t="shared" si="2"/>
        <v/>
      </c>
      <c r="R752" s="42"/>
      <c r="S752" s="42"/>
      <c r="T752" s="42"/>
      <c r="U752" s="51"/>
      <c r="V752" s="52"/>
      <c r="W752" s="55"/>
      <c r="X752" s="57"/>
      <c r="Y752" s="106"/>
      <c r="Z752" s="106"/>
      <c r="AA752" s="106"/>
      <c r="AB752" s="106"/>
    </row>
    <row r="753">
      <c r="A753" s="38">
        <v>752.0</v>
      </c>
      <c r="B753" s="63" t="s">
        <v>516</v>
      </c>
      <c r="C753" s="51"/>
      <c r="D753" s="39" t="s">
        <v>145</v>
      </c>
      <c r="E753" s="38" t="s">
        <v>2416</v>
      </c>
      <c r="F753" s="41" t="s">
        <v>2417</v>
      </c>
      <c r="G753" s="43"/>
      <c r="H753" s="45"/>
      <c r="I753" s="38"/>
      <c r="J753" s="38">
        <f>39*1000</f>
        <v>39000</v>
      </c>
      <c r="K753" s="46">
        <v>0.02694444444444444</v>
      </c>
      <c r="L753" s="47" t="s">
        <v>1060</v>
      </c>
      <c r="M753" s="48"/>
      <c r="N753" s="48"/>
      <c r="O753" s="48">
        <f t="shared" si="1"/>
        <v>0</v>
      </c>
      <c r="P753" s="38"/>
      <c r="Q753" s="12" t="str">
        <f t="shared" si="2"/>
        <v/>
      </c>
      <c r="R753" s="42"/>
      <c r="S753" s="42"/>
      <c r="T753" s="42"/>
      <c r="U753" s="51"/>
      <c r="V753" s="52"/>
      <c r="W753" s="55"/>
      <c r="X753" s="57"/>
      <c r="Y753" s="106"/>
      <c r="Z753" s="106"/>
      <c r="AA753" s="106"/>
      <c r="AB753" s="106"/>
    </row>
    <row r="754">
      <c r="A754" s="38">
        <v>753.0</v>
      </c>
      <c r="B754" s="42"/>
      <c r="C754" s="51"/>
      <c r="D754" s="38"/>
      <c r="E754" s="38" t="s">
        <v>2419</v>
      </c>
      <c r="F754" s="41" t="s">
        <v>2420</v>
      </c>
      <c r="G754" s="43"/>
      <c r="H754" s="45"/>
      <c r="I754" s="38"/>
      <c r="J754" s="38">
        <f>10*1000</f>
        <v>10000</v>
      </c>
      <c r="K754" s="46">
        <v>0.0431712962962963</v>
      </c>
      <c r="L754" s="47" t="s">
        <v>1060</v>
      </c>
      <c r="M754" s="48"/>
      <c r="N754" s="48"/>
      <c r="O754" s="48">
        <f t="shared" si="1"/>
        <v>0</v>
      </c>
      <c r="P754" s="38"/>
      <c r="Q754" s="12" t="str">
        <f t="shared" si="2"/>
        <v/>
      </c>
      <c r="R754" s="42"/>
      <c r="S754" s="42"/>
      <c r="T754" s="42"/>
      <c r="U754" s="51"/>
      <c r="V754" s="52"/>
      <c r="W754" s="55"/>
      <c r="X754" s="57"/>
      <c r="Y754" s="106"/>
      <c r="Z754" s="106"/>
      <c r="AA754" s="106"/>
      <c r="AB754" s="106"/>
    </row>
    <row r="755">
      <c r="A755" s="38">
        <v>754.0</v>
      </c>
      <c r="B755" s="42"/>
      <c r="C755" s="51"/>
      <c r="D755" s="38"/>
      <c r="E755" s="38" t="s">
        <v>2421</v>
      </c>
      <c r="F755" s="41" t="s">
        <v>2422</v>
      </c>
      <c r="G755" s="43"/>
      <c r="H755" s="45"/>
      <c r="I755" s="38"/>
      <c r="J755" s="38">
        <f>22*1000</f>
        <v>22000</v>
      </c>
      <c r="K755" s="46">
        <v>0.05133101851851852</v>
      </c>
      <c r="L755" s="47" t="s">
        <v>2423</v>
      </c>
      <c r="M755" s="48"/>
      <c r="N755" s="48"/>
      <c r="O755" s="48">
        <f t="shared" si="1"/>
        <v>0</v>
      </c>
      <c r="P755" s="38"/>
      <c r="Q755" s="12" t="str">
        <f t="shared" si="2"/>
        <v/>
      </c>
      <c r="R755" s="42"/>
      <c r="S755" s="42"/>
      <c r="T755" s="42"/>
      <c r="U755" s="51"/>
      <c r="V755" s="52"/>
      <c r="W755" s="55"/>
      <c r="X755" s="57"/>
      <c r="Y755" s="106"/>
      <c r="Z755" s="106"/>
      <c r="AA755" s="106"/>
      <c r="AB755" s="106"/>
    </row>
    <row r="756">
      <c r="A756" s="38">
        <v>755.0</v>
      </c>
      <c r="B756" s="42"/>
      <c r="C756" s="51"/>
      <c r="D756" s="38"/>
      <c r="E756" s="38" t="s">
        <v>2424</v>
      </c>
      <c r="F756" s="41" t="s">
        <v>2425</v>
      </c>
      <c r="G756" s="43"/>
      <c r="H756" s="45"/>
      <c r="I756" s="38"/>
      <c r="J756" s="38">
        <f>12*1000</f>
        <v>12000</v>
      </c>
      <c r="K756" s="46">
        <v>0.06802083333333334</v>
      </c>
      <c r="L756" s="47" t="s">
        <v>2426</v>
      </c>
      <c r="M756" s="48"/>
      <c r="N756" s="48"/>
      <c r="O756" s="48">
        <f t="shared" si="1"/>
        <v>0</v>
      </c>
      <c r="P756" s="38"/>
      <c r="Q756" s="12" t="str">
        <f t="shared" si="2"/>
        <v/>
      </c>
      <c r="R756" s="42"/>
      <c r="S756" s="42"/>
      <c r="T756" s="42"/>
      <c r="U756" s="51"/>
      <c r="V756" s="52"/>
      <c r="W756" s="55"/>
      <c r="X756" s="57"/>
      <c r="Y756" s="106"/>
      <c r="Z756" s="106"/>
      <c r="AA756" s="106"/>
      <c r="AB756" s="106"/>
    </row>
    <row r="757">
      <c r="A757" s="38">
        <v>756.0</v>
      </c>
      <c r="B757" s="42"/>
      <c r="C757" s="51"/>
      <c r="D757" s="38"/>
      <c r="E757" s="38" t="s">
        <v>2427</v>
      </c>
      <c r="F757" s="41" t="s">
        <v>2428</v>
      </c>
      <c r="G757" s="43"/>
      <c r="H757" s="45"/>
      <c r="I757" s="38"/>
      <c r="J757" s="38">
        <f>17*1000</f>
        <v>17000</v>
      </c>
      <c r="K757" s="46">
        <v>0.033888888888888885</v>
      </c>
      <c r="L757" s="47" t="s">
        <v>2429</v>
      </c>
      <c r="M757" s="48"/>
      <c r="N757" s="48"/>
      <c r="O757" s="48">
        <f t="shared" si="1"/>
        <v>0</v>
      </c>
      <c r="P757" s="38"/>
      <c r="Q757" s="12" t="str">
        <f t="shared" si="2"/>
        <v/>
      </c>
      <c r="R757" s="42"/>
      <c r="S757" s="42"/>
      <c r="T757" s="42"/>
      <c r="U757" s="51"/>
      <c r="V757" s="52"/>
      <c r="W757" s="55"/>
      <c r="X757" s="57"/>
      <c r="Y757" s="106"/>
      <c r="Z757" s="106"/>
      <c r="AA757" s="106"/>
      <c r="AB757" s="106"/>
    </row>
    <row r="758">
      <c r="A758" s="38">
        <v>757.0</v>
      </c>
      <c r="B758" s="63" t="s">
        <v>274</v>
      </c>
      <c r="C758" s="44"/>
      <c r="D758" s="39" t="s">
        <v>55</v>
      </c>
      <c r="E758" s="38" t="s">
        <v>688</v>
      </c>
      <c r="F758" s="41" t="s">
        <v>689</v>
      </c>
      <c r="G758" s="43"/>
      <c r="H758" s="45"/>
      <c r="I758" s="38"/>
      <c r="J758" s="38">
        <f>9.5*1000</f>
        <v>9500</v>
      </c>
      <c r="K758" s="46">
        <v>0.050972222222222224</v>
      </c>
      <c r="L758" s="129" t="s">
        <v>692</v>
      </c>
      <c r="M758" s="125"/>
      <c r="N758" s="48"/>
      <c r="O758" s="48">
        <f t="shared" si="1"/>
        <v>0</v>
      </c>
      <c r="P758" s="130">
        <v>43007.0</v>
      </c>
      <c r="Q758" s="12" t="str">
        <f t="shared" si="2"/>
        <v/>
      </c>
      <c r="R758" s="42"/>
      <c r="S758" s="42"/>
      <c r="T758" s="42"/>
      <c r="U758" s="51"/>
      <c r="V758" s="52"/>
      <c r="W758" s="55"/>
      <c r="X758" s="57"/>
      <c r="Y758" s="106"/>
      <c r="Z758" s="106"/>
      <c r="AA758" s="106"/>
      <c r="AB758" s="106"/>
    </row>
    <row r="759">
      <c r="A759" s="38"/>
      <c r="B759" s="42"/>
      <c r="C759" s="51"/>
      <c r="D759" s="38"/>
      <c r="E759" s="38"/>
      <c r="F759" s="43"/>
      <c r="G759" s="38"/>
      <c r="H759" s="12"/>
      <c r="I759" s="38"/>
      <c r="J759" s="38"/>
      <c r="K759" s="46"/>
      <c r="L759" s="47"/>
      <c r="M759" s="251"/>
      <c r="N759" s="251"/>
      <c r="O759" s="106"/>
      <c r="P759" s="106"/>
      <c r="Q759" s="106"/>
      <c r="R759" s="252"/>
      <c r="S759" s="252"/>
      <c r="T759" s="253"/>
      <c r="U759" s="254"/>
      <c r="V759" s="255"/>
      <c r="W759" s="256"/>
      <c r="X759" s="257"/>
      <c r="Y759" s="106"/>
      <c r="Z759" s="106"/>
      <c r="AA759" s="106"/>
      <c r="AB759" s="106"/>
    </row>
    <row r="760">
      <c r="A760" s="38"/>
      <c r="B760" s="42"/>
      <c r="C760" s="51"/>
      <c r="D760" s="38"/>
      <c r="E760" s="38"/>
      <c r="F760" s="43"/>
      <c r="G760" s="38"/>
      <c r="H760" s="12"/>
      <c r="I760" s="38"/>
      <c r="J760" s="38"/>
      <c r="K760" s="46"/>
      <c r="L760" s="47"/>
      <c r="M760" s="251"/>
      <c r="N760" s="251"/>
      <c r="O760" s="106"/>
      <c r="P760" s="106"/>
      <c r="Q760" s="106"/>
      <c r="R760" s="252"/>
      <c r="S760" s="252"/>
      <c r="T760" s="253"/>
      <c r="U760" s="254"/>
      <c r="V760" s="255"/>
      <c r="W760" s="256"/>
      <c r="X760" s="257"/>
      <c r="Y760" s="106"/>
      <c r="Z760" s="106"/>
      <c r="AA760" s="106"/>
      <c r="AB760" s="106"/>
    </row>
    <row r="761">
      <c r="A761" s="38"/>
      <c r="B761" s="42"/>
      <c r="C761" s="51"/>
      <c r="D761" s="38"/>
      <c r="E761" s="38"/>
      <c r="F761" s="43"/>
      <c r="G761" s="38"/>
      <c r="H761" s="12"/>
      <c r="I761" s="38"/>
      <c r="J761" s="38"/>
      <c r="K761" s="46"/>
      <c r="L761" s="47"/>
      <c r="M761" s="251"/>
      <c r="N761" s="251"/>
      <c r="O761" s="106"/>
      <c r="P761" s="106"/>
      <c r="Q761" s="106"/>
      <c r="R761" s="252"/>
      <c r="S761" s="252"/>
      <c r="T761" s="253"/>
      <c r="U761" s="254"/>
      <c r="V761" s="255"/>
      <c r="W761" s="256"/>
      <c r="X761" s="257"/>
      <c r="Y761" s="106"/>
      <c r="Z761" s="106"/>
      <c r="AA761" s="106"/>
      <c r="AB761" s="106"/>
    </row>
    <row r="762">
      <c r="A762" s="38"/>
      <c r="B762" s="42"/>
      <c r="C762" s="51"/>
      <c r="D762" s="38"/>
      <c r="E762" s="38"/>
      <c r="F762" s="43"/>
      <c r="G762" s="38"/>
      <c r="H762" s="12"/>
      <c r="I762" s="38"/>
      <c r="J762" s="38"/>
      <c r="K762" s="46"/>
      <c r="L762" s="47"/>
      <c r="M762" s="251"/>
      <c r="N762" s="251"/>
      <c r="O762" s="106"/>
      <c r="P762" s="106"/>
      <c r="Q762" s="106"/>
      <c r="R762" s="252"/>
      <c r="S762" s="252"/>
      <c r="T762" s="253"/>
      <c r="U762" s="254"/>
      <c r="V762" s="255"/>
      <c r="W762" s="256"/>
      <c r="X762" s="257"/>
      <c r="Y762" s="106"/>
      <c r="Z762" s="106"/>
      <c r="AA762" s="106"/>
      <c r="AB762" s="106"/>
    </row>
    <row r="763">
      <c r="A763" s="38"/>
      <c r="B763" s="42"/>
      <c r="C763" s="51"/>
      <c r="D763" s="38"/>
      <c r="E763" s="38"/>
      <c r="F763" s="43"/>
      <c r="G763" s="38"/>
      <c r="H763" s="12"/>
      <c r="I763" s="38"/>
      <c r="J763" s="38"/>
      <c r="K763" s="46"/>
      <c r="L763" s="47"/>
      <c r="M763" s="251"/>
      <c r="N763" s="251"/>
      <c r="O763" s="106"/>
      <c r="P763" s="106"/>
      <c r="Q763" s="106"/>
      <c r="R763" s="252"/>
      <c r="S763" s="252"/>
      <c r="T763" s="253"/>
      <c r="U763" s="254"/>
      <c r="V763" s="255"/>
      <c r="W763" s="256"/>
      <c r="X763" s="257"/>
      <c r="Y763" s="106"/>
      <c r="Z763" s="106"/>
      <c r="AA763" s="106"/>
      <c r="AB763" s="106"/>
    </row>
    <row r="764">
      <c r="A764" s="38"/>
      <c r="B764" s="42"/>
      <c r="C764" s="51"/>
      <c r="D764" s="38"/>
      <c r="E764" s="38"/>
      <c r="F764" s="43"/>
      <c r="G764" s="38"/>
      <c r="H764" s="12"/>
      <c r="I764" s="38"/>
      <c r="J764" s="38"/>
      <c r="K764" s="46"/>
      <c r="L764" s="47"/>
      <c r="M764" s="251"/>
      <c r="N764" s="251"/>
      <c r="O764" s="106"/>
      <c r="P764" s="106"/>
      <c r="Q764" s="106"/>
      <c r="R764" s="252"/>
      <c r="S764" s="252"/>
      <c r="T764" s="253"/>
      <c r="U764" s="254"/>
      <c r="V764" s="255"/>
      <c r="W764" s="256"/>
      <c r="X764" s="257"/>
      <c r="Y764" s="106"/>
      <c r="Z764" s="106"/>
      <c r="AA764" s="106"/>
      <c r="AB764" s="106"/>
    </row>
    <row r="765">
      <c r="A765" s="38"/>
      <c r="B765" s="42"/>
      <c r="C765" s="51"/>
      <c r="D765" s="38"/>
      <c r="E765" s="38"/>
      <c r="F765" s="43"/>
      <c r="G765" s="38"/>
      <c r="H765" s="12"/>
      <c r="I765" s="38"/>
      <c r="J765" s="38"/>
      <c r="K765" s="46"/>
      <c r="L765" s="47"/>
      <c r="M765" s="251"/>
      <c r="N765" s="251"/>
      <c r="O765" s="106"/>
      <c r="P765" s="106"/>
      <c r="Q765" s="106"/>
      <c r="R765" s="252"/>
      <c r="S765" s="252"/>
      <c r="T765" s="253"/>
      <c r="U765" s="254"/>
      <c r="V765" s="255"/>
      <c r="W765" s="256"/>
      <c r="X765" s="257"/>
      <c r="Y765" s="106"/>
      <c r="Z765" s="106"/>
      <c r="AA765" s="106"/>
      <c r="AB765" s="106"/>
    </row>
    <row r="766">
      <c r="A766" s="38"/>
      <c r="B766" s="42"/>
      <c r="C766" s="51"/>
      <c r="D766" s="38"/>
      <c r="E766" s="38"/>
      <c r="F766" s="43"/>
      <c r="G766" s="38"/>
      <c r="H766" s="12"/>
      <c r="I766" s="38"/>
      <c r="J766" s="38"/>
      <c r="K766" s="46"/>
      <c r="L766" s="47"/>
      <c r="M766" s="251"/>
      <c r="N766" s="251"/>
      <c r="O766" s="106"/>
      <c r="P766" s="106"/>
      <c r="Q766" s="106"/>
      <c r="R766" s="252"/>
      <c r="S766" s="252"/>
      <c r="T766" s="253"/>
      <c r="U766" s="254"/>
      <c r="V766" s="255"/>
      <c r="W766" s="256"/>
      <c r="X766" s="257"/>
      <c r="Y766" s="106"/>
      <c r="Z766" s="106"/>
      <c r="AA766" s="106"/>
      <c r="AB766" s="106"/>
    </row>
    <row r="767">
      <c r="A767" s="38"/>
      <c r="B767" s="42"/>
      <c r="C767" s="51"/>
      <c r="D767" s="38"/>
      <c r="E767" s="38"/>
      <c r="F767" s="43"/>
      <c r="G767" s="38"/>
      <c r="H767" s="12"/>
      <c r="I767" s="38"/>
      <c r="J767" s="38"/>
      <c r="K767" s="46"/>
      <c r="L767" s="47"/>
      <c r="M767" s="251"/>
      <c r="N767" s="251"/>
      <c r="O767" s="106"/>
      <c r="P767" s="106"/>
      <c r="Q767" s="106"/>
      <c r="R767" s="252"/>
      <c r="S767" s="252"/>
      <c r="T767" s="253"/>
      <c r="U767" s="254"/>
      <c r="V767" s="255"/>
      <c r="W767" s="256"/>
      <c r="X767" s="257"/>
      <c r="Y767" s="106"/>
      <c r="Z767" s="106"/>
      <c r="AA767" s="106"/>
      <c r="AB767" s="106"/>
    </row>
    <row r="768">
      <c r="A768" s="38"/>
      <c r="B768" s="42"/>
      <c r="C768" s="51"/>
      <c r="D768" s="38"/>
      <c r="E768" s="38"/>
      <c r="F768" s="43"/>
      <c r="G768" s="38"/>
      <c r="H768" s="12"/>
      <c r="I768" s="38"/>
      <c r="J768" s="38"/>
      <c r="K768" s="46"/>
      <c r="L768" s="47"/>
      <c r="M768" s="251"/>
      <c r="N768" s="251"/>
      <c r="O768" s="106"/>
      <c r="P768" s="106"/>
      <c r="Q768" s="106"/>
      <c r="R768" s="252"/>
      <c r="S768" s="252"/>
      <c r="T768" s="253"/>
      <c r="U768" s="254"/>
      <c r="V768" s="255"/>
      <c r="W768" s="256"/>
      <c r="X768" s="257"/>
      <c r="Y768" s="106"/>
      <c r="Z768" s="106"/>
      <c r="AA768" s="106"/>
      <c r="AB768" s="106"/>
    </row>
    <row r="769">
      <c r="A769" s="38"/>
      <c r="B769" s="42"/>
      <c r="C769" s="51"/>
      <c r="D769" s="38"/>
      <c r="E769" s="38"/>
      <c r="F769" s="43"/>
      <c r="G769" s="38"/>
      <c r="H769" s="12"/>
      <c r="I769" s="38"/>
      <c r="J769" s="38"/>
      <c r="K769" s="46"/>
      <c r="L769" s="47"/>
      <c r="M769" s="251"/>
      <c r="N769" s="251"/>
      <c r="O769" s="106"/>
      <c r="P769" s="106"/>
      <c r="Q769" s="106"/>
      <c r="R769" s="252"/>
      <c r="S769" s="252"/>
      <c r="T769" s="253"/>
      <c r="U769" s="254"/>
      <c r="V769" s="255"/>
      <c r="W769" s="256"/>
      <c r="X769" s="257"/>
      <c r="Y769" s="106"/>
      <c r="Z769" s="106"/>
      <c r="AA769" s="106"/>
      <c r="AB769" s="106"/>
    </row>
    <row r="770">
      <c r="A770" s="38"/>
      <c r="B770" s="42"/>
      <c r="C770" s="51"/>
      <c r="D770" s="38"/>
      <c r="E770" s="38"/>
      <c r="F770" s="43"/>
      <c r="G770" s="38"/>
      <c r="H770" s="12"/>
      <c r="I770" s="38"/>
      <c r="J770" s="38"/>
      <c r="K770" s="46"/>
      <c r="L770" s="47"/>
      <c r="M770" s="251"/>
      <c r="N770" s="251"/>
      <c r="O770" s="106"/>
      <c r="P770" s="106"/>
      <c r="Q770" s="106"/>
      <c r="R770" s="252"/>
      <c r="S770" s="252"/>
      <c r="T770" s="253"/>
      <c r="U770" s="254"/>
      <c r="V770" s="255"/>
      <c r="W770" s="256"/>
      <c r="X770" s="257"/>
      <c r="Y770" s="106"/>
      <c r="Z770" s="106"/>
      <c r="AA770" s="106"/>
      <c r="AB770" s="106"/>
    </row>
    <row r="771">
      <c r="A771" s="38"/>
      <c r="B771" s="42"/>
      <c r="C771" s="51"/>
      <c r="D771" s="38"/>
      <c r="E771" s="38"/>
      <c r="F771" s="43"/>
      <c r="G771" s="38"/>
      <c r="H771" s="12"/>
      <c r="I771" s="38"/>
      <c r="J771" s="38"/>
      <c r="K771" s="46"/>
      <c r="L771" s="47"/>
      <c r="M771" s="251"/>
      <c r="N771" s="251"/>
      <c r="O771" s="106"/>
      <c r="P771" s="106"/>
      <c r="Q771" s="106"/>
      <c r="R771" s="252"/>
      <c r="S771" s="252"/>
      <c r="T771" s="253"/>
      <c r="U771" s="254"/>
      <c r="V771" s="255"/>
      <c r="W771" s="256"/>
      <c r="X771" s="257"/>
      <c r="Y771" s="106"/>
      <c r="Z771" s="106"/>
      <c r="AA771" s="106"/>
      <c r="AB771" s="106"/>
    </row>
    <row r="772">
      <c r="A772" s="38"/>
      <c r="B772" s="42"/>
      <c r="C772" s="51"/>
      <c r="D772" s="38"/>
      <c r="E772" s="38"/>
      <c r="F772" s="43"/>
      <c r="G772" s="38"/>
      <c r="H772" s="12"/>
      <c r="I772" s="38"/>
      <c r="J772" s="38"/>
      <c r="K772" s="46"/>
      <c r="L772" s="47"/>
      <c r="M772" s="251"/>
      <c r="N772" s="251"/>
      <c r="O772" s="106"/>
      <c r="P772" s="106"/>
      <c r="Q772" s="106"/>
      <c r="R772" s="252"/>
      <c r="S772" s="252"/>
      <c r="T772" s="253"/>
      <c r="U772" s="254"/>
      <c r="V772" s="255"/>
      <c r="W772" s="256"/>
      <c r="X772" s="257"/>
      <c r="Y772" s="106"/>
      <c r="Z772" s="106"/>
      <c r="AA772" s="106"/>
      <c r="AB772" s="106"/>
    </row>
    <row r="773">
      <c r="A773" s="38"/>
      <c r="B773" s="42"/>
      <c r="C773" s="51"/>
      <c r="D773" s="38"/>
      <c r="E773" s="38"/>
      <c r="F773" s="43"/>
      <c r="G773" s="38"/>
      <c r="H773" s="12"/>
      <c r="I773" s="38"/>
      <c r="J773" s="38"/>
      <c r="K773" s="46"/>
      <c r="L773" s="47"/>
      <c r="M773" s="251"/>
      <c r="N773" s="251"/>
      <c r="O773" s="106"/>
      <c r="P773" s="106"/>
      <c r="Q773" s="106"/>
      <c r="R773" s="252"/>
      <c r="S773" s="252"/>
      <c r="T773" s="253"/>
      <c r="U773" s="254"/>
      <c r="V773" s="255"/>
      <c r="W773" s="256"/>
      <c r="X773" s="257"/>
      <c r="Y773" s="106"/>
      <c r="Z773" s="106"/>
      <c r="AA773" s="106"/>
      <c r="AB773" s="106"/>
    </row>
    <row r="774">
      <c r="A774" s="38"/>
      <c r="B774" s="42"/>
      <c r="C774" s="51"/>
      <c r="D774" s="38"/>
      <c r="E774" s="38"/>
      <c r="F774" s="43"/>
      <c r="G774" s="38"/>
      <c r="H774" s="12"/>
      <c r="I774" s="38"/>
      <c r="J774" s="38"/>
      <c r="K774" s="46"/>
      <c r="L774" s="47"/>
      <c r="M774" s="251"/>
      <c r="N774" s="251"/>
      <c r="O774" s="106"/>
      <c r="P774" s="106"/>
      <c r="Q774" s="106"/>
      <c r="R774" s="252"/>
      <c r="S774" s="252"/>
      <c r="T774" s="253"/>
      <c r="U774" s="254"/>
      <c r="V774" s="255"/>
      <c r="W774" s="256"/>
      <c r="X774" s="257"/>
      <c r="Y774" s="106"/>
      <c r="Z774" s="106"/>
      <c r="AA774" s="106"/>
      <c r="AB774" s="106"/>
    </row>
    <row r="775">
      <c r="A775" s="38"/>
      <c r="B775" s="42"/>
      <c r="C775" s="51"/>
      <c r="D775" s="38"/>
      <c r="E775" s="38"/>
      <c r="F775" s="43"/>
      <c r="G775" s="38"/>
      <c r="H775" s="12"/>
      <c r="I775" s="38"/>
      <c r="J775" s="38"/>
      <c r="K775" s="46"/>
      <c r="L775" s="47"/>
      <c r="M775" s="251"/>
      <c r="N775" s="251"/>
      <c r="O775" s="106"/>
      <c r="P775" s="106"/>
      <c r="Q775" s="106"/>
      <c r="R775" s="252"/>
      <c r="S775" s="252"/>
      <c r="T775" s="253"/>
      <c r="U775" s="254"/>
      <c r="V775" s="255"/>
      <c r="W775" s="256"/>
      <c r="X775" s="257"/>
      <c r="Y775" s="106"/>
      <c r="Z775" s="106"/>
      <c r="AA775" s="106"/>
      <c r="AB775" s="106"/>
    </row>
    <row r="776">
      <c r="A776" s="38"/>
      <c r="B776" s="42"/>
      <c r="C776" s="51"/>
      <c r="D776" s="38"/>
      <c r="E776" s="38"/>
      <c r="F776" s="43"/>
      <c r="G776" s="38"/>
      <c r="H776" s="12"/>
      <c r="I776" s="38"/>
      <c r="J776" s="38"/>
      <c r="K776" s="46"/>
      <c r="L776" s="47"/>
      <c r="M776" s="251"/>
      <c r="N776" s="251"/>
      <c r="O776" s="106"/>
      <c r="P776" s="106"/>
      <c r="Q776" s="106"/>
      <c r="R776" s="252"/>
      <c r="S776" s="252"/>
      <c r="T776" s="253"/>
      <c r="U776" s="254"/>
      <c r="V776" s="255"/>
      <c r="W776" s="256"/>
      <c r="X776" s="257"/>
      <c r="Y776" s="106"/>
      <c r="Z776" s="106"/>
      <c r="AA776" s="106"/>
      <c r="AB776" s="106"/>
    </row>
    <row r="777">
      <c r="A777" s="38"/>
      <c r="B777" s="42"/>
      <c r="C777" s="51"/>
      <c r="D777" s="38"/>
      <c r="E777" s="38"/>
      <c r="F777" s="38"/>
      <c r="G777" s="38"/>
      <c r="H777" s="12"/>
      <c r="I777" s="38"/>
      <c r="J777" s="38"/>
      <c r="K777" s="46"/>
      <c r="L777" s="47"/>
      <c r="M777" s="251"/>
      <c r="N777" s="251"/>
      <c r="O777" s="106"/>
      <c r="P777" s="106"/>
      <c r="Q777" s="106"/>
      <c r="R777" s="252"/>
      <c r="S777" s="252"/>
      <c r="T777" s="253"/>
      <c r="U777" s="254"/>
      <c r="V777" s="255"/>
      <c r="W777" s="256"/>
      <c r="X777" s="257"/>
      <c r="Y777" s="106"/>
      <c r="Z777" s="106"/>
      <c r="AA777" s="106"/>
      <c r="AB777" s="106"/>
    </row>
    <row r="778">
      <c r="A778" s="7"/>
      <c r="B778" s="253"/>
      <c r="C778" s="254"/>
      <c r="D778" s="7"/>
      <c r="E778" s="7"/>
      <c r="F778" s="7"/>
      <c r="G778" s="7"/>
      <c r="H778" s="7"/>
      <c r="I778" s="7"/>
      <c r="J778" s="7"/>
      <c r="K778" s="128"/>
      <c r="L778" s="7"/>
      <c r="M778" s="258"/>
      <c r="N778" s="258"/>
      <c r="O778" s="7"/>
      <c r="P778" s="7"/>
      <c r="Q778" s="7"/>
      <c r="R778" s="253"/>
      <c r="S778" s="253"/>
      <c r="T778" s="253"/>
      <c r="U778" s="254"/>
      <c r="V778" s="259"/>
      <c r="W778" s="256"/>
      <c r="X778" s="257"/>
      <c r="Y778" s="7"/>
      <c r="Z778" s="7"/>
      <c r="AA778" s="7"/>
      <c r="AB778" s="7"/>
    </row>
    <row r="779">
      <c r="A779" s="7"/>
      <c r="B779" s="253"/>
      <c r="C779" s="254"/>
      <c r="D779" s="7"/>
      <c r="E779" s="7"/>
      <c r="F779" s="7"/>
      <c r="G779" s="7"/>
      <c r="H779" s="7"/>
      <c r="I779" s="7"/>
      <c r="J779" s="7"/>
      <c r="K779" s="128"/>
      <c r="L779" s="7"/>
      <c r="M779" s="258"/>
      <c r="N779" s="258"/>
      <c r="O779" s="7"/>
      <c r="P779" s="7"/>
      <c r="Q779" s="7"/>
      <c r="R779" s="253"/>
      <c r="S779" s="253"/>
      <c r="T779" s="253"/>
      <c r="U779" s="254"/>
      <c r="V779" s="259"/>
      <c r="W779" s="256"/>
      <c r="X779" s="257"/>
      <c r="Y779" s="7"/>
      <c r="Z779" s="7"/>
      <c r="AA779" s="7"/>
      <c r="AB779" s="7"/>
    </row>
    <row r="780">
      <c r="A780" s="7"/>
      <c r="B780" s="253"/>
      <c r="C780" s="254"/>
      <c r="D780" s="7"/>
      <c r="E780" s="7"/>
      <c r="F780" s="7"/>
      <c r="G780" s="7"/>
      <c r="H780" s="7"/>
      <c r="I780" s="7"/>
      <c r="J780" s="7"/>
      <c r="K780" s="128"/>
      <c r="L780" s="7"/>
      <c r="M780" s="258"/>
      <c r="N780" s="258"/>
      <c r="O780" s="7"/>
      <c r="P780" s="7"/>
      <c r="Q780" s="7"/>
      <c r="R780" s="253"/>
      <c r="S780" s="253"/>
      <c r="T780" s="253"/>
      <c r="U780" s="254"/>
      <c r="V780" s="259"/>
      <c r="W780" s="256"/>
      <c r="X780" s="257"/>
      <c r="Y780" s="7"/>
      <c r="Z780" s="7"/>
      <c r="AA780" s="7"/>
      <c r="AB780" s="7"/>
    </row>
    <row r="781">
      <c r="A781" s="7"/>
      <c r="B781" s="253"/>
      <c r="C781" s="254"/>
      <c r="D781" s="7"/>
      <c r="E781" s="7"/>
      <c r="F781" s="7"/>
      <c r="G781" s="7"/>
      <c r="H781" s="7"/>
      <c r="I781" s="7"/>
      <c r="J781" s="7"/>
      <c r="K781" s="128"/>
      <c r="L781" s="7"/>
      <c r="M781" s="258"/>
      <c r="N781" s="258"/>
      <c r="O781" s="7"/>
      <c r="P781" s="7"/>
      <c r="Q781" s="7"/>
      <c r="R781" s="253"/>
      <c r="S781" s="253"/>
      <c r="T781" s="253"/>
      <c r="U781" s="254"/>
      <c r="V781" s="259"/>
      <c r="W781" s="256"/>
      <c r="X781" s="257"/>
      <c r="Y781" s="7"/>
      <c r="Z781" s="7"/>
      <c r="AA781" s="7"/>
      <c r="AB781" s="7"/>
    </row>
    <row r="782">
      <c r="A782" s="7"/>
      <c r="B782" s="253"/>
      <c r="C782" s="254"/>
      <c r="D782" s="7"/>
      <c r="E782" s="7"/>
      <c r="F782" s="7"/>
      <c r="G782" s="7"/>
      <c r="H782" s="7"/>
      <c r="I782" s="7"/>
      <c r="J782" s="7"/>
      <c r="K782" s="128"/>
      <c r="L782" s="7"/>
      <c r="M782" s="258"/>
      <c r="N782" s="258"/>
      <c r="O782" s="7"/>
      <c r="P782" s="7"/>
      <c r="Q782" s="7"/>
      <c r="R782" s="253"/>
      <c r="S782" s="253"/>
      <c r="T782" s="253"/>
      <c r="U782" s="254"/>
      <c r="V782" s="259"/>
      <c r="W782" s="256"/>
      <c r="X782" s="257"/>
      <c r="Y782" s="7"/>
      <c r="Z782" s="7"/>
      <c r="AA782" s="7"/>
      <c r="AB782" s="7"/>
    </row>
    <row r="783">
      <c r="A783" s="7"/>
      <c r="B783" s="253"/>
      <c r="C783" s="254"/>
      <c r="D783" s="7"/>
      <c r="E783" s="7"/>
      <c r="F783" s="7"/>
      <c r="G783" s="7"/>
      <c r="H783" s="7"/>
      <c r="I783" s="7"/>
      <c r="J783" s="7"/>
      <c r="K783" s="128"/>
      <c r="L783" s="7"/>
      <c r="M783" s="258"/>
      <c r="N783" s="258"/>
      <c r="O783" s="7"/>
      <c r="P783" s="7"/>
      <c r="Q783" s="7"/>
      <c r="R783" s="253"/>
      <c r="S783" s="253"/>
      <c r="T783" s="253"/>
      <c r="U783" s="254"/>
      <c r="V783" s="259"/>
      <c r="W783" s="256"/>
      <c r="X783" s="257"/>
      <c r="Y783" s="7"/>
      <c r="Z783" s="7"/>
      <c r="AA783" s="7"/>
      <c r="AB783" s="7"/>
    </row>
    <row r="784">
      <c r="A784" s="7"/>
      <c r="B784" s="253"/>
      <c r="C784" s="254"/>
      <c r="D784" s="7"/>
      <c r="E784" s="7"/>
      <c r="F784" s="7"/>
      <c r="G784" s="7"/>
      <c r="H784" s="7"/>
      <c r="I784" s="7"/>
      <c r="J784" s="7"/>
      <c r="K784" s="128"/>
      <c r="L784" s="7"/>
      <c r="M784" s="258"/>
      <c r="N784" s="258"/>
      <c r="O784" s="7"/>
      <c r="P784" s="7"/>
      <c r="Q784" s="7"/>
      <c r="R784" s="253"/>
      <c r="S784" s="253"/>
      <c r="T784" s="253"/>
      <c r="U784" s="254"/>
      <c r="V784" s="259"/>
      <c r="W784" s="256"/>
      <c r="X784" s="257"/>
      <c r="Y784" s="7"/>
      <c r="Z784" s="7"/>
      <c r="AA784" s="7"/>
      <c r="AB784" s="7"/>
    </row>
    <row r="785">
      <c r="A785" s="7"/>
      <c r="B785" s="253"/>
      <c r="C785" s="254"/>
      <c r="D785" s="7"/>
      <c r="E785" s="7"/>
      <c r="F785" s="7"/>
      <c r="G785" s="7"/>
      <c r="H785" s="7"/>
      <c r="I785" s="7"/>
      <c r="J785" s="7"/>
      <c r="K785" s="128"/>
      <c r="L785" s="7"/>
      <c r="M785" s="258"/>
      <c r="N785" s="258"/>
      <c r="O785" s="7"/>
      <c r="P785" s="7"/>
      <c r="Q785" s="7"/>
      <c r="R785" s="253"/>
      <c r="S785" s="253"/>
      <c r="T785" s="253"/>
      <c r="U785" s="254"/>
      <c r="V785" s="259"/>
      <c r="W785" s="256"/>
      <c r="X785" s="257"/>
      <c r="Y785" s="7"/>
      <c r="Z785" s="7"/>
      <c r="AA785" s="7"/>
      <c r="AB785" s="7"/>
    </row>
    <row r="786">
      <c r="A786" s="7"/>
      <c r="B786" s="253"/>
      <c r="C786" s="254"/>
      <c r="D786" s="7"/>
      <c r="E786" s="7"/>
      <c r="F786" s="7"/>
      <c r="G786" s="7"/>
      <c r="H786" s="7"/>
      <c r="I786" s="7"/>
      <c r="J786" s="7"/>
      <c r="K786" s="128"/>
      <c r="L786" s="7"/>
      <c r="M786" s="258"/>
      <c r="N786" s="258"/>
      <c r="O786" s="7"/>
      <c r="P786" s="7"/>
      <c r="Q786" s="7"/>
      <c r="R786" s="253"/>
      <c r="S786" s="253"/>
      <c r="T786" s="253"/>
      <c r="U786" s="254"/>
      <c r="V786" s="259"/>
      <c r="W786" s="256"/>
      <c r="X786" s="257"/>
      <c r="Y786" s="7"/>
      <c r="Z786" s="7"/>
      <c r="AA786" s="7"/>
      <c r="AB786" s="7"/>
    </row>
    <row r="787">
      <c r="A787" s="7"/>
      <c r="B787" s="253"/>
      <c r="C787" s="254"/>
      <c r="D787" s="7"/>
      <c r="E787" s="7"/>
      <c r="F787" s="7"/>
      <c r="G787" s="7"/>
      <c r="H787" s="7"/>
      <c r="I787" s="7"/>
      <c r="J787" s="7"/>
      <c r="K787" s="128"/>
      <c r="L787" s="7"/>
      <c r="M787" s="258"/>
      <c r="N787" s="258"/>
      <c r="O787" s="7"/>
      <c r="P787" s="7"/>
      <c r="Q787" s="7"/>
      <c r="R787" s="253"/>
      <c r="S787" s="253"/>
      <c r="T787" s="253"/>
      <c r="U787" s="254"/>
      <c r="V787" s="259"/>
      <c r="W787" s="256"/>
      <c r="X787" s="257"/>
      <c r="Y787" s="7"/>
      <c r="Z787" s="7"/>
      <c r="AA787" s="7"/>
      <c r="AB787" s="7"/>
    </row>
    <row r="788">
      <c r="A788" s="7"/>
      <c r="B788" s="253"/>
      <c r="C788" s="254"/>
      <c r="D788" s="7"/>
      <c r="E788" s="7"/>
      <c r="F788" s="7"/>
      <c r="G788" s="7"/>
      <c r="H788" s="7"/>
      <c r="I788" s="7"/>
      <c r="J788" s="7"/>
      <c r="K788" s="128"/>
      <c r="L788" s="7"/>
      <c r="M788" s="258"/>
      <c r="N788" s="258"/>
      <c r="O788" s="7"/>
      <c r="P788" s="7"/>
      <c r="Q788" s="7"/>
      <c r="R788" s="253"/>
      <c r="S788" s="253"/>
      <c r="T788" s="253"/>
      <c r="U788" s="254"/>
      <c r="V788" s="259"/>
      <c r="W788" s="256"/>
      <c r="X788" s="257"/>
      <c r="Y788" s="7"/>
      <c r="Z788" s="7"/>
      <c r="AA788" s="7"/>
      <c r="AB788" s="7"/>
    </row>
    <row r="789">
      <c r="A789" s="7"/>
      <c r="B789" s="253"/>
      <c r="C789" s="254"/>
      <c r="D789" s="7"/>
      <c r="E789" s="7"/>
      <c r="F789" s="7"/>
      <c r="G789" s="7"/>
      <c r="H789" s="7"/>
      <c r="I789" s="7"/>
      <c r="J789" s="7"/>
      <c r="K789" s="128"/>
      <c r="L789" s="7"/>
      <c r="M789" s="258"/>
      <c r="N789" s="258"/>
      <c r="O789" s="7"/>
      <c r="P789" s="7"/>
      <c r="Q789" s="7"/>
      <c r="R789" s="253"/>
      <c r="S789" s="253"/>
      <c r="T789" s="253"/>
      <c r="U789" s="254"/>
      <c r="V789" s="259"/>
      <c r="W789" s="256"/>
      <c r="X789" s="257"/>
      <c r="Y789" s="7"/>
      <c r="Z789" s="7"/>
      <c r="AA789" s="7"/>
      <c r="AB789" s="7"/>
    </row>
    <row r="790">
      <c r="A790" s="7"/>
      <c r="B790" s="253"/>
      <c r="C790" s="254"/>
      <c r="D790" s="7"/>
      <c r="E790" s="7"/>
      <c r="F790" s="7"/>
      <c r="G790" s="7"/>
      <c r="H790" s="7"/>
      <c r="I790" s="7"/>
      <c r="J790" s="7"/>
      <c r="K790" s="128"/>
      <c r="L790" s="7"/>
      <c r="M790" s="258"/>
      <c r="N790" s="258"/>
      <c r="O790" s="7"/>
      <c r="P790" s="7"/>
      <c r="Q790" s="7"/>
      <c r="R790" s="253"/>
      <c r="S790" s="253"/>
      <c r="T790" s="253"/>
      <c r="U790" s="254"/>
      <c r="V790" s="259"/>
      <c r="W790" s="256"/>
      <c r="X790" s="257"/>
      <c r="Y790" s="7"/>
      <c r="Z790" s="7"/>
      <c r="AA790" s="7"/>
      <c r="AB790" s="7"/>
    </row>
    <row r="791">
      <c r="A791" s="7"/>
      <c r="B791" s="253"/>
      <c r="C791" s="254"/>
      <c r="D791" s="7"/>
      <c r="E791" s="7"/>
      <c r="F791" s="7"/>
      <c r="G791" s="7"/>
      <c r="H791" s="7"/>
      <c r="I791" s="7"/>
      <c r="J791" s="7"/>
      <c r="K791" s="128"/>
      <c r="L791" s="7"/>
      <c r="M791" s="258"/>
      <c r="N791" s="258"/>
      <c r="O791" s="7"/>
      <c r="P791" s="7"/>
      <c r="Q791" s="7"/>
      <c r="R791" s="253"/>
      <c r="S791" s="253"/>
      <c r="T791" s="253"/>
      <c r="U791" s="254"/>
      <c r="V791" s="259"/>
      <c r="W791" s="256"/>
      <c r="X791" s="257"/>
      <c r="Y791" s="7"/>
      <c r="Z791" s="7"/>
      <c r="AA791" s="7"/>
      <c r="AB791" s="7"/>
    </row>
    <row r="792">
      <c r="A792" s="7"/>
      <c r="B792" s="253"/>
      <c r="C792" s="254"/>
      <c r="D792" s="7"/>
      <c r="E792" s="7"/>
      <c r="F792" s="7"/>
      <c r="G792" s="7"/>
      <c r="H792" s="7"/>
      <c r="I792" s="7"/>
      <c r="J792" s="7"/>
      <c r="K792" s="128"/>
      <c r="L792" s="7"/>
      <c r="M792" s="258"/>
      <c r="N792" s="258"/>
      <c r="O792" s="7"/>
      <c r="P792" s="7"/>
      <c r="Q792" s="7"/>
      <c r="R792" s="253"/>
      <c r="S792" s="253"/>
      <c r="T792" s="253"/>
      <c r="U792" s="254"/>
      <c r="V792" s="259"/>
      <c r="W792" s="256"/>
      <c r="X792" s="257"/>
      <c r="Y792" s="7"/>
      <c r="Z792" s="7"/>
      <c r="AA792" s="7"/>
      <c r="AB792" s="7"/>
    </row>
    <row r="793">
      <c r="A793" s="7"/>
      <c r="B793" s="253"/>
      <c r="C793" s="254"/>
      <c r="D793" s="7"/>
      <c r="E793" s="7"/>
      <c r="F793" s="7"/>
      <c r="G793" s="7"/>
      <c r="H793" s="7"/>
      <c r="I793" s="7"/>
      <c r="J793" s="7"/>
      <c r="K793" s="128"/>
      <c r="L793" s="7"/>
      <c r="M793" s="258"/>
      <c r="N793" s="258"/>
      <c r="O793" s="7"/>
      <c r="P793" s="7"/>
      <c r="Q793" s="7"/>
      <c r="R793" s="253"/>
      <c r="S793" s="253"/>
      <c r="T793" s="253"/>
      <c r="U793" s="254"/>
      <c r="V793" s="259"/>
      <c r="W793" s="256"/>
      <c r="X793" s="257"/>
      <c r="Y793" s="7"/>
      <c r="Z793" s="7"/>
      <c r="AA793" s="7"/>
      <c r="AB793" s="7"/>
    </row>
    <row r="794">
      <c r="A794" s="7"/>
      <c r="B794" s="253"/>
      <c r="C794" s="254"/>
      <c r="D794" s="7"/>
      <c r="E794" s="7"/>
      <c r="F794" s="7"/>
      <c r="G794" s="7"/>
      <c r="H794" s="7"/>
      <c r="I794" s="7"/>
      <c r="J794" s="7"/>
      <c r="K794" s="128"/>
      <c r="L794" s="7"/>
      <c r="M794" s="258"/>
      <c r="N794" s="258"/>
      <c r="O794" s="7"/>
      <c r="P794" s="7"/>
      <c r="Q794" s="7"/>
      <c r="R794" s="253"/>
      <c r="S794" s="253"/>
      <c r="T794" s="253"/>
      <c r="U794" s="254"/>
      <c r="V794" s="259"/>
      <c r="W794" s="256"/>
      <c r="X794" s="257"/>
      <c r="Y794" s="7"/>
      <c r="Z794" s="7"/>
      <c r="AA794" s="7"/>
      <c r="AB794" s="7"/>
    </row>
    <row r="795">
      <c r="A795" s="7"/>
      <c r="B795" s="253"/>
      <c r="C795" s="254"/>
      <c r="D795" s="7"/>
      <c r="E795" s="7"/>
      <c r="F795" s="7"/>
      <c r="G795" s="7"/>
      <c r="H795" s="7"/>
      <c r="I795" s="7"/>
      <c r="J795" s="7"/>
      <c r="K795" s="128"/>
      <c r="L795" s="7"/>
      <c r="M795" s="258"/>
      <c r="N795" s="258"/>
      <c r="O795" s="7"/>
      <c r="P795" s="7"/>
      <c r="Q795" s="7"/>
      <c r="R795" s="253"/>
      <c r="S795" s="253"/>
      <c r="T795" s="253"/>
      <c r="U795" s="254"/>
      <c r="V795" s="259"/>
      <c r="W795" s="256"/>
      <c r="X795" s="257"/>
      <c r="Y795" s="7"/>
      <c r="Z795" s="7"/>
      <c r="AA795" s="7"/>
      <c r="AB795" s="7"/>
    </row>
    <row r="796">
      <c r="A796" s="7"/>
      <c r="B796" s="253"/>
      <c r="C796" s="254"/>
      <c r="D796" s="7"/>
      <c r="E796" s="7"/>
      <c r="F796" s="7"/>
      <c r="G796" s="7"/>
      <c r="H796" s="7"/>
      <c r="I796" s="7"/>
      <c r="J796" s="7"/>
      <c r="K796" s="128"/>
      <c r="L796" s="7"/>
      <c r="M796" s="258"/>
      <c r="N796" s="258"/>
      <c r="O796" s="7"/>
      <c r="P796" s="7"/>
      <c r="Q796" s="7"/>
      <c r="R796" s="253"/>
      <c r="S796" s="253"/>
      <c r="T796" s="253"/>
      <c r="U796" s="254"/>
      <c r="V796" s="259"/>
      <c r="W796" s="256"/>
      <c r="X796" s="257"/>
      <c r="Y796" s="7"/>
      <c r="Z796" s="7"/>
      <c r="AA796" s="7"/>
      <c r="AB796" s="7"/>
    </row>
    <row r="797">
      <c r="A797" s="7"/>
      <c r="B797" s="253"/>
      <c r="C797" s="254"/>
      <c r="D797" s="7"/>
      <c r="E797" s="7"/>
      <c r="F797" s="7"/>
      <c r="G797" s="7"/>
      <c r="H797" s="7"/>
      <c r="I797" s="7"/>
      <c r="J797" s="7"/>
      <c r="K797" s="128"/>
      <c r="L797" s="7"/>
      <c r="M797" s="258"/>
      <c r="N797" s="258"/>
      <c r="O797" s="7"/>
      <c r="P797" s="7"/>
      <c r="Q797" s="7"/>
      <c r="R797" s="253"/>
      <c r="S797" s="253"/>
      <c r="T797" s="253"/>
      <c r="U797" s="254"/>
      <c r="V797" s="259"/>
      <c r="W797" s="256"/>
      <c r="X797" s="257"/>
      <c r="Y797" s="7"/>
      <c r="Z797" s="7"/>
      <c r="AA797" s="7"/>
      <c r="AB797" s="7"/>
    </row>
    <row r="798">
      <c r="A798" s="7"/>
      <c r="B798" s="253"/>
      <c r="C798" s="254"/>
      <c r="D798" s="7"/>
      <c r="E798" s="7"/>
      <c r="F798" s="7"/>
      <c r="G798" s="7"/>
      <c r="H798" s="7"/>
      <c r="I798" s="7"/>
      <c r="J798" s="7"/>
      <c r="K798" s="128"/>
      <c r="L798" s="7"/>
      <c r="M798" s="258"/>
      <c r="N798" s="258"/>
      <c r="O798" s="7"/>
      <c r="P798" s="7"/>
      <c r="Q798" s="7"/>
      <c r="R798" s="253"/>
      <c r="S798" s="253"/>
      <c r="T798" s="253"/>
      <c r="U798" s="254"/>
      <c r="V798" s="259"/>
      <c r="W798" s="256"/>
      <c r="X798" s="257"/>
      <c r="Y798" s="7"/>
      <c r="Z798" s="7"/>
      <c r="AA798" s="7"/>
      <c r="AB798" s="7"/>
    </row>
    <row r="799">
      <c r="A799" s="7"/>
      <c r="B799" s="253"/>
      <c r="C799" s="254"/>
      <c r="D799" s="7"/>
      <c r="E799" s="7"/>
      <c r="F799" s="7"/>
      <c r="G799" s="7"/>
      <c r="H799" s="7"/>
      <c r="I799" s="7"/>
      <c r="J799" s="7"/>
      <c r="K799" s="128"/>
      <c r="L799" s="7"/>
      <c r="M799" s="258"/>
      <c r="N799" s="258"/>
      <c r="O799" s="7"/>
      <c r="P799" s="7"/>
      <c r="Q799" s="7"/>
      <c r="R799" s="253"/>
      <c r="S799" s="253"/>
      <c r="T799" s="253"/>
      <c r="U799" s="254"/>
      <c r="V799" s="259"/>
      <c r="W799" s="256"/>
      <c r="X799" s="257"/>
      <c r="Y799" s="7"/>
      <c r="Z799" s="7"/>
      <c r="AA799" s="7"/>
      <c r="AB799" s="7"/>
    </row>
    <row r="800">
      <c r="A800" s="7"/>
      <c r="B800" s="253"/>
      <c r="C800" s="254"/>
      <c r="D800" s="7"/>
      <c r="E800" s="7"/>
      <c r="F800" s="7"/>
      <c r="G800" s="7"/>
      <c r="H800" s="7"/>
      <c r="I800" s="7"/>
      <c r="J800" s="7"/>
      <c r="K800" s="128"/>
      <c r="L800" s="7"/>
      <c r="M800" s="258"/>
      <c r="N800" s="258"/>
      <c r="O800" s="7"/>
      <c r="P800" s="7"/>
      <c r="Q800" s="7"/>
      <c r="R800" s="253"/>
      <c r="S800" s="253"/>
      <c r="T800" s="253"/>
      <c r="U800" s="254"/>
      <c r="V800" s="259"/>
      <c r="W800" s="256"/>
      <c r="X800" s="257"/>
      <c r="Y800" s="7"/>
      <c r="Z800" s="7"/>
      <c r="AA800" s="7"/>
      <c r="AB800" s="7"/>
    </row>
  </sheetData>
  <dataValidations>
    <dataValidation type="list" allowBlank="1" sqref="C2:C758">
      <formula1>Fields!$F$2:$F$8</formula1>
    </dataValidation>
    <dataValidation type="list" allowBlank="1" sqref="D2:D758">
      <formula1>Fields!$A$2:$A$8</formula1>
    </dataValidation>
    <dataValidation type="list" allowBlank="1" sqref="B2:B758">
      <formula1>Fields!$D$2:$D$12</formula1>
    </dataValidation>
  </dataValidations>
  <hyperlinks>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3"/>
    <hyperlink r:id="rId24" ref="F24"/>
    <hyperlink r:id="rId25" ref="F25"/>
    <hyperlink r:id="rId26" ref="F26"/>
    <hyperlink r:id="rId27" ref="F27"/>
    <hyperlink r:id="rId28" ref="F28"/>
    <hyperlink r:id="rId29" ref="F29"/>
    <hyperlink r:id="rId30" ref="F30"/>
    <hyperlink r:id="rId31" ref="F31"/>
    <hyperlink r:id="rId32" ref="F32"/>
    <hyperlink r:id="rId33" ref="F33"/>
    <hyperlink r:id="rId34" ref="F34"/>
    <hyperlink r:id="rId35" ref="F35"/>
    <hyperlink r:id="rId36" ref="F36"/>
    <hyperlink r:id="rId37" ref="F37"/>
    <hyperlink r:id="rId38" ref="F38"/>
    <hyperlink r:id="rId39" ref="F39"/>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F53"/>
    <hyperlink r:id="rId54" ref="F54"/>
    <hyperlink r:id="rId55" ref="F55"/>
    <hyperlink r:id="rId56" ref="F56"/>
    <hyperlink r:id="rId57" ref="F57"/>
    <hyperlink r:id="rId58" ref="F58"/>
    <hyperlink r:id="rId59" ref="F59"/>
    <hyperlink r:id="rId60" ref="F60"/>
    <hyperlink r:id="rId61" ref="F61"/>
    <hyperlink r:id="rId62" ref="F62"/>
    <hyperlink r:id="rId63" ref="F63"/>
    <hyperlink r:id="rId64" ref="F64"/>
    <hyperlink r:id="rId65" ref="F65"/>
    <hyperlink r:id="rId66" ref="F66"/>
    <hyperlink r:id="rId67" ref="F67"/>
    <hyperlink r:id="rId68" ref="F68"/>
    <hyperlink r:id="rId69" ref="F69"/>
    <hyperlink r:id="rId70" ref="F70"/>
    <hyperlink r:id="rId71" ref="F71"/>
    <hyperlink r:id="rId72" ref="F72"/>
    <hyperlink r:id="rId73" ref="F73"/>
    <hyperlink r:id="rId74" ref="F74"/>
    <hyperlink r:id="rId75" ref="F75"/>
    <hyperlink r:id="rId76" ref="F76"/>
    <hyperlink r:id="rId77" ref="F77"/>
    <hyperlink r:id="rId78" ref="F78"/>
    <hyperlink r:id="rId79" ref="F79"/>
    <hyperlink r:id="rId80" ref="F80"/>
    <hyperlink r:id="rId81" ref="F81"/>
    <hyperlink r:id="rId82" ref="F82"/>
    <hyperlink r:id="rId83" ref="F83"/>
    <hyperlink r:id="rId84" ref="F84"/>
    <hyperlink r:id="rId85" ref="F85"/>
    <hyperlink r:id="rId86" ref="F86"/>
    <hyperlink r:id="rId87" ref="F87"/>
    <hyperlink r:id="rId88" ref="F88"/>
    <hyperlink r:id="rId89" ref="F89"/>
    <hyperlink r:id="rId90" ref="F90"/>
    <hyperlink r:id="rId91" ref="F91"/>
    <hyperlink r:id="rId92" ref="F92"/>
    <hyperlink r:id="rId93" ref="F93"/>
    <hyperlink r:id="rId94" ref="F94"/>
    <hyperlink r:id="rId95" ref="F95"/>
    <hyperlink r:id="rId96" ref="F96"/>
    <hyperlink r:id="rId97" ref="F97"/>
    <hyperlink r:id="rId98" ref="F98"/>
    <hyperlink r:id="rId99" ref="F99"/>
    <hyperlink r:id="rId100" ref="F100"/>
    <hyperlink r:id="rId101" ref="F101"/>
    <hyperlink r:id="rId102" ref="F102"/>
    <hyperlink r:id="rId103" ref="F103"/>
    <hyperlink r:id="rId104" ref="F104"/>
    <hyperlink r:id="rId105" ref="F105"/>
    <hyperlink r:id="rId106" ref="F106"/>
    <hyperlink r:id="rId107" ref="F107"/>
    <hyperlink r:id="rId108" ref="F108"/>
    <hyperlink r:id="rId109" ref="F109"/>
    <hyperlink r:id="rId110" ref="F110"/>
    <hyperlink r:id="rId111" ref="F111"/>
    <hyperlink r:id="rId112" ref="F112"/>
    <hyperlink r:id="rId113" ref="F113"/>
    <hyperlink r:id="rId114" ref="F114"/>
    <hyperlink r:id="rId115" ref="F115"/>
    <hyperlink r:id="rId116" ref="F116"/>
    <hyperlink r:id="rId117" ref="F117"/>
    <hyperlink r:id="rId118" ref="F118"/>
    <hyperlink r:id="rId119" ref="F119"/>
    <hyperlink r:id="rId120" ref="F120"/>
    <hyperlink r:id="rId121" ref="F121"/>
    <hyperlink r:id="rId122" ref="F122"/>
    <hyperlink r:id="rId123" ref="F123"/>
    <hyperlink r:id="rId124" ref="F124"/>
    <hyperlink r:id="rId125" ref="F125"/>
    <hyperlink r:id="rId126" ref="F126"/>
    <hyperlink r:id="rId127" ref="F127"/>
    <hyperlink r:id="rId128" ref="F128"/>
    <hyperlink r:id="rId129" ref="F129"/>
    <hyperlink r:id="rId130" ref="F130"/>
    <hyperlink r:id="rId131" ref="F131"/>
    <hyperlink r:id="rId132" ref="F132"/>
    <hyperlink r:id="rId133" ref="F133"/>
    <hyperlink r:id="rId134" ref="F134"/>
    <hyperlink r:id="rId135" ref="F135"/>
    <hyperlink r:id="rId136" ref="F136"/>
    <hyperlink r:id="rId137" ref="F137"/>
    <hyperlink r:id="rId138" ref="F138"/>
    <hyperlink r:id="rId139" ref="F139"/>
    <hyperlink r:id="rId140" ref="F140"/>
    <hyperlink r:id="rId141" ref="F141"/>
    <hyperlink r:id="rId142" ref="F142"/>
    <hyperlink r:id="rId143" ref="F143"/>
    <hyperlink r:id="rId144" ref="F144"/>
    <hyperlink r:id="rId145" ref="F145"/>
    <hyperlink r:id="rId146" ref="F146"/>
    <hyperlink r:id="rId147" ref="F147"/>
    <hyperlink r:id="rId148" ref="F148"/>
    <hyperlink r:id="rId149" ref="F149"/>
    <hyperlink r:id="rId150" ref="F150"/>
    <hyperlink r:id="rId151" ref="F151"/>
    <hyperlink r:id="rId152" ref="F152"/>
    <hyperlink r:id="rId153" ref="F153"/>
    <hyperlink r:id="rId154" ref="F154"/>
    <hyperlink r:id="rId155" ref="F155"/>
    <hyperlink r:id="rId156" ref="F156"/>
    <hyperlink r:id="rId157" ref="F157"/>
    <hyperlink r:id="rId158" ref="F158"/>
    <hyperlink r:id="rId159" ref="F159"/>
    <hyperlink r:id="rId160" ref="F160"/>
    <hyperlink r:id="rId161" ref="F161"/>
    <hyperlink r:id="rId162" ref="F162"/>
    <hyperlink r:id="rId163" ref="F163"/>
    <hyperlink r:id="rId164" ref="F164"/>
    <hyperlink r:id="rId165" ref="F165"/>
    <hyperlink r:id="rId166" ref="F166"/>
    <hyperlink r:id="rId167" ref="F167"/>
    <hyperlink r:id="rId168" ref="F168"/>
    <hyperlink r:id="rId169" ref="F169"/>
    <hyperlink r:id="rId170" ref="F170"/>
    <hyperlink r:id="rId171" ref="F171"/>
    <hyperlink r:id="rId172" ref="F172"/>
    <hyperlink r:id="rId173" ref="F173"/>
    <hyperlink r:id="rId174" ref="F174"/>
    <hyperlink r:id="rId175" ref="F175"/>
    <hyperlink r:id="rId176" ref="F176"/>
    <hyperlink r:id="rId177" ref="F177"/>
    <hyperlink r:id="rId178" ref="F178"/>
    <hyperlink r:id="rId179" ref="F179"/>
    <hyperlink r:id="rId180" ref="F180"/>
    <hyperlink r:id="rId181" ref="F181"/>
    <hyperlink r:id="rId182" ref="F182"/>
    <hyperlink r:id="rId183" ref="F183"/>
    <hyperlink r:id="rId184" ref="F184"/>
    <hyperlink r:id="rId185" ref="F185"/>
    <hyperlink r:id="rId186" ref="F186"/>
    <hyperlink r:id="rId187" ref="F187"/>
    <hyperlink r:id="rId188" ref="F188"/>
    <hyperlink r:id="rId189" ref="F189"/>
    <hyperlink r:id="rId190" ref="F190"/>
    <hyperlink r:id="rId191" ref="F191"/>
    <hyperlink r:id="rId192" ref="F192"/>
    <hyperlink r:id="rId193" ref="F193"/>
    <hyperlink r:id="rId194" ref="F194"/>
    <hyperlink r:id="rId195" ref="F195"/>
    <hyperlink r:id="rId196" ref="F196"/>
    <hyperlink r:id="rId197" ref="F197"/>
    <hyperlink r:id="rId198" ref="F198"/>
    <hyperlink r:id="rId199" ref="F199"/>
    <hyperlink r:id="rId200" ref="F200"/>
    <hyperlink r:id="rId201" ref="F201"/>
    <hyperlink r:id="rId202" ref="F202"/>
    <hyperlink r:id="rId203" ref="F203"/>
    <hyperlink r:id="rId204" ref="F204"/>
    <hyperlink r:id="rId205" ref="F205"/>
    <hyperlink r:id="rId206" ref="F206"/>
    <hyperlink r:id="rId207" ref="F207"/>
    <hyperlink r:id="rId208" ref="F208"/>
    <hyperlink r:id="rId209" ref="F209"/>
    <hyperlink r:id="rId210" ref="F210"/>
    <hyperlink r:id="rId211" ref="F211"/>
    <hyperlink r:id="rId212" ref="F212"/>
    <hyperlink r:id="rId213" ref="F213"/>
    <hyperlink r:id="rId214" ref="F214"/>
    <hyperlink r:id="rId215" ref="F215"/>
    <hyperlink r:id="rId216" ref="F216"/>
    <hyperlink r:id="rId217" ref="F217"/>
    <hyperlink r:id="rId218" ref="F218"/>
    <hyperlink r:id="rId219" ref="F219"/>
    <hyperlink r:id="rId220" ref="F220"/>
    <hyperlink r:id="rId221" ref="F221"/>
    <hyperlink r:id="rId222" ref="F222"/>
    <hyperlink r:id="rId223" ref="F223"/>
    <hyperlink r:id="rId224" ref="F224"/>
    <hyperlink r:id="rId225" ref="F225"/>
    <hyperlink r:id="rId226" ref="F226"/>
    <hyperlink r:id="rId227" ref="F227"/>
    <hyperlink r:id="rId228" ref="F228"/>
    <hyperlink r:id="rId229" ref="F229"/>
    <hyperlink r:id="rId230" ref="F230"/>
    <hyperlink r:id="rId231" ref="F231"/>
    <hyperlink r:id="rId232" ref="F232"/>
    <hyperlink r:id="rId233" ref="F233"/>
    <hyperlink r:id="rId234" ref="F234"/>
    <hyperlink r:id="rId235" ref="F235"/>
    <hyperlink r:id="rId236" ref="F236"/>
    <hyperlink r:id="rId237" ref="F237"/>
    <hyperlink r:id="rId238" ref="F238"/>
    <hyperlink r:id="rId239" ref="F239"/>
    <hyperlink r:id="rId240" ref="F240"/>
    <hyperlink r:id="rId241" ref="F241"/>
    <hyperlink r:id="rId242" ref="F242"/>
    <hyperlink r:id="rId243" ref="F243"/>
    <hyperlink r:id="rId244" ref="F244"/>
    <hyperlink r:id="rId245" ref="F245"/>
    <hyperlink r:id="rId246" ref="F246"/>
    <hyperlink r:id="rId247" ref="F247"/>
    <hyperlink r:id="rId248" ref="F248"/>
    <hyperlink r:id="rId249" ref="F249"/>
    <hyperlink r:id="rId250" ref="F250"/>
    <hyperlink r:id="rId251" ref="F251"/>
    <hyperlink r:id="rId252" ref="F252"/>
    <hyperlink r:id="rId253" ref="F253"/>
    <hyperlink r:id="rId254" ref="F254"/>
    <hyperlink r:id="rId255" ref="F255"/>
    <hyperlink r:id="rId256" ref="F256"/>
    <hyperlink r:id="rId257" ref="F257"/>
    <hyperlink r:id="rId258" ref="F258"/>
    <hyperlink r:id="rId259" ref="F259"/>
    <hyperlink r:id="rId260" ref="F260"/>
    <hyperlink r:id="rId261" ref="F261"/>
    <hyperlink r:id="rId262" ref="F262"/>
    <hyperlink r:id="rId263" ref="F263"/>
    <hyperlink r:id="rId264" ref="F264"/>
    <hyperlink r:id="rId265" ref="F265"/>
    <hyperlink r:id="rId266" ref="F266"/>
    <hyperlink r:id="rId267" ref="F267"/>
    <hyperlink r:id="rId268" ref="F268"/>
    <hyperlink r:id="rId269" ref="F269"/>
    <hyperlink r:id="rId270" ref="F270"/>
    <hyperlink r:id="rId271" ref="F271"/>
    <hyperlink r:id="rId272" ref="F272"/>
    <hyperlink r:id="rId273" ref="F273"/>
    <hyperlink r:id="rId274" ref="F274"/>
    <hyperlink r:id="rId275" ref="F275"/>
    <hyperlink r:id="rId276" ref="F276"/>
    <hyperlink r:id="rId277" ref="F277"/>
    <hyperlink r:id="rId278" ref="F278"/>
    <hyperlink r:id="rId279" ref="F279"/>
    <hyperlink r:id="rId280" ref="F280"/>
    <hyperlink r:id="rId281" ref="F281"/>
    <hyperlink r:id="rId282" ref="F282"/>
    <hyperlink r:id="rId283" ref="F283"/>
    <hyperlink r:id="rId284" ref="F284"/>
    <hyperlink r:id="rId285" ref="F285"/>
    <hyperlink r:id="rId286" ref="F286"/>
    <hyperlink r:id="rId287" ref="F287"/>
    <hyperlink r:id="rId288" ref="F288"/>
    <hyperlink r:id="rId289" ref="F289"/>
    <hyperlink r:id="rId290" ref="F290"/>
    <hyperlink r:id="rId291" ref="F291"/>
    <hyperlink r:id="rId292" ref="F292"/>
    <hyperlink r:id="rId293" ref="F293"/>
    <hyperlink r:id="rId294" ref="F294"/>
    <hyperlink r:id="rId295" ref="F295"/>
    <hyperlink r:id="rId296" ref="F296"/>
    <hyperlink r:id="rId297" ref="F297"/>
    <hyperlink r:id="rId298" ref="F298"/>
    <hyperlink r:id="rId299" ref="F299"/>
    <hyperlink r:id="rId300" ref="F300"/>
    <hyperlink r:id="rId301" ref="F301"/>
    <hyperlink r:id="rId302" ref="F302"/>
    <hyperlink r:id="rId303" ref="F303"/>
    <hyperlink r:id="rId304" ref="F304"/>
    <hyperlink r:id="rId305" ref="F305"/>
    <hyperlink r:id="rId306" ref="F306"/>
    <hyperlink r:id="rId307" ref="F307"/>
    <hyperlink r:id="rId308" ref="F308"/>
    <hyperlink r:id="rId309" ref="F309"/>
    <hyperlink r:id="rId310" ref="F310"/>
    <hyperlink r:id="rId311" ref="F311"/>
    <hyperlink r:id="rId312" ref="F312"/>
    <hyperlink r:id="rId313" ref="F313"/>
    <hyperlink r:id="rId314" ref="F314"/>
    <hyperlink r:id="rId315" ref="F315"/>
    <hyperlink r:id="rId316" ref="F316"/>
    <hyperlink r:id="rId317" ref="F317"/>
    <hyperlink r:id="rId318" ref="F318"/>
    <hyperlink r:id="rId319" ref="F319"/>
    <hyperlink r:id="rId320" ref="F320"/>
    <hyperlink r:id="rId321" ref="F321"/>
    <hyperlink r:id="rId322" ref="F322"/>
    <hyperlink r:id="rId323" ref="F323"/>
    <hyperlink r:id="rId324" ref="F324"/>
    <hyperlink r:id="rId325" ref="F325"/>
    <hyperlink r:id="rId326" ref="F326"/>
    <hyperlink r:id="rId327" ref="F327"/>
    <hyperlink r:id="rId328" ref="F328"/>
    <hyperlink r:id="rId329" ref="F329"/>
    <hyperlink r:id="rId330" ref="F330"/>
    <hyperlink r:id="rId331" ref="F331"/>
    <hyperlink r:id="rId332" ref="F332"/>
    <hyperlink r:id="rId333" ref="F333"/>
    <hyperlink r:id="rId334" ref="F334"/>
    <hyperlink r:id="rId335" ref="F335"/>
    <hyperlink r:id="rId336" ref="F336"/>
    <hyperlink r:id="rId337" ref="F337"/>
    <hyperlink r:id="rId338" ref="F338"/>
    <hyperlink r:id="rId339" ref="F339"/>
    <hyperlink r:id="rId340" ref="F340"/>
    <hyperlink r:id="rId341" ref="F341"/>
    <hyperlink r:id="rId342" ref="F342"/>
    <hyperlink r:id="rId343" ref="F343"/>
    <hyperlink r:id="rId344" ref="F344"/>
    <hyperlink r:id="rId345" ref="F345"/>
    <hyperlink r:id="rId346" ref="F346"/>
    <hyperlink r:id="rId347" ref="F347"/>
    <hyperlink r:id="rId348" ref="F348"/>
    <hyperlink r:id="rId349" ref="F349"/>
    <hyperlink r:id="rId350" ref="F350"/>
    <hyperlink r:id="rId351" ref="F351"/>
    <hyperlink r:id="rId352" ref="F352"/>
    <hyperlink r:id="rId353" ref="F353"/>
    <hyperlink r:id="rId354" ref="F354"/>
    <hyperlink r:id="rId355" ref="F355"/>
    <hyperlink r:id="rId356" ref="F356"/>
    <hyperlink r:id="rId357" ref="F357"/>
    <hyperlink r:id="rId358" ref="F358"/>
    <hyperlink r:id="rId359" ref="F359"/>
    <hyperlink r:id="rId360" ref="F360"/>
    <hyperlink r:id="rId361" ref="F361"/>
    <hyperlink r:id="rId362" ref="F362"/>
    <hyperlink r:id="rId363" ref="F363"/>
    <hyperlink r:id="rId364" ref="F364"/>
    <hyperlink r:id="rId365" ref="F365"/>
    <hyperlink r:id="rId366" ref="F366"/>
    <hyperlink r:id="rId367" ref="F367"/>
    <hyperlink r:id="rId368" ref="F368"/>
    <hyperlink r:id="rId369" ref="F369"/>
    <hyperlink r:id="rId370" ref="F370"/>
    <hyperlink r:id="rId371" ref="F371"/>
    <hyperlink r:id="rId372" ref="F372"/>
    <hyperlink r:id="rId373" ref="F373"/>
    <hyperlink r:id="rId374" ref="F374"/>
    <hyperlink r:id="rId375" ref="F375"/>
    <hyperlink r:id="rId376" ref="F376"/>
    <hyperlink r:id="rId377" ref="F377"/>
    <hyperlink r:id="rId378" ref="F378"/>
    <hyperlink r:id="rId379" ref="F379"/>
    <hyperlink r:id="rId380" ref="F380"/>
    <hyperlink r:id="rId381" ref="F381"/>
    <hyperlink r:id="rId382" ref="F382"/>
    <hyperlink r:id="rId383" ref="F383"/>
    <hyperlink r:id="rId384" ref="F384"/>
    <hyperlink r:id="rId385" ref="F385"/>
    <hyperlink r:id="rId386" ref="F386"/>
    <hyperlink r:id="rId387" ref="F387"/>
    <hyperlink r:id="rId388" ref="F388"/>
    <hyperlink r:id="rId389" ref="F389"/>
    <hyperlink r:id="rId390" ref="F390"/>
    <hyperlink r:id="rId391" ref="F391"/>
    <hyperlink r:id="rId392" ref="F392"/>
    <hyperlink r:id="rId393" ref="F393"/>
    <hyperlink r:id="rId394" ref="F394"/>
    <hyperlink r:id="rId395" ref="F395"/>
    <hyperlink r:id="rId396" ref="F396"/>
    <hyperlink r:id="rId397" ref="F397"/>
    <hyperlink r:id="rId398" ref="F398"/>
    <hyperlink r:id="rId399" ref="F399"/>
    <hyperlink r:id="rId400" ref="F400"/>
    <hyperlink r:id="rId401" ref="F401"/>
    <hyperlink r:id="rId402" ref="F402"/>
    <hyperlink r:id="rId403" ref="F403"/>
    <hyperlink r:id="rId404" ref="F404"/>
    <hyperlink r:id="rId405" ref="F405"/>
    <hyperlink r:id="rId406" ref="F406"/>
    <hyperlink r:id="rId407" ref="F407"/>
    <hyperlink r:id="rId408" ref="F408"/>
    <hyperlink r:id="rId409" ref="F409"/>
    <hyperlink r:id="rId410" ref="F410"/>
    <hyperlink r:id="rId411" ref="F411"/>
    <hyperlink r:id="rId412" ref="F412"/>
    <hyperlink r:id="rId413" ref="F413"/>
    <hyperlink r:id="rId414" ref="F414"/>
    <hyperlink r:id="rId415" ref="F415"/>
    <hyperlink r:id="rId416" ref="F416"/>
    <hyperlink r:id="rId417" ref="F417"/>
    <hyperlink r:id="rId418" ref="F418"/>
    <hyperlink r:id="rId419" ref="F419"/>
    <hyperlink r:id="rId420" ref="F420"/>
    <hyperlink r:id="rId421" ref="F421"/>
    <hyperlink r:id="rId422" ref="F422"/>
    <hyperlink r:id="rId423" ref="F423"/>
    <hyperlink r:id="rId424" ref="F424"/>
    <hyperlink r:id="rId425" ref="F425"/>
    <hyperlink r:id="rId426" ref="F426"/>
    <hyperlink r:id="rId427" ref="F427"/>
    <hyperlink r:id="rId428" ref="F428"/>
    <hyperlink r:id="rId429" ref="F429"/>
    <hyperlink r:id="rId430" ref="F430"/>
    <hyperlink r:id="rId431" ref="F431"/>
    <hyperlink r:id="rId432" ref="F432"/>
    <hyperlink r:id="rId433" ref="F433"/>
    <hyperlink r:id="rId434" ref="F434"/>
    <hyperlink r:id="rId435" ref="F435"/>
    <hyperlink r:id="rId436" ref="F436"/>
    <hyperlink r:id="rId437" ref="F437"/>
    <hyperlink r:id="rId438" ref="F438"/>
    <hyperlink r:id="rId439" ref="F439"/>
    <hyperlink r:id="rId440" ref="F440"/>
    <hyperlink r:id="rId441" ref="F441"/>
    <hyperlink r:id="rId442" ref="F442"/>
    <hyperlink r:id="rId443" ref="F443"/>
    <hyperlink r:id="rId444" ref="F444"/>
    <hyperlink r:id="rId445" ref="F445"/>
    <hyperlink r:id="rId446" ref="F446"/>
    <hyperlink r:id="rId447" ref="F447"/>
    <hyperlink r:id="rId448" ref="F448"/>
    <hyperlink r:id="rId449" ref="F449"/>
    <hyperlink r:id="rId450" ref="F450"/>
    <hyperlink r:id="rId451" ref="F451"/>
    <hyperlink r:id="rId452" ref="F452"/>
    <hyperlink r:id="rId453" ref="F453"/>
    <hyperlink r:id="rId454" ref="F454"/>
    <hyperlink r:id="rId455" ref="F455"/>
    <hyperlink r:id="rId456" ref="F456"/>
    <hyperlink r:id="rId457" ref="F457"/>
    <hyperlink r:id="rId458" ref="F458"/>
    <hyperlink r:id="rId459" ref="F459"/>
    <hyperlink r:id="rId460" ref="F460"/>
    <hyperlink r:id="rId461" ref="F461"/>
    <hyperlink r:id="rId462" ref="F462"/>
    <hyperlink r:id="rId463" ref="F463"/>
    <hyperlink r:id="rId464" ref="F464"/>
    <hyperlink r:id="rId465" ref="F465"/>
    <hyperlink r:id="rId466" ref="F466"/>
    <hyperlink r:id="rId467" ref="F467"/>
    <hyperlink r:id="rId468" ref="F468"/>
    <hyperlink r:id="rId469" ref="F469"/>
    <hyperlink r:id="rId470" ref="F470"/>
    <hyperlink r:id="rId471" ref="F471"/>
    <hyperlink r:id="rId472" ref="F472"/>
    <hyperlink r:id="rId473" ref="F473"/>
    <hyperlink r:id="rId474" ref="F474"/>
    <hyperlink r:id="rId475" ref="F475"/>
    <hyperlink r:id="rId476" ref="F476"/>
    <hyperlink r:id="rId477" ref="F477"/>
    <hyperlink r:id="rId478" ref="F478"/>
    <hyperlink r:id="rId479" ref="F479"/>
    <hyperlink r:id="rId480" ref="F480"/>
    <hyperlink r:id="rId481" ref="F481"/>
    <hyperlink r:id="rId482" ref="F482"/>
    <hyperlink r:id="rId483" ref="F483"/>
    <hyperlink r:id="rId484" ref="F484"/>
    <hyperlink r:id="rId485" ref="F485"/>
    <hyperlink r:id="rId486" ref="F486"/>
    <hyperlink r:id="rId487" ref="F487"/>
    <hyperlink r:id="rId488" ref="F488"/>
    <hyperlink r:id="rId489" ref="F489"/>
    <hyperlink r:id="rId490" ref="F490"/>
    <hyperlink r:id="rId491" ref="F491"/>
    <hyperlink r:id="rId492" ref="F492"/>
    <hyperlink r:id="rId493" ref="F493"/>
    <hyperlink r:id="rId494" ref="F494"/>
    <hyperlink r:id="rId495" ref="F495"/>
    <hyperlink r:id="rId496" ref="F496"/>
    <hyperlink r:id="rId497" ref="F497"/>
    <hyperlink r:id="rId498" ref="F498"/>
    <hyperlink r:id="rId499" ref="F499"/>
    <hyperlink r:id="rId500" ref="F500"/>
    <hyperlink r:id="rId501" ref="F501"/>
    <hyperlink r:id="rId502" ref="F502"/>
    <hyperlink r:id="rId503" ref="F503"/>
    <hyperlink r:id="rId504" ref="F504"/>
    <hyperlink r:id="rId505" ref="F505"/>
    <hyperlink r:id="rId506" ref="F506"/>
    <hyperlink r:id="rId507" ref="F507"/>
    <hyperlink r:id="rId508" ref="F508"/>
    <hyperlink r:id="rId509" ref="F509"/>
    <hyperlink r:id="rId510" ref="F510"/>
    <hyperlink r:id="rId511" ref="F511"/>
    <hyperlink r:id="rId512" ref="F512"/>
    <hyperlink r:id="rId513" ref="F513"/>
    <hyperlink r:id="rId514" ref="F514"/>
    <hyperlink r:id="rId515" ref="F515"/>
    <hyperlink r:id="rId516" ref="F516"/>
    <hyperlink r:id="rId517" ref="F517"/>
    <hyperlink r:id="rId518" ref="F518"/>
    <hyperlink r:id="rId519" ref="F519"/>
    <hyperlink r:id="rId520" ref="F520"/>
    <hyperlink r:id="rId521" ref="F521"/>
    <hyperlink r:id="rId522" ref="F522"/>
    <hyperlink r:id="rId523" ref="F523"/>
    <hyperlink r:id="rId524" ref="F524"/>
    <hyperlink r:id="rId525" ref="F525"/>
    <hyperlink r:id="rId526" ref="F526"/>
    <hyperlink r:id="rId527" ref="F527"/>
    <hyperlink r:id="rId528" ref="F528"/>
    <hyperlink r:id="rId529" ref="F529"/>
    <hyperlink r:id="rId530" ref="F530"/>
    <hyperlink r:id="rId531" ref="F531"/>
    <hyperlink r:id="rId532" ref="F532"/>
    <hyperlink r:id="rId533" ref="F533"/>
    <hyperlink r:id="rId534" ref="F534"/>
    <hyperlink r:id="rId535" ref="F535"/>
    <hyperlink r:id="rId536" ref="F536"/>
    <hyperlink r:id="rId537" ref="F537"/>
    <hyperlink r:id="rId538" ref="F538"/>
    <hyperlink r:id="rId539" ref="F539"/>
    <hyperlink r:id="rId540" ref="F540"/>
    <hyperlink r:id="rId541" ref="F541"/>
    <hyperlink r:id="rId542" ref="F542"/>
    <hyperlink r:id="rId543" ref="F543"/>
    <hyperlink r:id="rId544" ref="F544"/>
    <hyperlink r:id="rId545" ref="F545"/>
    <hyperlink r:id="rId546" ref="F546"/>
    <hyperlink r:id="rId547" ref="F547"/>
    <hyperlink r:id="rId548" ref="F548"/>
    <hyperlink r:id="rId549" ref="F549"/>
    <hyperlink r:id="rId550" ref="F550"/>
    <hyperlink r:id="rId551" ref="F551"/>
    <hyperlink r:id="rId552" ref="F552"/>
    <hyperlink r:id="rId553" ref="F553"/>
    <hyperlink r:id="rId554" ref="F554"/>
    <hyperlink r:id="rId555" ref="F555"/>
    <hyperlink r:id="rId556" ref="F556"/>
    <hyperlink r:id="rId557" ref="F557"/>
    <hyperlink r:id="rId558" ref="F558"/>
    <hyperlink r:id="rId559" ref="F559"/>
    <hyperlink r:id="rId560" ref="F560"/>
    <hyperlink r:id="rId561" ref="F561"/>
    <hyperlink r:id="rId562" ref="F562"/>
    <hyperlink r:id="rId563" ref="F563"/>
    <hyperlink r:id="rId564" ref="F564"/>
    <hyperlink r:id="rId565" ref="F565"/>
    <hyperlink r:id="rId566" ref="F566"/>
    <hyperlink r:id="rId567" ref="F567"/>
    <hyperlink r:id="rId568" ref="F568"/>
    <hyperlink r:id="rId569" ref="F569"/>
    <hyperlink r:id="rId570" ref="F570"/>
    <hyperlink r:id="rId571" ref="F571"/>
    <hyperlink r:id="rId572" ref="F572"/>
    <hyperlink r:id="rId573" ref="F573"/>
    <hyperlink r:id="rId574" ref="F574"/>
    <hyperlink r:id="rId575" ref="F575"/>
    <hyperlink r:id="rId576" ref="F576"/>
    <hyperlink r:id="rId577" ref="F577"/>
    <hyperlink r:id="rId578" ref="F578"/>
    <hyperlink r:id="rId579" ref="F579"/>
    <hyperlink r:id="rId580" ref="F580"/>
    <hyperlink r:id="rId581" ref="F581"/>
    <hyperlink r:id="rId582" ref="F582"/>
    <hyperlink r:id="rId583" ref="F583"/>
    <hyperlink r:id="rId584" ref="F584"/>
    <hyperlink r:id="rId585" ref="F585"/>
    <hyperlink r:id="rId586" ref="F586"/>
    <hyperlink r:id="rId587" ref="F587"/>
    <hyperlink r:id="rId588" ref="F588"/>
    <hyperlink r:id="rId589" ref="F589"/>
    <hyperlink r:id="rId590" ref="F590"/>
    <hyperlink r:id="rId591" ref="F591"/>
    <hyperlink r:id="rId592" ref="F592"/>
    <hyperlink r:id="rId593" ref="F593"/>
    <hyperlink r:id="rId594" ref="F594"/>
    <hyperlink r:id="rId595" ref="F595"/>
    <hyperlink r:id="rId596" ref="F596"/>
    <hyperlink r:id="rId597" ref="F597"/>
    <hyperlink r:id="rId598" ref="F598"/>
    <hyperlink r:id="rId599" ref="F599"/>
    <hyperlink r:id="rId600" ref="F600"/>
    <hyperlink r:id="rId601" ref="F601"/>
    <hyperlink r:id="rId602" ref="F602"/>
    <hyperlink r:id="rId603" ref="F603"/>
    <hyperlink r:id="rId604" ref="F604"/>
    <hyperlink r:id="rId605" ref="F605"/>
    <hyperlink r:id="rId606" ref="F606"/>
    <hyperlink r:id="rId607" ref="F607"/>
    <hyperlink r:id="rId608" ref="F608"/>
    <hyperlink r:id="rId609" ref="F609"/>
    <hyperlink r:id="rId610" ref="F610"/>
    <hyperlink r:id="rId611" ref="F611"/>
    <hyperlink r:id="rId612" ref="F612"/>
    <hyperlink r:id="rId613" ref="F613"/>
    <hyperlink r:id="rId614" ref="F614"/>
    <hyperlink r:id="rId615" ref="F615"/>
    <hyperlink r:id="rId616" ref="F616"/>
    <hyperlink r:id="rId617" ref="F617"/>
    <hyperlink r:id="rId618" ref="F618"/>
    <hyperlink r:id="rId619" ref="F619"/>
    <hyperlink r:id="rId620" ref="F620"/>
    <hyperlink r:id="rId621" ref="F621"/>
    <hyperlink r:id="rId622" ref="F622"/>
    <hyperlink r:id="rId623" ref="F623"/>
    <hyperlink r:id="rId624" ref="F624"/>
    <hyperlink r:id="rId625" ref="F625"/>
    <hyperlink r:id="rId626" ref="F626"/>
    <hyperlink r:id="rId627" ref="F627"/>
    <hyperlink r:id="rId628" ref="F628"/>
    <hyperlink r:id="rId629" ref="F629"/>
    <hyperlink r:id="rId630" ref="F630"/>
    <hyperlink r:id="rId631" ref="F631"/>
    <hyperlink r:id="rId632" ref="F632"/>
    <hyperlink r:id="rId633" ref="F633"/>
    <hyperlink r:id="rId634" ref="F634"/>
    <hyperlink r:id="rId635" ref="F635"/>
    <hyperlink r:id="rId636" ref="F636"/>
    <hyperlink r:id="rId637" ref="F637"/>
    <hyperlink r:id="rId638" ref="F638"/>
    <hyperlink r:id="rId639" ref="F639"/>
    <hyperlink r:id="rId640" ref="F640"/>
    <hyperlink r:id="rId641" ref="F641"/>
    <hyperlink r:id="rId642" ref="F642"/>
    <hyperlink r:id="rId643" ref="F643"/>
    <hyperlink r:id="rId644" ref="F644"/>
    <hyperlink r:id="rId645" ref="F645"/>
    <hyperlink r:id="rId646" ref="F646"/>
    <hyperlink r:id="rId647" ref="F647"/>
    <hyperlink r:id="rId648" ref="F648"/>
    <hyperlink r:id="rId649" ref="F649"/>
    <hyperlink r:id="rId650" ref="F650"/>
    <hyperlink r:id="rId651" ref="F651"/>
    <hyperlink r:id="rId652" ref="F652"/>
    <hyperlink r:id="rId653" ref="F653"/>
    <hyperlink r:id="rId654" ref="F654"/>
    <hyperlink r:id="rId655" ref="F655"/>
    <hyperlink r:id="rId656" ref="F656"/>
    <hyperlink r:id="rId657" ref="F657"/>
    <hyperlink r:id="rId658" ref="F658"/>
    <hyperlink r:id="rId659" ref="F659"/>
    <hyperlink r:id="rId660" ref="F660"/>
    <hyperlink r:id="rId661" ref="F661"/>
    <hyperlink r:id="rId662" ref="F662"/>
    <hyperlink r:id="rId663" ref="F663"/>
    <hyperlink r:id="rId664" ref="F664"/>
    <hyperlink r:id="rId665" ref="F665"/>
    <hyperlink r:id="rId666" ref="F666"/>
    <hyperlink r:id="rId667" ref="F667"/>
    <hyperlink r:id="rId668" ref="F668"/>
    <hyperlink r:id="rId669" ref="F669"/>
    <hyperlink r:id="rId670" ref="F670"/>
    <hyperlink r:id="rId671" ref="F671"/>
    <hyperlink r:id="rId672" ref="F672"/>
    <hyperlink r:id="rId673" ref="F673"/>
    <hyperlink r:id="rId674" ref="F674"/>
    <hyperlink r:id="rId675" ref="F675"/>
    <hyperlink r:id="rId676" ref="F676"/>
    <hyperlink r:id="rId677" ref="F677"/>
    <hyperlink r:id="rId678" ref="F678"/>
    <hyperlink r:id="rId679" ref="F679"/>
    <hyperlink r:id="rId680" ref="F680"/>
    <hyperlink r:id="rId681" ref="F681"/>
    <hyperlink r:id="rId682" ref="F682"/>
    <hyperlink r:id="rId683" ref="F683"/>
    <hyperlink r:id="rId684" ref="F684"/>
    <hyperlink r:id="rId685" ref="F685"/>
    <hyperlink r:id="rId686" ref="F686"/>
    <hyperlink r:id="rId687" ref="F687"/>
    <hyperlink r:id="rId688" ref="F688"/>
    <hyperlink r:id="rId689" ref="F689"/>
    <hyperlink r:id="rId690" ref="F690"/>
    <hyperlink r:id="rId691" ref="F691"/>
    <hyperlink r:id="rId692" ref="F692"/>
    <hyperlink r:id="rId693" ref="F693"/>
    <hyperlink r:id="rId694" ref="F694"/>
    <hyperlink r:id="rId695" ref="F695"/>
    <hyperlink r:id="rId696" ref="F696"/>
    <hyperlink r:id="rId697" ref="F697"/>
    <hyperlink r:id="rId698" ref="F698"/>
    <hyperlink r:id="rId699" ref="F699"/>
    <hyperlink r:id="rId700" ref="F700"/>
    <hyperlink r:id="rId701" ref="F701"/>
    <hyperlink r:id="rId702" ref="F702"/>
    <hyperlink r:id="rId703" ref="F703"/>
    <hyperlink r:id="rId704" ref="F704"/>
    <hyperlink r:id="rId705" ref="F705"/>
    <hyperlink r:id="rId706" ref="F706"/>
    <hyperlink r:id="rId707" ref="F707"/>
    <hyperlink r:id="rId708" ref="F708"/>
    <hyperlink r:id="rId709" ref="F709"/>
    <hyperlink r:id="rId710" ref="F710"/>
    <hyperlink r:id="rId711" ref="F711"/>
    <hyperlink r:id="rId712" ref="F712"/>
    <hyperlink r:id="rId713" ref="F713"/>
    <hyperlink r:id="rId714" ref="F714"/>
    <hyperlink r:id="rId715" ref="F715"/>
    <hyperlink r:id="rId716" ref="F716"/>
    <hyperlink r:id="rId717" ref="F717"/>
    <hyperlink r:id="rId718" ref="F718"/>
    <hyperlink r:id="rId719" ref="F719"/>
    <hyperlink r:id="rId720" ref="F720"/>
    <hyperlink r:id="rId721" ref="F721"/>
    <hyperlink r:id="rId722" ref="F722"/>
    <hyperlink r:id="rId723" ref="F723"/>
    <hyperlink r:id="rId724" ref="F724"/>
    <hyperlink r:id="rId725" ref="F725"/>
    <hyperlink r:id="rId726" ref="F726"/>
    <hyperlink r:id="rId727" ref="F727"/>
    <hyperlink r:id="rId728" ref="F728"/>
    <hyperlink r:id="rId729" ref="F729"/>
    <hyperlink r:id="rId730" ref="F730"/>
    <hyperlink r:id="rId731" ref="F731"/>
    <hyperlink r:id="rId732" ref="F732"/>
    <hyperlink r:id="rId733" ref="F733"/>
    <hyperlink r:id="rId734" ref="F734"/>
    <hyperlink r:id="rId735" ref="F735"/>
    <hyperlink r:id="rId736" ref="F736"/>
    <hyperlink r:id="rId737" ref="F737"/>
    <hyperlink r:id="rId738" ref="F738"/>
    <hyperlink r:id="rId739" ref="F739"/>
    <hyperlink r:id="rId740" ref="F740"/>
    <hyperlink r:id="rId741" ref="F741"/>
    <hyperlink r:id="rId742" ref="F742"/>
    <hyperlink r:id="rId743" ref="F743"/>
    <hyperlink r:id="rId744" ref="F744"/>
    <hyperlink r:id="rId745" ref="F745"/>
    <hyperlink r:id="rId746" ref="F746"/>
    <hyperlink r:id="rId747" ref="F747"/>
    <hyperlink r:id="rId748" ref="F748"/>
    <hyperlink r:id="rId749" ref="F749"/>
    <hyperlink r:id="rId750" ref="F750"/>
    <hyperlink r:id="rId751" ref="F751"/>
    <hyperlink r:id="rId752" ref="F752"/>
    <hyperlink r:id="rId753" ref="F753"/>
    <hyperlink r:id="rId754" ref="F754"/>
    <hyperlink r:id="rId755" ref="F755"/>
    <hyperlink r:id="rId756" ref="F756"/>
    <hyperlink r:id="rId757" ref="F757"/>
    <hyperlink r:id="rId758" ref="F758"/>
  </hyperlinks>
  <drawing r:id="rId759"/>
  <legacyDrawing r:id="rId76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2.63" defaultRowHeight="15.0"/>
  <cols>
    <col customWidth="1" min="1" max="1" width="5.13"/>
    <col customWidth="1" min="2" max="2" width="6.25"/>
    <col customWidth="1" min="3" max="3" width="5.5"/>
    <col customWidth="1" min="4" max="4" width="11.25"/>
    <col customWidth="1" min="5" max="5" width="3.13"/>
    <col customWidth="1" min="6" max="6" width="24.5"/>
    <col customWidth="1" min="7" max="7" width="24.88"/>
    <col customWidth="1" min="8" max="8" width="36.75"/>
    <col customWidth="1" min="9" max="10" width="7.38"/>
    <col customWidth="1" min="11" max="11" width="6.5"/>
    <col customWidth="1" min="12" max="12" width="8.5"/>
    <col customWidth="1" min="13" max="14" width="6.5"/>
    <col customWidth="1" min="15" max="16" width="7.38"/>
    <col customWidth="1" min="17" max="17" width="18.25"/>
    <col customWidth="1" min="18" max="18" width="5.75"/>
    <col customWidth="1" min="19" max="19" width="5.63"/>
    <col customWidth="1" min="20" max="20" width="6.63"/>
    <col customWidth="1" min="21" max="21" width="6.88"/>
    <col customWidth="1" min="22" max="22" width="7.75"/>
    <col customWidth="1" min="23" max="23" width="6.63"/>
    <col customWidth="1" min="24" max="24" width="7.63"/>
    <col customWidth="1" min="25" max="26" width="42.88"/>
    <col customWidth="1" min="27" max="37" width="11.0"/>
  </cols>
  <sheetData>
    <row r="1" ht="45.0" customHeight="1">
      <c r="A1" s="1" t="s">
        <v>0</v>
      </c>
      <c r="B1" s="6" t="str">
        <f>HYPERLINK("#rangeid=2086300674","Content Owner")</f>
        <v>Content Owner</v>
      </c>
      <c r="C1" s="9" t="str">
        <f>HYPERLINK("#rangeid=632369931","Video Owner")</f>
        <v>Video Owner</v>
      </c>
      <c r="D1" s="11" t="s">
        <v>4</v>
      </c>
      <c r="E1" s="12" t="s">
        <v>5</v>
      </c>
      <c r="F1" s="13" t="s">
        <v>6</v>
      </c>
      <c r="G1" s="1" t="s">
        <v>7</v>
      </c>
      <c r="H1" s="21" t="str">
        <f>HYPERLINK("#rangeid=906849400","Description")</f>
        <v>Description</v>
      </c>
      <c r="I1" s="17" t="s">
        <v>11</v>
      </c>
      <c r="J1" s="1" t="s">
        <v>15</v>
      </c>
      <c r="K1" s="19" t="s">
        <v>16</v>
      </c>
      <c r="L1" s="1" t="s">
        <v>22</v>
      </c>
      <c r="M1" s="1" t="s">
        <v>23</v>
      </c>
      <c r="N1" s="1" t="s">
        <v>25</v>
      </c>
      <c r="O1" s="1" t="s">
        <v>26</v>
      </c>
      <c r="P1" s="1" t="s">
        <v>27</v>
      </c>
      <c r="Q1" s="1" t="s">
        <v>28</v>
      </c>
      <c r="R1" s="23" t="s">
        <v>29</v>
      </c>
      <c r="S1" s="23" t="s">
        <v>31</v>
      </c>
      <c r="T1" s="23" t="s">
        <v>32</v>
      </c>
      <c r="U1" s="26" t="s">
        <v>33</v>
      </c>
      <c r="V1" s="29" t="s">
        <v>35</v>
      </c>
      <c r="W1" s="31" t="str">
        <f>HYPERLINK("#rangeid=120001109","Replay")</f>
        <v>Replay</v>
      </c>
      <c r="X1" s="33" t="s">
        <v>38</v>
      </c>
      <c r="Y1" s="34" t="s">
        <v>39</v>
      </c>
      <c r="Z1" s="36" t="s">
        <v>40</v>
      </c>
      <c r="AA1" s="37"/>
      <c r="AB1" s="37"/>
      <c r="AC1" s="37"/>
      <c r="AD1" s="37"/>
      <c r="AE1" s="37"/>
      <c r="AF1" s="37"/>
      <c r="AG1" s="37"/>
      <c r="AH1" s="37"/>
      <c r="AI1" s="37"/>
      <c r="AJ1" s="37"/>
      <c r="AK1" s="37"/>
    </row>
    <row r="2">
      <c r="A2" s="38">
        <v>1.0</v>
      </c>
      <c r="B2" s="38" t="s">
        <v>49</v>
      </c>
      <c r="C2" s="39"/>
      <c r="D2" s="38" t="s">
        <v>55</v>
      </c>
      <c r="E2" s="38" t="s">
        <v>56</v>
      </c>
      <c r="F2" s="41" t="s">
        <v>57</v>
      </c>
      <c r="G2" s="43" t="s">
        <v>58</v>
      </c>
      <c r="H2" s="45" t="s">
        <v>59</v>
      </c>
      <c r="I2" s="38"/>
      <c r="J2" s="38">
        <f>7*1000</f>
        <v>7000</v>
      </c>
      <c r="K2" s="46">
        <v>0.00962962962962963</v>
      </c>
      <c r="L2" s="47" t="s">
        <v>60</v>
      </c>
      <c r="M2" s="46"/>
      <c r="N2" s="46"/>
      <c r="O2" s="38"/>
      <c r="P2" s="49">
        <v>42989.0</v>
      </c>
      <c r="Q2" s="12" t="str">
        <f t="shared" ref="Q2:Q104" si="1">HYPERLINK(IF(INT(A2)-A2=0,"",REPLACE(INDIRECT("MasterList!e"&amp;INT(A2)+1),25,8,"embed/")&amp;"?start="&amp;HOUR(M2)*3600+MINUTE(M2)*60+SECOND(M2)&amp;"&amp;end="&amp;HOUR(N2)*3600+MINUTE(N2)*60+SECOND(N2)&amp;"&amp;autoplay=1"))</f>
        <v/>
      </c>
      <c r="R2" s="50" t="s">
        <v>61</v>
      </c>
      <c r="S2" s="50" t="s">
        <v>61</v>
      </c>
      <c r="T2" s="50" t="s">
        <v>61</v>
      </c>
      <c r="U2" s="53"/>
      <c r="V2" s="54"/>
      <c r="W2" s="56" t="s">
        <v>62</v>
      </c>
      <c r="X2" s="57"/>
      <c r="Y2" s="38"/>
      <c r="Z2" s="38"/>
    </row>
    <row r="3">
      <c r="A3" s="38">
        <v>2.0</v>
      </c>
      <c r="B3" s="38" t="s">
        <v>49</v>
      </c>
      <c r="C3" s="39"/>
      <c r="D3" s="38" t="s">
        <v>55</v>
      </c>
      <c r="E3" s="38" t="s">
        <v>63</v>
      </c>
      <c r="F3" s="41" t="s">
        <v>64</v>
      </c>
      <c r="G3" s="43" t="s">
        <v>65</v>
      </c>
      <c r="H3" s="58" t="s">
        <v>66</v>
      </c>
      <c r="I3" s="38"/>
      <c r="J3" s="38">
        <f>4*1000</f>
        <v>4000</v>
      </c>
      <c r="K3" s="46">
        <v>0.010289351851851852</v>
      </c>
      <c r="L3" s="47" t="s">
        <v>60</v>
      </c>
      <c r="M3" s="46"/>
      <c r="N3" s="46"/>
      <c r="O3" s="38"/>
      <c r="P3" s="49">
        <v>42989.0</v>
      </c>
      <c r="Q3" s="12" t="str">
        <f t="shared" si="1"/>
        <v/>
      </c>
      <c r="R3" s="50" t="s">
        <v>61</v>
      </c>
      <c r="S3" s="50" t="s">
        <v>61</v>
      </c>
      <c r="T3" s="50" t="s">
        <v>61</v>
      </c>
      <c r="U3" s="53"/>
      <c r="V3" s="54"/>
      <c r="W3" s="56" t="s">
        <v>62</v>
      </c>
      <c r="X3" s="57"/>
      <c r="Y3" s="38"/>
      <c r="Z3" s="38"/>
    </row>
    <row r="4">
      <c r="A4" s="38">
        <v>3.0</v>
      </c>
      <c r="B4" s="38" t="s">
        <v>49</v>
      </c>
      <c r="C4" s="39"/>
      <c r="D4" s="38" t="s">
        <v>55</v>
      </c>
      <c r="E4" s="38" t="s">
        <v>67</v>
      </c>
      <c r="F4" s="41" t="s">
        <v>68</v>
      </c>
      <c r="G4" s="43" t="s">
        <v>69</v>
      </c>
      <c r="H4" s="45" t="s">
        <v>70</v>
      </c>
      <c r="I4" s="38"/>
      <c r="J4" s="38">
        <f>826</f>
        <v>826</v>
      </c>
      <c r="K4" s="46">
        <v>0.0021643518518518518</v>
      </c>
      <c r="L4" s="47" t="s">
        <v>60</v>
      </c>
      <c r="M4" s="46"/>
      <c r="N4" s="46"/>
      <c r="O4" s="38"/>
      <c r="P4" s="49">
        <v>42990.0</v>
      </c>
      <c r="Q4" s="12" t="str">
        <f t="shared" si="1"/>
        <v/>
      </c>
      <c r="R4" s="50" t="s">
        <v>61</v>
      </c>
      <c r="S4" s="50" t="s">
        <v>61</v>
      </c>
      <c r="T4" s="50" t="s">
        <v>61</v>
      </c>
      <c r="U4" s="53"/>
      <c r="V4" s="54"/>
      <c r="W4" s="56" t="s">
        <v>62</v>
      </c>
      <c r="X4" s="57"/>
      <c r="Y4" s="38"/>
      <c r="Z4" s="38"/>
    </row>
    <row r="5">
      <c r="A5" s="38">
        <v>4.0</v>
      </c>
      <c r="B5" s="38" t="s">
        <v>49</v>
      </c>
      <c r="C5" s="39"/>
      <c r="D5" s="38" t="s">
        <v>71</v>
      </c>
      <c r="E5" s="38" t="s">
        <v>72</v>
      </c>
      <c r="F5" s="41" t="s">
        <v>73</v>
      </c>
      <c r="G5" s="43" t="s">
        <v>74</v>
      </c>
      <c r="H5" s="45"/>
      <c r="I5" s="38"/>
      <c r="J5" s="38">
        <f>10*1000</f>
        <v>10000</v>
      </c>
      <c r="K5" s="46">
        <v>9.722222222222221E-4</v>
      </c>
      <c r="L5" s="47" t="s">
        <v>60</v>
      </c>
      <c r="M5" s="46"/>
      <c r="N5" s="46"/>
      <c r="O5" s="38"/>
      <c r="P5" s="49">
        <v>42990.0</v>
      </c>
      <c r="Q5" s="12" t="str">
        <f t="shared" si="1"/>
        <v/>
      </c>
      <c r="R5" s="50" t="s">
        <v>61</v>
      </c>
      <c r="S5" s="50" t="s">
        <v>61</v>
      </c>
      <c r="T5" s="50" t="s">
        <v>75</v>
      </c>
      <c r="U5" s="53"/>
      <c r="V5" s="54"/>
      <c r="W5" s="56" t="s">
        <v>76</v>
      </c>
      <c r="X5" s="57"/>
      <c r="Y5" s="38"/>
      <c r="Z5" s="38"/>
    </row>
    <row r="6">
      <c r="A6" s="38">
        <v>5.0</v>
      </c>
      <c r="B6" s="38" t="s">
        <v>49</v>
      </c>
      <c r="C6" s="39"/>
      <c r="D6" s="38" t="s">
        <v>71</v>
      </c>
      <c r="E6" s="38" t="s">
        <v>77</v>
      </c>
      <c r="F6" s="41" t="s">
        <v>78</v>
      </c>
      <c r="G6" s="43" t="s">
        <v>79</v>
      </c>
      <c r="H6" s="45" t="s">
        <v>79</v>
      </c>
      <c r="I6" s="38"/>
      <c r="J6" s="38">
        <f>749</f>
        <v>749</v>
      </c>
      <c r="K6" s="46">
        <v>4.050925925925926E-4</v>
      </c>
      <c r="L6" s="47" t="s">
        <v>60</v>
      </c>
      <c r="M6" s="46"/>
      <c r="N6" s="46"/>
      <c r="O6" s="38"/>
      <c r="P6" s="49">
        <v>42990.0</v>
      </c>
      <c r="Q6" s="12" t="str">
        <f t="shared" si="1"/>
        <v/>
      </c>
      <c r="R6" s="50" t="s">
        <v>61</v>
      </c>
      <c r="S6" s="50" t="s">
        <v>61</v>
      </c>
      <c r="T6" s="50" t="s">
        <v>75</v>
      </c>
      <c r="U6" s="53"/>
      <c r="V6" s="54"/>
      <c r="W6" s="56" t="s">
        <v>76</v>
      </c>
      <c r="X6" s="57"/>
      <c r="Y6" s="38"/>
      <c r="Z6" s="38"/>
    </row>
    <row r="7">
      <c r="A7" s="38">
        <v>6.0</v>
      </c>
      <c r="B7" s="38" t="s">
        <v>49</v>
      </c>
      <c r="C7" s="39"/>
      <c r="D7" s="38" t="s">
        <v>71</v>
      </c>
      <c r="E7" s="38" t="s">
        <v>80</v>
      </c>
      <c r="F7" s="41" t="s">
        <v>81</v>
      </c>
      <c r="G7" s="59" t="s">
        <v>82</v>
      </c>
      <c r="H7" s="45"/>
      <c r="I7" s="38"/>
      <c r="J7" s="38">
        <f>1.7*1000</f>
        <v>1700</v>
      </c>
      <c r="K7" s="46">
        <v>0.003993055555555556</v>
      </c>
      <c r="L7" s="47" t="s">
        <v>60</v>
      </c>
      <c r="M7" s="46"/>
      <c r="N7" s="46"/>
      <c r="O7" s="38"/>
      <c r="P7" s="49">
        <v>42990.0</v>
      </c>
      <c r="Q7" s="12" t="str">
        <f t="shared" si="1"/>
        <v/>
      </c>
      <c r="R7" s="50" t="s">
        <v>61</v>
      </c>
      <c r="S7" s="50" t="s">
        <v>61</v>
      </c>
      <c r="T7" s="50" t="s">
        <v>61</v>
      </c>
      <c r="U7" s="53"/>
      <c r="V7" s="54"/>
      <c r="W7" s="56" t="s">
        <v>76</v>
      </c>
      <c r="X7" s="57"/>
      <c r="Y7" s="38"/>
      <c r="Z7" s="38" t="s">
        <v>83</v>
      </c>
    </row>
    <row r="8">
      <c r="A8" s="38">
        <v>7.0</v>
      </c>
      <c r="B8" s="38" t="s">
        <v>49</v>
      </c>
      <c r="C8" s="39"/>
      <c r="D8" s="38" t="s">
        <v>55</v>
      </c>
      <c r="E8" s="38" t="s">
        <v>84</v>
      </c>
      <c r="F8" s="41" t="s">
        <v>85</v>
      </c>
      <c r="G8" s="43" t="s">
        <v>86</v>
      </c>
      <c r="H8" s="45"/>
      <c r="I8" s="38"/>
      <c r="J8" s="38">
        <f>5.1*1000</f>
        <v>5100</v>
      </c>
      <c r="K8" s="46">
        <v>0.003368055555555555</v>
      </c>
      <c r="L8" s="47" t="s">
        <v>60</v>
      </c>
      <c r="M8" s="46"/>
      <c r="N8" s="46"/>
      <c r="O8" s="38"/>
      <c r="P8" s="49">
        <v>42990.0</v>
      </c>
      <c r="Q8" s="12" t="str">
        <f t="shared" si="1"/>
        <v/>
      </c>
      <c r="R8" s="50" t="s">
        <v>61</v>
      </c>
      <c r="S8" s="50" t="s">
        <v>61</v>
      </c>
      <c r="T8" s="50" t="s">
        <v>61</v>
      </c>
      <c r="U8" s="53"/>
      <c r="V8" s="54"/>
      <c r="W8" s="56" t="s">
        <v>76</v>
      </c>
      <c r="X8" s="57"/>
      <c r="Y8" s="38"/>
      <c r="Z8" s="38"/>
    </row>
    <row r="9">
      <c r="A9" s="38">
        <v>8.0</v>
      </c>
      <c r="B9" s="38" t="s">
        <v>49</v>
      </c>
      <c r="C9" s="39"/>
      <c r="D9" s="38" t="s">
        <v>55</v>
      </c>
      <c r="E9" s="38" t="s">
        <v>87</v>
      </c>
      <c r="F9" s="41" t="s">
        <v>88</v>
      </c>
      <c r="G9" s="43" t="s">
        <v>89</v>
      </c>
      <c r="H9" s="58" t="s">
        <v>90</v>
      </c>
      <c r="I9" s="38"/>
      <c r="J9" s="38">
        <f>1.9*1000</f>
        <v>1900</v>
      </c>
      <c r="K9" s="46">
        <v>0.01037037037037037</v>
      </c>
      <c r="L9" s="47" t="s">
        <v>60</v>
      </c>
      <c r="M9" s="46"/>
      <c r="N9" s="46"/>
      <c r="O9" s="38"/>
      <c r="P9" s="49">
        <v>42990.0</v>
      </c>
      <c r="Q9" s="12" t="str">
        <f t="shared" si="1"/>
        <v/>
      </c>
      <c r="R9" s="50" t="s">
        <v>91</v>
      </c>
      <c r="S9" s="50" t="s">
        <v>61</v>
      </c>
      <c r="T9" s="50" t="s">
        <v>61</v>
      </c>
      <c r="U9" s="53"/>
      <c r="V9" s="54"/>
      <c r="W9" s="56" t="s">
        <v>76</v>
      </c>
      <c r="X9" s="57"/>
      <c r="Y9" s="38"/>
      <c r="Z9" s="38" t="s">
        <v>92</v>
      </c>
    </row>
    <row r="10">
      <c r="A10" s="39">
        <v>8.01</v>
      </c>
      <c r="B10" s="38" t="s">
        <v>49</v>
      </c>
      <c r="C10" s="39"/>
      <c r="D10" s="38" t="s">
        <v>55</v>
      </c>
      <c r="E10" s="38"/>
      <c r="F10" s="41"/>
      <c r="G10" s="43" t="s">
        <v>93</v>
      </c>
      <c r="H10" s="45"/>
      <c r="I10" s="38"/>
      <c r="J10" s="38"/>
      <c r="K10" s="46"/>
      <c r="L10" s="47"/>
      <c r="M10" s="46">
        <v>0.002025462962962963</v>
      </c>
      <c r="N10" s="46">
        <v>0.004039351851851852</v>
      </c>
      <c r="O10" s="60">
        <f>N10-M10</f>
        <v>0.002013888889</v>
      </c>
      <c r="P10" s="49">
        <v>42990.0</v>
      </c>
      <c r="Q10" s="61" t="str">
        <f t="shared" si="1"/>
        <v>https://www.youtube.com/embed/mjFek0gF97s?start=175&amp;end=349&amp;autoplay=1</v>
      </c>
      <c r="R10" s="50" t="s">
        <v>61</v>
      </c>
      <c r="S10" s="50" t="s">
        <v>91</v>
      </c>
      <c r="T10" s="50" t="s">
        <v>61</v>
      </c>
      <c r="U10" s="53"/>
      <c r="V10" s="54"/>
      <c r="W10" s="56" t="s">
        <v>76</v>
      </c>
      <c r="X10" s="57"/>
      <c r="Y10" s="38"/>
      <c r="Z10" s="38" t="s">
        <v>96</v>
      </c>
    </row>
    <row r="11">
      <c r="A11" s="38">
        <v>9.0</v>
      </c>
      <c r="B11" s="38" t="s">
        <v>49</v>
      </c>
      <c r="C11" s="39"/>
      <c r="D11" s="38" t="s">
        <v>55</v>
      </c>
      <c r="E11" s="38" t="s">
        <v>94</v>
      </c>
      <c r="F11" s="41" t="s">
        <v>95</v>
      </c>
      <c r="G11" s="43" t="s">
        <v>97</v>
      </c>
      <c r="H11" s="45" t="s">
        <v>98</v>
      </c>
      <c r="I11" s="38"/>
      <c r="J11" s="38">
        <f>1.7*1000</f>
        <v>1700</v>
      </c>
      <c r="K11" s="46">
        <v>0.003472222222222222</v>
      </c>
      <c r="L11" s="47" t="s">
        <v>60</v>
      </c>
      <c r="M11" s="46"/>
      <c r="N11" s="46"/>
      <c r="O11" s="38"/>
      <c r="P11" s="49">
        <v>42990.0</v>
      </c>
      <c r="Q11" s="12" t="str">
        <f t="shared" si="1"/>
        <v/>
      </c>
      <c r="R11" s="50" t="s">
        <v>61</v>
      </c>
      <c r="S11" s="50" t="s">
        <v>61</v>
      </c>
      <c r="T11" s="50" t="s">
        <v>61</v>
      </c>
      <c r="U11" s="53"/>
      <c r="V11" s="54"/>
      <c r="W11" s="56" t="s">
        <v>62</v>
      </c>
      <c r="X11" s="57"/>
      <c r="Y11" s="38"/>
      <c r="Z11" s="38" t="s">
        <v>101</v>
      </c>
    </row>
    <row r="12">
      <c r="A12" s="38">
        <v>10.0</v>
      </c>
      <c r="B12" s="38" t="s">
        <v>49</v>
      </c>
      <c r="C12" s="39"/>
      <c r="D12" s="38" t="s">
        <v>55</v>
      </c>
      <c r="E12" s="38" t="s">
        <v>99</v>
      </c>
      <c r="F12" s="41" t="s">
        <v>100</v>
      </c>
      <c r="G12" s="43" t="s">
        <v>102</v>
      </c>
      <c r="H12" s="45" t="s">
        <v>103</v>
      </c>
      <c r="I12" s="38"/>
      <c r="J12" s="38">
        <f>490</f>
        <v>490</v>
      </c>
      <c r="K12" s="46">
        <v>0.0030324074074074073</v>
      </c>
      <c r="L12" s="47" t="s">
        <v>60</v>
      </c>
      <c r="M12" s="46"/>
      <c r="N12" s="46"/>
      <c r="O12" s="38"/>
      <c r="P12" s="49">
        <v>42990.0</v>
      </c>
      <c r="Q12" s="12" t="str">
        <f t="shared" si="1"/>
        <v/>
      </c>
      <c r="R12" s="50" t="s">
        <v>61</v>
      </c>
      <c r="S12" s="50" t="s">
        <v>61</v>
      </c>
      <c r="T12" s="50" t="s">
        <v>61</v>
      </c>
      <c r="U12" s="53"/>
      <c r="V12" s="54"/>
      <c r="W12" s="56" t="s">
        <v>62</v>
      </c>
      <c r="X12" s="57"/>
      <c r="Y12" s="38"/>
      <c r="Z12" s="38"/>
    </row>
    <row r="13">
      <c r="A13" s="39">
        <v>10.01</v>
      </c>
      <c r="B13" s="38" t="s">
        <v>49</v>
      </c>
      <c r="C13" s="39"/>
      <c r="D13" s="38" t="s">
        <v>55</v>
      </c>
      <c r="E13" s="38"/>
      <c r="F13" s="41"/>
      <c r="G13" s="43" t="s">
        <v>106</v>
      </c>
      <c r="H13" s="45"/>
      <c r="I13" s="38"/>
      <c r="J13" s="38"/>
      <c r="K13" s="46"/>
      <c r="L13" s="47"/>
      <c r="M13" s="46">
        <v>0.0010300925925925926</v>
      </c>
      <c r="N13" s="46">
        <v>0.0014467592592592594</v>
      </c>
      <c r="O13" s="60">
        <f>N13-M13</f>
        <v>0.0004166666667</v>
      </c>
      <c r="P13" s="49">
        <v>42990.0</v>
      </c>
      <c r="Q13" s="61" t="str">
        <f t="shared" si="1"/>
        <v>https://www.youtube.com/embed/Kxuiy8OL30w?start=89&amp;end=125&amp;autoplay=1</v>
      </c>
      <c r="R13" s="50" t="s">
        <v>61</v>
      </c>
      <c r="S13" s="50" t="s">
        <v>61</v>
      </c>
      <c r="T13" s="50" t="s">
        <v>61</v>
      </c>
      <c r="U13" s="53"/>
      <c r="V13" s="54"/>
      <c r="W13" s="56" t="s">
        <v>62</v>
      </c>
      <c r="X13" s="57"/>
      <c r="Y13" s="38"/>
      <c r="Z13" s="38"/>
    </row>
    <row r="14">
      <c r="A14" s="38">
        <v>11.0</v>
      </c>
      <c r="B14" s="38" t="s">
        <v>49</v>
      </c>
      <c r="C14" s="39"/>
      <c r="D14" s="38" t="s">
        <v>55</v>
      </c>
      <c r="E14" s="38" t="s">
        <v>104</v>
      </c>
      <c r="F14" s="41" t="s">
        <v>105</v>
      </c>
      <c r="G14" s="62" t="s">
        <v>110</v>
      </c>
      <c r="H14" s="58" t="s">
        <v>113</v>
      </c>
      <c r="I14" s="38"/>
      <c r="J14" s="38">
        <f>551</f>
        <v>551</v>
      </c>
      <c r="K14" s="46">
        <v>0.0024189814814814816</v>
      </c>
      <c r="L14" s="47" t="s">
        <v>60</v>
      </c>
      <c r="M14" s="46"/>
      <c r="N14" s="46"/>
      <c r="O14" s="38"/>
      <c r="P14" s="49">
        <v>42991.0</v>
      </c>
      <c r="Q14" s="12" t="str">
        <f t="shared" si="1"/>
        <v/>
      </c>
      <c r="R14" s="50" t="s">
        <v>61</v>
      </c>
      <c r="S14" s="50" t="s">
        <v>61</v>
      </c>
      <c r="T14" s="50" t="s">
        <v>61</v>
      </c>
      <c r="U14" s="53"/>
      <c r="V14" s="54"/>
      <c r="W14" s="56" t="s">
        <v>76</v>
      </c>
      <c r="X14" s="57"/>
      <c r="Y14" s="38"/>
      <c r="Z14" s="38" t="s">
        <v>83</v>
      </c>
    </row>
    <row r="15">
      <c r="A15" s="38">
        <v>12.0</v>
      </c>
      <c r="B15" s="38" t="s">
        <v>49</v>
      </c>
      <c r="C15" s="39"/>
      <c r="D15" s="38" t="s">
        <v>55</v>
      </c>
      <c r="E15" s="38" t="s">
        <v>111</v>
      </c>
      <c r="F15" s="41" t="s">
        <v>112</v>
      </c>
      <c r="G15" s="45" t="s">
        <v>116</v>
      </c>
      <c r="H15" s="43" t="s">
        <v>117</v>
      </c>
      <c r="I15" s="43"/>
      <c r="J15" s="43">
        <v>384.0</v>
      </c>
      <c r="K15" s="46">
        <v>0.0022222222222222222</v>
      </c>
      <c r="L15" s="47" t="s">
        <v>60</v>
      </c>
      <c r="M15" s="46"/>
      <c r="N15" s="46"/>
      <c r="O15" s="38"/>
      <c r="P15" s="49">
        <v>42991.0</v>
      </c>
      <c r="Q15" s="12" t="str">
        <f t="shared" si="1"/>
        <v/>
      </c>
      <c r="R15" s="50" t="s">
        <v>61</v>
      </c>
      <c r="S15" s="50" t="s">
        <v>61</v>
      </c>
      <c r="T15" s="50" t="s">
        <v>61</v>
      </c>
      <c r="U15" s="53"/>
      <c r="V15" s="54"/>
      <c r="W15" s="56" t="s">
        <v>76</v>
      </c>
      <c r="X15" s="57"/>
      <c r="Y15" s="38"/>
      <c r="Z15" s="38" t="s">
        <v>83</v>
      </c>
    </row>
    <row r="16">
      <c r="A16" s="38">
        <v>13.0</v>
      </c>
      <c r="B16" s="38" t="s">
        <v>49</v>
      </c>
      <c r="C16" s="39"/>
      <c r="D16" s="38" t="s">
        <v>55</v>
      </c>
      <c r="E16" s="38" t="s">
        <v>114</v>
      </c>
      <c r="F16" s="41" t="s">
        <v>115</v>
      </c>
      <c r="G16" s="38" t="s">
        <v>118</v>
      </c>
      <c r="H16" s="45" t="s">
        <v>119</v>
      </c>
      <c r="I16" s="38"/>
      <c r="J16" s="38">
        <f>1.5*1000</f>
        <v>1500</v>
      </c>
      <c r="K16" s="46">
        <v>0.003530092592592592</v>
      </c>
      <c r="L16" s="47" t="s">
        <v>60</v>
      </c>
      <c r="M16" s="46"/>
      <c r="N16" s="46"/>
      <c r="O16" s="38"/>
      <c r="P16" s="49">
        <v>42991.0</v>
      </c>
      <c r="Q16" s="12" t="str">
        <f t="shared" si="1"/>
        <v/>
      </c>
      <c r="R16" s="50" t="s">
        <v>61</v>
      </c>
      <c r="S16" s="50" t="s">
        <v>61</v>
      </c>
      <c r="T16" s="50" t="s">
        <v>61</v>
      </c>
      <c r="U16" s="53"/>
      <c r="V16" s="54"/>
      <c r="W16" s="56" t="s">
        <v>76</v>
      </c>
      <c r="X16" s="57"/>
      <c r="Y16" s="38"/>
      <c r="Z16" s="38" t="s">
        <v>83</v>
      </c>
    </row>
    <row r="17">
      <c r="A17" s="38">
        <v>14.0</v>
      </c>
      <c r="B17" s="38" t="s">
        <v>49</v>
      </c>
      <c r="C17" s="39"/>
      <c r="D17" s="38" t="s">
        <v>55</v>
      </c>
      <c r="E17" s="38" t="s">
        <v>122</v>
      </c>
      <c r="F17" s="41" t="s">
        <v>123</v>
      </c>
      <c r="G17" s="43" t="s">
        <v>125</v>
      </c>
      <c r="H17" s="45"/>
      <c r="I17" s="38"/>
      <c r="J17" s="38">
        <f>595</f>
        <v>595</v>
      </c>
      <c r="K17" s="46">
        <v>0.004074074074074075</v>
      </c>
      <c r="L17" s="47" t="s">
        <v>60</v>
      </c>
      <c r="M17" s="46"/>
      <c r="N17" s="46"/>
      <c r="O17" s="38"/>
      <c r="P17" s="49">
        <v>42991.0</v>
      </c>
      <c r="Q17" s="12" t="str">
        <f t="shared" si="1"/>
        <v/>
      </c>
      <c r="R17" s="50" t="s">
        <v>61</v>
      </c>
      <c r="S17" s="50" t="s">
        <v>61</v>
      </c>
      <c r="T17" s="50" t="s">
        <v>61</v>
      </c>
      <c r="U17" s="53"/>
      <c r="V17" s="54"/>
      <c r="W17" s="56" t="s">
        <v>76</v>
      </c>
      <c r="X17" s="57"/>
      <c r="Y17" s="38"/>
      <c r="Z17" s="38" t="s">
        <v>83</v>
      </c>
    </row>
    <row r="18">
      <c r="A18" s="38">
        <v>15.0</v>
      </c>
      <c r="B18" s="38" t="s">
        <v>49</v>
      </c>
      <c r="C18" s="39"/>
      <c r="D18" s="38" t="s">
        <v>55</v>
      </c>
      <c r="E18" s="38" t="s">
        <v>128</v>
      </c>
      <c r="F18" s="41" t="s">
        <v>129</v>
      </c>
      <c r="G18" s="43" t="s">
        <v>130</v>
      </c>
      <c r="H18" s="45"/>
      <c r="I18" s="38"/>
      <c r="J18" s="38">
        <f>477</f>
        <v>477</v>
      </c>
      <c r="K18" s="46">
        <v>0.002673611111111111</v>
      </c>
      <c r="L18" s="47" t="s">
        <v>60</v>
      </c>
      <c r="M18" s="46"/>
      <c r="N18" s="46"/>
      <c r="O18" s="38"/>
      <c r="P18" s="49">
        <v>42991.0</v>
      </c>
      <c r="Q18" s="12" t="str">
        <f t="shared" si="1"/>
        <v/>
      </c>
      <c r="R18" s="50" t="s">
        <v>61</v>
      </c>
      <c r="S18" s="50" t="s">
        <v>61</v>
      </c>
      <c r="T18" s="50" t="s">
        <v>61</v>
      </c>
      <c r="U18" s="53"/>
      <c r="V18" s="54"/>
      <c r="W18" s="56" t="s">
        <v>76</v>
      </c>
      <c r="X18" s="57"/>
      <c r="Y18" s="38"/>
      <c r="Z18" s="38"/>
    </row>
    <row r="19">
      <c r="A19" s="38">
        <v>16.0</v>
      </c>
      <c r="B19" s="38" t="s">
        <v>49</v>
      </c>
      <c r="C19" s="39"/>
      <c r="D19" s="38" t="s">
        <v>55</v>
      </c>
      <c r="E19" s="38" t="s">
        <v>133</v>
      </c>
      <c r="F19" s="41" t="s">
        <v>134</v>
      </c>
      <c r="G19" s="43" t="s">
        <v>135</v>
      </c>
      <c r="H19" s="45" t="s">
        <v>136</v>
      </c>
      <c r="I19" s="38"/>
      <c r="J19" s="38">
        <f>506</f>
        <v>506</v>
      </c>
      <c r="K19" s="46">
        <v>0.005717592592592593</v>
      </c>
      <c r="L19" s="47" t="s">
        <v>60</v>
      </c>
      <c r="M19" s="46"/>
      <c r="N19" s="46"/>
      <c r="O19" s="38"/>
      <c r="P19" s="49">
        <v>42991.0</v>
      </c>
      <c r="Q19" s="12" t="str">
        <f t="shared" si="1"/>
        <v/>
      </c>
      <c r="R19" s="50" t="s">
        <v>61</v>
      </c>
      <c r="S19" s="50" t="s">
        <v>61</v>
      </c>
      <c r="T19" s="50" t="s">
        <v>61</v>
      </c>
      <c r="U19" s="53"/>
      <c r="V19" s="54"/>
      <c r="W19" s="56" t="s">
        <v>76</v>
      </c>
      <c r="X19" s="57"/>
      <c r="Y19" s="38"/>
      <c r="Z19" s="38" t="s">
        <v>139</v>
      </c>
    </row>
    <row r="20">
      <c r="A20" s="38">
        <v>59.0</v>
      </c>
      <c r="B20" s="38" t="s">
        <v>49</v>
      </c>
      <c r="C20" s="39"/>
      <c r="D20" s="38" t="s">
        <v>55</v>
      </c>
      <c r="E20" s="38" t="s">
        <v>140</v>
      </c>
      <c r="F20" s="41" t="s">
        <v>141</v>
      </c>
      <c r="G20" s="43"/>
      <c r="H20" s="45"/>
      <c r="I20" s="38"/>
      <c r="J20" s="38">
        <f>3.6*1000</f>
        <v>3600</v>
      </c>
      <c r="K20" s="46">
        <v>0.036516203703703703</v>
      </c>
      <c r="L20" s="47" t="s">
        <v>60</v>
      </c>
      <c r="M20" s="46"/>
      <c r="N20" s="46"/>
      <c r="O20" s="38"/>
      <c r="P20" s="38">
        <v>42989.0</v>
      </c>
      <c r="Q20" s="12" t="str">
        <f t="shared" si="1"/>
        <v/>
      </c>
      <c r="R20" s="50" t="s">
        <v>61</v>
      </c>
      <c r="S20" s="50" t="s">
        <v>61</v>
      </c>
      <c r="T20" s="50" t="s">
        <v>61</v>
      </c>
      <c r="U20" s="53"/>
      <c r="V20" s="54"/>
      <c r="W20" s="56" t="s">
        <v>62</v>
      </c>
      <c r="X20" s="57"/>
      <c r="Y20" s="38"/>
      <c r="Z20" s="38"/>
    </row>
    <row r="21">
      <c r="A21" s="38">
        <v>59.01</v>
      </c>
      <c r="B21" s="38" t="s">
        <v>49</v>
      </c>
      <c r="C21" s="39"/>
      <c r="D21" s="38" t="s">
        <v>55</v>
      </c>
      <c r="E21" s="38"/>
      <c r="F21" s="41"/>
      <c r="G21" s="43" t="s">
        <v>143</v>
      </c>
      <c r="H21" s="45" t="s">
        <v>144</v>
      </c>
      <c r="I21" s="38"/>
      <c r="J21" s="38"/>
      <c r="K21" s="46"/>
      <c r="L21" s="47"/>
      <c r="M21" s="46">
        <v>0.0</v>
      </c>
      <c r="N21" s="46">
        <v>0.005208333333333333</v>
      </c>
      <c r="O21" s="46">
        <f t="shared" ref="O21:O34" si="2">N21-M21</f>
        <v>0.005208333333</v>
      </c>
      <c r="P21" s="38">
        <v>42989.0</v>
      </c>
      <c r="Q21" s="61" t="str">
        <f t="shared" si="1"/>
        <v>https://www.youtube.com/embed/ByaheAphduQ?start=0&amp;end=450&amp;autoplay=1</v>
      </c>
      <c r="R21" s="50" t="s">
        <v>61</v>
      </c>
      <c r="S21" s="50" t="s">
        <v>61</v>
      </c>
      <c r="T21" s="50" t="s">
        <v>61</v>
      </c>
      <c r="U21" s="53"/>
      <c r="V21" s="54"/>
      <c r="W21" s="56" t="s">
        <v>62</v>
      </c>
      <c r="X21" s="57"/>
      <c r="Y21" s="38"/>
      <c r="Z21" s="38"/>
    </row>
    <row r="22">
      <c r="A22" s="38">
        <v>59.02</v>
      </c>
      <c r="B22" s="38" t="s">
        <v>49</v>
      </c>
      <c r="C22" s="38"/>
      <c r="D22" s="38" t="s">
        <v>55</v>
      </c>
      <c r="E22" s="38"/>
      <c r="F22" s="41"/>
      <c r="G22" s="43" t="s">
        <v>154</v>
      </c>
      <c r="H22" s="45" t="s">
        <v>155</v>
      </c>
      <c r="I22" s="38"/>
      <c r="J22" s="38"/>
      <c r="K22" s="46"/>
      <c r="L22" s="47"/>
      <c r="M22" s="46">
        <v>0.00619212962962963</v>
      </c>
      <c r="N22" s="46">
        <v>0.011064814814814814</v>
      </c>
      <c r="O22" s="46">
        <f t="shared" si="2"/>
        <v>0.004872685185</v>
      </c>
      <c r="P22" s="38">
        <v>42989.0</v>
      </c>
      <c r="Q22" s="61" t="str">
        <f t="shared" si="1"/>
        <v>https://www.youtube.com/embed/ByaheAphduQ?start=535&amp;end=956&amp;autoplay=1</v>
      </c>
      <c r="R22" s="50" t="s">
        <v>61</v>
      </c>
      <c r="S22" s="50" t="s">
        <v>61</v>
      </c>
      <c r="T22" s="50" t="s">
        <v>61</v>
      </c>
      <c r="U22" s="53"/>
      <c r="V22" s="54"/>
      <c r="W22" s="56" t="s">
        <v>62</v>
      </c>
      <c r="X22" s="57"/>
      <c r="Y22" s="38"/>
      <c r="Z22" s="38"/>
    </row>
    <row r="23">
      <c r="A23" s="38">
        <v>59.03</v>
      </c>
      <c r="B23" s="38" t="s">
        <v>49</v>
      </c>
      <c r="C23" s="39"/>
      <c r="D23" s="38" t="s">
        <v>55</v>
      </c>
      <c r="E23" s="38"/>
      <c r="F23" s="41"/>
      <c r="G23" s="43" t="s">
        <v>160</v>
      </c>
      <c r="H23" s="45" t="s">
        <v>161</v>
      </c>
      <c r="I23" s="38"/>
      <c r="J23" s="38"/>
      <c r="K23" s="46"/>
      <c r="L23" s="47"/>
      <c r="M23" s="46">
        <v>0.012615740740740742</v>
      </c>
      <c r="N23" s="46">
        <v>0.013877314814814815</v>
      </c>
      <c r="O23" s="46">
        <f t="shared" si="2"/>
        <v>0.001261574074</v>
      </c>
      <c r="P23" s="64">
        <v>42989.0</v>
      </c>
      <c r="Q23" s="61" t="str">
        <f t="shared" si="1"/>
        <v>https://www.youtube.com/embed/ByaheAphduQ?start=1090&amp;end=1199&amp;autoplay=1</v>
      </c>
      <c r="R23" s="50" t="s">
        <v>61</v>
      </c>
      <c r="S23" s="50" t="s">
        <v>61</v>
      </c>
      <c r="T23" s="50" t="s">
        <v>61</v>
      </c>
      <c r="U23" s="53"/>
      <c r="V23" s="54"/>
      <c r="W23" s="56" t="s">
        <v>62</v>
      </c>
      <c r="X23" s="57"/>
      <c r="Y23" s="38"/>
      <c r="Z23" s="38"/>
      <c r="AA23" s="65"/>
      <c r="AB23" s="65"/>
      <c r="AC23" s="65"/>
      <c r="AD23" s="65"/>
      <c r="AE23" s="65"/>
      <c r="AF23" s="65"/>
      <c r="AG23" s="65"/>
    </row>
    <row r="24">
      <c r="A24" s="39">
        <v>59.04</v>
      </c>
      <c r="B24" s="38" t="s">
        <v>49</v>
      </c>
      <c r="C24" s="39"/>
      <c r="D24" s="38" t="s">
        <v>55</v>
      </c>
      <c r="E24" s="38"/>
      <c r="F24" s="41"/>
      <c r="G24" s="43" t="s">
        <v>165</v>
      </c>
      <c r="H24" s="58" t="s">
        <v>166</v>
      </c>
      <c r="I24" s="38"/>
      <c r="J24" s="38"/>
      <c r="K24" s="46"/>
      <c r="L24" s="47"/>
      <c r="M24" s="46">
        <v>0.013946759259259258</v>
      </c>
      <c r="N24" s="46">
        <v>0.014814814814814814</v>
      </c>
      <c r="O24" s="60">
        <f t="shared" si="2"/>
        <v>0.0008680555556</v>
      </c>
      <c r="P24" s="64">
        <v>42989.0</v>
      </c>
      <c r="Q24" s="61" t="str">
        <f t="shared" si="1"/>
        <v>https://www.youtube.com/embed/ByaheAphduQ?start=1205&amp;end=1280&amp;autoplay=1</v>
      </c>
      <c r="R24" s="67" t="s">
        <v>61</v>
      </c>
      <c r="S24" s="67" t="s">
        <v>61</v>
      </c>
      <c r="T24" s="67" t="s">
        <v>61</v>
      </c>
      <c r="U24" s="68"/>
      <c r="V24" s="54"/>
      <c r="W24" s="56" t="s">
        <v>62</v>
      </c>
      <c r="X24" s="57"/>
      <c r="Y24" s="38"/>
      <c r="Z24" s="38"/>
      <c r="AA24" s="65"/>
      <c r="AB24" s="65"/>
      <c r="AC24" s="65"/>
      <c r="AD24" s="65"/>
      <c r="AE24" s="65"/>
      <c r="AF24" s="65"/>
      <c r="AG24" s="65"/>
    </row>
    <row r="25">
      <c r="A25" s="39">
        <v>59.05</v>
      </c>
      <c r="B25" s="38" t="s">
        <v>49</v>
      </c>
      <c r="C25" s="39"/>
      <c r="D25" s="38" t="s">
        <v>55</v>
      </c>
      <c r="E25" s="38"/>
      <c r="F25" s="41"/>
      <c r="G25" s="62" t="s">
        <v>174</v>
      </c>
      <c r="H25" s="43" t="s">
        <v>175</v>
      </c>
      <c r="I25" s="38"/>
      <c r="J25" s="38"/>
      <c r="K25" s="46"/>
      <c r="L25" s="47"/>
      <c r="M25" s="46">
        <v>0.014837962962962963</v>
      </c>
      <c r="N25" s="46">
        <v>0.016319444444444445</v>
      </c>
      <c r="O25" s="60">
        <f t="shared" si="2"/>
        <v>0.001481481481</v>
      </c>
      <c r="P25" s="64">
        <v>42989.0</v>
      </c>
      <c r="Q25" s="61" t="str">
        <f t="shared" si="1"/>
        <v>https://www.youtube.com/embed/ByaheAphduQ?start=1282&amp;end=1410&amp;autoplay=1</v>
      </c>
      <c r="R25" s="67" t="s">
        <v>61</v>
      </c>
      <c r="S25" s="67" t="s">
        <v>61</v>
      </c>
      <c r="T25" s="67" t="s">
        <v>61</v>
      </c>
      <c r="U25" s="68"/>
      <c r="V25" s="54"/>
      <c r="W25" s="56" t="s">
        <v>62</v>
      </c>
      <c r="X25" s="57"/>
      <c r="Y25" s="38"/>
      <c r="Z25" s="38"/>
      <c r="AA25" s="65"/>
      <c r="AB25" s="65"/>
      <c r="AC25" s="65"/>
      <c r="AD25" s="65"/>
      <c r="AE25" s="65"/>
      <c r="AF25" s="65"/>
      <c r="AG25" s="65"/>
    </row>
    <row r="26">
      <c r="A26" s="39">
        <v>59.06</v>
      </c>
      <c r="B26" s="38" t="s">
        <v>49</v>
      </c>
      <c r="C26" s="39"/>
      <c r="D26" s="38" t="s">
        <v>55</v>
      </c>
      <c r="E26" s="38"/>
      <c r="F26" s="41"/>
      <c r="G26" s="43" t="s">
        <v>178</v>
      </c>
      <c r="H26" s="58"/>
      <c r="I26" s="38"/>
      <c r="J26" s="38"/>
      <c r="K26" s="46"/>
      <c r="L26" s="47"/>
      <c r="M26" s="46">
        <v>0.01678240740740741</v>
      </c>
      <c r="N26" s="46">
        <v>0.01875</v>
      </c>
      <c r="O26" s="60">
        <f t="shared" si="2"/>
        <v>0.001967592593</v>
      </c>
      <c r="P26" s="64">
        <v>42989.0</v>
      </c>
      <c r="Q26" s="61" t="str">
        <f t="shared" si="1"/>
        <v>https://www.youtube.com/embed/ByaheAphduQ?start=1450&amp;end=1620&amp;autoplay=1</v>
      </c>
      <c r="R26" s="67" t="s">
        <v>61</v>
      </c>
      <c r="S26" s="67" t="s">
        <v>61</v>
      </c>
      <c r="T26" s="67" t="s">
        <v>61</v>
      </c>
      <c r="U26" s="53"/>
      <c r="V26" s="54"/>
      <c r="W26" s="56" t="s">
        <v>62</v>
      </c>
      <c r="X26" s="57"/>
      <c r="Y26" s="38"/>
      <c r="Z26" s="38"/>
      <c r="AA26" s="65"/>
      <c r="AB26" s="65"/>
      <c r="AC26" s="65"/>
      <c r="AD26" s="65"/>
      <c r="AE26" s="65"/>
      <c r="AF26" s="65"/>
      <c r="AG26" s="65"/>
    </row>
    <row r="27">
      <c r="A27" s="38">
        <v>59.07</v>
      </c>
      <c r="B27" s="38" t="s">
        <v>49</v>
      </c>
      <c r="C27" s="39"/>
      <c r="D27" s="38" t="s">
        <v>55</v>
      </c>
      <c r="E27" s="38"/>
      <c r="F27" s="41"/>
      <c r="G27" s="43" t="s">
        <v>179</v>
      </c>
      <c r="H27" s="45"/>
      <c r="I27" s="38"/>
      <c r="J27" s="38"/>
      <c r="K27" s="46"/>
      <c r="L27" s="47"/>
      <c r="M27" s="46">
        <v>0.019490740740740743</v>
      </c>
      <c r="N27" s="46">
        <v>0.02071759259259259</v>
      </c>
      <c r="O27" s="46">
        <f t="shared" si="2"/>
        <v>0.001226851852</v>
      </c>
      <c r="P27" s="38">
        <v>42989.0</v>
      </c>
      <c r="Q27" s="61" t="str">
        <f t="shared" si="1"/>
        <v>https://www.youtube.com/embed/ByaheAphduQ?start=1684&amp;end=1790&amp;autoplay=1</v>
      </c>
      <c r="R27" s="50" t="s">
        <v>61</v>
      </c>
      <c r="S27" s="50" t="s">
        <v>61</v>
      </c>
      <c r="T27" s="50" t="s">
        <v>61</v>
      </c>
      <c r="U27" s="53"/>
      <c r="V27" s="54"/>
      <c r="W27" s="56" t="s">
        <v>62</v>
      </c>
      <c r="X27" s="57"/>
      <c r="Y27" s="38"/>
      <c r="Z27" s="38"/>
    </row>
    <row r="28">
      <c r="A28" s="38">
        <v>59.08</v>
      </c>
      <c r="B28" s="38" t="s">
        <v>49</v>
      </c>
      <c r="C28" s="39"/>
      <c r="D28" s="38" t="s">
        <v>55</v>
      </c>
      <c r="E28" s="38"/>
      <c r="F28" s="41"/>
      <c r="G28" s="43" t="s">
        <v>182</v>
      </c>
      <c r="H28" s="45" t="s">
        <v>183</v>
      </c>
      <c r="I28" s="38"/>
      <c r="J28" s="38"/>
      <c r="K28" s="46"/>
      <c r="L28" s="47"/>
      <c r="M28" s="46">
        <v>0.021122685185185185</v>
      </c>
      <c r="N28" s="46">
        <v>0.02170138888888889</v>
      </c>
      <c r="O28" s="46">
        <f t="shared" si="2"/>
        <v>0.0005787037037</v>
      </c>
      <c r="P28" s="64">
        <v>42989.0</v>
      </c>
      <c r="Q28" s="61" t="str">
        <f t="shared" si="1"/>
        <v>https://www.youtube.com/embed/ByaheAphduQ?start=1825&amp;end=1875&amp;autoplay=1</v>
      </c>
      <c r="R28" s="50" t="s">
        <v>61</v>
      </c>
      <c r="S28" s="50" t="s">
        <v>61</v>
      </c>
      <c r="T28" s="50" t="s">
        <v>61</v>
      </c>
      <c r="U28" s="53"/>
      <c r="V28" s="54"/>
      <c r="W28" s="56" t="s">
        <v>62</v>
      </c>
      <c r="X28" s="57"/>
      <c r="Y28" s="38"/>
      <c r="Z28" s="38"/>
      <c r="AA28" s="65"/>
      <c r="AB28" s="65"/>
      <c r="AC28" s="65"/>
      <c r="AD28" s="65"/>
      <c r="AE28" s="65"/>
      <c r="AF28" s="65"/>
      <c r="AG28" s="65"/>
    </row>
    <row r="29">
      <c r="A29" s="39">
        <v>59.09</v>
      </c>
      <c r="B29" s="38" t="s">
        <v>49</v>
      </c>
      <c r="C29" s="39"/>
      <c r="D29" s="38" t="s">
        <v>55</v>
      </c>
      <c r="E29" s="38"/>
      <c r="F29" s="41"/>
      <c r="G29" s="43" t="s">
        <v>186</v>
      </c>
      <c r="H29" s="58" t="s">
        <v>187</v>
      </c>
      <c r="I29" s="38"/>
      <c r="J29" s="38"/>
      <c r="K29" s="46"/>
      <c r="L29" s="47"/>
      <c r="M29" s="46">
        <v>0.02280092592592593</v>
      </c>
      <c r="N29" s="46">
        <v>0.024212962962962964</v>
      </c>
      <c r="O29" s="60">
        <f t="shared" si="2"/>
        <v>0.001412037037</v>
      </c>
      <c r="P29" s="64">
        <v>42989.0</v>
      </c>
      <c r="Q29" s="61" t="str">
        <f t="shared" si="1"/>
        <v>https://www.youtube.com/embed/ByaheAphduQ?start=1970&amp;end=2092&amp;autoplay=1</v>
      </c>
      <c r="R29" s="67" t="s">
        <v>61</v>
      </c>
      <c r="S29" s="67" t="s">
        <v>61</v>
      </c>
      <c r="T29" s="67" t="s">
        <v>61</v>
      </c>
      <c r="U29" s="53"/>
      <c r="V29" s="54"/>
      <c r="W29" s="56" t="s">
        <v>62</v>
      </c>
      <c r="X29" s="57"/>
      <c r="Y29" s="38"/>
      <c r="Z29" s="38"/>
      <c r="AA29" s="65"/>
      <c r="AB29" s="65"/>
      <c r="AC29" s="65"/>
      <c r="AD29" s="65"/>
      <c r="AE29" s="65"/>
      <c r="AF29" s="65"/>
      <c r="AG29" s="65"/>
    </row>
    <row r="30">
      <c r="A30" s="39">
        <v>59.1</v>
      </c>
      <c r="B30" s="38" t="s">
        <v>49</v>
      </c>
      <c r="C30" s="39"/>
      <c r="D30" s="38" t="s">
        <v>55</v>
      </c>
      <c r="E30" s="38"/>
      <c r="F30" s="41"/>
      <c r="G30" s="43" t="s">
        <v>190</v>
      </c>
      <c r="H30" s="58"/>
      <c r="I30" s="38"/>
      <c r="J30" s="38"/>
      <c r="K30" s="46"/>
      <c r="L30" s="47"/>
      <c r="M30" s="46">
        <v>0.024999999999999998</v>
      </c>
      <c r="N30" s="46">
        <v>0.02659722222222222</v>
      </c>
      <c r="O30" s="60">
        <f t="shared" si="2"/>
        <v>0.001597222222</v>
      </c>
      <c r="P30" s="64">
        <v>42989.0</v>
      </c>
      <c r="Q30" s="61" t="str">
        <f t="shared" si="1"/>
        <v>https://www.youtube.com/embed/ByaheAphduQ?start=2160&amp;end=2298&amp;autoplay=1</v>
      </c>
      <c r="R30" s="67" t="s">
        <v>61</v>
      </c>
      <c r="S30" s="67" t="s">
        <v>61</v>
      </c>
      <c r="T30" s="67" t="s">
        <v>61</v>
      </c>
      <c r="U30" s="53"/>
      <c r="V30" s="54"/>
      <c r="W30" s="56" t="s">
        <v>62</v>
      </c>
      <c r="X30" s="57"/>
      <c r="Y30" s="38"/>
      <c r="Z30" s="38"/>
      <c r="AA30" s="65"/>
      <c r="AB30" s="65"/>
      <c r="AC30" s="65"/>
      <c r="AD30" s="65"/>
      <c r="AE30" s="65"/>
      <c r="AF30" s="65"/>
      <c r="AG30" s="65"/>
    </row>
    <row r="31">
      <c r="A31" s="39">
        <v>59.11</v>
      </c>
      <c r="B31" s="38" t="s">
        <v>49</v>
      </c>
      <c r="C31" s="38"/>
      <c r="D31" s="38" t="s">
        <v>55</v>
      </c>
      <c r="E31" s="38"/>
      <c r="F31" s="41"/>
      <c r="G31" s="43" t="s">
        <v>193</v>
      </c>
      <c r="H31" s="58"/>
      <c r="I31" s="38"/>
      <c r="J31" s="38"/>
      <c r="K31" s="46"/>
      <c r="L31" s="47"/>
      <c r="M31" s="46">
        <v>0.026736111111111113</v>
      </c>
      <c r="N31" s="46">
        <v>0.02957175925925926</v>
      </c>
      <c r="O31" s="60">
        <f t="shared" si="2"/>
        <v>0.002835648148</v>
      </c>
      <c r="P31" s="64">
        <v>42989.0</v>
      </c>
      <c r="Q31" s="61" t="str">
        <f t="shared" si="1"/>
        <v>https://www.youtube.com/embed/ByaheAphduQ?start=2310&amp;end=2555&amp;autoplay=1</v>
      </c>
      <c r="R31" s="67" t="s">
        <v>61</v>
      </c>
      <c r="S31" s="67" t="s">
        <v>61</v>
      </c>
      <c r="T31" s="67" t="s">
        <v>61</v>
      </c>
      <c r="U31" s="53"/>
      <c r="V31" s="54"/>
      <c r="W31" s="56" t="s">
        <v>62</v>
      </c>
      <c r="X31" s="70"/>
      <c r="Y31" s="59"/>
      <c r="Z31" s="59"/>
      <c r="AA31" s="65"/>
      <c r="AB31" s="65"/>
      <c r="AC31" s="65"/>
      <c r="AD31" s="65"/>
      <c r="AE31" s="65"/>
      <c r="AF31" s="65"/>
      <c r="AG31" s="65"/>
    </row>
    <row r="32">
      <c r="A32" s="39">
        <v>59.1200000000001</v>
      </c>
      <c r="B32" s="38" t="s">
        <v>49</v>
      </c>
      <c r="C32" s="38"/>
      <c r="D32" s="38" t="s">
        <v>55</v>
      </c>
      <c r="E32" s="38"/>
      <c r="F32" s="41"/>
      <c r="G32" s="43" t="s">
        <v>198</v>
      </c>
      <c r="H32" s="58"/>
      <c r="I32" s="38"/>
      <c r="J32" s="38"/>
      <c r="K32" s="46"/>
      <c r="L32" s="47"/>
      <c r="M32" s="46">
        <v>0.030034722222222223</v>
      </c>
      <c r="N32" s="46">
        <v>0.030671296296296294</v>
      </c>
      <c r="O32" s="60">
        <f t="shared" si="2"/>
        <v>0.0006365740741</v>
      </c>
      <c r="P32" s="64">
        <v>42989.0</v>
      </c>
      <c r="Q32" s="61" t="str">
        <f t="shared" si="1"/>
        <v>https://www.youtube.com/embed/ByaheAphduQ?start=2595&amp;end=2650&amp;autoplay=1</v>
      </c>
      <c r="R32" s="67" t="s">
        <v>61</v>
      </c>
      <c r="S32" s="67" t="s">
        <v>61</v>
      </c>
      <c r="T32" s="67" t="s">
        <v>61</v>
      </c>
      <c r="U32" s="53"/>
      <c r="V32" s="54"/>
      <c r="W32" s="56" t="s">
        <v>62</v>
      </c>
      <c r="X32" s="70"/>
      <c r="Y32" s="59"/>
      <c r="Z32" s="59"/>
      <c r="AA32" s="65"/>
      <c r="AB32" s="65"/>
      <c r="AC32" s="65"/>
      <c r="AD32" s="65"/>
      <c r="AE32" s="65"/>
      <c r="AF32" s="65"/>
      <c r="AG32" s="65"/>
    </row>
    <row r="33">
      <c r="A33" s="39">
        <v>59.1300000000001</v>
      </c>
      <c r="B33" s="38" t="s">
        <v>49</v>
      </c>
      <c r="C33" s="38"/>
      <c r="D33" s="38" t="s">
        <v>55</v>
      </c>
      <c r="E33" s="38"/>
      <c r="F33" s="41"/>
      <c r="G33" s="62" t="s">
        <v>200</v>
      </c>
      <c r="H33" s="58" t="s">
        <v>201</v>
      </c>
      <c r="I33" s="38"/>
      <c r="J33" s="38"/>
      <c r="K33" s="46"/>
      <c r="L33" s="47"/>
      <c r="M33" s="46">
        <v>0.03194444444444445</v>
      </c>
      <c r="N33" s="46">
        <v>0.03391203703703704</v>
      </c>
      <c r="O33" s="60">
        <f t="shared" si="2"/>
        <v>0.001967592593</v>
      </c>
      <c r="P33" s="64">
        <v>42989.0</v>
      </c>
      <c r="Q33" s="61" t="str">
        <f t="shared" si="1"/>
        <v>https://www.youtube.com/embed/ByaheAphduQ?start=2760&amp;end=2930&amp;autoplay=1</v>
      </c>
      <c r="R33" s="67" t="s">
        <v>61</v>
      </c>
      <c r="S33" s="67" t="s">
        <v>61</v>
      </c>
      <c r="T33" s="67" t="s">
        <v>61</v>
      </c>
      <c r="U33" s="53"/>
      <c r="V33" s="54"/>
      <c r="W33" s="56" t="s">
        <v>62</v>
      </c>
      <c r="X33" s="70"/>
      <c r="Y33" s="59"/>
      <c r="Z33" s="59"/>
      <c r="AA33" s="65"/>
      <c r="AB33" s="65"/>
      <c r="AC33" s="65"/>
      <c r="AD33" s="65"/>
      <c r="AE33" s="65"/>
      <c r="AF33" s="65"/>
      <c r="AG33" s="65"/>
    </row>
    <row r="34">
      <c r="A34" s="39">
        <v>59.1400000000001</v>
      </c>
      <c r="B34" s="38" t="s">
        <v>49</v>
      </c>
      <c r="C34" s="39"/>
      <c r="D34" s="38" t="s">
        <v>55</v>
      </c>
      <c r="E34" s="38"/>
      <c r="F34" s="41"/>
      <c r="G34" s="43" t="s">
        <v>202</v>
      </c>
      <c r="H34" s="58" t="s">
        <v>203</v>
      </c>
      <c r="I34" s="38"/>
      <c r="J34" s="38"/>
      <c r="K34" s="46"/>
      <c r="L34" s="47"/>
      <c r="M34" s="46">
        <v>0.03460648148148148</v>
      </c>
      <c r="N34" s="46">
        <v>0.035196759259259254</v>
      </c>
      <c r="O34" s="60">
        <f t="shared" si="2"/>
        <v>0.0005902777778</v>
      </c>
      <c r="P34" s="64">
        <v>42989.0</v>
      </c>
      <c r="Q34" s="61" t="str">
        <f t="shared" si="1"/>
        <v>https://www.youtube.com/embed/ByaheAphduQ?start=2990&amp;end=3041&amp;autoplay=1</v>
      </c>
      <c r="R34" s="67" t="s">
        <v>61</v>
      </c>
      <c r="S34" s="67" t="s">
        <v>61</v>
      </c>
      <c r="T34" s="67" t="s">
        <v>61</v>
      </c>
      <c r="U34" s="53"/>
      <c r="V34" s="54"/>
      <c r="W34" s="56" t="s">
        <v>62</v>
      </c>
      <c r="X34" s="70"/>
      <c r="Y34" s="59"/>
      <c r="Z34" s="59"/>
      <c r="AA34" s="65"/>
      <c r="AB34" s="65"/>
      <c r="AC34" s="65"/>
      <c r="AD34" s="65"/>
      <c r="AE34" s="65"/>
      <c r="AF34" s="65"/>
      <c r="AG34" s="65"/>
    </row>
    <row r="35">
      <c r="A35" s="38">
        <v>62.0</v>
      </c>
      <c r="B35" s="38" t="s">
        <v>49</v>
      </c>
      <c r="C35" s="38"/>
      <c r="D35" s="38" t="s">
        <v>55</v>
      </c>
      <c r="E35" s="38" t="s">
        <v>207</v>
      </c>
      <c r="F35" s="41" t="s">
        <v>208</v>
      </c>
      <c r="G35" s="43"/>
      <c r="H35" s="45"/>
      <c r="I35" s="38"/>
      <c r="J35" s="38">
        <f>6.1*1000</f>
        <v>6100</v>
      </c>
      <c r="K35" s="46">
        <v>0.036041666666666666</v>
      </c>
      <c r="L35" s="47" t="s">
        <v>211</v>
      </c>
      <c r="M35" s="46"/>
      <c r="N35" s="46"/>
      <c r="O35" s="38"/>
      <c r="P35" s="64">
        <v>42997.0</v>
      </c>
      <c r="Q35" s="12" t="str">
        <f t="shared" si="1"/>
        <v/>
      </c>
      <c r="R35" s="50" t="s">
        <v>61</v>
      </c>
      <c r="S35" s="50" t="s">
        <v>61</v>
      </c>
      <c r="T35" s="50" t="s">
        <v>61</v>
      </c>
      <c r="U35" s="53"/>
      <c r="V35" s="54"/>
      <c r="W35" s="56" t="s">
        <v>76</v>
      </c>
      <c r="X35" s="57"/>
      <c r="Y35" s="38"/>
      <c r="Z35" s="38"/>
      <c r="AA35" s="65"/>
      <c r="AB35" s="65"/>
      <c r="AC35" s="65"/>
      <c r="AD35" s="65"/>
      <c r="AE35" s="65"/>
      <c r="AF35" s="65"/>
      <c r="AG35" s="65"/>
    </row>
    <row r="36">
      <c r="A36" s="39">
        <v>62.1</v>
      </c>
      <c r="B36" s="38" t="s">
        <v>49</v>
      </c>
      <c r="C36" s="38"/>
      <c r="D36" s="38" t="s">
        <v>55</v>
      </c>
      <c r="E36" s="38"/>
      <c r="F36" s="41"/>
      <c r="G36" s="43" t="s">
        <v>214</v>
      </c>
      <c r="H36" s="71"/>
      <c r="I36" s="38"/>
      <c r="J36" s="38"/>
      <c r="K36" s="46"/>
      <c r="L36" s="47"/>
      <c r="M36" s="46">
        <v>0.002916666666666667</v>
      </c>
      <c r="N36" s="46">
        <v>0.004166666666666667</v>
      </c>
      <c r="O36" s="60">
        <f t="shared" ref="O36:O42" si="3">N36-M36</f>
        <v>0.00125</v>
      </c>
      <c r="P36" s="64">
        <v>42997.0</v>
      </c>
      <c r="Q36" s="61" t="str">
        <f t="shared" si="1"/>
        <v>https://www.youtube.com/embed/s3LVHHEe2vc?start=252&amp;end=360&amp;autoplay=1</v>
      </c>
      <c r="R36" s="50" t="s">
        <v>61</v>
      </c>
      <c r="S36" s="50" t="s">
        <v>61</v>
      </c>
      <c r="T36" s="50" t="s">
        <v>61</v>
      </c>
      <c r="U36" s="53"/>
      <c r="V36" s="54"/>
      <c r="W36" s="56" t="s">
        <v>76</v>
      </c>
      <c r="X36" s="57"/>
      <c r="Y36" s="38"/>
      <c r="Z36" s="38"/>
      <c r="AA36" s="65"/>
      <c r="AB36" s="65"/>
      <c r="AC36" s="65"/>
      <c r="AD36" s="65"/>
      <c r="AE36" s="65"/>
      <c r="AF36" s="65"/>
      <c r="AG36" s="65"/>
    </row>
    <row r="37">
      <c r="A37" s="39">
        <v>62.2</v>
      </c>
      <c r="B37" s="38" t="s">
        <v>49</v>
      </c>
      <c r="C37" s="38"/>
      <c r="D37" s="38" t="s">
        <v>55</v>
      </c>
      <c r="E37" s="38"/>
      <c r="F37" s="41"/>
      <c r="G37" s="43" t="s">
        <v>219</v>
      </c>
      <c r="H37" s="71" t="s">
        <v>220</v>
      </c>
      <c r="I37" s="38"/>
      <c r="J37" s="38"/>
      <c r="K37" s="46"/>
      <c r="L37" s="47"/>
      <c r="M37" s="46">
        <v>0.0050347222222222225</v>
      </c>
      <c r="N37" s="46">
        <v>0.006493055555555555</v>
      </c>
      <c r="O37" s="60">
        <f t="shared" si="3"/>
        <v>0.001458333333</v>
      </c>
      <c r="P37" s="64">
        <v>42997.0</v>
      </c>
      <c r="Q37" s="61" t="str">
        <f t="shared" si="1"/>
        <v>https://www.youtube.com/embed/s3LVHHEe2vc?start=435&amp;end=561&amp;autoplay=1</v>
      </c>
      <c r="R37" s="50" t="s">
        <v>61</v>
      </c>
      <c r="S37" s="50" t="s">
        <v>61</v>
      </c>
      <c r="T37" s="50" t="s">
        <v>61</v>
      </c>
      <c r="U37" s="53"/>
      <c r="V37" s="54"/>
      <c r="W37" s="56" t="s">
        <v>76</v>
      </c>
      <c r="X37" s="57"/>
      <c r="Y37" s="38"/>
      <c r="Z37" s="38"/>
      <c r="AA37" s="65"/>
      <c r="AB37" s="65"/>
      <c r="AC37" s="65"/>
      <c r="AD37" s="65"/>
      <c r="AE37" s="65"/>
      <c r="AF37" s="65"/>
      <c r="AG37" s="65"/>
    </row>
    <row r="38">
      <c r="A38" s="39">
        <v>62.3</v>
      </c>
      <c r="B38" s="38" t="s">
        <v>49</v>
      </c>
      <c r="C38" s="38"/>
      <c r="D38" s="38" t="s">
        <v>55</v>
      </c>
      <c r="E38" s="38"/>
      <c r="F38" s="41"/>
      <c r="G38" s="43" t="s">
        <v>222</v>
      </c>
      <c r="H38" s="71" t="s">
        <v>223</v>
      </c>
      <c r="I38" s="38"/>
      <c r="J38" s="38"/>
      <c r="K38" s="46"/>
      <c r="L38" s="47"/>
      <c r="M38" s="46">
        <v>0.008449074074074074</v>
      </c>
      <c r="N38" s="46">
        <v>0.011574074074074075</v>
      </c>
      <c r="O38" s="60">
        <f t="shared" si="3"/>
        <v>0.003125</v>
      </c>
      <c r="P38" s="64">
        <v>42997.0</v>
      </c>
      <c r="Q38" s="61" t="str">
        <f t="shared" si="1"/>
        <v>https://www.youtube.com/embed/s3LVHHEe2vc?start=730&amp;end=1000&amp;autoplay=1</v>
      </c>
      <c r="R38" s="50" t="s">
        <v>61</v>
      </c>
      <c r="S38" s="50" t="s">
        <v>61</v>
      </c>
      <c r="T38" s="50" t="s">
        <v>61</v>
      </c>
      <c r="U38" s="53"/>
      <c r="V38" s="54"/>
      <c r="W38" s="56" t="s">
        <v>76</v>
      </c>
      <c r="X38" s="57"/>
      <c r="Y38" s="38"/>
      <c r="Z38" s="38"/>
      <c r="AA38" s="65"/>
      <c r="AB38" s="65"/>
      <c r="AC38" s="65"/>
      <c r="AD38" s="65"/>
      <c r="AE38" s="65"/>
      <c r="AF38" s="65"/>
      <c r="AG38" s="65"/>
    </row>
    <row r="39">
      <c r="A39" s="73">
        <v>62.4</v>
      </c>
      <c r="B39" s="39" t="s">
        <v>49</v>
      </c>
      <c r="C39" s="38"/>
      <c r="D39" s="74" t="s">
        <v>55</v>
      </c>
      <c r="E39" s="74"/>
      <c r="F39" s="75"/>
      <c r="G39" s="76" t="s">
        <v>228</v>
      </c>
      <c r="H39" s="65"/>
      <c r="I39" s="73"/>
      <c r="J39" s="73"/>
      <c r="K39" s="46"/>
      <c r="L39" s="73"/>
      <c r="M39" s="46">
        <v>0.025891203703703704</v>
      </c>
      <c r="N39" s="46">
        <v>0.027083333333333334</v>
      </c>
      <c r="O39" s="46">
        <f t="shared" si="3"/>
        <v>0.00119212963</v>
      </c>
      <c r="P39" s="64">
        <v>42997.0</v>
      </c>
      <c r="Q39" s="61" t="str">
        <f t="shared" si="1"/>
        <v>https://www.youtube.com/embed/s3LVHHEe2vc?start=2237&amp;end=2340&amp;autoplay=1</v>
      </c>
      <c r="R39" s="50" t="s">
        <v>61</v>
      </c>
      <c r="S39" s="50" t="s">
        <v>61</v>
      </c>
      <c r="T39" s="50" t="s">
        <v>61</v>
      </c>
      <c r="U39" s="53"/>
      <c r="V39" s="54"/>
      <c r="W39" s="56" t="s">
        <v>76</v>
      </c>
      <c r="X39" s="69"/>
      <c r="Y39" s="39"/>
      <c r="Z39" s="39"/>
      <c r="AA39" s="65"/>
      <c r="AB39" s="65"/>
      <c r="AC39" s="65"/>
      <c r="AD39" s="65"/>
      <c r="AE39" s="65"/>
      <c r="AF39" s="65"/>
      <c r="AG39" s="65"/>
    </row>
    <row r="40">
      <c r="A40" s="39">
        <v>62.5</v>
      </c>
      <c r="B40" s="39" t="s">
        <v>49</v>
      </c>
      <c r="C40" s="39"/>
      <c r="D40" s="38" t="s">
        <v>55</v>
      </c>
      <c r="E40" s="38"/>
      <c r="F40" s="43"/>
      <c r="G40" s="39" t="s">
        <v>231</v>
      </c>
      <c r="H40" s="71"/>
      <c r="I40" s="38"/>
      <c r="J40" s="38"/>
      <c r="K40" s="46"/>
      <c r="L40" s="47"/>
      <c r="M40" s="46">
        <v>0.027546296296296294</v>
      </c>
      <c r="N40" s="46">
        <v>0.028645833333333332</v>
      </c>
      <c r="O40" s="60">
        <f t="shared" si="3"/>
        <v>0.001099537037</v>
      </c>
      <c r="P40" s="64">
        <v>42997.0</v>
      </c>
      <c r="Q40" s="61" t="str">
        <f t="shared" si="1"/>
        <v>https://www.youtube.com/embed/s3LVHHEe2vc?start=2380&amp;end=2475&amp;autoplay=1</v>
      </c>
      <c r="R40" s="67" t="s">
        <v>61</v>
      </c>
      <c r="S40" s="67" t="s">
        <v>61</v>
      </c>
      <c r="T40" s="67" t="s">
        <v>61</v>
      </c>
      <c r="U40" s="53"/>
      <c r="V40" s="54"/>
      <c r="W40" s="56" t="s">
        <v>76</v>
      </c>
      <c r="X40" s="77"/>
      <c r="Y40" s="65"/>
      <c r="Z40" s="65"/>
      <c r="AA40" s="65"/>
      <c r="AB40" s="65"/>
      <c r="AC40" s="65"/>
      <c r="AD40" s="65"/>
      <c r="AE40" s="65"/>
      <c r="AF40" s="65"/>
      <c r="AG40" s="65"/>
    </row>
    <row r="41">
      <c r="A41" s="39">
        <v>62.6</v>
      </c>
      <c r="B41" s="39" t="s">
        <v>49</v>
      </c>
      <c r="C41" s="38"/>
      <c r="D41" s="38" t="s">
        <v>55</v>
      </c>
      <c r="E41" s="38"/>
      <c r="F41" s="43"/>
      <c r="G41" s="39" t="s">
        <v>236</v>
      </c>
      <c r="H41" s="71"/>
      <c r="I41" s="38"/>
      <c r="J41" s="38"/>
      <c r="K41" s="46"/>
      <c r="L41" s="47"/>
      <c r="M41" s="46">
        <v>0.028645833333333332</v>
      </c>
      <c r="N41" s="46">
        <v>0.03043981481481482</v>
      </c>
      <c r="O41" s="60">
        <f t="shared" si="3"/>
        <v>0.001793981481</v>
      </c>
      <c r="P41" s="64">
        <v>42997.0</v>
      </c>
      <c r="Q41" s="61" t="str">
        <f t="shared" si="1"/>
        <v>https://www.youtube.com/embed/s3LVHHEe2vc?start=2475&amp;end=2630&amp;autoplay=1</v>
      </c>
      <c r="R41" s="50" t="s">
        <v>61</v>
      </c>
      <c r="S41" s="50" t="s">
        <v>61</v>
      </c>
      <c r="T41" s="50" t="s">
        <v>61</v>
      </c>
      <c r="U41" s="53"/>
      <c r="V41" s="54"/>
      <c r="W41" s="56" t="s">
        <v>76</v>
      </c>
      <c r="X41" s="57"/>
      <c r="Y41" s="38"/>
      <c r="Z41" s="38"/>
      <c r="AA41" s="65"/>
      <c r="AB41" s="65"/>
      <c r="AC41" s="65"/>
      <c r="AD41" s="65"/>
      <c r="AE41" s="65"/>
      <c r="AF41" s="65"/>
      <c r="AG41" s="65"/>
    </row>
    <row r="42">
      <c r="A42" s="39">
        <v>62.7</v>
      </c>
      <c r="B42" s="39" t="s">
        <v>49</v>
      </c>
      <c r="C42" s="38"/>
      <c r="D42" s="38" t="s">
        <v>55</v>
      </c>
      <c r="E42" s="38"/>
      <c r="F42" s="43"/>
      <c r="G42" s="39" t="s">
        <v>237</v>
      </c>
      <c r="H42" s="71"/>
      <c r="I42" s="38"/>
      <c r="J42" s="38"/>
      <c r="K42" s="46"/>
      <c r="L42" s="47"/>
      <c r="M42" s="46">
        <v>0.030497685185185183</v>
      </c>
      <c r="N42" s="46">
        <v>0.032870370370370376</v>
      </c>
      <c r="O42" s="60">
        <f t="shared" si="3"/>
        <v>0.002372685185</v>
      </c>
      <c r="P42" s="64">
        <v>42997.0</v>
      </c>
      <c r="Q42" s="61" t="str">
        <f t="shared" si="1"/>
        <v>https://www.youtube.com/embed/s3LVHHEe2vc?start=2635&amp;end=2840&amp;autoplay=1</v>
      </c>
      <c r="R42" s="50" t="s">
        <v>61</v>
      </c>
      <c r="S42" s="50" t="s">
        <v>61</v>
      </c>
      <c r="T42" s="50" t="s">
        <v>61</v>
      </c>
      <c r="U42" s="53"/>
      <c r="V42" s="54"/>
      <c r="W42" s="56" t="s">
        <v>76</v>
      </c>
      <c r="X42" s="57"/>
      <c r="Y42" s="38"/>
      <c r="Z42" s="38"/>
      <c r="AA42" s="65"/>
      <c r="AB42" s="65"/>
      <c r="AC42" s="65"/>
      <c r="AD42" s="65"/>
      <c r="AE42" s="65"/>
      <c r="AF42" s="65"/>
      <c r="AG42" s="65"/>
    </row>
    <row r="43">
      <c r="A43" s="39">
        <v>74.0</v>
      </c>
      <c r="B43" s="39" t="s">
        <v>49</v>
      </c>
      <c r="C43" s="38"/>
      <c r="D43" s="38" t="s">
        <v>55</v>
      </c>
      <c r="E43" s="38" t="s">
        <v>243</v>
      </c>
      <c r="F43" s="78" t="s">
        <v>244</v>
      </c>
      <c r="G43" s="39"/>
      <c r="H43" s="71"/>
      <c r="I43" s="38"/>
      <c r="J43" s="38">
        <f>4.4*1000</f>
        <v>4400</v>
      </c>
      <c r="K43" s="46">
        <v>0.0422800925925926</v>
      </c>
      <c r="L43" s="47" t="s">
        <v>211</v>
      </c>
      <c r="M43" s="46"/>
      <c r="N43" s="46"/>
      <c r="O43" s="60"/>
      <c r="P43" s="64"/>
      <c r="Q43" s="12" t="str">
        <f t="shared" si="1"/>
        <v/>
      </c>
      <c r="R43" s="50" t="s">
        <v>61</v>
      </c>
      <c r="S43" s="50" t="s">
        <v>249</v>
      </c>
      <c r="T43" s="50" t="s">
        <v>61</v>
      </c>
      <c r="U43" s="53"/>
      <c r="V43" s="54"/>
      <c r="W43" s="56" t="s">
        <v>62</v>
      </c>
      <c r="X43" s="57"/>
      <c r="Y43" s="38"/>
      <c r="Z43" s="38"/>
      <c r="AA43" s="65"/>
      <c r="AB43" s="65"/>
      <c r="AC43" s="65"/>
      <c r="AD43" s="65"/>
      <c r="AE43" s="65"/>
      <c r="AF43" s="65"/>
      <c r="AG43" s="65"/>
    </row>
    <row r="44">
      <c r="A44" s="38">
        <v>74.01</v>
      </c>
      <c r="B44" s="39" t="s">
        <v>49</v>
      </c>
      <c r="C44" s="38"/>
      <c r="D44" s="39" t="s">
        <v>55</v>
      </c>
      <c r="E44" s="38"/>
      <c r="F44" s="41"/>
      <c r="G44" s="43" t="s">
        <v>250</v>
      </c>
      <c r="H44" s="45"/>
      <c r="I44" s="38"/>
      <c r="J44" s="38"/>
      <c r="K44" s="46"/>
      <c r="L44" s="47"/>
      <c r="M44" s="46">
        <v>0.004398148148148148</v>
      </c>
      <c r="N44" s="46">
        <v>0.00474537037037037</v>
      </c>
      <c r="O44" s="46">
        <f t="shared" ref="O44:O54" si="4">N44-M44</f>
        <v>0.0003472222222</v>
      </c>
      <c r="P44" s="64">
        <v>43003.0</v>
      </c>
      <c r="Q44" s="61" t="str">
        <f t="shared" si="1"/>
        <v>https://www.youtube.com/embed/YFmL65VsWdk?start=380&amp;end=410&amp;autoplay=1</v>
      </c>
      <c r="R44" s="38" t="s">
        <v>61</v>
      </c>
      <c r="S44" s="38" t="s">
        <v>252</v>
      </c>
      <c r="T44" s="38" t="s">
        <v>61</v>
      </c>
      <c r="U44" s="38"/>
      <c r="V44" s="38"/>
      <c r="W44" s="38" t="s">
        <v>76</v>
      </c>
      <c r="X44" s="69"/>
      <c r="Y44" s="39"/>
      <c r="Z44" s="39"/>
      <c r="AA44" s="38"/>
      <c r="AB44" s="38"/>
      <c r="AC44" s="79"/>
      <c r="AD44" s="79"/>
      <c r="AE44" s="79"/>
      <c r="AF44" s="79"/>
      <c r="AG44" s="79"/>
    </row>
    <row r="45">
      <c r="A45" s="39">
        <v>74.02</v>
      </c>
      <c r="B45" s="39" t="s">
        <v>49</v>
      </c>
      <c r="C45" s="38"/>
      <c r="D45" s="39" t="s">
        <v>55</v>
      </c>
      <c r="E45" s="38"/>
      <c r="F45" s="43"/>
      <c r="G45" s="39" t="s">
        <v>255</v>
      </c>
      <c r="H45" s="71" t="s">
        <v>256</v>
      </c>
      <c r="I45" s="38"/>
      <c r="J45" s="38"/>
      <c r="K45" s="46"/>
      <c r="L45" s="47"/>
      <c r="M45" s="46">
        <v>0.004780092592592592</v>
      </c>
      <c r="N45" s="46">
        <v>0.005486111111111112</v>
      </c>
      <c r="O45" s="60">
        <f t="shared" si="4"/>
        <v>0.0007060185185</v>
      </c>
      <c r="P45" s="64">
        <v>43003.0</v>
      </c>
      <c r="Q45" s="61" t="str">
        <f t="shared" si="1"/>
        <v>https://www.youtube.com/embed/YFmL65VsWdk?start=413&amp;end=474&amp;autoplay=1</v>
      </c>
      <c r="R45" s="67" t="s">
        <v>61</v>
      </c>
      <c r="S45" s="67" t="s">
        <v>252</v>
      </c>
      <c r="T45" s="67" t="s">
        <v>61</v>
      </c>
      <c r="U45" s="53"/>
      <c r="V45" s="54"/>
      <c r="W45" s="56" t="s">
        <v>76</v>
      </c>
      <c r="X45" s="57"/>
      <c r="Y45" s="38"/>
      <c r="Z45" s="38"/>
      <c r="AA45" s="65"/>
      <c r="AB45" s="65"/>
      <c r="AC45" s="65"/>
      <c r="AD45" s="65"/>
      <c r="AE45" s="65"/>
      <c r="AF45" s="65"/>
      <c r="AG45" s="65"/>
    </row>
    <row r="46">
      <c r="A46" s="38">
        <v>74.03</v>
      </c>
      <c r="B46" s="38" t="s">
        <v>49</v>
      </c>
      <c r="C46" s="38"/>
      <c r="D46" s="38" t="s">
        <v>55</v>
      </c>
      <c r="E46" s="38"/>
      <c r="F46" s="41"/>
      <c r="G46" s="43" t="s">
        <v>257</v>
      </c>
      <c r="H46" s="45"/>
      <c r="I46" s="38"/>
      <c r="J46" s="38"/>
      <c r="K46" s="46"/>
      <c r="L46" s="47"/>
      <c r="M46" s="46">
        <v>0.007106481481481481</v>
      </c>
      <c r="N46" s="46">
        <v>0.00925925925925926</v>
      </c>
      <c r="O46" s="46">
        <f t="shared" si="4"/>
        <v>0.002152777778</v>
      </c>
      <c r="P46" s="64">
        <v>43003.0</v>
      </c>
      <c r="Q46" s="61" t="str">
        <f t="shared" si="1"/>
        <v>https://www.youtube.com/embed/YFmL65VsWdk?start=614&amp;end=800&amp;autoplay=1</v>
      </c>
      <c r="R46" s="50" t="s">
        <v>61</v>
      </c>
      <c r="S46" s="50" t="s">
        <v>252</v>
      </c>
      <c r="T46" s="50" t="s">
        <v>61</v>
      </c>
      <c r="U46" s="53"/>
      <c r="V46" s="54"/>
      <c r="W46" s="56" t="s">
        <v>76</v>
      </c>
      <c r="X46" s="57"/>
      <c r="Y46" s="38"/>
      <c r="Z46" s="38"/>
      <c r="AA46" s="65"/>
      <c r="AB46" s="65"/>
      <c r="AC46" s="65"/>
      <c r="AD46" s="65"/>
      <c r="AE46" s="65"/>
      <c r="AF46" s="65"/>
      <c r="AG46" s="65"/>
    </row>
    <row r="47">
      <c r="A47" s="39">
        <v>74.04</v>
      </c>
      <c r="B47" s="38" t="s">
        <v>49</v>
      </c>
      <c r="C47" s="38"/>
      <c r="D47" s="38" t="s">
        <v>55</v>
      </c>
      <c r="E47" s="38"/>
      <c r="F47" s="41"/>
      <c r="G47" s="43" t="s">
        <v>263</v>
      </c>
      <c r="H47" s="58" t="s">
        <v>264</v>
      </c>
      <c r="I47" s="38"/>
      <c r="J47" s="38"/>
      <c r="K47" s="46"/>
      <c r="L47" s="47"/>
      <c r="M47" s="46">
        <v>0.009270833333333334</v>
      </c>
      <c r="N47" s="46">
        <v>0.01099537037037037</v>
      </c>
      <c r="O47" s="60">
        <f t="shared" si="4"/>
        <v>0.001724537037</v>
      </c>
      <c r="P47" s="64">
        <v>43003.0</v>
      </c>
      <c r="Q47" s="61" t="str">
        <f t="shared" si="1"/>
        <v>https://www.youtube.com/embed/YFmL65VsWdk?start=801&amp;end=950&amp;autoplay=1</v>
      </c>
      <c r="R47" s="50" t="s">
        <v>61</v>
      </c>
      <c r="S47" s="50" t="s">
        <v>252</v>
      </c>
      <c r="T47" s="50" t="s">
        <v>61</v>
      </c>
      <c r="U47" s="53"/>
      <c r="V47" s="54"/>
      <c r="W47" s="56" t="s">
        <v>76</v>
      </c>
      <c r="X47" s="70"/>
      <c r="Y47" s="59"/>
      <c r="Z47" s="59"/>
      <c r="AA47" s="65"/>
      <c r="AB47" s="65"/>
      <c r="AC47" s="65"/>
      <c r="AD47" s="65"/>
      <c r="AE47" s="65"/>
      <c r="AF47" s="65"/>
      <c r="AG47" s="65"/>
    </row>
    <row r="48">
      <c r="A48" s="39">
        <v>74.05</v>
      </c>
      <c r="B48" s="38" t="s">
        <v>49</v>
      </c>
      <c r="C48" s="38"/>
      <c r="D48" s="38" t="s">
        <v>55</v>
      </c>
      <c r="E48" s="38"/>
      <c r="F48" s="41"/>
      <c r="G48" s="43" t="s">
        <v>267</v>
      </c>
      <c r="H48" s="58"/>
      <c r="I48" s="38"/>
      <c r="J48" s="38"/>
      <c r="K48" s="46"/>
      <c r="L48" s="47"/>
      <c r="M48" s="46">
        <v>0.009895833333333333</v>
      </c>
      <c r="N48" s="46">
        <v>0.010416666666666666</v>
      </c>
      <c r="O48" s="60">
        <f t="shared" si="4"/>
        <v>0.0005208333333</v>
      </c>
      <c r="P48" s="64">
        <v>43003.0</v>
      </c>
      <c r="Q48" s="61" t="str">
        <f t="shared" si="1"/>
        <v>https://www.youtube.com/embed/YFmL65VsWdk?start=855&amp;end=900&amp;autoplay=1</v>
      </c>
      <c r="R48" s="50" t="s">
        <v>61</v>
      </c>
      <c r="S48" s="50" t="s">
        <v>252</v>
      </c>
      <c r="T48" s="50" t="s">
        <v>61</v>
      </c>
      <c r="U48" s="53"/>
      <c r="V48" s="54"/>
      <c r="W48" s="56" t="s">
        <v>76</v>
      </c>
      <c r="X48" s="70"/>
      <c r="Y48" s="59"/>
      <c r="Z48" s="59"/>
      <c r="AA48" s="65"/>
      <c r="AB48" s="65"/>
      <c r="AC48" s="65"/>
      <c r="AD48" s="65"/>
      <c r="AE48" s="65"/>
      <c r="AF48" s="65"/>
      <c r="AG48" s="65"/>
    </row>
    <row r="49">
      <c r="A49" s="39">
        <v>74.06</v>
      </c>
      <c r="B49" s="38" t="s">
        <v>49</v>
      </c>
      <c r="C49" s="38"/>
      <c r="D49" s="38" t="s">
        <v>55</v>
      </c>
      <c r="E49" s="38"/>
      <c r="F49" s="41"/>
      <c r="G49" s="43" t="s">
        <v>271</v>
      </c>
      <c r="H49" s="58"/>
      <c r="I49" s="38"/>
      <c r="J49" s="38"/>
      <c r="K49" s="46"/>
      <c r="L49" s="47"/>
      <c r="M49" s="46">
        <v>0.010474537037037037</v>
      </c>
      <c r="N49" s="46">
        <v>0.01099537037037037</v>
      </c>
      <c r="O49" s="60">
        <f t="shared" si="4"/>
        <v>0.0005208333333</v>
      </c>
      <c r="P49" s="64">
        <v>43003.0</v>
      </c>
      <c r="Q49" s="61" t="str">
        <f t="shared" si="1"/>
        <v>https://www.youtube.com/embed/YFmL65VsWdk?start=905&amp;end=950&amp;autoplay=1</v>
      </c>
      <c r="R49" s="50" t="s">
        <v>61</v>
      </c>
      <c r="S49" s="50" t="s">
        <v>252</v>
      </c>
      <c r="T49" s="50" t="s">
        <v>61</v>
      </c>
      <c r="U49" s="53"/>
      <c r="V49" s="54"/>
      <c r="W49" s="56" t="s">
        <v>76</v>
      </c>
      <c r="X49" s="70"/>
      <c r="Y49" s="59"/>
      <c r="Z49" s="59"/>
      <c r="AA49" s="65"/>
      <c r="AB49" s="65"/>
      <c r="AC49" s="65"/>
      <c r="AD49" s="65"/>
      <c r="AE49" s="65"/>
      <c r="AF49" s="65"/>
      <c r="AG49" s="65"/>
    </row>
    <row r="50">
      <c r="A50" s="38">
        <v>74.07</v>
      </c>
      <c r="B50" s="38" t="s">
        <v>49</v>
      </c>
      <c r="C50" s="38"/>
      <c r="D50" s="38" t="s">
        <v>55</v>
      </c>
      <c r="E50" s="38"/>
      <c r="F50" s="41"/>
      <c r="G50" s="43" t="s">
        <v>275</v>
      </c>
      <c r="H50" s="45"/>
      <c r="I50" s="38"/>
      <c r="J50" s="38"/>
      <c r="K50" s="46"/>
      <c r="L50" s="47"/>
      <c r="M50" s="46">
        <v>0.011168981481481481</v>
      </c>
      <c r="N50" s="46">
        <v>0.012430555555555554</v>
      </c>
      <c r="O50" s="46">
        <f t="shared" si="4"/>
        <v>0.001261574074</v>
      </c>
      <c r="P50" s="80">
        <v>43003.0</v>
      </c>
      <c r="Q50" s="61" t="str">
        <f t="shared" si="1"/>
        <v>https://www.youtube.com/embed/YFmL65VsWdk?start=965&amp;end=1074&amp;autoplay=1</v>
      </c>
      <c r="R50" s="50" t="s">
        <v>61</v>
      </c>
      <c r="S50" s="50" t="s">
        <v>252</v>
      </c>
      <c r="T50" s="50" t="s">
        <v>61</v>
      </c>
      <c r="U50" s="53"/>
      <c r="V50" s="54"/>
      <c r="W50" s="56" t="s">
        <v>76</v>
      </c>
      <c r="X50" s="70"/>
      <c r="Y50" s="59"/>
      <c r="Z50" s="59"/>
      <c r="AA50" s="65"/>
      <c r="AB50" s="65"/>
      <c r="AC50" s="65"/>
      <c r="AD50" s="65"/>
      <c r="AE50" s="65"/>
      <c r="AF50" s="65"/>
      <c r="AG50" s="65"/>
    </row>
    <row r="51">
      <c r="A51" s="38">
        <v>74.0799999999999</v>
      </c>
      <c r="B51" s="38" t="s">
        <v>49</v>
      </c>
      <c r="C51" s="38"/>
      <c r="D51" s="38" t="s">
        <v>55</v>
      </c>
      <c r="E51" s="38"/>
      <c r="F51" s="41"/>
      <c r="G51" s="43" t="s">
        <v>280</v>
      </c>
      <c r="H51" s="45"/>
      <c r="I51" s="38"/>
      <c r="J51" s="38"/>
      <c r="K51" s="46"/>
      <c r="L51" s="47"/>
      <c r="M51" s="46">
        <v>0.018229166666666668</v>
      </c>
      <c r="N51" s="46">
        <v>0.022222222222222223</v>
      </c>
      <c r="O51" s="46">
        <f t="shared" si="4"/>
        <v>0.003993055556</v>
      </c>
      <c r="P51" s="80">
        <v>43003.0</v>
      </c>
      <c r="Q51" s="61" t="str">
        <f t="shared" si="1"/>
        <v>https://www.youtube.com/embed/YFmL65VsWdk?start=1575&amp;end=1920&amp;autoplay=1</v>
      </c>
      <c r="R51" s="50" t="s">
        <v>61</v>
      </c>
      <c r="S51" s="50" t="s">
        <v>252</v>
      </c>
      <c r="T51" s="50" t="s">
        <v>61</v>
      </c>
      <c r="U51" s="53"/>
      <c r="V51" s="54"/>
      <c r="W51" s="56" t="s">
        <v>76</v>
      </c>
      <c r="X51" s="57"/>
      <c r="Y51" s="38"/>
      <c r="Z51" s="38"/>
      <c r="AA51" s="65"/>
      <c r="AB51" s="65"/>
      <c r="AC51" s="65"/>
      <c r="AD51" s="65"/>
      <c r="AE51" s="65"/>
      <c r="AF51" s="65"/>
      <c r="AG51" s="65"/>
    </row>
    <row r="52">
      <c r="A52" s="39">
        <v>74.0899999999999</v>
      </c>
      <c r="B52" s="38" t="s">
        <v>49</v>
      </c>
      <c r="C52" s="38"/>
      <c r="D52" s="38" t="s">
        <v>55</v>
      </c>
      <c r="E52" s="38"/>
      <c r="F52" s="41"/>
      <c r="G52" s="43" t="s">
        <v>284</v>
      </c>
      <c r="H52" s="58"/>
      <c r="I52" s="38"/>
      <c r="J52" s="38"/>
      <c r="K52" s="46"/>
      <c r="L52" s="47"/>
      <c r="M52" s="46">
        <v>0.0203125</v>
      </c>
      <c r="N52" s="46">
        <v>0.021597222222222223</v>
      </c>
      <c r="O52" s="60">
        <f t="shared" si="4"/>
        <v>0.001284722222</v>
      </c>
      <c r="P52" s="64">
        <v>43003.0</v>
      </c>
      <c r="Q52" s="61" t="str">
        <f t="shared" si="1"/>
        <v>https://www.youtube.com/embed/YFmL65VsWdk?start=1755&amp;end=1866&amp;autoplay=1</v>
      </c>
      <c r="R52" s="50" t="s">
        <v>61</v>
      </c>
      <c r="S52" s="50" t="s">
        <v>252</v>
      </c>
      <c r="T52" s="50" t="s">
        <v>61</v>
      </c>
      <c r="U52" s="53"/>
      <c r="V52" s="54"/>
      <c r="W52" s="56" t="s">
        <v>76</v>
      </c>
      <c r="X52" s="70"/>
      <c r="Y52" s="59"/>
      <c r="Z52" s="59"/>
      <c r="AA52" s="65"/>
      <c r="AB52" s="65"/>
      <c r="AC52" s="65"/>
      <c r="AD52" s="65"/>
      <c r="AE52" s="65"/>
      <c r="AF52" s="65"/>
      <c r="AG52" s="65"/>
    </row>
    <row r="53">
      <c r="A53" s="39">
        <v>74.0999999999999</v>
      </c>
      <c r="B53" s="38" t="s">
        <v>49</v>
      </c>
      <c r="C53" s="38"/>
      <c r="D53" s="38" t="s">
        <v>55</v>
      </c>
      <c r="E53" s="38"/>
      <c r="F53" s="41"/>
      <c r="G53" s="43" t="s">
        <v>289</v>
      </c>
      <c r="H53" s="58"/>
      <c r="I53" s="38"/>
      <c r="J53" s="38"/>
      <c r="K53" s="46"/>
      <c r="L53" s="47"/>
      <c r="M53" s="46">
        <v>0.02415509259259259</v>
      </c>
      <c r="N53" s="46">
        <v>0.025543981481481483</v>
      </c>
      <c r="O53" s="60">
        <f t="shared" si="4"/>
        <v>0.001388888889</v>
      </c>
      <c r="P53" s="64">
        <v>43003.0</v>
      </c>
      <c r="Q53" s="61" t="str">
        <f t="shared" si="1"/>
        <v>https://www.youtube.com/embed/YFmL65VsWdk?start=2087&amp;end=2207&amp;autoplay=1</v>
      </c>
      <c r="R53" s="50" t="s">
        <v>61</v>
      </c>
      <c r="S53" s="50" t="s">
        <v>252</v>
      </c>
      <c r="T53" s="50" t="s">
        <v>61</v>
      </c>
      <c r="U53" s="53"/>
      <c r="V53" s="54"/>
      <c r="W53" s="56" t="s">
        <v>76</v>
      </c>
      <c r="X53" s="70"/>
      <c r="Y53" s="59"/>
      <c r="Z53" s="59"/>
      <c r="AA53" s="65"/>
      <c r="AB53" s="65"/>
      <c r="AC53" s="65"/>
      <c r="AD53" s="65"/>
      <c r="AE53" s="65"/>
      <c r="AF53" s="65"/>
      <c r="AG53" s="65"/>
    </row>
    <row r="54">
      <c r="A54" s="39">
        <v>74.1099999999999</v>
      </c>
      <c r="B54" s="38" t="s">
        <v>49</v>
      </c>
      <c r="C54" s="38"/>
      <c r="D54" s="38" t="s">
        <v>55</v>
      </c>
      <c r="E54" s="38"/>
      <c r="F54" s="41"/>
      <c r="G54" s="62" t="s">
        <v>292</v>
      </c>
      <c r="H54" s="58" t="s">
        <v>293</v>
      </c>
      <c r="I54" s="38"/>
      <c r="J54" s="38"/>
      <c r="K54" s="46"/>
      <c r="L54" s="47"/>
      <c r="M54" s="46">
        <v>0.02922453703703704</v>
      </c>
      <c r="N54" s="46">
        <v>0.032407407407407406</v>
      </c>
      <c r="O54" s="60">
        <f t="shared" si="4"/>
        <v>0.00318287037</v>
      </c>
      <c r="P54" s="64">
        <v>43003.0</v>
      </c>
      <c r="Q54" s="61" t="str">
        <f t="shared" si="1"/>
        <v>https://www.youtube.com/embed/YFmL65VsWdk?start=2525&amp;end=2800&amp;autoplay=1</v>
      </c>
      <c r="R54" s="50" t="s">
        <v>61</v>
      </c>
      <c r="S54" s="50" t="s">
        <v>252</v>
      </c>
      <c r="T54" s="50" t="s">
        <v>61</v>
      </c>
      <c r="U54" s="53"/>
      <c r="V54" s="54"/>
      <c r="W54" s="56" t="s">
        <v>76</v>
      </c>
      <c r="X54" s="70"/>
      <c r="Y54" s="59"/>
      <c r="Z54" s="59"/>
      <c r="AA54" s="65"/>
      <c r="AB54" s="65"/>
      <c r="AC54" s="65"/>
      <c r="AD54" s="65"/>
      <c r="AE54" s="65"/>
      <c r="AF54" s="65"/>
      <c r="AG54" s="65"/>
    </row>
    <row r="55" ht="20.25" customHeight="1">
      <c r="A55" s="39">
        <v>102.0</v>
      </c>
      <c r="B55" s="38" t="s">
        <v>49</v>
      </c>
      <c r="C55" s="38"/>
      <c r="D55" s="38" t="s">
        <v>55</v>
      </c>
      <c r="E55" s="38" t="s">
        <v>298</v>
      </c>
      <c r="F55" s="41" t="s">
        <v>300</v>
      </c>
      <c r="G55" s="43" t="s">
        <v>303</v>
      </c>
      <c r="H55" s="58" t="s">
        <v>304</v>
      </c>
      <c r="I55" s="38"/>
      <c r="J55" s="38">
        <f>1.3*1000</f>
        <v>1300</v>
      </c>
      <c r="K55" s="46">
        <v>0.01199074074074074</v>
      </c>
      <c r="L55" s="47" t="s">
        <v>211</v>
      </c>
      <c r="M55" s="46"/>
      <c r="N55" s="46"/>
      <c r="O55" s="60"/>
      <c r="P55" s="64"/>
      <c r="Q55" s="12" t="str">
        <f t="shared" si="1"/>
        <v/>
      </c>
      <c r="R55" s="50"/>
      <c r="S55" s="50"/>
      <c r="T55" s="50"/>
      <c r="U55" s="53"/>
      <c r="V55" s="54"/>
      <c r="W55" s="56"/>
      <c r="X55" s="70"/>
      <c r="Y55" s="59"/>
      <c r="Z55" s="59" t="s">
        <v>311</v>
      </c>
      <c r="AA55" s="65"/>
      <c r="AB55" s="65"/>
      <c r="AC55" s="65"/>
      <c r="AD55" s="65"/>
      <c r="AE55" s="65"/>
      <c r="AF55" s="65"/>
      <c r="AG55" s="65"/>
    </row>
    <row r="56">
      <c r="A56" s="38">
        <v>103.0</v>
      </c>
      <c r="B56" s="38" t="s">
        <v>49</v>
      </c>
      <c r="C56" s="38"/>
      <c r="D56" s="38" t="s">
        <v>55</v>
      </c>
      <c r="E56" s="38" t="s">
        <v>314</v>
      </c>
      <c r="F56" s="41" t="s">
        <v>315</v>
      </c>
      <c r="G56" s="43"/>
      <c r="H56" s="45"/>
      <c r="I56" s="38"/>
      <c r="J56" s="38">
        <f>7.9*1000</f>
        <v>7900</v>
      </c>
      <c r="K56" s="46">
        <v>0.0970023148148148</v>
      </c>
      <c r="L56" s="47" t="s">
        <v>211</v>
      </c>
      <c r="M56" s="46"/>
      <c r="N56" s="46"/>
      <c r="O56" s="38"/>
      <c r="P56" s="64"/>
      <c r="Q56" s="12" t="str">
        <f t="shared" si="1"/>
        <v/>
      </c>
      <c r="R56" s="50" t="s">
        <v>61</v>
      </c>
      <c r="S56" s="50" t="s">
        <v>61</v>
      </c>
      <c r="T56" s="50" t="s">
        <v>61</v>
      </c>
      <c r="U56" s="53"/>
      <c r="V56" s="54"/>
      <c r="W56" s="56" t="s">
        <v>62</v>
      </c>
      <c r="X56" s="57"/>
      <c r="Y56" s="38"/>
      <c r="Z56" s="38"/>
      <c r="AA56" s="65"/>
      <c r="AB56" s="65"/>
      <c r="AC56" s="65"/>
      <c r="AD56" s="65"/>
      <c r="AE56" s="65"/>
      <c r="AF56" s="65"/>
      <c r="AG56" s="65"/>
    </row>
    <row r="57">
      <c r="A57" s="39">
        <v>103.01</v>
      </c>
      <c r="B57" s="38" t="s">
        <v>49</v>
      </c>
      <c r="C57" s="38"/>
      <c r="D57" s="38" t="s">
        <v>55</v>
      </c>
      <c r="E57" s="38"/>
      <c r="F57" s="41"/>
      <c r="G57" s="43" t="s">
        <v>320</v>
      </c>
      <c r="H57" s="58" t="s">
        <v>321</v>
      </c>
      <c r="I57" s="38"/>
      <c r="J57" s="38"/>
      <c r="K57" s="46"/>
      <c r="L57" s="47"/>
      <c r="M57" s="46">
        <v>2.8935185185185184E-4</v>
      </c>
      <c r="N57" s="46">
        <v>0.0030787037037037037</v>
      </c>
      <c r="O57" s="60">
        <f t="shared" ref="O57:O75" si="5">N57-M57</f>
        <v>0.002789351852</v>
      </c>
      <c r="P57" s="82">
        <v>43007.0</v>
      </c>
      <c r="Q57" s="61" t="str">
        <f t="shared" si="1"/>
        <v>https://www.youtube.com/embed/8RSu4ymCgp4?start=25&amp;end=266&amp;autoplay=1</v>
      </c>
      <c r="R57" s="50" t="s">
        <v>61</v>
      </c>
      <c r="S57" s="50" t="s">
        <v>61</v>
      </c>
      <c r="T57" s="50" t="s">
        <v>61</v>
      </c>
      <c r="U57" s="53"/>
      <c r="V57" s="54"/>
      <c r="W57" s="56"/>
      <c r="X57" s="57"/>
      <c r="Y57" s="38"/>
      <c r="Z57" s="38"/>
      <c r="AA57" s="65"/>
      <c r="AB57" s="65"/>
      <c r="AC57" s="65"/>
      <c r="AD57" s="65"/>
      <c r="AE57" s="65"/>
      <c r="AF57" s="65"/>
      <c r="AG57" s="65"/>
    </row>
    <row r="58">
      <c r="A58" s="39">
        <v>103.02</v>
      </c>
      <c r="B58" s="38" t="s">
        <v>49</v>
      </c>
      <c r="C58" s="38"/>
      <c r="D58" s="38" t="s">
        <v>55</v>
      </c>
      <c r="E58" s="38"/>
      <c r="F58" s="41"/>
      <c r="G58" s="43" t="s">
        <v>330</v>
      </c>
      <c r="H58" s="58"/>
      <c r="I58" s="38"/>
      <c r="J58" s="38"/>
      <c r="K58" s="46"/>
      <c r="L58" s="47"/>
      <c r="M58" s="46">
        <v>0.015543981481481482</v>
      </c>
      <c r="N58" s="46">
        <v>0.022395833333333334</v>
      </c>
      <c r="O58" s="60">
        <f t="shared" si="5"/>
        <v>0.006851851852</v>
      </c>
      <c r="P58" s="83">
        <v>43007.0</v>
      </c>
      <c r="Q58" s="61" t="str">
        <f t="shared" si="1"/>
        <v>https://www.youtube.com/embed/8RSu4ymCgp4?start=1343&amp;end=1935&amp;autoplay=1</v>
      </c>
      <c r="R58" s="50" t="s">
        <v>61</v>
      </c>
      <c r="S58" s="50" t="s">
        <v>61</v>
      </c>
      <c r="T58" s="50" t="s">
        <v>61</v>
      </c>
      <c r="U58" s="53"/>
      <c r="V58" s="54"/>
      <c r="W58" s="56"/>
      <c r="X58" s="57"/>
      <c r="Y58" s="38"/>
      <c r="Z58" s="38"/>
      <c r="AA58" s="65"/>
      <c r="AB58" s="65"/>
      <c r="AC58" s="65"/>
      <c r="AD58" s="65"/>
      <c r="AE58" s="65"/>
      <c r="AF58" s="65"/>
      <c r="AG58" s="65"/>
    </row>
    <row r="59">
      <c r="A59" s="39">
        <v>103.03</v>
      </c>
      <c r="B59" s="38" t="s">
        <v>49</v>
      </c>
      <c r="C59" s="38"/>
      <c r="D59" s="38" t="s">
        <v>55</v>
      </c>
      <c r="E59" s="38"/>
      <c r="F59" s="41"/>
      <c r="G59" s="43" t="s">
        <v>337</v>
      </c>
      <c r="H59" s="58"/>
      <c r="I59" s="38"/>
      <c r="J59" s="38"/>
      <c r="K59" s="46"/>
      <c r="L59" s="47"/>
      <c r="M59" s="46">
        <v>0.022453703703703705</v>
      </c>
      <c r="N59" s="46">
        <v>0.023206018518518518</v>
      </c>
      <c r="O59" s="60">
        <f t="shared" si="5"/>
        <v>0.0007523148148</v>
      </c>
      <c r="P59" s="83">
        <v>43007.0</v>
      </c>
      <c r="Q59" s="61" t="str">
        <f t="shared" si="1"/>
        <v>https://www.youtube.com/embed/8RSu4ymCgp4?start=1940&amp;end=2005&amp;autoplay=1</v>
      </c>
      <c r="R59" s="50" t="s">
        <v>61</v>
      </c>
      <c r="S59" s="50" t="s">
        <v>61</v>
      </c>
      <c r="T59" s="50" t="s">
        <v>61</v>
      </c>
      <c r="U59" s="53"/>
      <c r="V59" s="54"/>
      <c r="W59" s="56"/>
      <c r="X59" s="57"/>
      <c r="Y59" s="38"/>
      <c r="Z59" s="38"/>
      <c r="AA59" s="65"/>
      <c r="AB59" s="65"/>
      <c r="AC59" s="65"/>
      <c r="AD59" s="65"/>
      <c r="AE59" s="65"/>
      <c r="AF59" s="65"/>
      <c r="AG59" s="65"/>
    </row>
    <row r="60">
      <c r="A60" s="39">
        <v>103.04</v>
      </c>
      <c r="B60" s="38" t="s">
        <v>49</v>
      </c>
      <c r="C60" s="39"/>
      <c r="D60" s="38" t="s">
        <v>55</v>
      </c>
      <c r="E60" s="38"/>
      <c r="F60" s="41"/>
      <c r="G60" s="62" t="s">
        <v>342</v>
      </c>
      <c r="H60" s="58"/>
      <c r="I60" s="38"/>
      <c r="J60" s="38"/>
      <c r="K60" s="46"/>
      <c r="L60" s="47"/>
      <c r="M60" s="46">
        <v>0.02326388888888889</v>
      </c>
      <c r="N60" s="46">
        <v>0.023958333333333335</v>
      </c>
      <c r="O60" s="60">
        <f t="shared" si="5"/>
        <v>0.0006944444444</v>
      </c>
      <c r="P60" s="83">
        <v>43007.0</v>
      </c>
      <c r="Q60" s="61" t="str">
        <f t="shared" si="1"/>
        <v>https://www.youtube.com/embed/8RSu4ymCgp4?start=2010&amp;end=2070&amp;autoplay=1</v>
      </c>
      <c r="R60" s="50" t="s">
        <v>61</v>
      </c>
      <c r="S60" s="50" t="s">
        <v>61</v>
      </c>
      <c r="T60" s="50" t="s">
        <v>61</v>
      </c>
      <c r="U60" s="53"/>
      <c r="V60" s="54"/>
      <c r="W60" s="56"/>
      <c r="X60" s="57"/>
      <c r="Y60" s="38"/>
      <c r="Z60" s="38"/>
      <c r="AA60" s="65"/>
      <c r="AB60" s="65"/>
      <c r="AC60" s="65"/>
      <c r="AD60" s="65"/>
      <c r="AE60" s="65"/>
      <c r="AF60" s="65"/>
      <c r="AG60" s="65"/>
    </row>
    <row r="61">
      <c r="A61" s="39">
        <v>103.05</v>
      </c>
      <c r="B61" s="38" t="s">
        <v>49</v>
      </c>
      <c r="C61" s="38"/>
      <c r="D61" s="38" t="s">
        <v>55</v>
      </c>
      <c r="E61" s="38"/>
      <c r="F61" s="41"/>
      <c r="G61" s="43" t="s">
        <v>345</v>
      </c>
      <c r="H61" s="58" t="s">
        <v>346</v>
      </c>
      <c r="I61" s="38"/>
      <c r="J61" s="38"/>
      <c r="K61" s="46"/>
      <c r="L61" s="47"/>
      <c r="M61" s="46">
        <v>0.02400462962962963</v>
      </c>
      <c r="N61" s="46">
        <v>0.02537037037037037</v>
      </c>
      <c r="O61" s="60">
        <f t="shared" si="5"/>
        <v>0.001365740741</v>
      </c>
      <c r="P61" s="83">
        <v>43007.0</v>
      </c>
      <c r="Q61" s="61" t="str">
        <f t="shared" si="1"/>
        <v>https://www.youtube.com/embed/8RSu4ymCgp4?start=2074&amp;end=2192&amp;autoplay=1</v>
      </c>
      <c r="R61" s="50" t="s">
        <v>61</v>
      </c>
      <c r="S61" s="50" t="s">
        <v>61</v>
      </c>
      <c r="T61" s="50" t="s">
        <v>61</v>
      </c>
      <c r="U61" s="53"/>
      <c r="V61" s="54"/>
      <c r="W61" s="56"/>
      <c r="X61" s="57"/>
      <c r="Y61" s="38"/>
      <c r="Z61" s="38"/>
      <c r="AA61" s="65"/>
      <c r="AB61" s="65"/>
      <c r="AC61" s="65"/>
      <c r="AD61" s="65"/>
      <c r="AE61" s="65"/>
      <c r="AF61" s="65"/>
      <c r="AG61" s="65"/>
    </row>
    <row r="62">
      <c r="A62" s="38">
        <v>103.06</v>
      </c>
      <c r="B62" s="38" t="s">
        <v>49</v>
      </c>
      <c r="C62" s="38"/>
      <c r="D62" s="38" t="s">
        <v>55</v>
      </c>
      <c r="E62" s="38"/>
      <c r="F62" s="41"/>
      <c r="G62" s="43" t="s">
        <v>350</v>
      </c>
      <c r="H62" s="45" t="s">
        <v>351</v>
      </c>
      <c r="I62" s="38"/>
      <c r="J62" s="38"/>
      <c r="K62" s="46"/>
      <c r="L62" s="47"/>
      <c r="M62" s="46">
        <v>0.02550925925925926</v>
      </c>
      <c r="N62" s="46">
        <v>0.02696759259259259</v>
      </c>
      <c r="O62" s="46">
        <f t="shared" si="5"/>
        <v>0.001458333333</v>
      </c>
      <c r="P62" s="72">
        <v>43007.0</v>
      </c>
      <c r="Q62" s="61" t="str">
        <f t="shared" si="1"/>
        <v>https://www.youtube.com/embed/8RSu4ymCgp4?start=2204&amp;end=2330&amp;autoplay=1</v>
      </c>
      <c r="R62" s="50" t="s">
        <v>61</v>
      </c>
      <c r="S62" s="50" t="s">
        <v>61</v>
      </c>
      <c r="T62" s="50" t="s">
        <v>61</v>
      </c>
      <c r="U62" s="53"/>
      <c r="V62" s="54"/>
      <c r="W62" s="56"/>
      <c r="X62" s="57"/>
      <c r="Y62" s="38"/>
      <c r="Z62" s="38"/>
    </row>
    <row r="63">
      <c r="A63" s="38">
        <v>103.07</v>
      </c>
      <c r="B63" s="38" t="s">
        <v>49</v>
      </c>
      <c r="C63" s="39"/>
      <c r="D63" s="38" t="s">
        <v>55</v>
      </c>
      <c r="E63" s="38"/>
      <c r="F63" s="41"/>
      <c r="G63" s="43" t="s">
        <v>355</v>
      </c>
      <c r="H63" s="45" t="s">
        <v>356</v>
      </c>
      <c r="I63" s="38"/>
      <c r="J63" s="38"/>
      <c r="K63" s="46"/>
      <c r="L63" s="47"/>
      <c r="M63" s="46">
        <v>0.027025462962962963</v>
      </c>
      <c r="N63" s="46">
        <v>0.02922453703703704</v>
      </c>
      <c r="O63" s="46">
        <f t="shared" si="5"/>
        <v>0.002199074074</v>
      </c>
      <c r="P63" s="72">
        <v>43007.0</v>
      </c>
      <c r="Q63" s="61" t="str">
        <f t="shared" si="1"/>
        <v>https://www.youtube.com/embed/8RSu4ymCgp4?start=2335&amp;end=2525&amp;autoplay=1</v>
      </c>
      <c r="R63" s="50" t="s">
        <v>61</v>
      </c>
      <c r="S63" s="50" t="s">
        <v>61</v>
      </c>
      <c r="T63" s="50" t="s">
        <v>61</v>
      </c>
      <c r="U63" s="53"/>
      <c r="V63" s="54"/>
      <c r="W63" s="56"/>
      <c r="X63" s="57"/>
      <c r="Y63" s="38"/>
      <c r="Z63" s="38"/>
    </row>
    <row r="64">
      <c r="A64" s="38">
        <v>103.08</v>
      </c>
      <c r="B64" s="38" t="s">
        <v>49</v>
      </c>
      <c r="C64" s="38"/>
      <c r="D64" s="38" t="s">
        <v>55</v>
      </c>
      <c r="E64" s="38"/>
      <c r="F64" s="41"/>
      <c r="G64" s="43" t="s">
        <v>359</v>
      </c>
      <c r="H64" s="45" t="s">
        <v>360</v>
      </c>
      <c r="I64" s="38"/>
      <c r="J64" s="38"/>
      <c r="K64" s="46"/>
      <c r="L64" s="47"/>
      <c r="M64" s="46">
        <v>0.02925925925925926</v>
      </c>
      <c r="N64" s="46">
        <v>0.029965277777777778</v>
      </c>
      <c r="O64" s="46">
        <f t="shared" si="5"/>
        <v>0.0007060185185</v>
      </c>
      <c r="P64" s="72">
        <v>43007.0</v>
      </c>
      <c r="Q64" s="61" t="str">
        <f t="shared" si="1"/>
        <v>https://www.youtube.com/embed/8RSu4ymCgp4?start=2528&amp;end=2589&amp;autoplay=1</v>
      </c>
      <c r="R64" s="50" t="s">
        <v>61</v>
      </c>
      <c r="S64" s="50" t="s">
        <v>61</v>
      </c>
      <c r="T64" s="50" t="s">
        <v>61</v>
      </c>
      <c r="U64" s="53"/>
      <c r="V64" s="54"/>
      <c r="W64" s="56"/>
      <c r="X64" s="57"/>
      <c r="Y64" s="38"/>
      <c r="Z64" s="38"/>
    </row>
    <row r="65">
      <c r="A65" s="38">
        <v>103.09</v>
      </c>
      <c r="B65" s="38" t="s">
        <v>49</v>
      </c>
      <c r="C65" s="38"/>
      <c r="D65" s="38" t="s">
        <v>55</v>
      </c>
      <c r="E65" s="38"/>
      <c r="F65" s="41"/>
      <c r="G65" s="43" t="s">
        <v>363</v>
      </c>
      <c r="H65" s="45" t="s">
        <v>365</v>
      </c>
      <c r="I65" s="38"/>
      <c r="J65" s="38"/>
      <c r="K65" s="46"/>
      <c r="L65" s="47"/>
      <c r="M65" s="46">
        <v>0.030671296296296297</v>
      </c>
      <c r="N65" s="46">
        <v>0.032060185185185185</v>
      </c>
      <c r="O65" s="46">
        <f t="shared" si="5"/>
        <v>0.001388888889</v>
      </c>
      <c r="P65" s="72">
        <v>43007.0</v>
      </c>
      <c r="Q65" s="61" t="str">
        <f t="shared" si="1"/>
        <v>https://www.youtube.com/embed/8RSu4ymCgp4?start=2650&amp;end=2770&amp;autoplay=1</v>
      </c>
      <c r="R65" s="50" t="s">
        <v>61</v>
      </c>
      <c r="S65" s="50" t="s">
        <v>61</v>
      </c>
      <c r="T65" s="50" t="s">
        <v>61</v>
      </c>
      <c r="U65" s="53"/>
      <c r="V65" s="54"/>
      <c r="W65" s="56"/>
      <c r="X65" s="57"/>
      <c r="Y65" s="38"/>
      <c r="Z65" s="38"/>
    </row>
    <row r="66">
      <c r="A66" s="38">
        <v>103.1</v>
      </c>
      <c r="B66" s="38" t="s">
        <v>49</v>
      </c>
      <c r="C66" s="38"/>
      <c r="D66" s="38" t="s">
        <v>55</v>
      </c>
      <c r="E66" s="38"/>
      <c r="F66" s="41"/>
      <c r="G66" s="43" t="s">
        <v>367</v>
      </c>
      <c r="H66" s="45" t="s">
        <v>368</v>
      </c>
      <c r="I66" s="38"/>
      <c r="J66" s="38"/>
      <c r="K66" s="46"/>
      <c r="L66" s="47"/>
      <c r="M66" s="46">
        <v>0.03217592592592593</v>
      </c>
      <c r="N66" s="46">
        <v>0.03726851851851852</v>
      </c>
      <c r="O66" s="46">
        <f t="shared" si="5"/>
        <v>0.005092592593</v>
      </c>
      <c r="P66" s="72">
        <v>43007.0</v>
      </c>
      <c r="Q66" s="61" t="str">
        <f t="shared" si="1"/>
        <v>https://www.youtube.com/embed/8RSu4ymCgp4?start=2780&amp;end=3220&amp;autoplay=1</v>
      </c>
      <c r="R66" s="50" t="s">
        <v>61</v>
      </c>
      <c r="S66" s="50" t="s">
        <v>61</v>
      </c>
      <c r="T66" s="50" t="s">
        <v>61</v>
      </c>
      <c r="U66" s="53"/>
      <c r="V66" s="54"/>
      <c r="W66" s="56"/>
      <c r="X66" s="57"/>
      <c r="Y66" s="38"/>
      <c r="Z66" s="38"/>
    </row>
    <row r="67">
      <c r="A67" s="38">
        <v>103.11</v>
      </c>
      <c r="B67" s="38" t="s">
        <v>49</v>
      </c>
      <c r="C67" s="38"/>
      <c r="D67" s="38" t="s">
        <v>55</v>
      </c>
      <c r="E67" s="38"/>
      <c r="F67" s="41"/>
      <c r="G67" s="43" t="s">
        <v>372</v>
      </c>
      <c r="H67" s="45"/>
      <c r="I67" s="38"/>
      <c r="J67" s="38"/>
      <c r="K67" s="46"/>
      <c r="L67" s="47"/>
      <c r="M67" s="46">
        <v>0.037731481481481484</v>
      </c>
      <c r="N67" s="46">
        <v>0.03923611111111111</v>
      </c>
      <c r="O67" s="46">
        <f t="shared" si="5"/>
        <v>0.00150462963</v>
      </c>
      <c r="P67" s="72">
        <v>43007.0</v>
      </c>
      <c r="Q67" s="61" t="str">
        <f t="shared" si="1"/>
        <v>https://www.youtube.com/embed/8RSu4ymCgp4?start=3260&amp;end=3390&amp;autoplay=1</v>
      </c>
      <c r="R67" s="50" t="s">
        <v>61</v>
      </c>
      <c r="S67" s="50" t="s">
        <v>61</v>
      </c>
      <c r="T67" s="50" t="s">
        <v>61</v>
      </c>
      <c r="U67" s="53"/>
      <c r="V67" s="54"/>
      <c r="W67" s="56"/>
      <c r="X67" s="57"/>
      <c r="Y67" s="38"/>
      <c r="Z67" s="38"/>
    </row>
    <row r="68">
      <c r="A68" s="38">
        <v>103.12</v>
      </c>
      <c r="B68" s="38" t="s">
        <v>49</v>
      </c>
      <c r="C68" s="38"/>
      <c r="D68" s="38" t="s">
        <v>55</v>
      </c>
      <c r="E68" s="38"/>
      <c r="F68" s="41"/>
      <c r="G68" s="43" t="s">
        <v>377</v>
      </c>
      <c r="H68" s="45"/>
      <c r="I68" s="38"/>
      <c r="J68" s="38"/>
      <c r="K68" s="46"/>
      <c r="L68" s="47"/>
      <c r="M68" s="46">
        <v>0.03931712962962963</v>
      </c>
      <c r="N68" s="46">
        <v>0.04131944444444444</v>
      </c>
      <c r="O68" s="46">
        <f t="shared" si="5"/>
        <v>0.002002314815</v>
      </c>
      <c r="P68" s="72">
        <v>43007.0</v>
      </c>
      <c r="Q68" s="61" t="str">
        <f t="shared" si="1"/>
        <v>https://www.youtube.com/embed/8RSu4ymCgp4?start=3397&amp;end=3570&amp;autoplay=1</v>
      </c>
      <c r="R68" s="50" t="s">
        <v>61</v>
      </c>
      <c r="S68" s="50" t="s">
        <v>61</v>
      </c>
      <c r="T68" s="50" t="s">
        <v>61</v>
      </c>
      <c r="U68" s="53"/>
      <c r="V68" s="54"/>
      <c r="W68" s="56"/>
      <c r="X68" s="57"/>
      <c r="Y68" s="38"/>
      <c r="Z68" s="38"/>
    </row>
    <row r="69">
      <c r="A69" s="38">
        <v>103.13</v>
      </c>
      <c r="B69" s="38" t="s">
        <v>49</v>
      </c>
      <c r="C69" s="38"/>
      <c r="D69" s="38" t="s">
        <v>55</v>
      </c>
      <c r="E69" s="38"/>
      <c r="F69" s="41"/>
      <c r="G69" s="43" t="s">
        <v>381</v>
      </c>
      <c r="H69" s="45"/>
      <c r="I69" s="38"/>
      <c r="J69" s="38"/>
      <c r="K69" s="46"/>
      <c r="L69" s="47"/>
      <c r="M69" s="46">
        <v>0.04141203703703704</v>
      </c>
      <c r="N69" s="46">
        <v>0.041666666666666664</v>
      </c>
      <c r="O69" s="46">
        <f t="shared" si="5"/>
        <v>0.0002546296296</v>
      </c>
      <c r="P69" s="72">
        <v>43007.0</v>
      </c>
      <c r="Q69" s="61" t="str">
        <f t="shared" si="1"/>
        <v>https://www.youtube.com/embed/8RSu4ymCgp4?start=3578&amp;end=3600&amp;autoplay=1</v>
      </c>
      <c r="R69" s="50" t="s">
        <v>61</v>
      </c>
      <c r="S69" s="50" t="s">
        <v>61</v>
      </c>
      <c r="T69" s="50" t="s">
        <v>61</v>
      </c>
      <c r="U69" s="53"/>
      <c r="V69" s="54"/>
      <c r="W69" s="56"/>
      <c r="X69" s="57"/>
      <c r="Y69" s="38"/>
      <c r="Z69" s="38"/>
    </row>
    <row r="70">
      <c r="A70" s="38">
        <v>103.14</v>
      </c>
      <c r="B70" s="38" t="s">
        <v>49</v>
      </c>
      <c r="C70" s="38"/>
      <c r="D70" s="38" t="s">
        <v>55</v>
      </c>
      <c r="E70" s="38"/>
      <c r="F70" s="41"/>
      <c r="G70" s="43" t="s">
        <v>385</v>
      </c>
      <c r="H70" s="45" t="s">
        <v>387</v>
      </c>
      <c r="I70" s="38"/>
      <c r="J70" s="38"/>
      <c r="K70" s="46"/>
      <c r="L70" s="47"/>
      <c r="M70" s="46">
        <v>0.043402777777777776</v>
      </c>
      <c r="N70" s="46">
        <v>0.05023148148148148</v>
      </c>
      <c r="O70" s="46">
        <f t="shared" si="5"/>
        <v>0.006828703704</v>
      </c>
      <c r="P70" s="72">
        <v>43007.0</v>
      </c>
      <c r="Q70" s="61" t="str">
        <f t="shared" si="1"/>
        <v>https://www.youtube.com/embed/8RSu4ymCgp4?start=3750&amp;end=4340&amp;autoplay=1</v>
      </c>
      <c r="R70" s="50" t="s">
        <v>61</v>
      </c>
      <c r="S70" s="50" t="s">
        <v>61</v>
      </c>
      <c r="T70" s="50" t="s">
        <v>61</v>
      </c>
      <c r="U70" s="53"/>
      <c r="V70" s="54"/>
      <c r="W70" s="56"/>
      <c r="X70" s="57"/>
      <c r="Y70" s="38"/>
      <c r="Z70" s="38"/>
    </row>
    <row r="71">
      <c r="A71" s="38">
        <v>103.15</v>
      </c>
      <c r="B71" s="38" t="s">
        <v>49</v>
      </c>
      <c r="C71" s="38"/>
      <c r="D71" s="38" t="s">
        <v>55</v>
      </c>
      <c r="E71" s="38"/>
      <c r="F71" s="41"/>
      <c r="G71" s="43" t="s">
        <v>391</v>
      </c>
      <c r="H71" s="45"/>
      <c r="I71" s="38"/>
      <c r="J71" s="38"/>
      <c r="K71" s="46"/>
      <c r="L71" s="47"/>
      <c r="M71" s="46">
        <v>0.05298611111111111</v>
      </c>
      <c r="N71" s="46">
        <v>0.054282407407407404</v>
      </c>
      <c r="O71" s="46">
        <f t="shared" si="5"/>
        <v>0.001296296296</v>
      </c>
      <c r="P71" s="72">
        <v>43007.0</v>
      </c>
      <c r="Q71" s="61" t="str">
        <f t="shared" si="1"/>
        <v>https://www.youtube.com/embed/8RSu4ymCgp4?start=4578&amp;end=4690&amp;autoplay=1</v>
      </c>
      <c r="R71" s="50" t="s">
        <v>61</v>
      </c>
      <c r="S71" s="50" t="s">
        <v>61</v>
      </c>
      <c r="T71" s="50" t="s">
        <v>61</v>
      </c>
      <c r="U71" s="53"/>
      <c r="V71" s="54"/>
      <c r="W71" s="56"/>
      <c r="X71" s="57"/>
      <c r="Y71" s="38"/>
      <c r="Z71" s="38"/>
    </row>
    <row r="72">
      <c r="A72" s="38">
        <v>103.16</v>
      </c>
      <c r="B72" s="38" t="s">
        <v>49</v>
      </c>
      <c r="C72" s="38"/>
      <c r="D72" s="38" t="s">
        <v>55</v>
      </c>
      <c r="E72" s="38"/>
      <c r="F72" s="41"/>
      <c r="G72" s="43" t="s">
        <v>393</v>
      </c>
      <c r="H72" s="45" t="s">
        <v>395</v>
      </c>
      <c r="I72" s="38"/>
      <c r="J72" s="38"/>
      <c r="K72" s="46"/>
      <c r="L72" s="47"/>
      <c r="M72" s="46">
        <v>0.05439814814814815</v>
      </c>
      <c r="N72" s="46">
        <v>0.05543981481481482</v>
      </c>
      <c r="O72" s="46">
        <f t="shared" si="5"/>
        <v>0.001041666667</v>
      </c>
      <c r="P72" s="72">
        <v>43007.0</v>
      </c>
      <c r="Q72" s="61" t="str">
        <f t="shared" si="1"/>
        <v>https://www.youtube.com/embed/8RSu4ymCgp4?start=4700&amp;end=4790&amp;autoplay=1</v>
      </c>
      <c r="R72" s="50" t="s">
        <v>61</v>
      </c>
      <c r="S72" s="50" t="s">
        <v>61</v>
      </c>
      <c r="T72" s="50" t="s">
        <v>61</v>
      </c>
      <c r="U72" s="53"/>
      <c r="V72" s="54"/>
      <c r="W72" s="56"/>
      <c r="X72" s="57"/>
      <c r="Y72" s="38"/>
      <c r="Z72" s="38"/>
    </row>
    <row r="73">
      <c r="A73" s="38">
        <v>103.17</v>
      </c>
      <c r="B73" s="38" t="s">
        <v>49</v>
      </c>
      <c r="C73" s="38"/>
      <c r="D73" s="38" t="s">
        <v>55</v>
      </c>
      <c r="E73" s="38"/>
      <c r="F73" s="41"/>
      <c r="G73" s="43" t="s">
        <v>400</v>
      </c>
      <c r="H73" s="45"/>
      <c r="I73" s="38"/>
      <c r="J73" s="38"/>
      <c r="K73" s="46"/>
      <c r="L73" s="47"/>
      <c r="M73" s="46">
        <v>0.059444444444444446</v>
      </c>
      <c r="N73" s="46">
        <v>0.06527777777777778</v>
      </c>
      <c r="O73" s="46">
        <f t="shared" si="5"/>
        <v>0.005833333333</v>
      </c>
      <c r="P73" s="72">
        <v>43007.0</v>
      </c>
      <c r="Q73" s="61" t="str">
        <f t="shared" si="1"/>
        <v>https://www.youtube.com/embed/8RSu4ymCgp4?start=5136&amp;end=5640&amp;autoplay=1</v>
      </c>
      <c r="R73" s="50" t="s">
        <v>61</v>
      </c>
      <c r="S73" s="50" t="s">
        <v>61</v>
      </c>
      <c r="T73" s="50" t="s">
        <v>61</v>
      </c>
      <c r="U73" s="53"/>
      <c r="V73" s="54"/>
      <c r="W73" s="56"/>
      <c r="X73" s="57"/>
      <c r="Y73" s="38"/>
      <c r="Z73" s="38"/>
    </row>
    <row r="74">
      <c r="A74" s="38">
        <v>103.18</v>
      </c>
      <c r="B74" s="38" t="s">
        <v>49</v>
      </c>
      <c r="C74" s="38"/>
      <c r="D74" s="38" t="s">
        <v>55</v>
      </c>
      <c r="E74" s="38"/>
      <c r="F74" s="41"/>
      <c r="G74" s="43" t="s">
        <v>403</v>
      </c>
      <c r="H74" s="45"/>
      <c r="I74" s="38"/>
      <c r="J74" s="38"/>
      <c r="K74" s="46"/>
      <c r="L74" s="47"/>
      <c r="M74" s="46">
        <v>0.07060185185185185</v>
      </c>
      <c r="N74" s="46">
        <v>0.07157407407407407</v>
      </c>
      <c r="O74" s="46">
        <f t="shared" si="5"/>
        <v>0.0009722222222</v>
      </c>
      <c r="P74" s="72">
        <v>43007.0</v>
      </c>
      <c r="Q74" s="61" t="str">
        <f t="shared" si="1"/>
        <v>https://www.youtube.com/embed/8RSu4ymCgp4?start=6100&amp;end=6184&amp;autoplay=1</v>
      </c>
      <c r="R74" s="50" t="s">
        <v>61</v>
      </c>
      <c r="S74" s="50" t="s">
        <v>61</v>
      </c>
      <c r="T74" s="50" t="s">
        <v>61</v>
      </c>
      <c r="U74" s="53"/>
      <c r="V74" s="54"/>
      <c r="W74" s="56"/>
      <c r="X74" s="57"/>
      <c r="Y74" s="38"/>
      <c r="Z74" s="38"/>
    </row>
    <row r="75">
      <c r="A75" s="38">
        <v>103.19</v>
      </c>
      <c r="B75" s="38" t="s">
        <v>49</v>
      </c>
      <c r="C75" s="39"/>
      <c r="D75" s="38" t="s">
        <v>55</v>
      </c>
      <c r="E75" s="38"/>
      <c r="F75" s="41"/>
      <c r="G75" s="43" t="s">
        <v>406</v>
      </c>
      <c r="H75" s="45"/>
      <c r="I75" s="38"/>
      <c r="J75" s="38"/>
      <c r="K75" s="46"/>
      <c r="L75" s="47"/>
      <c r="M75" s="46">
        <v>0.08223379629629629</v>
      </c>
      <c r="N75" s="46">
        <v>0.08685185185185185</v>
      </c>
      <c r="O75" s="46">
        <f t="shared" si="5"/>
        <v>0.004618055556</v>
      </c>
      <c r="P75" s="72">
        <v>43007.0</v>
      </c>
      <c r="Q75" s="61" t="str">
        <f t="shared" si="1"/>
        <v>https://www.youtube.com/embed/8RSu4ymCgp4?start=7105&amp;end=7504&amp;autoplay=1</v>
      </c>
      <c r="R75" s="50" t="s">
        <v>61</v>
      </c>
      <c r="S75" s="50" t="s">
        <v>61</v>
      </c>
      <c r="T75" s="50" t="s">
        <v>61</v>
      </c>
      <c r="U75" s="53"/>
      <c r="V75" s="54"/>
      <c r="W75" s="56"/>
      <c r="X75" s="57"/>
      <c r="Y75" s="38"/>
      <c r="Z75" s="38"/>
    </row>
    <row r="76">
      <c r="A76" s="38">
        <v>107.0</v>
      </c>
      <c r="B76" s="38" t="s">
        <v>49</v>
      </c>
      <c r="C76" s="38"/>
      <c r="D76" s="38" t="s">
        <v>55</v>
      </c>
      <c r="E76" s="38" t="s">
        <v>411</v>
      </c>
      <c r="F76" s="41" t="s">
        <v>414</v>
      </c>
      <c r="G76" s="43"/>
      <c r="H76" s="45"/>
      <c r="I76" s="38"/>
      <c r="J76" s="38">
        <f>11*1000</f>
        <v>11000</v>
      </c>
      <c r="K76" s="46">
        <v>0.08446759259259258</v>
      </c>
      <c r="L76" s="47" t="s">
        <v>211</v>
      </c>
      <c r="M76" s="46"/>
      <c r="N76" s="46"/>
      <c r="O76" s="38"/>
      <c r="P76" s="72"/>
      <c r="Q76" s="12" t="str">
        <f t="shared" si="1"/>
        <v/>
      </c>
      <c r="R76" s="50"/>
      <c r="S76" s="50"/>
      <c r="T76" s="50"/>
      <c r="U76" s="53"/>
      <c r="V76" s="54"/>
      <c r="W76" s="56"/>
      <c r="X76" s="57"/>
      <c r="Y76" s="38"/>
      <c r="Z76" s="38"/>
      <c r="AH76" s="7"/>
      <c r="AI76" s="7"/>
      <c r="AJ76" s="7"/>
      <c r="AK76" s="7"/>
    </row>
    <row r="77">
      <c r="A77" s="38">
        <v>107.01</v>
      </c>
      <c r="B77" s="38" t="s">
        <v>49</v>
      </c>
      <c r="C77" s="38"/>
      <c r="D77" s="38" t="s">
        <v>55</v>
      </c>
      <c r="E77" s="38"/>
      <c r="F77" s="41"/>
      <c r="G77" s="43" t="s">
        <v>420</v>
      </c>
      <c r="H77" s="45"/>
      <c r="I77" s="38"/>
      <c r="J77" s="38"/>
      <c r="K77" s="46"/>
      <c r="L77" s="47"/>
      <c r="M77" s="46">
        <v>0.02013888888888889</v>
      </c>
      <c r="N77" s="46">
        <v>0.023148148148148147</v>
      </c>
      <c r="O77" s="46">
        <f t="shared" ref="O77:O90" si="6">N77-M77</f>
        <v>0.003009259259</v>
      </c>
      <c r="P77" s="72">
        <v>43008.0</v>
      </c>
      <c r="Q77" s="61" t="str">
        <f t="shared" si="1"/>
        <v>https://www.youtube.com/embed/Vf5BOYF0S3Y?start=1740&amp;end=2000&amp;autoplay=1</v>
      </c>
      <c r="R77" s="50"/>
      <c r="S77" s="50"/>
      <c r="T77" s="50"/>
      <c r="U77" s="53"/>
      <c r="V77" s="54"/>
      <c r="W77" s="56"/>
      <c r="X77" s="57"/>
      <c r="Y77" s="38"/>
      <c r="Z77" s="38"/>
    </row>
    <row r="78">
      <c r="A78" s="38">
        <v>107.02</v>
      </c>
      <c r="B78" s="38" t="s">
        <v>49</v>
      </c>
      <c r="C78" s="38"/>
      <c r="D78" s="38" t="s">
        <v>55</v>
      </c>
      <c r="E78" s="38"/>
      <c r="F78" s="41"/>
      <c r="G78" s="43" t="s">
        <v>425</v>
      </c>
      <c r="H78" s="45"/>
      <c r="I78" s="38"/>
      <c r="J78" s="38"/>
      <c r="K78" s="46"/>
      <c r="L78" s="47"/>
      <c r="M78" s="46">
        <v>0.020833333333333332</v>
      </c>
      <c r="N78" s="46">
        <v>0.02228009259259259</v>
      </c>
      <c r="O78" s="46">
        <f t="shared" si="6"/>
        <v>0.001446759259</v>
      </c>
      <c r="P78" s="72">
        <v>43008.0</v>
      </c>
      <c r="Q78" s="61" t="str">
        <f t="shared" si="1"/>
        <v>https://www.youtube.com/embed/Vf5BOYF0S3Y?start=1800&amp;end=1925&amp;autoplay=1</v>
      </c>
      <c r="R78" s="50"/>
      <c r="S78" s="50"/>
      <c r="T78" s="50"/>
      <c r="U78" s="53"/>
      <c r="V78" s="54"/>
      <c r="W78" s="56"/>
      <c r="X78" s="57"/>
      <c r="Y78" s="38"/>
      <c r="Z78" s="38"/>
    </row>
    <row r="79">
      <c r="A79" s="38">
        <v>107.03</v>
      </c>
      <c r="B79" s="38" t="s">
        <v>49</v>
      </c>
      <c r="C79" s="38"/>
      <c r="D79" s="38" t="s">
        <v>55</v>
      </c>
      <c r="E79" s="38"/>
      <c r="F79" s="41"/>
      <c r="G79" s="43" t="s">
        <v>428</v>
      </c>
      <c r="H79" s="45"/>
      <c r="I79" s="38"/>
      <c r="J79" s="38"/>
      <c r="K79" s="46"/>
      <c r="L79" s="47"/>
      <c r="M79" s="46">
        <v>0.021469907407407406</v>
      </c>
      <c r="N79" s="46">
        <v>0.02228009259259259</v>
      </c>
      <c r="O79" s="46">
        <f t="shared" si="6"/>
        <v>0.0008101851852</v>
      </c>
      <c r="P79" s="72">
        <v>43008.0</v>
      </c>
      <c r="Q79" s="61" t="str">
        <f t="shared" si="1"/>
        <v>https://www.youtube.com/embed/Vf5BOYF0S3Y?start=1855&amp;end=1925&amp;autoplay=1</v>
      </c>
      <c r="R79" s="50"/>
      <c r="S79" s="50"/>
      <c r="T79" s="50"/>
      <c r="U79" s="53"/>
      <c r="V79" s="54"/>
      <c r="W79" s="56"/>
      <c r="X79" s="57"/>
      <c r="Y79" s="38"/>
      <c r="Z79" s="38"/>
    </row>
    <row r="80">
      <c r="A80" s="38">
        <v>107.04</v>
      </c>
      <c r="B80" s="38" t="s">
        <v>49</v>
      </c>
      <c r="C80" s="39"/>
      <c r="D80" s="38" t="s">
        <v>55</v>
      </c>
      <c r="E80" s="38"/>
      <c r="F80" s="41"/>
      <c r="G80" s="43" t="s">
        <v>433</v>
      </c>
      <c r="H80" s="45"/>
      <c r="I80" s="38"/>
      <c r="J80" s="38"/>
      <c r="K80" s="46"/>
      <c r="L80" s="47"/>
      <c r="M80" s="46">
        <v>0.020949074074074075</v>
      </c>
      <c r="N80" s="46">
        <v>0.028125</v>
      </c>
      <c r="O80" s="46">
        <f t="shared" si="6"/>
        <v>0.007175925926</v>
      </c>
      <c r="P80" s="72">
        <v>43008.0</v>
      </c>
      <c r="Q80" s="61" t="str">
        <f t="shared" si="1"/>
        <v>https://www.youtube.com/embed/Vf5BOYF0S3Y?start=1810&amp;end=2430&amp;autoplay=1</v>
      </c>
      <c r="R80" s="50"/>
      <c r="S80" s="50"/>
      <c r="T80" s="50"/>
      <c r="U80" s="53"/>
      <c r="V80" s="54"/>
      <c r="W80" s="56"/>
      <c r="X80" s="57"/>
      <c r="Y80" s="38"/>
      <c r="Z80" s="38"/>
    </row>
    <row r="81">
      <c r="A81" s="38">
        <v>107.05</v>
      </c>
      <c r="B81" s="38" t="s">
        <v>49</v>
      </c>
      <c r="C81" s="38"/>
      <c r="D81" s="38" t="s">
        <v>55</v>
      </c>
      <c r="E81" s="38"/>
      <c r="F81" s="41"/>
      <c r="G81" s="43" t="s">
        <v>438</v>
      </c>
      <c r="H81" s="45"/>
      <c r="I81" s="38"/>
      <c r="J81" s="38"/>
      <c r="K81" s="46"/>
      <c r="L81" s="47"/>
      <c r="M81" s="46">
        <v>0.028182870370370372</v>
      </c>
      <c r="N81" s="46">
        <v>0.02922453703703704</v>
      </c>
      <c r="O81" s="46">
        <f t="shared" si="6"/>
        <v>0.001041666667</v>
      </c>
      <c r="P81" s="72">
        <v>43008.0</v>
      </c>
      <c r="Q81" s="61" t="str">
        <f t="shared" si="1"/>
        <v>https://www.youtube.com/embed/Vf5BOYF0S3Y?start=2435&amp;end=2525&amp;autoplay=1</v>
      </c>
      <c r="R81" s="50"/>
      <c r="S81" s="50"/>
      <c r="T81" s="50"/>
      <c r="U81" s="53"/>
      <c r="V81" s="54"/>
      <c r="W81" s="56"/>
      <c r="X81" s="57"/>
      <c r="Y81" s="38"/>
      <c r="Z81" s="38"/>
    </row>
    <row r="82">
      <c r="A82" s="38">
        <v>107.06</v>
      </c>
      <c r="B82" s="38" t="s">
        <v>49</v>
      </c>
      <c r="C82" s="38"/>
      <c r="D82" s="38" t="s">
        <v>55</v>
      </c>
      <c r="E82" s="38"/>
      <c r="F82" s="41"/>
      <c r="G82" s="43" t="s">
        <v>442</v>
      </c>
      <c r="H82" s="45"/>
      <c r="I82" s="38"/>
      <c r="J82" s="38"/>
      <c r="K82" s="46"/>
      <c r="L82" s="47"/>
      <c r="M82" s="46">
        <v>0.029282407407407406</v>
      </c>
      <c r="N82" s="46">
        <v>0.03090277777777778</v>
      </c>
      <c r="O82" s="46">
        <f t="shared" si="6"/>
        <v>0.00162037037</v>
      </c>
      <c r="P82" s="72">
        <v>43008.0</v>
      </c>
      <c r="Q82" s="61" t="str">
        <f t="shared" si="1"/>
        <v>https://www.youtube.com/embed/Vf5BOYF0S3Y?start=2530&amp;end=2670&amp;autoplay=1</v>
      </c>
      <c r="R82" s="50"/>
      <c r="S82" s="50"/>
      <c r="T82" s="50"/>
      <c r="U82" s="53"/>
      <c r="V82" s="54"/>
      <c r="W82" s="56"/>
      <c r="X82" s="57"/>
      <c r="Y82" s="38"/>
      <c r="Z82" s="38"/>
    </row>
    <row r="83">
      <c r="A83" s="38">
        <v>107.07</v>
      </c>
      <c r="B83" s="38" t="s">
        <v>49</v>
      </c>
      <c r="C83" s="38"/>
      <c r="D83" s="38" t="s">
        <v>55</v>
      </c>
      <c r="E83" s="38"/>
      <c r="F83" s="41"/>
      <c r="G83" s="43" t="s">
        <v>445</v>
      </c>
      <c r="H83" s="45"/>
      <c r="I83" s="38"/>
      <c r="J83" s="38"/>
      <c r="K83" s="46"/>
      <c r="L83" s="47"/>
      <c r="M83" s="46">
        <v>0.030960648148148147</v>
      </c>
      <c r="N83" s="46">
        <v>0.03321759259259259</v>
      </c>
      <c r="O83" s="46">
        <f t="shared" si="6"/>
        <v>0.002256944444</v>
      </c>
      <c r="P83" s="72">
        <v>43008.0</v>
      </c>
      <c r="Q83" s="61" t="str">
        <f t="shared" si="1"/>
        <v>https://www.youtube.com/embed/Vf5BOYF0S3Y?start=2675&amp;end=2870&amp;autoplay=1</v>
      </c>
      <c r="R83" s="50"/>
      <c r="S83" s="50"/>
      <c r="T83" s="50"/>
      <c r="U83" s="53"/>
      <c r="V83" s="54"/>
      <c r="W83" s="56"/>
      <c r="X83" s="57"/>
      <c r="Y83" s="38"/>
      <c r="Z83" s="38"/>
    </row>
    <row r="84">
      <c r="A84" s="38">
        <v>107.08</v>
      </c>
      <c r="B84" s="38" t="s">
        <v>49</v>
      </c>
      <c r="C84" s="38"/>
      <c r="D84" s="38" t="s">
        <v>55</v>
      </c>
      <c r="E84" s="38"/>
      <c r="F84" s="41"/>
      <c r="G84" s="43" t="s">
        <v>450</v>
      </c>
      <c r="H84" s="45"/>
      <c r="I84" s="38"/>
      <c r="J84" s="38"/>
      <c r="K84" s="46"/>
      <c r="L84" s="47"/>
      <c r="M84" s="46">
        <v>0.03715277777777778</v>
      </c>
      <c r="N84" s="46">
        <v>0.03993055555555555</v>
      </c>
      <c r="O84" s="46">
        <f t="shared" si="6"/>
        <v>0.002777777778</v>
      </c>
      <c r="P84" s="72">
        <v>43008.0</v>
      </c>
      <c r="Q84" s="61" t="str">
        <f t="shared" si="1"/>
        <v>https://www.youtube.com/embed/Vf5BOYF0S3Y?start=3210&amp;end=3450&amp;autoplay=1</v>
      </c>
      <c r="R84" s="50"/>
      <c r="S84" s="50"/>
      <c r="T84" s="50"/>
      <c r="U84" s="53"/>
      <c r="V84" s="54"/>
      <c r="W84" s="56"/>
      <c r="X84" s="57"/>
      <c r="Y84" s="38"/>
      <c r="Z84" s="38"/>
    </row>
    <row r="85">
      <c r="A85" s="38">
        <v>107.09</v>
      </c>
      <c r="B85" s="38" t="s">
        <v>49</v>
      </c>
      <c r="C85" s="38"/>
      <c r="D85" s="38" t="s">
        <v>55</v>
      </c>
      <c r="E85" s="38"/>
      <c r="F85" s="41"/>
      <c r="G85" s="43" t="s">
        <v>455</v>
      </c>
      <c r="H85" s="45"/>
      <c r="I85" s="38"/>
      <c r="J85" s="38"/>
      <c r="K85" s="46"/>
      <c r="L85" s="47"/>
      <c r="M85" s="46">
        <v>0.041666666666666664</v>
      </c>
      <c r="N85" s="46">
        <v>0.044097222222222225</v>
      </c>
      <c r="O85" s="46">
        <f t="shared" si="6"/>
        <v>0.002430555556</v>
      </c>
      <c r="P85" s="72">
        <v>43008.0</v>
      </c>
      <c r="Q85" s="61" t="str">
        <f t="shared" si="1"/>
        <v>https://www.youtube.com/embed/Vf5BOYF0S3Y?start=3600&amp;end=3810&amp;autoplay=1</v>
      </c>
      <c r="R85" s="50"/>
      <c r="S85" s="50"/>
      <c r="T85" s="50"/>
      <c r="U85" s="53"/>
      <c r="V85" s="54"/>
      <c r="W85" s="56"/>
      <c r="X85" s="57"/>
      <c r="Y85" s="38"/>
      <c r="Z85" s="38"/>
    </row>
    <row r="86">
      <c r="A86" s="38">
        <v>107.1</v>
      </c>
      <c r="B86" s="38" t="s">
        <v>49</v>
      </c>
      <c r="C86" s="38"/>
      <c r="D86" s="38" t="s">
        <v>55</v>
      </c>
      <c r="E86" s="38"/>
      <c r="F86" s="41"/>
      <c r="G86" s="43" t="s">
        <v>461</v>
      </c>
      <c r="H86" s="45"/>
      <c r="I86" s="38"/>
      <c r="J86" s="38"/>
      <c r="K86" s="46"/>
      <c r="L86" s="47"/>
      <c r="M86" s="46">
        <v>0.04549768518518518</v>
      </c>
      <c r="N86" s="46">
        <v>0.04756944444444444</v>
      </c>
      <c r="O86" s="46">
        <f t="shared" si="6"/>
        <v>0.002071759259</v>
      </c>
      <c r="P86" s="72">
        <v>43008.0</v>
      </c>
      <c r="Q86" s="61" t="str">
        <f t="shared" si="1"/>
        <v>https://www.youtube.com/embed/Vf5BOYF0S3Y?start=3931&amp;end=4110&amp;autoplay=1</v>
      </c>
      <c r="R86" s="50"/>
      <c r="S86" s="50"/>
      <c r="T86" s="50"/>
      <c r="U86" s="53"/>
      <c r="V86" s="54"/>
      <c r="W86" s="56"/>
      <c r="X86" s="57"/>
      <c r="Y86" s="38"/>
      <c r="Z86" s="38"/>
    </row>
    <row r="87">
      <c r="A87" s="38">
        <v>107.11</v>
      </c>
      <c r="B87" s="38" t="s">
        <v>49</v>
      </c>
      <c r="C87" s="38"/>
      <c r="D87" s="38" t="s">
        <v>55</v>
      </c>
      <c r="E87" s="38"/>
      <c r="F87" s="41"/>
      <c r="G87" s="43" t="s">
        <v>464</v>
      </c>
      <c r="H87" s="45" t="s">
        <v>465</v>
      </c>
      <c r="I87" s="38"/>
      <c r="J87" s="38"/>
      <c r="K87" s="46"/>
      <c r="L87" s="47"/>
      <c r="M87" s="46">
        <v>0.054247685185185184</v>
      </c>
      <c r="N87" s="46">
        <v>0.055150462962962964</v>
      </c>
      <c r="O87" s="46">
        <f t="shared" si="6"/>
        <v>0.0009027777778</v>
      </c>
      <c r="P87" s="72">
        <v>43009.0</v>
      </c>
      <c r="Q87" s="61" t="str">
        <f t="shared" si="1"/>
        <v>https://www.youtube.com/embed/Vf5BOYF0S3Y?start=4687&amp;end=4765&amp;autoplay=1</v>
      </c>
      <c r="R87" s="50"/>
      <c r="S87" s="50"/>
      <c r="T87" s="50"/>
      <c r="U87" s="53"/>
      <c r="V87" s="54"/>
      <c r="W87" s="56"/>
      <c r="X87" s="57"/>
      <c r="Y87" s="38"/>
      <c r="Z87" s="38"/>
    </row>
    <row r="88">
      <c r="A88" s="38">
        <v>107.12</v>
      </c>
      <c r="B88" s="38" t="s">
        <v>49</v>
      </c>
      <c r="C88" s="38"/>
      <c r="D88" s="38" t="s">
        <v>55</v>
      </c>
      <c r="E88" s="38"/>
      <c r="F88" s="41"/>
      <c r="G88" s="43" t="s">
        <v>468</v>
      </c>
      <c r="H88" s="45"/>
      <c r="I88" s="38"/>
      <c r="J88" s="38"/>
      <c r="K88" s="46"/>
      <c r="L88" s="47"/>
      <c r="M88" s="46">
        <v>0.060381944444444446</v>
      </c>
      <c r="N88" s="46">
        <v>0.061863425925925926</v>
      </c>
      <c r="O88" s="46">
        <f t="shared" si="6"/>
        <v>0.001481481481</v>
      </c>
      <c r="P88" s="72">
        <v>43009.0</v>
      </c>
      <c r="Q88" s="61" t="str">
        <f t="shared" si="1"/>
        <v>https://www.youtube.com/embed/Vf5BOYF0S3Y?start=5217&amp;end=5345&amp;autoplay=1</v>
      </c>
      <c r="R88" s="50"/>
      <c r="S88" s="50"/>
      <c r="T88" s="50"/>
      <c r="U88" s="53"/>
      <c r="V88" s="54"/>
      <c r="W88" s="56"/>
      <c r="X88" s="57"/>
      <c r="Y88" s="38"/>
      <c r="Z88" s="38"/>
    </row>
    <row r="89">
      <c r="A89" s="38">
        <v>107.13</v>
      </c>
      <c r="B89" s="38" t="s">
        <v>49</v>
      </c>
      <c r="C89" s="38"/>
      <c r="D89" s="38" t="s">
        <v>55</v>
      </c>
      <c r="E89" s="38"/>
      <c r="F89" s="41"/>
      <c r="G89" s="43" t="s">
        <v>473</v>
      </c>
      <c r="H89" s="45"/>
      <c r="I89" s="38"/>
      <c r="J89" s="38"/>
      <c r="K89" s="46"/>
      <c r="L89" s="47"/>
      <c r="M89" s="46">
        <v>0.06270833333333334</v>
      </c>
      <c r="N89" s="46">
        <v>0.06481481481481481</v>
      </c>
      <c r="O89" s="46">
        <f t="shared" si="6"/>
        <v>0.002106481481</v>
      </c>
      <c r="P89" s="72">
        <v>43009.0</v>
      </c>
      <c r="Q89" s="61" t="str">
        <f t="shared" si="1"/>
        <v>https://www.youtube.com/embed/Vf5BOYF0S3Y?start=5418&amp;end=5600&amp;autoplay=1</v>
      </c>
      <c r="R89" s="50"/>
      <c r="S89" s="50"/>
      <c r="T89" s="50"/>
      <c r="U89" s="53"/>
      <c r="V89" s="54"/>
      <c r="W89" s="56"/>
      <c r="X89" s="57"/>
      <c r="Y89" s="38"/>
      <c r="Z89" s="38"/>
    </row>
    <row r="90">
      <c r="A90" s="38">
        <v>107.14</v>
      </c>
      <c r="B90" s="38" t="s">
        <v>49</v>
      </c>
      <c r="C90" s="38"/>
      <c r="D90" s="38" t="s">
        <v>55</v>
      </c>
      <c r="E90" s="38"/>
      <c r="F90" s="41"/>
      <c r="G90" s="43" t="s">
        <v>475</v>
      </c>
      <c r="H90" s="45"/>
      <c r="I90" s="38"/>
      <c r="J90" s="38"/>
      <c r="K90" s="46"/>
      <c r="L90" s="47"/>
      <c r="M90" s="46">
        <v>0.07233796296296297</v>
      </c>
      <c r="N90" s="46">
        <v>0.07385416666666667</v>
      </c>
      <c r="O90" s="46">
        <f t="shared" si="6"/>
        <v>0.001516203704</v>
      </c>
      <c r="P90" s="72">
        <v>43009.0</v>
      </c>
      <c r="Q90" s="61" t="str">
        <f t="shared" si="1"/>
        <v>https://www.youtube.com/embed/Vf5BOYF0S3Y?start=6250&amp;end=6381&amp;autoplay=1</v>
      </c>
      <c r="R90" s="50"/>
      <c r="S90" s="50"/>
      <c r="T90" s="50"/>
      <c r="U90" s="53"/>
      <c r="V90" s="54"/>
      <c r="W90" s="56"/>
      <c r="X90" s="57"/>
      <c r="Y90" s="38"/>
      <c r="Z90" s="38"/>
    </row>
    <row r="91">
      <c r="A91" s="38">
        <v>79.0</v>
      </c>
      <c r="B91" s="38" t="s">
        <v>49</v>
      </c>
      <c r="C91" s="38"/>
      <c r="D91" s="38" t="s">
        <v>55</v>
      </c>
      <c r="E91" s="38" t="s">
        <v>478</v>
      </c>
      <c r="F91" s="41" t="s">
        <v>479</v>
      </c>
      <c r="G91" s="43"/>
      <c r="H91" s="45"/>
      <c r="I91" s="38"/>
      <c r="J91" s="38">
        <f>5.8*1000</f>
        <v>5800</v>
      </c>
      <c r="K91" s="46">
        <v>0.03253472222222222</v>
      </c>
      <c r="L91" s="47" t="s">
        <v>211</v>
      </c>
      <c r="M91" s="46"/>
      <c r="N91" s="46"/>
      <c r="O91" s="38"/>
      <c r="P91" s="49"/>
      <c r="Q91" s="12" t="str">
        <f t="shared" si="1"/>
        <v/>
      </c>
      <c r="R91" s="98"/>
      <c r="S91" s="50"/>
      <c r="T91" s="50"/>
      <c r="U91" s="53"/>
      <c r="V91" s="54"/>
      <c r="W91" s="56"/>
      <c r="X91" s="57"/>
      <c r="Y91" s="38"/>
      <c r="Z91" s="38"/>
      <c r="AH91" s="7"/>
      <c r="AI91" s="7"/>
      <c r="AJ91" s="7"/>
      <c r="AK91" s="7"/>
    </row>
    <row r="92">
      <c r="A92" s="100">
        <v>79.01</v>
      </c>
      <c r="B92" s="38" t="s">
        <v>49</v>
      </c>
      <c r="C92" s="39"/>
      <c r="D92" s="38" t="s">
        <v>55</v>
      </c>
      <c r="E92" s="38"/>
      <c r="F92" s="38"/>
      <c r="G92" s="38" t="s">
        <v>485</v>
      </c>
      <c r="H92" s="58"/>
      <c r="I92" s="38"/>
      <c r="J92" s="38"/>
      <c r="K92" s="46"/>
      <c r="L92" s="47"/>
      <c r="M92" s="46">
        <v>0.013819444444444445</v>
      </c>
      <c r="N92" s="46">
        <v>0.014953703703703703</v>
      </c>
      <c r="O92" s="60">
        <f>N92-M92</f>
        <v>0.001134259259</v>
      </c>
      <c r="P92" s="49">
        <v>43009.0</v>
      </c>
      <c r="Q92" s="61" t="str">
        <f t="shared" si="1"/>
        <v>https://www.youtube.com/embed/uDANJcQm-So?start=1194&amp;end=1292&amp;autoplay=1</v>
      </c>
      <c r="R92" s="98"/>
      <c r="S92" s="50"/>
      <c r="T92" s="50"/>
      <c r="U92" s="53"/>
      <c r="V92" s="54"/>
      <c r="W92" s="56"/>
      <c r="X92" s="57"/>
      <c r="Y92" s="38"/>
      <c r="Z92" s="38"/>
    </row>
    <row r="93">
      <c r="A93" s="39">
        <v>94.0</v>
      </c>
      <c r="B93" s="38" t="s">
        <v>49</v>
      </c>
      <c r="C93" s="38"/>
      <c r="D93" s="38" t="s">
        <v>55</v>
      </c>
      <c r="E93" s="38" t="s">
        <v>489</v>
      </c>
      <c r="F93" s="104" t="s">
        <v>490</v>
      </c>
      <c r="G93" s="38"/>
      <c r="H93" s="45"/>
      <c r="I93" s="38"/>
      <c r="J93" s="38">
        <f>2.5*1000</f>
        <v>2500</v>
      </c>
      <c r="K93" s="46">
        <v>0.06649305555555556</v>
      </c>
      <c r="L93" s="47" t="s">
        <v>211</v>
      </c>
      <c r="M93" s="46"/>
      <c r="N93" s="46"/>
      <c r="O93" s="60"/>
      <c r="P93" s="49"/>
      <c r="Q93" s="12" t="str">
        <f t="shared" si="1"/>
        <v/>
      </c>
      <c r="R93" s="98"/>
      <c r="S93" s="50"/>
      <c r="T93" s="50"/>
      <c r="U93" s="53"/>
      <c r="V93" s="54"/>
      <c r="W93" s="56"/>
      <c r="X93" s="57"/>
      <c r="Y93" s="38"/>
      <c r="Z93" s="38"/>
    </row>
    <row r="94">
      <c r="A94" s="100">
        <v>94.01</v>
      </c>
      <c r="B94" s="38" t="s">
        <v>49</v>
      </c>
      <c r="C94" s="38"/>
      <c r="D94" s="38" t="s">
        <v>55</v>
      </c>
      <c r="E94" s="38"/>
      <c r="F94" s="38"/>
      <c r="G94" s="38" t="s">
        <v>495</v>
      </c>
      <c r="H94" s="12"/>
      <c r="I94" s="38"/>
      <c r="J94" s="38"/>
      <c r="K94" s="46"/>
      <c r="L94" s="47"/>
      <c r="M94" s="46">
        <v>0.010462962962962962</v>
      </c>
      <c r="N94" s="46">
        <v>0.01642361111111111</v>
      </c>
      <c r="O94" s="60">
        <f t="shared" ref="O94:O104" si="7">N94-M94</f>
        <v>0.005960648148</v>
      </c>
      <c r="P94" s="49">
        <v>43010.0</v>
      </c>
      <c r="Q94" s="61" t="str">
        <f t="shared" si="1"/>
        <v>https://www.youtube.com/embed/fjD9BVlmPoA?start=904&amp;end=1419&amp;autoplay=1</v>
      </c>
      <c r="R94" s="98"/>
      <c r="S94" s="50"/>
      <c r="T94" s="50"/>
      <c r="U94" s="53"/>
      <c r="V94" s="54"/>
      <c r="W94" s="56"/>
      <c r="X94" s="57"/>
      <c r="Y94" s="38"/>
      <c r="Z94" s="38"/>
    </row>
    <row r="95">
      <c r="A95" s="100">
        <v>94.02</v>
      </c>
      <c r="B95" s="38" t="s">
        <v>49</v>
      </c>
      <c r="C95" s="39"/>
      <c r="D95" s="38" t="s">
        <v>55</v>
      </c>
      <c r="E95" s="38"/>
      <c r="F95" s="38"/>
      <c r="G95" s="38" t="s">
        <v>499</v>
      </c>
      <c r="H95" s="45" t="s">
        <v>500</v>
      </c>
      <c r="I95" s="38"/>
      <c r="J95" s="38"/>
      <c r="K95" s="46"/>
      <c r="L95" s="47"/>
      <c r="M95" s="46">
        <v>0.019780092592592592</v>
      </c>
      <c r="N95" s="46">
        <v>0.02141203703703704</v>
      </c>
      <c r="O95" s="60">
        <f t="shared" si="7"/>
        <v>0.001631944444</v>
      </c>
      <c r="P95" s="49">
        <v>43010.0</v>
      </c>
      <c r="Q95" s="61" t="str">
        <f t="shared" si="1"/>
        <v>https://www.youtube.com/embed/fjD9BVlmPoA?start=1709&amp;end=1850&amp;autoplay=1</v>
      </c>
      <c r="R95" s="98"/>
      <c r="S95" s="50"/>
      <c r="T95" s="50"/>
      <c r="U95" s="53"/>
      <c r="V95" s="54"/>
      <c r="W95" s="56"/>
      <c r="X95" s="57"/>
      <c r="Y95" s="38"/>
      <c r="Z95" s="38"/>
    </row>
    <row r="96">
      <c r="A96" s="100">
        <v>94.03</v>
      </c>
      <c r="B96" s="38" t="s">
        <v>49</v>
      </c>
      <c r="C96" s="38"/>
      <c r="D96" s="38" t="s">
        <v>55</v>
      </c>
      <c r="E96" s="38"/>
      <c r="F96" s="38"/>
      <c r="G96" s="38" t="s">
        <v>503</v>
      </c>
      <c r="H96" s="12"/>
      <c r="I96" s="38"/>
      <c r="J96" s="38"/>
      <c r="K96" s="46"/>
      <c r="L96" s="47"/>
      <c r="M96" s="46">
        <v>0.027141203703703702</v>
      </c>
      <c r="N96" s="46">
        <v>0.02824074074074074</v>
      </c>
      <c r="O96" s="60">
        <f t="shared" si="7"/>
        <v>0.001099537037</v>
      </c>
      <c r="P96" s="49">
        <v>43010.0</v>
      </c>
      <c r="Q96" s="61" t="str">
        <f t="shared" si="1"/>
        <v>https://www.youtube.com/embed/fjD9BVlmPoA?start=2345&amp;end=2440&amp;autoplay=1</v>
      </c>
      <c r="R96" s="98"/>
      <c r="S96" s="50"/>
      <c r="T96" s="50"/>
      <c r="U96" s="53"/>
      <c r="V96" s="54"/>
      <c r="W96" s="56"/>
      <c r="X96" s="57"/>
      <c r="Y96" s="38"/>
      <c r="Z96" s="38"/>
    </row>
    <row r="97">
      <c r="A97" s="100">
        <v>94.04</v>
      </c>
      <c r="B97" s="38" t="s">
        <v>49</v>
      </c>
      <c r="C97" s="38"/>
      <c r="D97" s="38" t="s">
        <v>55</v>
      </c>
      <c r="E97" s="38"/>
      <c r="F97" s="38"/>
      <c r="G97" s="38" t="s">
        <v>509</v>
      </c>
      <c r="H97" s="12"/>
      <c r="I97" s="38"/>
      <c r="J97" s="38"/>
      <c r="K97" s="46"/>
      <c r="L97" s="47"/>
      <c r="M97" s="46">
        <v>0.028356481481481483</v>
      </c>
      <c r="N97" s="46">
        <v>0.03321759259259259</v>
      </c>
      <c r="O97" s="60">
        <f t="shared" si="7"/>
        <v>0.004861111111</v>
      </c>
      <c r="P97" s="49">
        <v>43010.0</v>
      </c>
      <c r="Q97" s="61" t="str">
        <f t="shared" si="1"/>
        <v>https://www.youtube.com/embed/fjD9BVlmPoA?start=2450&amp;end=2870&amp;autoplay=1</v>
      </c>
      <c r="R97" s="98"/>
      <c r="S97" s="50"/>
      <c r="T97" s="50"/>
      <c r="U97" s="53"/>
      <c r="V97" s="54"/>
      <c r="W97" s="56"/>
      <c r="X97" s="57"/>
      <c r="Y97" s="38"/>
      <c r="Z97" s="38"/>
    </row>
    <row r="98">
      <c r="A98" s="100">
        <v>94.05</v>
      </c>
      <c r="B98" s="38" t="s">
        <v>49</v>
      </c>
      <c r="C98" s="38"/>
      <c r="D98" s="38" t="s">
        <v>55</v>
      </c>
      <c r="E98" s="38"/>
      <c r="F98" s="38"/>
      <c r="G98" s="38" t="s">
        <v>513</v>
      </c>
      <c r="H98" s="45"/>
      <c r="I98" s="38"/>
      <c r="J98" s="38"/>
      <c r="K98" s="46"/>
      <c r="L98" s="47"/>
      <c r="M98" s="46">
        <v>0.04090277777777778</v>
      </c>
      <c r="N98" s="46">
        <v>0.04605324074074074</v>
      </c>
      <c r="O98" s="60">
        <f t="shared" si="7"/>
        <v>0.005150462963</v>
      </c>
      <c r="P98" s="49">
        <v>43010.0</v>
      </c>
      <c r="Q98" s="61" t="str">
        <f t="shared" si="1"/>
        <v>https://www.youtube.com/embed/fjD9BVlmPoA?start=3534&amp;end=3979&amp;autoplay=1</v>
      </c>
      <c r="R98" s="98"/>
      <c r="S98" s="50"/>
      <c r="T98" s="50"/>
      <c r="U98" s="53"/>
      <c r="V98" s="54"/>
      <c r="W98" s="56"/>
      <c r="X98" s="57"/>
      <c r="Y98" s="38"/>
      <c r="Z98" s="38"/>
    </row>
    <row r="99">
      <c r="A99" s="100">
        <v>94.06</v>
      </c>
      <c r="B99" s="38" t="s">
        <v>49</v>
      </c>
      <c r="C99" s="38"/>
      <c r="D99" s="38" t="s">
        <v>55</v>
      </c>
      <c r="E99" s="38"/>
      <c r="F99" s="38"/>
      <c r="G99" s="38" t="s">
        <v>517</v>
      </c>
      <c r="H99" s="58" t="s">
        <v>518</v>
      </c>
      <c r="I99" s="38"/>
      <c r="J99" s="38"/>
      <c r="K99" s="46"/>
      <c r="L99" s="47"/>
      <c r="M99" s="46">
        <v>0.04722222222222222</v>
      </c>
      <c r="N99" s="46">
        <v>0.049421296296296297</v>
      </c>
      <c r="O99" s="60">
        <f t="shared" si="7"/>
        <v>0.002199074074</v>
      </c>
      <c r="P99" s="49">
        <v>43010.0</v>
      </c>
      <c r="Q99" s="61" t="str">
        <f t="shared" si="1"/>
        <v>https://www.youtube.com/embed/fjD9BVlmPoA?start=4080&amp;end=4270&amp;autoplay=1</v>
      </c>
      <c r="R99" s="98"/>
      <c r="S99" s="50"/>
      <c r="T99" s="50"/>
      <c r="U99" s="53"/>
      <c r="V99" s="54"/>
      <c r="W99" s="56"/>
      <c r="X99" s="57"/>
      <c r="Y99" s="38"/>
      <c r="Z99" s="38"/>
    </row>
    <row r="100">
      <c r="A100" s="100">
        <v>94.07</v>
      </c>
      <c r="B100" s="38" t="s">
        <v>49</v>
      </c>
      <c r="C100" s="38"/>
      <c r="D100" s="38" t="s">
        <v>55</v>
      </c>
      <c r="E100" s="38"/>
      <c r="F100" s="38"/>
      <c r="G100" s="39" t="s">
        <v>523</v>
      </c>
      <c r="H100" s="45"/>
      <c r="I100" s="38"/>
      <c r="J100" s="38"/>
      <c r="K100" s="46"/>
      <c r="L100" s="47"/>
      <c r="M100" s="46">
        <v>0.05219907407407407</v>
      </c>
      <c r="N100" s="46">
        <v>0.053703703703703705</v>
      </c>
      <c r="O100" s="60">
        <f t="shared" si="7"/>
        <v>0.00150462963</v>
      </c>
      <c r="P100" s="49">
        <v>43010.0</v>
      </c>
      <c r="Q100" s="61" t="str">
        <f t="shared" si="1"/>
        <v>https://www.youtube.com/embed/fjD9BVlmPoA?start=4510&amp;end=4640&amp;autoplay=1</v>
      </c>
      <c r="R100" s="98"/>
      <c r="S100" s="50"/>
      <c r="T100" s="50"/>
      <c r="U100" s="53"/>
      <c r="V100" s="54"/>
      <c r="W100" s="56"/>
      <c r="X100" s="57"/>
      <c r="Y100" s="38"/>
      <c r="Z100" s="38"/>
    </row>
    <row r="101">
      <c r="A101" s="100">
        <v>94.08</v>
      </c>
      <c r="B101" s="38" t="s">
        <v>49</v>
      </c>
      <c r="C101" s="38"/>
      <c r="D101" s="38" t="s">
        <v>55</v>
      </c>
      <c r="E101" s="38"/>
      <c r="F101" s="38"/>
      <c r="G101" s="38" t="s">
        <v>528</v>
      </c>
      <c r="H101" s="45" t="s">
        <v>529</v>
      </c>
      <c r="I101" s="38"/>
      <c r="J101" s="38"/>
      <c r="K101" s="46"/>
      <c r="L101" s="47"/>
      <c r="M101" s="46">
        <v>0.05376157407407407</v>
      </c>
      <c r="N101" s="46">
        <v>0.05649305555555555</v>
      </c>
      <c r="O101" s="60">
        <f t="shared" si="7"/>
        <v>0.002731481481</v>
      </c>
      <c r="P101" s="49">
        <v>43010.0</v>
      </c>
      <c r="Q101" s="61" t="str">
        <f t="shared" si="1"/>
        <v>https://www.youtube.com/embed/fjD9BVlmPoA?start=4645&amp;end=4881&amp;autoplay=1</v>
      </c>
      <c r="R101" s="98"/>
      <c r="S101" s="50"/>
      <c r="T101" s="50"/>
      <c r="U101" s="53"/>
      <c r="V101" s="54"/>
      <c r="W101" s="56"/>
      <c r="X101" s="57"/>
      <c r="Y101" s="38"/>
      <c r="Z101" s="38"/>
    </row>
    <row r="102">
      <c r="A102" s="100">
        <v>94.09</v>
      </c>
      <c r="B102" s="38" t="s">
        <v>49</v>
      </c>
      <c r="C102" s="38"/>
      <c r="D102" s="38" t="s">
        <v>55</v>
      </c>
      <c r="E102" s="38"/>
      <c r="F102" s="38"/>
      <c r="G102" s="38" t="s">
        <v>533</v>
      </c>
      <c r="H102" s="45"/>
      <c r="I102" s="38"/>
      <c r="J102" s="38"/>
      <c r="K102" s="46"/>
      <c r="L102" s="47"/>
      <c r="M102" s="46">
        <v>0.056539351851851855</v>
      </c>
      <c r="N102" s="46">
        <v>0.057060185185185186</v>
      </c>
      <c r="O102" s="60">
        <f t="shared" si="7"/>
        <v>0.0005208333333</v>
      </c>
      <c r="P102" s="49">
        <v>43010.0</v>
      </c>
      <c r="Q102" s="61" t="str">
        <f t="shared" si="1"/>
        <v>https://www.youtube.com/embed/fjD9BVlmPoA?start=4885&amp;end=4930&amp;autoplay=1</v>
      </c>
      <c r="R102" s="98"/>
      <c r="S102" s="50"/>
      <c r="T102" s="50"/>
      <c r="U102" s="53"/>
      <c r="V102" s="54"/>
      <c r="W102" s="56"/>
      <c r="X102" s="57"/>
      <c r="Y102" s="38"/>
      <c r="Z102" s="38"/>
    </row>
    <row r="103">
      <c r="A103" s="100">
        <v>94.1</v>
      </c>
      <c r="B103" s="38" t="s">
        <v>49</v>
      </c>
      <c r="C103" s="38"/>
      <c r="D103" s="38" t="s">
        <v>55</v>
      </c>
      <c r="E103" s="38"/>
      <c r="F103" s="38"/>
      <c r="G103" s="38" t="s">
        <v>539</v>
      </c>
      <c r="H103" s="45"/>
      <c r="I103" s="38"/>
      <c r="J103" s="38"/>
      <c r="K103" s="46"/>
      <c r="L103" s="47"/>
      <c r="M103" s="46">
        <v>0.05717592592592593</v>
      </c>
      <c r="N103" s="46">
        <v>0.06128472222222222</v>
      </c>
      <c r="O103" s="60">
        <f t="shared" si="7"/>
        <v>0.004108796296</v>
      </c>
      <c r="P103" s="49">
        <v>43010.0</v>
      </c>
      <c r="Q103" s="61" t="str">
        <f t="shared" si="1"/>
        <v>https://www.youtube.com/embed/fjD9BVlmPoA?start=4940&amp;end=5295&amp;autoplay=1</v>
      </c>
      <c r="R103" s="98"/>
      <c r="S103" s="50"/>
      <c r="T103" s="50"/>
      <c r="U103" s="53"/>
      <c r="V103" s="54"/>
      <c r="W103" s="56"/>
      <c r="X103" s="57"/>
      <c r="Y103" s="38"/>
      <c r="Z103" s="38"/>
    </row>
    <row r="104">
      <c r="A104" s="38">
        <v>178.0</v>
      </c>
      <c r="B104" s="63" t="s">
        <v>49</v>
      </c>
      <c r="C104" s="51"/>
      <c r="D104" s="39" t="s">
        <v>55</v>
      </c>
      <c r="E104" s="38" t="s">
        <v>546</v>
      </c>
      <c r="F104" s="41" t="s">
        <v>547</v>
      </c>
      <c r="G104" s="43"/>
      <c r="H104" s="45"/>
      <c r="I104" s="38"/>
      <c r="J104" s="38">
        <f>2.5*1000</f>
        <v>2500</v>
      </c>
      <c r="K104" s="46">
        <v>0.04719907407407407</v>
      </c>
      <c r="L104" s="47" t="s">
        <v>551</v>
      </c>
      <c r="M104" s="38"/>
      <c r="N104" s="38"/>
      <c r="O104" s="60">
        <f t="shared" si="7"/>
        <v>0</v>
      </c>
      <c r="P104" s="38"/>
      <c r="Q104" s="12" t="str">
        <f t="shared" si="1"/>
        <v/>
      </c>
      <c r="R104" s="42"/>
      <c r="S104" s="42"/>
      <c r="T104" s="42"/>
      <c r="U104" s="51"/>
      <c r="V104" s="52"/>
      <c r="W104" s="85" t="s">
        <v>62</v>
      </c>
      <c r="X104" s="57"/>
      <c r="Y104" s="106"/>
      <c r="Z104" s="106"/>
      <c r="AA104" s="106"/>
      <c r="AB104" s="106"/>
    </row>
    <row r="105">
      <c r="A105" s="107">
        <v>178.01</v>
      </c>
      <c r="B105" s="63" t="s">
        <v>49</v>
      </c>
      <c r="C105" s="51"/>
      <c r="D105" s="39" t="s">
        <v>55</v>
      </c>
      <c r="E105" s="38"/>
      <c r="F105" s="41"/>
      <c r="G105" s="108" t="s">
        <v>558</v>
      </c>
      <c r="H105" s="58"/>
      <c r="I105" s="38"/>
      <c r="J105" s="38"/>
      <c r="K105" s="46"/>
      <c r="L105" s="47"/>
      <c r="M105" s="84"/>
      <c r="N105" s="84"/>
      <c r="O105" s="60"/>
      <c r="P105" s="89">
        <v>43017.0</v>
      </c>
      <c r="Q105" s="12"/>
      <c r="R105" s="63"/>
      <c r="S105" s="63"/>
      <c r="T105" s="63"/>
      <c r="U105" s="51"/>
      <c r="V105" s="52"/>
      <c r="W105" s="85"/>
      <c r="X105" s="57"/>
      <c r="Y105" s="39" t="s">
        <v>561</v>
      </c>
      <c r="Z105" s="39" t="s">
        <v>562</v>
      </c>
    </row>
    <row r="106">
      <c r="A106" s="39">
        <v>178.02</v>
      </c>
      <c r="B106" s="63" t="s">
        <v>49</v>
      </c>
      <c r="C106" s="51"/>
      <c r="D106" s="39" t="s">
        <v>55</v>
      </c>
      <c r="E106" s="38"/>
      <c r="F106" s="41"/>
      <c r="G106" s="62" t="s">
        <v>564</v>
      </c>
      <c r="H106" s="58" t="s">
        <v>566</v>
      </c>
      <c r="I106" s="38"/>
      <c r="J106" s="38"/>
      <c r="K106" s="46"/>
      <c r="L106" s="47"/>
      <c r="M106" s="84">
        <v>0.007152777777777778</v>
      </c>
      <c r="N106" s="84">
        <v>0.011956018518518519</v>
      </c>
      <c r="O106" s="60">
        <f t="shared" ref="O106:O113" si="8">N106-M106</f>
        <v>0.004803240741</v>
      </c>
      <c r="P106" s="89">
        <v>43017.0</v>
      </c>
      <c r="Q106" s="61" t="str">
        <f t="shared" ref="Q106:Q126" si="9">HYPERLINK(IF(INT(A106)-A106=0,"",REPLACE(INDIRECT("MasterList!e"&amp;INT(A106)+1),25,8,"embed/")&amp;"?start="&amp;HOUR(M106)*3600+MINUTE(M106)*60+SECOND(M106)&amp;"&amp;end="&amp;HOUR(N106)*3600+MINUTE(N106)*60+SECOND(N106)&amp;"&amp;autoplay=1"))</f>
        <v>https://www.youtube.com/embed/cpZPvFvzNlc?start=618&amp;end=1033&amp;autoplay=1</v>
      </c>
      <c r="R106" s="67" t="s">
        <v>61</v>
      </c>
      <c r="S106" s="67" t="s">
        <v>61</v>
      </c>
      <c r="T106" s="67" t="s">
        <v>61</v>
      </c>
      <c r="U106" s="53"/>
      <c r="V106" s="54"/>
      <c r="W106" s="85" t="s">
        <v>62</v>
      </c>
      <c r="X106" s="57"/>
      <c r="Y106" s="38"/>
      <c r="Z106" s="38"/>
    </row>
    <row r="107">
      <c r="A107" s="107">
        <v>178.03</v>
      </c>
      <c r="B107" s="63" t="s">
        <v>49</v>
      </c>
      <c r="C107" s="51"/>
      <c r="D107" s="39" t="s">
        <v>55</v>
      </c>
      <c r="E107" s="38"/>
      <c r="F107" s="41"/>
      <c r="G107" s="62" t="s">
        <v>574</v>
      </c>
      <c r="H107" s="58" t="s">
        <v>575</v>
      </c>
      <c r="I107" s="38"/>
      <c r="J107" s="38"/>
      <c r="K107" s="46"/>
      <c r="L107" s="47"/>
      <c r="M107" s="84">
        <v>0.012060185185185186</v>
      </c>
      <c r="N107" s="84">
        <v>0.012615740740740742</v>
      </c>
      <c r="O107" s="60">
        <f t="shared" si="8"/>
        <v>0.0005555555556</v>
      </c>
      <c r="P107" s="89">
        <v>43017.0</v>
      </c>
      <c r="Q107" s="61" t="str">
        <f t="shared" si="9"/>
        <v>https://www.youtube.com/embed/cpZPvFvzNlc?start=1042&amp;end=1090&amp;autoplay=1</v>
      </c>
      <c r="R107" s="67" t="s">
        <v>61</v>
      </c>
      <c r="S107" s="67" t="s">
        <v>61</v>
      </c>
      <c r="T107" s="67" t="s">
        <v>61</v>
      </c>
      <c r="U107" s="53"/>
      <c r="V107" s="54"/>
      <c r="W107" s="85" t="s">
        <v>62</v>
      </c>
      <c r="X107" s="57"/>
      <c r="Y107" s="38"/>
      <c r="Z107" s="38"/>
    </row>
    <row r="108">
      <c r="A108" s="39">
        <v>178.04</v>
      </c>
      <c r="B108" s="63" t="s">
        <v>49</v>
      </c>
      <c r="C108" s="51"/>
      <c r="D108" s="39" t="s">
        <v>55</v>
      </c>
      <c r="E108" s="38"/>
      <c r="F108" s="41"/>
      <c r="G108" s="62" t="s">
        <v>578</v>
      </c>
      <c r="H108" s="58"/>
      <c r="I108" s="38"/>
      <c r="J108" s="38"/>
      <c r="K108" s="46"/>
      <c r="L108" s="47"/>
      <c r="M108" s="84">
        <v>0.016805555555555556</v>
      </c>
      <c r="N108" s="84">
        <v>0.017893518518518517</v>
      </c>
      <c r="O108" s="60">
        <f t="shared" si="8"/>
        <v>0.001087962963</v>
      </c>
      <c r="P108" s="89">
        <v>43017.0</v>
      </c>
      <c r="Q108" s="61" t="str">
        <f t="shared" si="9"/>
        <v>https://www.youtube.com/embed/cpZPvFvzNlc?start=1452&amp;end=1546&amp;autoplay=1</v>
      </c>
      <c r="R108" s="67" t="s">
        <v>61</v>
      </c>
      <c r="S108" s="67" t="s">
        <v>61</v>
      </c>
      <c r="T108" s="67" t="s">
        <v>61</v>
      </c>
      <c r="U108" s="53"/>
      <c r="V108" s="54"/>
      <c r="W108" s="85" t="s">
        <v>62</v>
      </c>
      <c r="X108" s="57"/>
      <c r="Y108" s="38"/>
      <c r="Z108" s="38"/>
    </row>
    <row r="109">
      <c r="A109" s="107">
        <v>178.05</v>
      </c>
      <c r="B109" s="63" t="s">
        <v>49</v>
      </c>
      <c r="C109" s="51"/>
      <c r="D109" s="39" t="s">
        <v>55</v>
      </c>
      <c r="E109" s="38"/>
      <c r="F109" s="41"/>
      <c r="G109" s="62" t="s">
        <v>581</v>
      </c>
      <c r="H109" s="45"/>
      <c r="I109" s="38"/>
      <c r="J109" s="38"/>
      <c r="K109" s="46"/>
      <c r="L109" s="47"/>
      <c r="M109" s="84">
        <v>0.019247685185185184</v>
      </c>
      <c r="N109" s="84">
        <v>0.02263888888888889</v>
      </c>
      <c r="O109" s="60">
        <f t="shared" si="8"/>
        <v>0.003391203704</v>
      </c>
      <c r="P109" s="89">
        <v>43017.0</v>
      </c>
      <c r="Q109" s="61" t="str">
        <f t="shared" si="9"/>
        <v>https://www.youtube.com/embed/cpZPvFvzNlc?start=1663&amp;end=1956&amp;autoplay=1</v>
      </c>
      <c r="R109" s="67" t="s">
        <v>61</v>
      </c>
      <c r="S109" s="67" t="s">
        <v>61</v>
      </c>
      <c r="T109" s="67" t="s">
        <v>61</v>
      </c>
      <c r="U109" s="53"/>
      <c r="V109" s="54"/>
      <c r="W109" s="85" t="s">
        <v>62</v>
      </c>
      <c r="X109" s="57"/>
      <c r="Y109" s="38"/>
      <c r="Z109" s="38"/>
    </row>
    <row r="110">
      <c r="A110" s="39">
        <v>178.06</v>
      </c>
      <c r="B110" s="63" t="s">
        <v>49</v>
      </c>
      <c r="C110" s="51"/>
      <c r="D110" s="39" t="s">
        <v>55</v>
      </c>
      <c r="E110" s="38"/>
      <c r="F110" s="41"/>
      <c r="G110" s="62" t="s">
        <v>586</v>
      </c>
      <c r="H110" s="45"/>
      <c r="I110" s="38"/>
      <c r="J110" s="38"/>
      <c r="K110" s="46"/>
      <c r="L110" s="47"/>
      <c r="M110" s="84">
        <v>0.02287037037037037</v>
      </c>
      <c r="N110" s="84">
        <v>0.023854166666666666</v>
      </c>
      <c r="O110" s="60">
        <f t="shared" si="8"/>
        <v>0.0009837962963</v>
      </c>
      <c r="P110" s="89">
        <v>43017.0</v>
      </c>
      <c r="Q110" s="61" t="str">
        <f t="shared" si="9"/>
        <v>https://www.youtube.com/embed/cpZPvFvzNlc?start=1976&amp;end=2061&amp;autoplay=1</v>
      </c>
      <c r="R110" s="67" t="s">
        <v>61</v>
      </c>
      <c r="S110" s="67" t="s">
        <v>61</v>
      </c>
      <c r="T110" s="67" t="s">
        <v>61</v>
      </c>
      <c r="U110" s="53"/>
      <c r="V110" s="54"/>
      <c r="W110" s="85" t="s">
        <v>62</v>
      </c>
      <c r="X110" s="57"/>
      <c r="Y110" s="38"/>
      <c r="Z110" s="38"/>
    </row>
    <row r="111">
      <c r="A111" s="107">
        <v>178.07</v>
      </c>
      <c r="B111" s="63" t="s">
        <v>49</v>
      </c>
      <c r="C111" s="51"/>
      <c r="D111" s="39" t="s">
        <v>55</v>
      </c>
      <c r="E111" s="38"/>
      <c r="F111" s="41"/>
      <c r="G111" s="62" t="s">
        <v>592</v>
      </c>
      <c r="H111" s="45"/>
      <c r="I111" s="38"/>
      <c r="J111" s="38"/>
      <c r="K111" s="46"/>
      <c r="L111" s="47"/>
      <c r="M111" s="84">
        <v>0.024074074074074074</v>
      </c>
      <c r="N111" s="84">
        <v>0.025717592592592594</v>
      </c>
      <c r="O111" s="60">
        <f t="shared" si="8"/>
        <v>0.001643518519</v>
      </c>
      <c r="P111" s="89">
        <v>43017.0</v>
      </c>
      <c r="Q111" s="61" t="str">
        <f t="shared" si="9"/>
        <v>https://www.youtube.com/embed/cpZPvFvzNlc?start=2080&amp;end=2222&amp;autoplay=1</v>
      </c>
      <c r="R111" s="67" t="s">
        <v>61</v>
      </c>
      <c r="S111" s="67" t="s">
        <v>61</v>
      </c>
      <c r="T111" s="67" t="s">
        <v>61</v>
      </c>
      <c r="U111" s="53"/>
      <c r="V111" s="54"/>
      <c r="W111" s="85" t="s">
        <v>62</v>
      </c>
      <c r="X111" s="57"/>
      <c r="Y111" s="38"/>
      <c r="Z111" s="38"/>
    </row>
    <row r="112">
      <c r="A112" s="39">
        <v>178.08</v>
      </c>
      <c r="B112" s="63" t="s">
        <v>49</v>
      </c>
      <c r="C112" s="51"/>
      <c r="D112" s="39" t="s">
        <v>55</v>
      </c>
      <c r="E112" s="38"/>
      <c r="F112" s="38"/>
      <c r="G112" s="39" t="s">
        <v>598</v>
      </c>
      <c r="H112" s="45"/>
      <c r="I112" s="38"/>
      <c r="J112" s="38"/>
      <c r="K112" s="46"/>
      <c r="L112" s="47"/>
      <c r="M112" s="84">
        <v>0.04168981481481481</v>
      </c>
      <c r="N112" s="84">
        <v>0.04282407407407408</v>
      </c>
      <c r="O112" s="60">
        <f t="shared" si="8"/>
        <v>0.001134259259</v>
      </c>
      <c r="P112" s="89">
        <v>43017.0</v>
      </c>
      <c r="Q112" s="61" t="str">
        <f t="shared" si="9"/>
        <v>https://www.youtube.com/embed/cpZPvFvzNlc?start=3602&amp;end=3700&amp;autoplay=1</v>
      </c>
      <c r="R112" s="67" t="s">
        <v>61</v>
      </c>
      <c r="S112" s="67" t="s">
        <v>61</v>
      </c>
      <c r="T112" s="67" t="s">
        <v>61</v>
      </c>
      <c r="U112" s="53"/>
      <c r="V112" s="54"/>
      <c r="W112" s="85" t="s">
        <v>62</v>
      </c>
      <c r="X112" s="57"/>
      <c r="Y112" s="38"/>
      <c r="Z112" s="38"/>
    </row>
    <row r="113">
      <c r="A113" s="107">
        <v>178.09</v>
      </c>
      <c r="B113" s="63" t="s">
        <v>49</v>
      </c>
      <c r="C113" s="51"/>
      <c r="D113" s="39" t="s">
        <v>55</v>
      </c>
      <c r="E113" s="38"/>
      <c r="F113" s="41"/>
      <c r="G113" s="62" t="s">
        <v>602</v>
      </c>
      <c r="H113" s="45"/>
      <c r="I113" s="38"/>
      <c r="J113" s="38"/>
      <c r="K113" s="46"/>
      <c r="L113" s="47"/>
      <c r="M113" s="84">
        <v>0.042847222222222224</v>
      </c>
      <c r="N113" s="84">
        <v>0.04486111111111111</v>
      </c>
      <c r="O113" s="60">
        <f t="shared" si="8"/>
        <v>0.002013888889</v>
      </c>
      <c r="P113" s="89">
        <v>43017.0</v>
      </c>
      <c r="Q113" s="61" t="str">
        <f t="shared" si="9"/>
        <v>https://www.youtube.com/embed/cpZPvFvzNlc?start=3702&amp;end=3876&amp;autoplay=1</v>
      </c>
      <c r="R113" s="67" t="s">
        <v>61</v>
      </c>
      <c r="S113" s="67" t="s">
        <v>61</v>
      </c>
      <c r="T113" s="67" t="s">
        <v>61</v>
      </c>
      <c r="U113" s="53"/>
      <c r="V113" s="54"/>
      <c r="W113" s="85" t="s">
        <v>62</v>
      </c>
      <c r="X113" s="57"/>
      <c r="Y113" s="38"/>
      <c r="Z113" s="38"/>
    </row>
    <row r="114">
      <c r="A114" s="38">
        <v>89.0</v>
      </c>
      <c r="B114" s="63" t="s">
        <v>49</v>
      </c>
      <c r="C114" s="51"/>
      <c r="D114" s="39" t="s">
        <v>145</v>
      </c>
      <c r="E114" s="38" t="s">
        <v>554</v>
      </c>
      <c r="F114" s="41" t="s">
        <v>555</v>
      </c>
      <c r="G114" s="43"/>
      <c r="H114" s="45"/>
      <c r="I114" s="38"/>
      <c r="J114" s="38">
        <f>15*1000</f>
        <v>15000</v>
      </c>
      <c r="K114" s="46">
        <v>0.0402662037037037</v>
      </c>
      <c r="L114" s="47" t="s">
        <v>211</v>
      </c>
      <c r="M114" s="48"/>
      <c r="N114" s="48"/>
      <c r="O114" s="38"/>
      <c r="P114" s="89">
        <v>43020.0</v>
      </c>
      <c r="Q114" s="12" t="str">
        <f t="shared" si="9"/>
        <v/>
      </c>
      <c r="R114" s="42"/>
      <c r="S114" s="42"/>
      <c r="T114" s="42"/>
      <c r="U114" s="51"/>
      <c r="V114" s="52"/>
      <c r="W114" s="55"/>
      <c r="X114" s="57"/>
      <c r="Y114" s="38"/>
      <c r="Z114" s="38"/>
      <c r="AA114" s="38"/>
      <c r="AB114" s="38"/>
    </row>
    <row r="115">
      <c r="A115" s="107">
        <v>89.01</v>
      </c>
      <c r="B115" s="63" t="s">
        <v>49</v>
      </c>
      <c r="C115" s="51"/>
      <c r="D115" s="39" t="s">
        <v>145</v>
      </c>
      <c r="E115" s="38"/>
      <c r="F115" s="41"/>
      <c r="G115" s="62" t="s">
        <v>609</v>
      </c>
      <c r="H115" s="58"/>
      <c r="I115" s="38"/>
      <c r="J115" s="38"/>
      <c r="K115" s="46"/>
      <c r="L115" s="47"/>
      <c r="M115" s="110">
        <v>0.0015046296296296296</v>
      </c>
      <c r="N115" s="111">
        <v>0.007361111111111111</v>
      </c>
      <c r="O115" s="46">
        <f t="shared" ref="O115:O126" si="10">N115-M115</f>
        <v>0.005856481481</v>
      </c>
      <c r="P115" s="89">
        <v>43020.0</v>
      </c>
      <c r="Q115" s="61" t="str">
        <f t="shared" si="9"/>
        <v>https://www.youtube.com/embed/Wrs0XEoFHAM?start=130&amp;end=636&amp;autoplay=1</v>
      </c>
      <c r="R115" s="50"/>
      <c r="S115" s="50"/>
      <c r="T115" s="50"/>
      <c r="U115" s="53"/>
      <c r="V115" s="54"/>
      <c r="W115" s="56"/>
      <c r="X115" s="57"/>
      <c r="Y115" s="38"/>
      <c r="Z115" s="38"/>
    </row>
    <row r="116">
      <c r="A116" s="39">
        <v>89.02</v>
      </c>
      <c r="B116" s="63" t="s">
        <v>49</v>
      </c>
      <c r="C116" s="51"/>
      <c r="D116" s="39" t="s">
        <v>145</v>
      </c>
      <c r="E116" s="38"/>
      <c r="F116" s="41"/>
      <c r="G116" s="62" t="s">
        <v>614</v>
      </c>
      <c r="H116" s="58"/>
      <c r="I116" s="38"/>
      <c r="J116" s="38"/>
      <c r="K116" s="46"/>
      <c r="L116" s="47"/>
      <c r="M116" s="110">
        <v>0.007523148148148148</v>
      </c>
      <c r="N116" s="111">
        <v>0.008703703703703703</v>
      </c>
      <c r="O116" s="46">
        <f t="shared" si="10"/>
        <v>0.001180555556</v>
      </c>
      <c r="P116" s="89">
        <v>43020.0</v>
      </c>
      <c r="Q116" s="61" t="str">
        <f t="shared" si="9"/>
        <v>https://www.youtube.com/embed/Wrs0XEoFHAM?start=650&amp;end=752&amp;autoplay=1</v>
      </c>
      <c r="R116" s="50"/>
      <c r="S116" s="50"/>
      <c r="T116" s="50"/>
      <c r="U116" s="53"/>
      <c r="V116" s="54"/>
      <c r="W116" s="56"/>
      <c r="X116" s="57"/>
      <c r="Y116" s="38"/>
      <c r="Z116" s="38"/>
    </row>
    <row r="117">
      <c r="A117" s="107">
        <v>89.03</v>
      </c>
      <c r="B117" s="63" t="s">
        <v>49</v>
      </c>
      <c r="C117" s="51"/>
      <c r="D117" s="39" t="s">
        <v>145</v>
      </c>
      <c r="E117" s="38"/>
      <c r="F117" s="41"/>
      <c r="G117" s="62" t="s">
        <v>615</v>
      </c>
      <c r="H117" s="58"/>
      <c r="I117" s="38"/>
      <c r="J117" s="38"/>
      <c r="K117" s="46"/>
      <c r="L117" s="47"/>
      <c r="M117" s="110">
        <v>0.009525462962962963</v>
      </c>
      <c r="N117" s="111">
        <v>0.010081018518518519</v>
      </c>
      <c r="O117" s="46">
        <f t="shared" si="10"/>
        <v>0.0005555555556</v>
      </c>
      <c r="P117" s="89">
        <v>43020.0</v>
      </c>
      <c r="Q117" s="61" t="str">
        <f t="shared" si="9"/>
        <v>https://www.youtube.com/embed/Wrs0XEoFHAM?start=823&amp;end=871&amp;autoplay=1</v>
      </c>
      <c r="R117" s="50"/>
      <c r="S117" s="50"/>
      <c r="T117" s="50"/>
      <c r="U117" s="53"/>
      <c r="V117" s="54"/>
      <c r="W117" s="56"/>
      <c r="X117" s="57"/>
      <c r="Y117" s="38"/>
      <c r="Z117" s="38"/>
    </row>
    <row r="118">
      <c r="A118" s="39">
        <v>89.04</v>
      </c>
      <c r="B118" s="63" t="s">
        <v>49</v>
      </c>
      <c r="C118" s="51"/>
      <c r="D118" s="39" t="s">
        <v>145</v>
      </c>
      <c r="E118" s="38"/>
      <c r="F118" s="41"/>
      <c r="G118" s="62" t="s">
        <v>616</v>
      </c>
      <c r="H118" s="58"/>
      <c r="I118" s="38"/>
      <c r="J118" s="38"/>
      <c r="K118" s="46"/>
      <c r="L118" s="47"/>
      <c r="M118" s="110">
        <v>0.01173611111111111</v>
      </c>
      <c r="N118" s="111">
        <v>0.012638888888888889</v>
      </c>
      <c r="O118" s="46">
        <f t="shared" si="10"/>
        <v>0.0009027777778</v>
      </c>
      <c r="P118" s="89">
        <v>43020.0</v>
      </c>
      <c r="Q118" s="61" t="str">
        <f t="shared" si="9"/>
        <v>https://www.youtube.com/embed/Wrs0XEoFHAM?start=1014&amp;end=1092&amp;autoplay=1</v>
      </c>
      <c r="R118" s="50"/>
      <c r="S118" s="50"/>
      <c r="T118" s="50"/>
      <c r="U118" s="53"/>
      <c r="V118" s="54"/>
      <c r="W118" s="56"/>
      <c r="X118" s="57"/>
      <c r="Y118" s="38"/>
      <c r="Z118" s="38"/>
    </row>
    <row r="119">
      <c r="A119" s="107">
        <v>89.05</v>
      </c>
      <c r="B119" s="63" t="s">
        <v>49</v>
      </c>
      <c r="C119" s="51"/>
      <c r="D119" s="39" t="s">
        <v>145</v>
      </c>
      <c r="E119" s="38"/>
      <c r="F119" s="41"/>
      <c r="G119" s="62" t="s">
        <v>617</v>
      </c>
      <c r="H119" s="58"/>
      <c r="I119" s="38"/>
      <c r="J119" s="38"/>
      <c r="K119" s="46"/>
      <c r="L119" s="47"/>
      <c r="M119" s="110">
        <v>0.012847222222222222</v>
      </c>
      <c r="N119" s="111">
        <v>0.01355324074074074</v>
      </c>
      <c r="O119" s="46">
        <f t="shared" si="10"/>
        <v>0.0007060185185</v>
      </c>
      <c r="P119" s="89">
        <v>43020.0</v>
      </c>
      <c r="Q119" s="61" t="str">
        <f t="shared" si="9"/>
        <v>https://www.youtube.com/embed/Wrs0XEoFHAM?start=1110&amp;end=1171&amp;autoplay=1</v>
      </c>
      <c r="R119" s="50"/>
      <c r="S119" s="50"/>
      <c r="T119" s="50"/>
      <c r="U119" s="53"/>
      <c r="V119" s="54"/>
      <c r="W119" s="56"/>
      <c r="X119" s="57"/>
      <c r="Y119" s="38"/>
      <c r="Z119" s="38"/>
    </row>
    <row r="120">
      <c r="A120" s="39">
        <v>89.06</v>
      </c>
      <c r="B120" s="63" t="s">
        <v>49</v>
      </c>
      <c r="C120" s="51"/>
      <c r="D120" s="39" t="s">
        <v>145</v>
      </c>
      <c r="E120" s="38"/>
      <c r="F120" s="41"/>
      <c r="G120" s="62" t="s">
        <v>618</v>
      </c>
      <c r="H120" s="58"/>
      <c r="I120" s="38"/>
      <c r="J120" s="38"/>
      <c r="K120" s="46"/>
      <c r="L120" s="47"/>
      <c r="M120" s="110">
        <v>0.013680555555555555</v>
      </c>
      <c r="N120" s="111">
        <v>0.017847222222222223</v>
      </c>
      <c r="O120" s="46">
        <f t="shared" si="10"/>
        <v>0.004166666667</v>
      </c>
      <c r="P120" s="89">
        <v>43020.0</v>
      </c>
      <c r="Q120" s="61" t="str">
        <f t="shared" si="9"/>
        <v>https://www.youtube.com/embed/Wrs0XEoFHAM?start=1182&amp;end=1542&amp;autoplay=1</v>
      </c>
      <c r="R120" s="50"/>
      <c r="S120" s="50"/>
      <c r="T120" s="50"/>
      <c r="U120" s="53"/>
      <c r="V120" s="54"/>
      <c r="W120" s="56"/>
      <c r="X120" s="57"/>
      <c r="Y120" s="38"/>
      <c r="Z120" s="38"/>
    </row>
    <row r="121">
      <c r="A121" s="107">
        <v>89.07</v>
      </c>
      <c r="B121" s="63" t="s">
        <v>49</v>
      </c>
      <c r="C121" s="51"/>
      <c r="D121" s="39" t="s">
        <v>145</v>
      </c>
      <c r="E121" s="38"/>
      <c r="F121" s="41"/>
      <c r="G121" s="62" t="s">
        <v>622</v>
      </c>
      <c r="H121" s="58"/>
      <c r="I121" s="38"/>
      <c r="J121" s="38"/>
      <c r="K121" s="46"/>
      <c r="L121" s="47"/>
      <c r="M121" s="110">
        <v>0.01840277777777778</v>
      </c>
      <c r="N121" s="111">
        <v>0.01960648148148148</v>
      </c>
      <c r="O121" s="46">
        <f t="shared" si="10"/>
        <v>0.001203703704</v>
      </c>
      <c r="P121" s="89">
        <v>43020.0</v>
      </c>
      <c r="Q121" s="61" t="str">
        <f t="shared" si="9"/>
        <v>https://www.youtube.com/embed/Wrs0XEoFHAM?start=1590&amp;end=1694&amp;autoplay=1</v>
      </c>
      <c r="R121" s="50"/>
      <c r="S121" s="50"/>
      <c r="T121" s="50"/>
      <c r="U121" s="53"/>
      <c r="V121" s="54"/>
      <c r="W121" s="56"/>
      <c r="X121" s="57"/>
      <c r="Y121" s="38"/>
      <c r="Z121" s="38"/>
    </row>
    <row r="122">
      <c r="A122" s="39">
        <v>89.0799999999999</v>
      </c>
      <c r="B122" s="63" t="s">
        <v>49</v>
      </c>
      <c r="C122" s="51"/>
      <c r="D122" s="39" t="s">
        <v>145</v>
      </c>
      <c r="E122" s="38"/>
      <c r="F122" s="41"/>
      <c r="G122" s="62" t="s">
        <v>623</v>
      </c>
      <c r="H122" s="58"/>
      <c r="I122" s="38"/>
      <c r="J122" s="38"/>
      <c r="K122" s="46"/>
      <c r="L122" s="47"/>
      <c r="M122" s="110">
        <v>0.020462962962962964</v>
      </c>
      <c r="N122" s="111">
        <v>0.02141203703703704</v>
      </c>
      <c r="O122" s="46">
        <f t="shared" si="10"/>
        <v>0.0009490740741</v>
      </c>
      <c r="P122" s="89">
        <v>43020.0</v>
      </c>
      <c r="Q122" s="61" t="str">
        <f t="shared" si="9"/>
        <v>https://www.youtube.com/embed/Wrs0XEoFHAM?start=1768&amp;end=1850&amp;autoplay=1</v>
      </c>
      <c r="R122" s="50"/>
      <c r="S122" s="50"/>
      <c r="T122" s="50"/>
      <c r="U122" s="53"/>
      <c r="V122" s="54"/>
      <c r="W122" s="56"/>
      <c r="X122" s="57"/>
      <c r="Y122" s="38"/>
      <c r="Z122" s="38"/>
    </row>
    <row r="123">
      <c r="A123" s="107">
        <v>89.0899999999999</v>
      </c>
      <c r="B123" s="63" t="s">
        <v>49</v>
      </c>
      <c r="C123" s="51"/>
      <c r="D123" s="39" t="s">
        <v>145</v>
      </c>
      <c r="E123" s="38"/>
      <c r="F123" s="41"/>
      <c r="G123" s="62" t="s">
        <v>626</v>
      </c>
      <c r="H123" s="58"/>
      <c r="I123" s="38"/>
      <c r="J123" s="38"/>
      <c r="K123" s="46"/>
      <c r="L123" s="47"/>
      <c r="M123" s="110">
        <v>0.0234375</v>
      </c>
      <c r="N123" s="111">
        <v>0.024305555555555556</v>
      </c>
      <c r="O123" s="46">
        <f t="shared" si="10"/>
        <v>0.0008680555556</v>
      </c>
      <c r="P123" s="89">
        <v>43020.0</v>
      </c>
      <c r="Q123" s="61" t="str">
        <f t="shared" si="9"/>
        <v>https://www.youtube.com/embed/Wrs0XEoFHAM?start=2025&amp;end=2100&amp;autoplay=1</v>
      </c>
      <c r="R123" s="50"/>
      <c r="S123" s="50"/>
      <c r="T123" s="50"/>
      <c r="U123" s="53"/>
      <c r="V123" s="54"/>
      <c r="W123" s="56"/>
      <c r="X123" s="57"/>
      <c r="Y123" s="38"/>
      <c r="Z123" s="38"/>
    </row>
    <row r="124">
      <c r="A124" s="107">
        <v>89.0999999999999</v>
      </c>
      <c r="B124" s="63" t="s">
        <v>49</v>
      </c>
      <c r="C124" s="51"/>
      <c r="D124" s="39" t="s">
        <v>145</v>
      </c>
      <c r="E124" s="38"/>
      <c r="F124" s="41"/>
      <c r="G124" s="62" t="s">
        <v>627</v>
      </c>
      <c r="H124" s="58"/>
      <c r="I124" s="38"/>
      <c r="J124" s="38"/>
      <c r="K124" s="46"/>
      <c r="L124" s="47"/>
      <c r="M124" s="110">
        <v>0.02511574074074074</v>
      </c>
      <c r="N124" s="111">
        <v>0.02621527777777778</v>
      </c>
      <c r="O124" s="46">
        <f t="shared" si="10"/>
        <v>0.001099537037</v>
      </c>
      <c r="P124" s="89">
        <v>43020.0</v>
      </c>
      <c r="Q124" s="61" t="str">
        <f t="shared" si="9"/>
        <v>https://www.youtube.com/embed/Wrs0XEoFHAM?start=2170&amp;end=2265&amp;autoplay=1</v>
      </c>
      <c r="R124" s="50"/>
      <c r="S124" s="50"/>
      <c r="T124" s="50"/>
      <c r="U124" s="53"/>
      <c r="V124" s="54"/>
      <c r="W124" s="56"/>
      <c r="X124" s="57"/>
      <c r="Y124" s="38"/>
      <c r="Z124" s="38"/>
    </row>
    <row r="125">
      <c r="A125" s="107">
        <v>89.1099999999999</v>
      </c>
      <c r="B125" s="63" t="s">
        <v>49</v>
      </c>
      <c r="C125" s="51"/>
      <c r="D125" s="39" t="s">
        <v>145</v>
      </c>
      <c r="E125" s="38"/>
      <c r="F125" s="41"/>
      <c r="G125" s="62" t="s">
        <v>630</v>
      </c>
      <c r="H125" s="58"/>
      <c r="I125" s="38"/>
      <c r="J125" s="38"/>
      <c r="K125" s="46"/>
      <c r="L125" s="47"/>
      <c r="M125" s="110">
        <v>0.028645833333333332</v>
      </c>
      <c r="N125" s="111">
        <v>0.031064814814814816</v>
      </c>
      <c r="O125" s="46">
        <f t="shared" si="10"/>
        <v>0.002418981481</v>
      </c>
      <c r="P125" s="89">
        <v>43020.0</v>
      </c>
      <c r="Q125" s="61" t="str">
        <f t="shared" si="9"/>
        <v>https://www.youtube.com/embed/Wrs0XEoFHAM?start=2475&amp;end=2684&amp;autoplay=1</v>
      </c>
      <c r="R125" s="50"/>
      <c r="S125" s="50"/>
      <c r="T125" s="50"/>
      <c r="U125" s="53"/>
      <c r="V125" s="54"/>
      <c r="W125" s="56"/>
      <c r="X125" s="57"/>
      <c r="Y125" s="38"/>
      <c r="Z125" s="38"/>
    </row>
    <row r="126">
      <c r="A126" s="107">
        <v>89.1199999999999</v>
      </c>
      <c r="B126" s="63" t="s">
        <v>49</v>
      </c>
      <c r="C126" s="51"/>
      <c r="D126" s="39" t="s">
        <v>145</v>
      </c>
      <c r="E126" s="38"/>
      <c r="F126" s="41"/>
      <c r="G126" s="62" t="s">
        <v>633</v>
      </c>
      <c r="H126" s="58"/>
      <c r="I126" s="38"/>
      <c r="J126" s="38"/>
      <c r="K126" s="46"/>
      <c r="L126" s="47"/>
      <c r="M126" s="110">
        <v>0.035474537037037034</v>
      </c>
      <c r="N126" s="111">
        <v>0.03771990740740741</v>
      </c>
      <c r="O126" s="46">
        <f t="shared" si="10"/>
        <v>0.00224537037</v>
      </c>
      <c r="P126" s="89">
        <v>43020.0</v>
      </c>
      <c r="Q126" s="61" t="str">
        <f t="shared" si="9"/>
        <v>https://www.youtube.com/embed/Wrs0XEoFHAM?start=3065&amp;end=3259&amp;autoplay=1</v>
      </c>
      <c r="R126" s="50"/>
      <c r="S126" s="50"/>
      <c r="T126" s="50"/>
      <c r="U126" s="53"/>
      <c r="V126" s="54"/>
      <c r="W126" s="56"/>
      <c r="X126" s="57"/>
      <c r="Y126" s="38"/>
      <c r="Z126" s="38"/>
    </row>
    <row r="127">
      <c r="A127" s="100"/>
      <c r="B127" s="38"/>
      <c r="C127" s="38"/>
      <c r="D127" s="38"/>
      <c r="E127" s="38"/>
      <c r="F127" s="41"/>
      <c r="G127" s="62"/>
      <c r="H127" s="45"/>
      <c r="I127" s="38"/>
      <c r="J127" s="38"/>
      <c r="K127" s="46"/>
      <c r="L127" s="47"/>
      <c r="M127" s="46"/>
      <c r="N127" s="46"/>
      <c r="O127" s="60"/>
      <c r="P127" s="49"/>
      <c r="Q127" s="12"/>
      <c r="R127" s="50"/>
      <c r="S127" s="50"/>
      <c r="T127" s="50"/>
      <c r="U127" s="53"/>
      <c r="V127" s="54"/>
      <c r="W127" s="56"/>
      <c r="X127" s="57"/>
      <c r="Y127" s="38"/>
      <c r="Z127" s="38"/>
    </row>
    <row r="128">
      <c r="A128" s="100"/>
      <c r="B128" s="38"/>
      <c r="C128" s="38"/>
      <c r="D128" s="38"/>
      <c r="E128" s="38"/>
      <c r="F128" s="41"/>
      <c r="G128" s="43"/>
      <c r="H128" s="45"/>
      <c r="I128" s="38"/>
      <c r="J128" s="38"/>
      <c r="K128" s="46"/>
      <c r="L128" s="47"/>
      <c r="M128" s="46"/>
      <c r="N128" s="46"/>
      <c r="O128" s="60"/>
      <c r="P128" s="49"/>
      <c r="Q128" s="12"/>
      <c r="R128" s="50"/>
      <c r="S128" s="50"/>
      <c r="T128" s="50"/>
      <c r="U128" s="53"/>
      <c r="V128" s="54"/>
      <c r="W128" s="56"/>
      <c r="X128" s="57"/>
      <c r="Y128" s="38"/>
      <c r="Z128" s="38"/>
    </row>
    <row r="129">
      <c r="A129" s="100"/>
      <c r="B129" s="38"/>
      <c r="C129" s="38"/>
      <c r="D129" s="38"/>
      <c r="E129" s="38"/>
      <c r="F129" s="41"/>
      <c r="G129" s="43"/>
      <c r="H129" s="45"/>
      <c r="I129" s="38"/>
      <c r="J129" s="38"/>
      <c r="K129" s="46"/>
      <c r="L129" s="47"/>
      <c r="M129" s="46"/>
      <c r="N129" s="46"/>
      <c r="O129" s="60"/>
      <c r="P129" s="49"/>
      <c r="Q129" s="12"/>
      <c r="R129" s="50"/>
      <c r="S129" s="50"/>
      <c r="T129" s="50"/>
      <c r="U129" s="53"/>
      <c r="V129" s="54"/>
      <c r="W129" s="56"/>
      <c r="X129" s="57"/>
      <c r="Y129" s="38"/>
      <c r="Z129" s="38"/>
    </row>
    <row r="130">
      <c r="A130" s="100"/>
      <c r="B130" s="38"/>
      <c r="C130" s="38"/>
      <c r="D130" s="38"/>
      <c r="E130" s="38"/>
      <c r="F130" s="41"/>
      <c r="G130" s="43"/>
      <c r="H130" s="45"/>
      <c r="I130" s="38"/>
      <c r="J130" s="38"/>
      <c r="K130" s="46"/>
      <c r="L130" s="47"/>
      <c r="M130" s="46"/>
      <c r="N130" s="46"/>
      <c r="O130" s="60"/>
      <c r="P130" s="49"/>
      <c r="Q130" s="12"/>
      <c r="R130" s="50"/>
      <c r="S130" s="50"/>
      <c r="T130" s="50"/>
      <c r="U130" s="53"/>
      <c r="V130" s="54"/>
      <c r="W130" s="56"/>
      <c r="X130" s="57"/>
      <c r="Y130" s="38"/>
      <c r="Z130" s="38"/>
    </row>
    <row r="131">
      <c r="A131" s="100"/>
      <c r="B131" s="38"/>
      <c r="C131" s="38"/>
      <c r="D131" s="38"/>
      <c r="E131" s="38"/>
      <c r="F131" s="41"/>
      <c r="G131" s="43"/>
      <c r="H131" s="45"/>
      <c r="I131" s="38"/>
      <c r="J131" s="38"/>
      <c r="K131" s="46"/>
      <c r="L131" s="47"/>
      <c r="M131" s="46"/>
      <c r="N131" s="46"/>
      <c r="O131" s="60"/>
      <c r="P131" s="49"/>
      <c r="Q131" s="12"/>
      <c r="R131" s="50"/>
      <c r="S131" s="50"/>
      <c r="T131" s="50"/>
      <c r="U131" s="53"/>
      <c r="V131" s="54"/>
      <c r="W131" s="56"/>
      <c r="X131" s="57"/>
      <c r="Y131" s="38"/>
      <c r="Z131" s="38"/>
    </row>
    <row r="132">
      <c r="A132" s="100"/>
      <c r="B132" s="38"/>
      <c r="C132" s="38"/>
      <c r="D132" s="38"/>
      <c r="E132" s="38"/>
      <c r="F132" s="41"/>
      <c r="G132" s="43"/>
      <c r="H132" s="45"/>
      <c r="I132" s="38"/>
      <c r="J132" s="38"/>
      <c r="K132" s="46"/>
      <c r="L132" s="47"/>
      <c r="M132" s="46"/>
      <c r="N132" s="46"/>
      <c r="O132" s="60"/>
      <c r="P132" s="49"/>
      <c r="Q132" s="12"/>
      <c r="R132" s="50"/>
      <c r="S132" s="50"/>
      <c r="T132" s="50"/>
      <c r="U132" s="53"/>
      <c r="V132" s="54"/>
      <c r="W132" s="56"/>
      <c r="X132" s="57"/>
      <c r="Y132" s="38"/>
      <c r="Z132" s="38"/>
    </row>
    <row r="133">
      <c r="A133" s="100"/>
      <c r="B133" s="38"/>
      <c r="C133" s="38"/>
      <c r="D133" s="38"/>
      <c r="E133" s="38"/>
      <c r="F133" s="41"/>
      <c r="G133" s="43"/>
      <c r="H133" s="45"/>
      <c r="I133" s="38"/>
      <c r="J133" s="38"/>
      <c r="K133" s="46"/>
      <c r="L133" s="47"/>
      <c r="M133" s="46"/>
      <c r="N133" s="46"/>
      <c r="O133" s="60"/>
      <c r="P133" s="49"/>
      <c r="Q133" s="12"/>
      <c r="R133" s="50"/>
      <c r="S133" s="50"/>
      <c r="T133" s="50"/>
      <c r="U133" s="53"/>
      <c r="V133" s="54"/>
      <c r="W133" s="56"/>
      <c r="X133" s="57"/>
      <c r="Y133" s="38"/>
      <c r="Z133" s="38"/>
    </row>
    <row r="134">
      <c r="A134" s="100"/>
      <c r="B134" s="38"/>
      <c r="C134" s="38"/>
      <c r="D134" s="38"/>
      <c r="E134" s="38"/>
      <c r="F134" s="41"/>
      <c r="G134" s="43"/>
      <c r="H134" s="45"/>
      <c r="I134" s="38"/>
      <c r="J134" s="38"/>
      <c r="K134" s="46"/>
      <c r="L134" s="47"/>
      <c r="M134" s="46"/>
      <c r="N134" s="46"/>
      <c r="O134" s="60"/>
      <c r="P134" s="49"/>
      <c r="Q134" s="12"/>
      <c r="R134" s="50"/>
      <c r="S134" s="50"/>
      <c r="T134" s="50"/>
      <c r="U134" s="53"/>
      <c r="V134" s="54"/>
      <c r="W134" s="56"/>
      <c r="X134" s="57"/>
      <c r="Y134" s="38"/>
      <c r="Z134" s="38"/>
    </row>
    <row r="135">
      <c r="A135" s="100"/>
      <c r="B135" s="38"/>
      <c r="C135" s="38"/>
      <c r="D135" s="38"/>
      <c r="E135" s="38"/>
      <c r="F135" s="41"/>
      <c r="G135" s="43"/>
      <c r="H135" s="45"/>
      <c r="I135" s="38"/>
      <c r="J135" s="38"/>
      <c r="K135" s="46"/>
      <c r="L135" s="47"/>
      <c r="M135" s="46"/>
      <c r="N135" s="46"/>
      <c r="O135" s="60"/>
      <c r="P135" s="49"/>
      <c r="Q135" s="12"/>
      <c r="R135" s="50"/>
      <c r="S135" s="50"/>
      <c r="T135" s="50"/>
      <c r="U135" s="53"/>
      <c r="V135" s="54"/>
      <c r="W135" s="56"/>
      <c r="X135" s="57"/>
      <c r="Y135" s="38"/>
      <c r="Z135" s="38"/>
    </row>
    <row r="136">
      <c r="A136" s="100"/>
      <c r="B136" s="38"/>
      <c r="C136" s="38"/>
      <c r="D136" s="38"/>
      <c r="E136" s="38"/>
      <c r="F136" s="41"/>
      <c r="G136" s="43"/>
      <c r="H136" s="45"/>
      <c r="I136" s="38"/>
      <c r="J136" s="38"/>
      <c r="K136" s="46"/>
      <c r="L136" s="47"/>
      <c r="M136" s="46"/>
      <c r="N136" s="46"/>
      <c r="O136" s="60"/>
      <c r="P136" s="49"/>
      <c r="Q136" s="12"/>
      <c r="R136" s="50"/>
      <c r="S136" s="50"/>
      <c r="T136" s="50"/>
      <c r="U136" s="53"/>
      <c r="V136" s="54"/>
      <c r="W136" s="56"/>
      <c r="X136" s="57"/>
      <c r="Y136" s="38"/>
      <c r="Z136" s="38"/>
    </row>
    <row r="137">
      <c r="A137" s="100"/>
      <c r="B137" s="38"/>
      <c r="C137" s="38"/>
      <c r="D137" s="38"/>
      <c r="E137" s="38"/>
      <c r="F137" s="38"/>
      <c r="G137" s="38"/>
      <c r="H137" s="12"/>
      <c r="I137" s="38"/>
      <c r="J137" s="38"/>
      <c r="K137" s="46"/>
      <c r="L137" s="47"/>
      <c r="M137" s="46"/>
      <c r="N137" s="46"/>
      <c r="O137" s="60"/>
      <c r="P137" s="49"/>
      <c r="Q137" s="12"/>
      <c r="R137" s="50"/>
      <c r="S137" s="50"/>
      <c r="T137" s="50"/>
      <c r="U137" s="53"/>
      <c r="V137" s="54"/>
      <c r="W137" s="56"/>
      <c r="X137" s="57"/>
      <c r="Y137" s="38"/>
      <c r="Z137" s="38"/>
    </row>
    <row r="138">
      <c r="A138" s="38"/>
      <c r="B138" s="38"/>
      <c r="C138" s="38"/>
      <c r="D138" s="38"/>
      <c r="E138" s="38"/>
      <c r="F138" s="41"/>
      <c r="G138" s="43"/>
      <c r="H138" s="45"/>
      <c r="I138" s="38"/>
      <c r="J138" s="38"/>
      <c r="K138" s="46"/>
      <c r="L138" s="47"/>
      <c r="M138" s="46"/>
      <c r="N138" s="46"/>
      <c r="O138" s="38"/>
      <c r="P138" s="38"/>
      <c r="Q138" s="12"/>
      <c r="R138" s="50"/>
      <c r="S138" s="50"/>
      <c r="T138" s="50"/>
      <c r="U138" s="53"/>
      <c r="V138" s="54"/>
      <c r="W138" s="56"/>
      <c r="X138" s="57"/>
      <c r="Y138" s="38"/>
      <c r="Z138" s="38"/>
    </row>
    <row r="139">
      <c r="A139" s="38"/>
      <c r="B139" s="38"/>
      <c r="C139" s="38"/>
      <c r="D139" s="38"/>
      <c r="E139" s="38"/>
      <c r="F139" s="41"/>
      <c r="G139" s="43"/>
      <c r="H139" s="45"/>
      <c r="I139" s="38"/>
      <c r="J139" s="38"/>
      <c r="K139" s="46"/>
      <c r="L139" s="47"/>
      <c r="M139" s="46"/>
      <c r="N139" s="46"/>
      <c r="O139" s="38"/>
      <c r="P139" s="38"/>
      <c r="Q139" s="12"/>
      <c r="R139" s="50"/>
      <c r="S139" s="50"/>
      <c r="T139" s="50"/>
      <c r="U139" s="53"/>
      <c r="V139" s="54"/>
      <c r="W139" s="56"/>
      <c r="X139" s="57"/>
      <c r="Y139" s="38"/>
      <c r="Z139" s="38"/>
    </row>
    <row r="140">
      <c r="A140" s="38"/>
      <c r="B140" s="38"/>
      <c r="C140" s="38"/>
      <c r="D140" s="38"/>
      <c r="E140" s="38"/>
      <c r="F140" s="41"/>
      <c r="G140" s="43"/>
      <c r="H140" s="45"/>
      <c r="I140" s="38"/>
      <c r="J140" s="38"/>
      <c r="K140" s="46"/>
      <c r="L140" s="47"/>
      <c r="M140" s="46"/>
      <c r="N140" s="46"/>
      <c r="O140" s="38"/>
      <c r="P140" s="38"/>
      <c r="Q140" s="12"/>
      <c r="R140" s="50"/>
      <c r="S140" s="50"/>
      <c r="T140" s="50"/>
      <c r="U140" s="53"/>
      <c r="V140" s="54"/>
      <c r="W140" s="56"/>
      <c r="X140" s="57"/>
      <c r="Y140" s="38"/>
      <c r="Z140" s="38"/>
    </row>
    <row r="141">
      <c r="A141" s="38"/>
      <c r="B141" s="38"/>
      <c r="C141" s="38"/>
      <c r="D141" s="38"/>
      <c r="E141" s="38"/>
      <c r="F141" s="41"/>
      <c r="G141" s="43"/>
      <c r="H141" s="45"/>
      <c r="I141" s="38"/>
      <c r="J141" s="38"/>
      <c r="K141" s="46"/>
      <c r="L141" s="47"/>
      <c r="M141" s="46"/>
      <c r="N141" s="46"/>
      <c r="O141" s="38"/>
      <c r="P141" s="38"/>
      <c r="Q141" s="12"/>
      <c r="R141" s="50"/>
      <c r="S141" s="50"/>
      <c r="T141" s="50"/>
      <c r="U141" s="53"/>
      <c r="V141" s="54"/>
      <c r="W141" s="56"/>
      <c r="X141" s="57"/>
      <c r="Y141" s="38"/>
      <c r="Z141" s="38"/>
    </row>
    <row r="142">
      <c r="A142" s="38"/>
      <c r="B142" s="39"/>
      <c r="C142" s="38"/>
      <c r="D142" s="39"/>
      <c r="E142" s="38"/>
      <c r="F142" s="41"/>
      <c r="G142" s="43"/>
      <c r="H142" s="45"/>
      <c r="I142" s="38"/>
      <c r="J142" s="38"/>
      <c r="K142" s="46"/>
      <c r="L142" s="47"/>
      <c r="M142" s="46"/>
      <c r="N142" s="46"/>
      <c r="O142" s="38"/>
      <c r="P142" s="38"/>
      <c r="Q142" s="12"/>
      <c r="R142" s="50"/>
      <c r="S142" s="50"/>
      <c r="T142" s="50"/>
      <c r="U142" s="53"/>
      <c r="V142" s="54"/>
      <c r="W142" s="56"/>
      <c r="X142" s="57"/>
      <c r="Y142" s="38"/>
      <c r="Z142" s="38"/>
    </row>
    <row r="143">
      <c r="A143" s="112"/>
      <c r="B143" s="39"/>
      <c r="C143" s="38"/>
      <c r="D143" s="39"/>
      <c r="E143" s="113"/>
      <c r="F143" s="113"/>
      <c r="G143" s="112"/>
      <c r="H143" s="113"/>
      <c r="I143" s="113"/>
      <c r="J143" s="113"/>
      <c r="K143" s="46"/>
      <c r="L143" s="113"/>
      <c r="M143" s="46"/>
      <c r="N143" s="46"/>
      <c r="O143" s="60"/>
      <c r="P143" s="114"/>
      <c r="Q143" s="12"/>
      <c r="R143" s="115"/>
      <c r="S143" s="115"/>
      <c r="T143" s="115"/>
      <c r="U143" s="116"/>
      <c r="V143" s="117"/>
      <c r="W143" s="118"/>
      <c r="X143" s="119"/>
      <c r="Y143" s="113"/>
      <c r="Z143" s="113"/>
    </row>
    <row r="144">
      <c r="A144" s="38"/>
      <c r="B144" s="38"/>
      <c r="C144" s="38"/>
      <c r="D144" s="38"/>
      <c r="E144" s="38"/>
      <c r="F144" s="41"/>
      <c r="G144" s="43"/>
      <c r="H144" s="45"/>
      <c r="I144" s="38"/>
      <c r="J144" s="38"/>
      <c r="K144" s="46"/>
      <c r="L144" s="47"/>
      <c r="M144" s="46"/>
      <c r="N144" s="46"/>
      <c r="O144" s="38"/>
      <c r="P144" s="38"/>
      <c r="Q144" s="12"/>
      <c r="R144" s="50"/>
      <c r="S144" s="50"/>
      <c r="T144" s="50"/>
      <c r="U144" s="53"/>
      <c r="V144" s="54"/>
      <c r="W144" s="56"/>
      <c r="X144" s="57"/>
      <c r="Y144" s="38"/>
      <c r="Z144" s="38"/>
    </row>
    <row r="145">
      <c r="A145" s="38"/>
      <c r="B145" s="38"/>
      <c r="C145" s="38"/>
      <c r="D145" s="38"/>
      <c r="E145" s="38"/>
      <c r="F145" s="41"/>
      <c r="G145" s="43"/>
      <c r="H145" s="45"/>
      <c r="I145" s="38"/>
      <c r="J145" s="38"/>
      <c r="K145" s="46"/>
      <c r="L145" s="47"/>
      <c r="M145" s="46"/>
      <c r="N145" s="46"/>
      <c r="O145" s="38"/>
      <c r="P145" s="38"/>
      <c r="Q145" s="12"/>
      <c r="R145" s="50"/>
      <c r="S145" s="50"/>
      <c r="T145" s="50"/>
      <c r="U145" s="53"/>
      <c r="V145" s="54"/>
      <c r="W145" s="56"/>
      <c r="X145" s="57"/>
      <c r="Y145" s="38"/>
      <c r="Z145" s="38"/>
    </row>
    <row r="146">
      <c r="A146" s="38"/>
      <c r="B146" s="38"/>
      <c r="C146" s="38"/>
      <c r="D146" s="38"/>
      <c r="E146" s="38"/>
      <c r="F146" s="41"/>
      <c r="G146" s="43"/>
      <c r="H146" s="45"/>
      <c r="I146" s="38"/>
      <c r="J146" s="38"/>
      <c r="K146" s="46"/>
      <c r="L146" s="47"/>
      <c r="M146" s="46"/>
      <c r="N146" s="46"/>
      <c r="O146" s="38"/>
      <c r="P146" s="38"/>
      <c r="Q146" s="12"/>
      <c r="R146" s="50"/>
      <c r="S146" s="50"/>
      <c r="T146" s="50"/>
      <c r="U146" s="53"/>
      <c r="V146" s="54"/>
      <c r="W146" s="56"/>
      <c r="X146" s="57"/>
      <c r="Y146" s="38"/>
      <c r="Z146" s="38"/>
    </row>
    <row r="147">
      <c r="A147" s="38"/>
      <c r="B147" s="38"/>
      <c r="C147" s="38"/>
      <c r="D147" s="38"/>
      <c r="E147" s="38"/>
      <c r="F147" s="41"/>
      <c r="G147" s="43"/>
      <c r="H147" s="45"/>
      <c r="I147" s="38"/>
      <c r="J147" s="38"/>
      <c r="K147" s="46"/>
      <c r="L147" s="47"/>
      <c r="M147" s="46"/>
      <c r="N147" s="46"/>
      <c r="O147" s="38"/>
      <c r="P147" s="38"/>
      <c r="Q147" s="12"/>
      <c r="R147" s="50"/>
      <c r="S147" s="50"/>
      <c r="T147" s="50"/>
      <c r="U147" s="53"/>
      <c r="V147" s="54"/>
      <c r="W147" s="56"/>
      <c r="X147" s="57"/>
      <c r="Y147" s="38"/>
      <c r="Z147" s="38"/>
    </row>
    <row r="148">
      <c r="A148" s="38"/>
      <c r="B148" s="38"/>
      <c r="C148" s="38"/>
      <c r="D148" s="38"/>
      <c r="E148" s="38"/>
      <c r="F148" s="41"/>
      <c r="G148" s="43"/>
      <c r="H148" s="45"/>
      <c r="I148" s="38"/>
      <c r="J148" s="38"/>
      <c r="K148" s="46"/>
      <c r="L148" s="47"/>
      <c r="M148" s="46"/>
      <c r="N148" s="46"/>
      <c r="O148" s="38"/>
      <c r="P148" s="38"/>
      <c r="Q148" s="12"/>
      <c r="R148" s="50"/>
      <c r="S148" s="50"/>
      <c r="T148" s="50"/>
      <c r="U148" s="53"/>
      <c r="V148" s="54"/>
      <c r="W148" s="56"/>
      <c r="X148" s="57"/>
      <c r="Y148" s="38"/>
      <c r="Z148" s="38"/>
    </row>
    <row r="149">
      <c r="A149" s="38"/>
      <c r="B149" s="38"/>
      <c r="C149" s="38"/>
      <c r="D149" s="38"/>
      <c r="E149" s="38"/>
      <c r="F149" s="41"/>
      <c r="G149" s="43"/>
      <c r="H149" s="45"/>
      <c r="I149" s="38"/>
      <c r="J149" s="38"/>
      <c r="K149" s="46"/>
      <c r="L149" s="47"/>
      <c r="M149" s="46"/>
      <c r="N149" s="46"/>
      <c r="O149" s="38"/>
      <c r="P149" s="38"/>
      <c r="Q149" s="12"/>
      <c r="R149" s="50"/>
      <c r="S149" s="50"/>
      <c r="T149" s="50"/>
      <c r="U149" s="53"/>
      <c r="V149" s="54"/>
      <c r="W149" s="56"/>
      <c r="X149" s="57"/>
      <c r="Y149" s="38"/>
      <c r="Z149" s="38"/>
    </row>
    <row r="150">
      <c r="A150" s="38"/>
      <c r="B150" s="38"/>
      <c r="C150" s="38"/>
      <c r="D150" s="38"/>
      <c r="E150" s="38"/>
      <c r="F150" s="41"/>
      <c r="G150" s="43"/>
      <c r="H150" s="45"/>
      <c r="I150" s="38"/>
      <c r="J150" s="38"/>
      <c r="K150" s="46"/>
      <c r="L150" s="47"/>
      <c r="M150" s="46"/>
      <c r="N150" s="46"/>
      <c r="O150" s="38"/>
      <c r="P150" s="38"/>
      <c r="Q150" s="12"/>
      <c r="R150" s="50"/>
      <c r="S150" s="50"/>
      <c r="T150" s="50"/>
      <c r="U150" s="53"/>
      <c r="V150" s="54"/>
      <c r="W150" s="56"/>
      <c r="X150" s="57"/>
      <c r="Y150" s="38"/>
      <c r="Z150" s="38"/>
    </row>
    <row r="151">
      <c r="A151" s="38"/>
      <c r="B151" s="38"/>
      <c r="C151" s="38"/>
      <c r="D151" s="38"/>
      <c r="E151" s="38"/>
      <c r="F151" s="41"/>
      <c r="G151" s="43"/>
      <c r="H151" s="45"/>
      <c r="I151" s="38"/>
      <c r="J151" s="38"/>
      <c r="K151" s="46"/>
      <c r="L151" s="47"/>
      <c r="M151" s="46"/>
      <c r="N151" s="46"/>
      <c r="O151" s="38"/>
      <c r="P151" s="38"/>
      <c r="Q151" s="12"/>
      <c r="R151" s="50"/>
      <c r="S151" s="50"/>
      <c r="T151" s="50"/>
      <c r="U151" s="53"/>
      <c r="V151" s="54"/>
      <c r="W151" s="56"/>
      <c r="X151" s="57"/>
      <c r="Y151" s="38"/>
      <c r="Z151" s="38"/>
    </row>
    <row r="152">
      <c r="A152" s="38"/>
      <c r="B152" s="38"/>
      <c r="C152" s="38"/>
      <c r="D152" s="38"/>
      <c r="E152" s="38"/>
      <c r="F152" s="41"/>
      <c r="G152" s="43"/>
      <c r="H152" s="45"/>
      <c r="I152" s="38"/>
      <c r="J152" s="38"/>
      <c r="K152" s="46"/>
      <c r="L152" s="47"/>
      <c r="M152" s="46"/>
      <c r="N152" s="46"/>
      <c r="O152" s="38"/>
      <c r="P152" s="38"/>
      <c r="Q152" s="12"/>
      <c r="R152" s="50"/>
      <c r="S152" s="50"/>
      <c r="T152" s="50"/>
      <c r="U152" s="53"/>
      <c r="V152" s="54"/>
      <c r="W152" s="56"/>
      <c r="X152" s="57"/>
      <c r="Y152" s="38"/>
      <c r="Z152" s="38"/>
    </row>
    <row r="153">
      <c r="A153" s="38"/>
      <c r="B153" s="38"/>
      <c r="C153" s="38"/>
      <c r="D153" s="38"/>
      <c r="E153" s="38"/>
      <c r="F153" s="41"/>
      <c r="G153" s="43"/>
      <c r="H153" s="45"/>
      <c r="I153" s="38"/>
      <c r="J153" s="38"/>
      <c r="K153" s="46"/>
      <c r="L153" s="47"/>
      <c r="M153" s="46"/>
      <c r="N153" s="46"/>
      <c r="O153" s="38"/>
      <c r="P153" s="38"/>
      <c r="Q153" s="12"/>
      <c r="R153" s="50"/>
      <c r="S153" s="50"/>
      <c r="T153" s="50"/>
      <c r="U153" s="53"/>
      <c r="V153" s="54"/>
      <c r="W153" s="56"/>
      <c r="X153" s="57"/>
      <c r="Y153" s="38"/>
      <c r="Z153" s="38"/>
    </row>
    <row r="154">
      <c r="A154" s="38"/>
      <c r="B154" s="38"/>
      <c r="C154" s="38"/>
      <c r="D154" s="38"/>
      <c r="E154" s="38"/>
      <c r="F154" s="41"/>
      <c r="G154" s="43"/>
      <c r="H154" s="45"/>
      <c r="I154" s="38"/>
      <c r="J154" s="38"/>
      <c r="K154" s="46"/>
      <c r="L154" s="47"/>
      <c r="M154" s="46"/>
      <c r="N154" s="46"/>
      <c r="O154" s="38"/>
      <c r="P154" s="38"/>
      <c r="Q154" s="12"/>
      <c r="R154" s="50"/>
      <c r="S154" s="50"/>
      <c r="T154" s="50"/>
      <c r="U154" s="53"/>
      <c r="V154" s="54"/>
      <c r="W154" s="56"/>
      <c r="X154" s="119"/>
      <c r="Y154" s="113"/>
      <c r="Z154" s="113"/>
    </row>
    <row r="155">
      <c r="A155" s="39"/>
      <c r="B155" s="39"/>
      <c r="C155" s="38"/>
      <c r="D155" s="38"/>
      <c r="E155" s="38"/>
      <c r="F155" s="41"/>
      <c r="G155" s="43"/>
      <c r="H155" s="45"/>
      <c r="I155" s="38"/>
      <c r="J155" s="38"/>
      <c r="K155" s="46"/>
      <c r="L155" s="47"/>
      <c r="M155" s="46"/>
      <c r="N155" s="46"/>
      <c r="O155" s="38"/>
      <c r="P155" s="88"/>
      <c r="Q155" s="12"/>
      <c r="R155" s="38"/>
      <c r="S155" s="38"/>
      <c r="T155" s="38"/>
      <c r="U155" s="38"/>
      <c r="V155" s="38"/>
      <c r="W155" s="38"/>
      <c r="X155" s="57"/>
      <c r="Y155" s="38"/>
      <c r="Z155" s="38"/>
      <c r="AA155" s="38"/>
      <c r="AB155" s="38"/>
      <c r="AC155" s="79"/>
      <c r="AD155" s="79"/>
      <c r="AE155" s="79"/>
      <c r="AF155" s="79"/>
      <c r="AG155" s="79"/>
    </row>
    <row r="156">
      <c r="A156" s="39"/>
      <c r="B156" s="39"/>
      <c r="C156" s="38"/>
      <c r="D156" s="38"/>
      <c r="E156" s="38"/>
      <c r="F156" s="43"/>
      <c r="G156" s="39"/>
      <c r="H156" s="71"/>
      <c r="I156" s="38"/>
      <c r="J156" s="38"/>
      <c r="K156" s="46"/>
      <c r="L156" s="47"/>
      <c r="M156" s="46"/>
      <c r="N156" s="46"/>
      <c r="O156" s="60"/>
      <c r="P156" s="64"/>
      <c r="Q156" s="12"/>
      <c r="R156" s="67"/>
      <c r="S156" s="67"/>
      <c r="T156" s="67"/>
      <c r="U156" s="53"/>
      <c r="V156" s="54"/>
      <c r="W156" s="56"/>
      <c r="X156" s="57"/>
      <c r="Y156" s="38"/>
      <c r="Z156" s="38"/>
      <c r="AA156" s="65"/>
      <c r="AB156" s="65"/>
      <c r="AC156" s="65"/>
      <c r="AD156" s="65"/>
      <c r="AE156" s="65"/>
      <c r="AF156" s="65"/>
      <c r="AG156" s="65"/>
    </row>
    <row r="157">
      <c r="A157" s="39"/>
      <c r="B157" s="39"/>
      <c r="C157" s="38"/>
      <c r="D157" s="38"/>
      <c r="E157" s="38"/>
      <c r="F157" s="43"/>
      <c r="G157" s="39"/>
      <c r="H157" s="71"/>
      <c r="I157" s="38"/>
      <c r="J157" s="38"/>
      <c r="K157" s="46"/>
      <c r="L157" s="47"/>
      <c r="M157" s="46"/>
      <c r="N157" s="46"/>
      <c r="O157" s="60"/>
      <c r="P157" s="64"/>
      <c r="Q157" s="12"/>
      <c r="R157" s="67"/>
      <c r="S157" s="67"/>
      <c r="T157" s="67"/>
      <c r="U157" s="53"/>
      <c r="V157" s="54"/>
      <c r="W157" s="56"/>
      <c r="X157" s="57"/>
      <c r="Y157" s="38"/>
      <c r="Z157" s="38"/>
      <c r="AA157" s="65"/>
      <c r="AB157" s="65"/>
      <c r="AC157" s="65"/>
      <c r="AD157" s="65"/>
      <c r="AE157" s="65"/>
      <c r="AF157" s="65"/>
      <c r="AG157" s="65"/>
    </row>
    <row r="158">
      <c r="A158" s="39"/>
      <c r="B158" s="39"/>
      <c r="C158" s="38"/>
      <c r="D158" s="38"/>
      <c r="E158" s="38"/>
      <c r="F158" s="43"/>
      <c r="G158" s="39"/>
      <c r="H158" s="71"/>
      <c r="I158" s="38"/>
      <c r="J158" s="38"/>
      <c r="K158" s="46"/>
      <c r="L158" s="47"/>
      <c r="M158" s="46"/>
      <c r="N158" s="46"/>
      <c r="O158" s="60"/>
      <c r="P158" s="64"/>
      <c r="Q158" s="12"/>
      <c r="R158" s="67"/>
      <c r="S158" s="67"/>
      <c r="T158" s="67"/>
      <c r="U158" s="53"/>
      <c r="V158" s="54"/>
      <c r="W158" s="56"/>
      <c r="X158" s="69"/>
      <c r="Y158" s="39"/>
      <c r="Z158" s="39"/>
      <c r="AA158" s="65"/>
      <c r="AB158" s="65"/>
      <c r="AC158" s="65"/>
      <c r="AD158" s="65"/>
      <c r="AE158" s="65"/>
      <c r="AF158" s="65"/>
      <c r="AG158" s="65"/>
    </row>
    <row r="159">
      <c r="A159" s="39"/>
      <c r="B159" s="39"/>
      <c r="C159" s="38"/>
      <c r="D159" s="38"/>
      <c r="E159" s="38"/>
      <c r="F159" s="43"/>
      <c r="G159" s="39"/>
      <c r="H159" s="71"/>
      <c r="I159" s="38"/>
      <c r="J159" s="38"/>
      <c r="K159" s="46"/>
      <c r="L159" s="47"/>
      <c r="M159" s="46"/>
      <c r="N159" s="46"/>
      <c r="O159" s="60"/>
      <c r="P159" s="64"/>
      <c r="Q159" s="12"/>
      <c r="R159" s="67"/>
      <c r="S159" s="67"/>
      <c r="T159" s="67"/>
      <c r="U159" s="53"/>
      <c r="V159" s="54"/>
      <c r="W159" s="56"/>
      <c r="X159" s="57"/>
      <c r="Y159" s="38"/>
      <c r="Z159" s="38"/>
      <c r="AA159" s="65"/>
      <c r="AB159" s="65"/>
      <c r="AC159" s="65"/>
      <c r="AD159" s="65"/>
      <c r="AE159" s="65"/>
      <c r="AF159" s="65"/>
      <c r="AG159" s="65"/>
    </row>
    <row r="160">
      <c r="A160" s="39"/>
      <c r="B160" s="39"/>
      <c r="C160" s="38"/>
      <c r="D160" s="38"/>
      <c r="E160" s="38"/>
      <c r="F160" s="43"/>
      <c r="G160" s="39"/>
      <c r="H160" s="71"/>
      <c r="I160" s="38"/>
      <c r="J160" s="38"/>
      <c r="K160" s="46"/>
      <c r="L160" s="47"/>
      <c r="M160" s="46"/>
      <c r="N160" s="46"/>
      <c r="O160" s="60"/>
      <c r="P160" s="64"/>
      <c r="Q160" s="12"/>
      <c r="R160" s="67"/>
      <c r="S160" s="67"/>
      <c r="T160" s="67"/>
      <c r="U160" s="53"/>
      <c r="V160" s="54"/>
      <c r="W160" s="56"/>
      <c r="X160" s="57"/>
      <c r="Y160" s="38"/>
      <c r="Z160" s="38"/>
      <c r="AA160" s="65"/>
      <c r="AB160" s="65"/>
      <c r="AC160" s="65"/>
      <c r="AD160" s="65"/>
      <c r="AE160" s="65"/>
      <c r="AF160" s="65"/>
      <c r="AG160" s="65"/>
    </row>
    <row r="161">
      <c r="A161" s="39"/>
      <c r="B161" s="39"/>
      <c r="C161" s="38"/>
      <c r="D161" s="38"/>
      <c r="E161" s="38"/>
      <c r="F161" s="43"/>
      <c r="G161" s="39"/>
      <c r="H161" s="71"/>
      <c r="I161" s="38"/>
      <c r="J161" s="38"/>
      <c r="K161" s="46"/>
      <c r="L161" s="47"/>
      <c r="M161" s="46"/>
      <c r="N161" s="46"/>
      <c r="O161" s="60"/>
      <c r="P161" s="64"/>
      <c r="Q161" s="12"/>
      <c r="R161" s="67"/>
      <c r="S161" s="67"/>
      <c r="T161" s="67"/>
      <c r="U161" s="53"/>
      <c r="V161" s="54"/>
      <c r="W161" s="56"/>
      <c r="X161" s="57"/>
      <c r="Y161" s="38"/>
      <c r="Z161" s="38"/>
      <c r="AA161" s="65"/>
      <c r="AB161" s="65"/>
      <c r="AC161" s="65"/>
      <c r="AD161" s="65"/>
      <c r="AE161" s="65"/>
      <c r="AF161" s="65"/>
      <c r="AG161" s="65"/>
    </row>
    <row r="162">
      <c r="A162" s="39"/>
      <c r="B162" s="39"/>
      <c r="C162" s="38"/>
      <c r="D162" s="38"/>
      <c r="E162" s="38"/>
      <c r="F162" s="43"/>
      <c r="G162" s="39"/>
      <c r="H162" s="71"/>
      <c r="I162" s="38"/>
      <c r="J162" s="38"/>
      <c r="K162" s="46"/>
      <c r="L162" s="47"/>
      <c r="M162" s="46"/>
      <c r="N162" s="46"/>
      <c r="O162" s="60"/>
      <c r="P162" s="64"/>
      <c r="Q162" s="12"/>
      <c r="R162" s="67"/>
      <c r="S162" s="67"/>
      <c r="T162" s="67"/>
      <c r="U162" s="53"/>
      <c r="V162" s="54"/>
      <c r="W162" s="56"/>
      <c r="X162" s="57"/>
      <c r="Y162" s="38"/>
      <c r="Z162" s="38"/>
      <c r="AA162" s="65"/>
      <c r="AB162" s="65"/>
      <c r="AC162" s="65"/>
      <c r="AD162" s="65"/>
      <c r="AE162" s="65"/>
      <c r="AF162" s="65"/>
      <c r="AG162" s="65"/>
    </row>
    <row r="163">
      <c r="A163" s="38"/>
      <c r="B163" s="38"/>
      <c r="C163" s="38"/>
      <c r="D163" s="38"/>
      <c r="E163" s="38"/>
      <c r="F163" s="41"/>
      <c r="G163" s="43"/>
      <c r="H163" s="45"/>
      <c r="I163" s="38"/>
      <c r="J163" s="38"/>
      <c r="K163" s="46"/>
      <c r="L163" s="47"/>
      <c r="M163" s="46"/>
      <c r="N163" s="46"/>
      <c r="O163" s="38"/>
      <c r="P163" s="38"/>
      <c r="Q163" s="12"/>
      <c r="R163" s="50"/>
      <c r="S163" s="50"/>
      <c r="T163" s="50"/>
      <c r="U163" s="53"/>
      <c r="V163" s="54"/>
      <c r="W163" s="56"/>
      <c r="X163" s="119"/>
      <c r="Y163" s="113"/>
      <c r="Z163" s="113"/>
    </row>
    <row r="164">
      <c r="A164" s="38"/>
      <c r="B164" s="38"/>
      <c r="C164" s="38"/>
      <c r="D164" s="38"/>
      <c r="E164" s="38"/>
      <c r="F164" s="41"/>
      <c r="G164" s="43"/>
      <c r="H164" s="45"/>
      <c r="I164" s="38"/>
      <c r="J164" s="38"/>
      <c r="K164" s="46"/>
      <c r="L164" s="47"/>
      <c r="M164" s="46"/>
      <c r="N164" s="46"/>
      <c r="O164" s="38"/>
      <c r="P164" s="38"/>
      <c r="Q164" s="12"/>
      <c r="R164" s="50"/>
      <c r="S164" s="50"/>
      <c r="T164" s="50"/>
      <c r="U164" s="53"/>
      <c r="V164" s="54"/>
      <c r="W164" s="56"/>
      <c r="X164" s="119"/>
      <c r="Y164" s="113"/>
      <c r="Z164" s="113"/>
    </row>
    <row r="165">
      <c r="A165" s="38"/>
      <c r="B165" s="39"/>
      <c r="C165" s="38"/>
      <c r="D165" s="39"/>
      <c r="E165" s="38"/>
      <c r="F165" s="41"/>
      <c r="G165" s="43"/>
      <c r="H165" s="45"/>
      <c r="I165" s="38"/>
      <c r="J165" s="38"/>
      <c r="K165" s="46"/>
      <c r="L165" s="47"/>
      <c r="M165" s="46"/>
      <c r="N165" s="46"/>
      <c r="O165" s="38"/>
      <c r="P165" s="89"/>
      <c r="Q165" s="12"/>
      <c r="R165" s="50"/>
      <c r="S165" s="50"/>
      <c r="T165" s="50"/>
      <c r="U165" s="53"/>
      <c r="V165" s="54"/>
      <c r="W165" s="56"/>
      <c r="X165" s="119"/>
      <c r="Y165" s="113"/>
      <c r="Z165" s="113"/>
    </row>
    <row r="166">
      <c r="A166" s="120"/>
      <c r="B166" s="39"/>
      <c r="C166" s="38"/>
      <c r="D166" s="39"/>
      <c r="E166" s="113"/>
      <c r="F166" s="113"/>
      <c r="G166" s="112"/>
      <c r="H166" s="113"/>
      <c r="I166" s="113"/>
      <c r="J166" s="113"/>
      <c r="K166" s="46"/>
      <c r="L166" s="113"/>
      <c r="M166" s="46"/>
      <c r="N166" s="46"/>
      <c r="O166" s="60"/>
      <c r="P166" s="114"/>
      <c r="Q166" s="12"/>
      <c r="R166" s="115"/>
      <c r="S166" s="115"/>
      <c r="T166" s="115"/>
      <c r="U166" s="116"/>
      <c r="V166" s="117"/>
      <c r="W166" s="118"/>
      <c r="X166" s="119"/>
      <c r="Y166" s="113"/>
      <c r="Z166" s="113"/>
    </row>
    <row r="167">
      <c r="A167" s="120"/>
      <c r="B167" s="39"/>
      <c r="C167" s="38"/>
      <c r="D167" s="39"/>
      <c r="E167" s="113"/>
      <c r="F167" s="113"/>
      <c r="G167" s="112"/>
      <c r="H167" s="112"/>
      <c r="I167" s="113"/>
      <c r="J167" s="113"/>
      <c r="K167" s="46"/>
      <c r="L167" s="113"/>
      <c r="M167" s="46"/>
      <c r="N167" s="46"/>
      <c r="O167" s="60"/>
      <c r="P167" s="114"/>
      <c r="Q167" s="12"/>
      <c r="R167" s="115"/>
      <c r="S167" s="115"/>
      <c r="T167" s="115"/>
      <c r="U167" s="116"/>
      <c r="V167" s="117"/>
      <c r="W167" s="118"/>
      <c r="X167" s="119"/>
      <c r="Y167" s="113"/>
      <c r="Z167" s="113"/>
    </row>
    <row r="168">
      <c r="A168" s="120"/>
      <c r="B168" s="39"/>
      <c r="C168" s="38"/>
      <c r="D168" s="39"/>
      <c r="E168" s="113"/>
      <c r="F168" s="113"/>
      <c r="G168" s="112"/>
      <c r="H168" s="113"/>
      <c r="I168" s="113"/>
      <c r="J168" s="113"/>
      <c r="K168" s="46"/>
      <c r="L168" s="113"/>
      <c r="M168" s="46"/>
      <c r="N168" s="46"/>
      <c r="O168" s="60"/>
      <c r="P168" s="114"/>
      <c r="Q168" s="12"/>
      <c r="R168" s="115"/>
      <c r="S168" s="115"/>
      <c r="T168" s="115"/>
      <c r="U168" s="116"/>
      <c r="V168" s="117"/>
      <c r="W168" s="118"/>
      <c r="X168" s="119"/>
      <c r="Y168" s="113"/>
      <c r="Z168" s="113"/>
    </row>
    <row r="169">
      <c r="A169" s="120"/>
      <c r="B169" s="39"/>
      <c r="C169" s="38"/>
      <c r="D169" s="39"/>
      <c r="E169" s="113"/>
      <c r="F169" s="113"/>
      <c r="G169" s="112"/>
      <c r="H169" s="113"/>
      <c r="I169" s="113"/>
      <c r="J169" s="113"/>
      <c r="K169" s="46"/>
      <c r="L169" s="113"/>
      <c r="M169" s="46"/>
      <c r="N169" s="46"/>
      <c r="O169" s="60"/>
      <c r="P169" s="114"/>
      <c r="Q169" s="12"/>
      <c r="R169" s="115"/>
      <c r="S169" s="115"/>
      <c r="T169" s="115"/>
      <c r="U169" s="116"/>
      <c r="V169" s="117"/>
      <c r="W169" s="118"/>
      <c r="X169" s="119"/>
      <c r="Y169" s="113"/>
      <c r="Z169" s="113"/>
    </row>
    <row r="170">
      <c r="A170" s="120"/>
      <c r="B170" s="121"/>
      <c r="C170" s="38"/>
      <c r="D170" s="121"/>
      <c r="E170" s="113"/>
      <c r="F170" s="113"/>
      <c r="G170" s="112"/>
      <c r="H170" s="113"/>
      <c r="I170" s="113"/>
      <c r="J170" s="113"/>
      <c r="K170" s="46"/>
      <c r="L170" s="113"/>
      <c r="M170" s="46"/>
      <c r="N170" s="46"/>
      <c r="O170" s="60"/>
      <c r="P170" s="114"/>
      <c r="Q170" s="12"/>
      <c r="R170" s="115"/>
      <c r="S170" s="115"/>
      <c r="T170" s="115"/>
      <c r="U170" s="116"/>
      <c r="V170" s="117"/>
      <c r="W170" s="118"/>
      <c r="X170" s="119"/>
      <c r="Y170" s="113"/>
      <c r="Z170" s="113"/>
    </row>
    <row r="171">
      <c r="A171" s="120"/>
      <c r="B171" s="121"/>
      <c r="C171" s="38"/>
      <c r="D171" s="121"/>
      <c r="E171" s="113"/>
      <c r="F171" s="113"/>
      <c r="G171" s="112"/>
      <c r="H171" s="112"/>
      <c r="I171" s="113"/>
      <c r="J171" s="113"/>
      <c r="K171" s="46"/>
      <c r="L171" s="113"/>
      <c r="M171" s="46"/>
      <c r="N171" s="46"/>
      <c r="O171" s="60"/>
      <c r="P171" s="114"/>
      <c r="Q171" s="12"/>
      <c r="R171" s="115"/>
      <c r="S171" s="115"/>
      <c r="T171" s="115"/>
      <c r="U171" s="116"/>
      <c r="V171" s="117"/>
      <c r="W171" s="118"/>
      <c r="X171" s="119"/>
      <c r="Y171" s="113"/>
      <c r="Z171" s="113"/>
    </row>
    <row r="172">
      <c r="A172" s="120"/>
      <c r="B172" s="121"/>
      <c r="C172" s="38"/>
      <c r="D172" s="121"/>
      <c r="E172" s="113"/>
      <c r="F172" s="113"/>
      <c r="G172" s="112"/>
      <c r="H172" s="113"/>
      <c r="I172" s="113"/>
      <c r="J172" s="113"/>
      <c r="K172" s="46"/>
      <c r="L172" s="113"/>
      <c r="M172" s="46"/>
      <c r="N172" s="46"/>
      <c r="O172" s="60"/>
      <c r="P172" s="114"/>
      <c r="Q172" s="12"/>
      <c r="R172" s="115"/>
      <c r="S172" s="115"/>
      <c r="T172" s="115"/>
      <c r="U172" s="116"/>
      <c r="V172" s="117"/>
      <c r="W172" s="118"/>
      <c r="X172" s="119"/>
      <c r="Y172" s="113"/>
      <c r="Z172" s="113"/>
    </row>
    <row r="173">
      <c r="A173" s="120"/>
      <c r="B173" s="121"/>
      <c r="C173" s="38"/>
      <c r="D173" s="121"/>
      <c r="E173" s="113"/>
      <c r="F173" s="113"/>
      <c r="G173" s="112"/>
      <c r="H173" s="112"/>
      <c r="I173" s="113"/>
      <c r="J173" s="113"/>
      <c r="K173" s="46"/>
      <c r="L173" s="113"/>
      <c r="M173" s="46"/>
      <c r="N173" s="46"/>
      <c r="O173" s="60"/>
      <c r="P173" s="114"/>
      <c r="Q173" s="12"/>
      <c r="R173" s="115"/>
      <c r="S173" s="115"/>
      <c r="T173" s="115"/>
      <c r="U173" s="116"/>
      <c r="V173" s="117"/>
      <c r="W173" s="118"/>
      <c r="X173" s="119"/>
      <c r="Y173" s="113"/>
      <c r="Z173" s="113"/>
    </row>
    <row r="174">
      <c r="A174" s="120"/>
      <c r="B174" s="121"/>
      <c r="C174" s="38"/>
      <c r="D174" s="121"/>
      <c r="E174" s="113"/>
      <c r="F174" s="113"/>
      <c r="G174" s="112"/>
      <c r="H174" s="113"/>
      <c r="I174" s="113"/>
      <c r="J174" s="113"/>
      <c r="K174" s="46"/>
      <c r="L174" s="113"/>
      <c r="M174" s="46"/>
      <c r="N174" s="46"/>
      <c r="O174" s="60"/>
      <c r="P174" s="114"/>
      <c r="Q174" s="12"/>
      <c r="R174" s="115"/>
      <c r="S174" s="115"/>
      <c r="T174" s="115"/>
      <c r="U174" s="116"/>
      <c r="V174" s="117"/>
      <c r="W174" s="118"/>
      <c r="X174" s="119"/>
      <c r="Y174" s="113"/>
      <c r="Z174" s="113"/>
    </row>
    <row r="175">
      <c r="A175" s="120"/>
      <c r="B175" s="121"/>
      <c r="C175" s="38"/>
      <c r="D175" s="121"/>
      <c r="E175" s="113"/>
      <c r="F175" s="113"/>
      <c r="G175" s="112"/>
      <c r="H175" s="113"/>
      <c r="I175" s="113"/>
      <c r="J175" s="113"/>
      <c r="K175" s="46"/>
      <c r="L175" s="113"/>
      <c r="M175" s="46"/>
      <c r="N175" s="46"/>
      <c r="O175" s="60"/>
      <c r="P175" s="114"/>
      <c r="Q175" s="12"/>
      <c r="R175" s="115"/>
      <c r="S175" s="115"/>
      <c r="T175" s="115"/>
      <c r="U175" s="116"/>
      <c r="V175" s="117"/>
      <c r="W175" s="118"/>
      <c r="X175" s="119"/>
      <c r="Y175" s="113"/>
      <c r="Z175" s="113"/>
    </row>
    <row r="176">
      <c r="A176" s="38"/>
      <c r="B176" s="38"/>
      <c r="C176" s="38"/>
      <c r="D176" s="38"/>
      <c r="E176" s="38"/>
      <c r="F176" s="41"/>
      <c r="G176" s="43"/>
      <c r="H176" s="45"/>
      <c r="I176" s="38"/>
      <c r="J176" s="38"/>
      <c r="K176" s="46"/>
      <c r="L176" s="47"/>
      <c r="M176" s="46"/>
      <c r="N176" s="46"/>
      <c r="O176" s="38"/>
      <c r="P176" s="38"/>
      <c r="Q176" s="12"/>
      <c r="R176" s="50"/>
      <c r="S176" s="50"/>
      <c r="T176" s="50"/>
      <c r="U176" s="53"/>
      <c r="V176" s="54"/>
      <c r="W176" s="56"/>
      <c r="X176" s="119"/>
      <c r="Y176" s="113"/>
      <c r="Z176" s="113"/>
    </row>
    <row r="177">
      <c r="A177" s="38"/>
      <c r="B177" s="38"/>
      <c r="C177" s="38"/>
      <c r="D177" s="38"/>
      <c r="E177" s="38"/>
      <c r="F177" s="41"/>
      <c r="G177" s="43"/>
      <c r="H177" s="45"/>
      <c r="I177" s="38"/>
      <c r="J177" s="38"/>
      <c r="K177" s="46"/>
      <c r="L177" s="47"/>
      <c r="M177" s="46"/>
      <c r="N177" s="46"/>
      <c r="O177" s="38"/>
      <c r="P177" s="38"/>
      <c r="Q177" s="12"/>
      <c r="R177" s="50"/>
      <c r="S177" s="50"/>
      <c r="T177" s="50"/>
      <c r="U177" s="53"/>
      <c r="V177" s="54"/>
      <c r="W177" s="56"/>
      <c r="X177" s="119"/>
      <c r="Y177" s="113"/>
      <c r="Z177" s="113"/>
    </row>
    <row r="178">
      <c r="A178" s="38"/>
      <c r="B178" s="38"/>
      <c r="C178" s="38"/>
      <c r="D178" s="38"/>
      <c r="E178" s="38"/>
      <c r="F178" s="41"/>
      <c r="G178" s="43"/>
      <c r="H178" s="45"/>
      <c r="I178" s="38"/>
      <c r="J178" s="38"/>
      <c r="K178" s="46"/>
      <c r="L178" s="47"/>
      <c r="M178" s="46"/>
      <c r="N178" s="46"/>
      <c r="O178" s="38"/>
      <c r="P178" s="38"/>
      <c r="Q178" s="12"/>
      <c r="R178" s="50"/>
      <c r="S178" s="50"/>
      <c r="T178" s="50"/>
      <c r="U178" s="53"/>
      <c r="V178" s="54"/>
      <c r="W178" s="56"/>
      <c r="X178" s="119"/>
      <c r="Y178" s="113"/>
      <c r="Z178" s="113"/>
    </row>
    <row r="179">
      <c r="A179" s="38"/>
      <c r="B179" s="38"/>
      <c r="C179" s="38"/>
      <c r="D179" s="38"/>
      <c r="E179" s="38"/>
      <c r="F179" s="41"/>
      <c r="G179" s="43"/>
      <c r="H179" s="45"/>
      <c r="I179" s="38"/>
      <c r="J179" s="38"/>
      <c r="K179" s="46"/>
      <c r="L179" s="47"/>
      <c r="M179" s="46"/>
      <c r="N179" s="46"/>
      <c r="O179" s="38"/>
      <c r="P179" s="38"/>
      <c r="Q179" s="12"/>
      <c r="R179" s="50"/>
      <c r="S179" s="50"/>
      <c r="T179" s="50"/>
      <c r="U179" s="53"/>
      <c r="V179" s="54"/>
      <c r="W179" s="56"/>
      <c r="X179" s="119"/>
      <c r="Y179" s="113"/>
      <c r="Z179" s="113"/>
    </row>
    <row r="180">
      <c r="A180" s="38"/>
      <c r="B180" s="38"/>
      <c r="C180" s="38"/>
      <c r="D180" s="38"/>
      <c r="E180" s="38"/>
      <c r="F180" s="41"/>
      <c r="G180" s="43"/>
      <c r="H180" s="45"/>
      <c r="I180" s="38"/>
      <c r="J180" s="38"/>
      <c r="K180" s="46"/>
      <c r="L180" s="47"/>
      <c r="M180" s="46"/>
      <c r="N180" s="46"/>
      <c r="O180" s="38"/>
      <c r="P180" s="38"/>
      <c r="Q180" s="12"/>
      <c r="R180" s="50"/>
      <c r="S180" s="50"/>
      <c r="T180" s="50"/>
      <c r="U180" s="53"/>
      <c r="V180" s="54"/>
      <c r="W180" s="56"/>
      <c r="X180" s="119"/>
      <c r="Y180" s="113"/>
      <c r="Z180" s="113"/>
    </row>
    <row r="181">
      <c r="A181" s="38"/>
      <c r="B181" s="38"/>
      <c r="C181" s="38"/>
      <c r="D181" s="38"/>
      <c r="E181" s="38"/>
      <c r="F181" s="41"/>
      <c r="G181" s="43"/>
      <c r="H181" s="45"/>
      <c r="I181" s="38"/>
      <c r="J181" s="38"/>
      <c r="K181" s="46"/>
      <c r="L181" s="47"/>
      <c r="M181" s="46"/>
      <c r="N181" s="46"/>
      <c r="O181" s="38"/>
      <c r="P181" s="38"/>
      <c r="Q181" s="12"/>
      <c r="R181" s="50"/>
      <c r="S181" s="50"/>
      <c r="T181" s="50"/>
      <c r="U181" s="53"/>
      <c r="V181" s="54"/>
      <c r="W181" s="56"/>
      <c r="X181" s="119"/>
      <c r="Y181" s="113"/>
      <c r="Z181" s="113"/>
    </row>
    <row r="182">
      <c r="A182" s="38"/>
      <c r="B182" s="38"/>
      <c r="C182" s="38"/>
      <c r="D182" s="38"/>
      <c r="E182" s="38"/>
      <c r="F182" s="41"/>
      <c r="G182" s="43"/>
      <c r="H182" s="45"/>
      <c r="I182" s="38"/>
      <c r="J182" s="38"/>
      <c r="K182" s="46"/>
      <c r="L182" s="47"/>
      <c r="M182" s="46"/>
      <c r="N182" s="46"/>
      <c r="O182" s="38"/>
      <c r="P182" s="38"/>
      <c r="Q182" s="12"/>
      <c r="R182" s="50"/>
      <c r="S182" s="50"/>
      <c r="T182" s="50"/>
      <c r="U182" s="53"/>
      <c r="V182" s="54"/>
      <c r="W182" s="56"/>
      <c r="X182" s="119"/>
      <c r="Y182" s="113"/>
      <c r="Z182" s="113"/>
    </row>
    <row r="183" ht="20.25" customHeight="1">
      <c r="A183" s="38"/>
      <c r="B183" s="39"/>
      <c r="C183" s="38"/>
      <c r="D183" s="39"/>
      <c r="E183" s="38"/>
      <c r="F183" s="41"/>
      <c r="G183" s="62"/>
      <c r="H183" s="58"/>
      <c r="I183" s="38"/>
      <c r="J183" s="38"/>
      <c r="K183" s="46"/>
      <c r="L183" s="47"/>
      <c r="M183" s="46"/>
      <c r="N183" s="46"/>
      <c r="O183" s="38"/>
      <c r="P183" s="38"/>
      <c r="Q183" s="12"/>
      <c r="R183" s="50"/>
      <c r="S183" s="50"/>
      <c r="T183" s="50"/>
      <c r="U183" s="53"/>
      <c r="V183" s="54"/>
      <c r="W183" s="56"/>
      <c r="X183" s="122"/>
      <c r="Y183" s="112"/>
      <c r="Z183" s="112"/>
    </row>
    <row r="184">
      <c r="A184" s="38"/>
      <c r="B184" s="39"/>
      <c r="C184" s="38"/>
      <c r="D184" s="39"/>
      <c r="E184" s="38"/>
      <c r="F184" s="41"/>
      <c r="G184" s="43"/>
      <c r="H184" s="45"/>
      <c r="I184" s="38"/>
      <c r="J184" s="38"/>
      <c r="K184" s="46"/>
      <c r="L184" s="47"/>
      <c r="M184" s="46"/>
      <c r="N184" s="46"/>
      <c r="O184" s="38"/>
      <c r="P184" s="38"/>
      <c r="Q184" s="12"/>
      <c r="R184" s="67"/>
      <c r="S184" s="67"/>
      <c r="T184" s="67"/>
      <c r="U184" s="53"/>
      <c r="V184" s="54"/>
      <c r="W184" s="85"/>
      <c r="X184" s="119"/>
      <c r="Y184" s="113"/>
      <c r="Z184" s="113"/>
    </row>
    <row r="185">
      <c r="A185" s="39"/>
      <c r="B185" s="39"/>
      <c r="C185" s="38"/>
      <c r="D185" s="39"/>
      <c r="E185" s="38"/>
      <c r="F185" s="43"/>
      <c r="G185" s="39"/>
      <c r="H185" s="71"/>
      <c r="I185" s="38"/>
      <c r="J185" s="38"/>
      <c r="K185" s="46"/>
      <c r="L185" s="47"/>
      <c r="M185" s="46"/>
      <c r="N185" s="46"/>
      <c r="O185" s="60"/>
      <c r="P185" s="114"/>
      <c r="Q185" s="12"/>
      <c r="R185" s="67"/>
      <c r="S185" s="67"/>
      <c r="T185" s="67"/>
      <c r="U185" s="116"/>
      <c r="V185" s="117"/>
      <c r="W185" s="118"/>
      <c r="X185" s="119"/>
      <c r="Y185" s="113"/>
      <c r="Z185" s="113"/>
    </row>
    <row r="186">
      <c r="A186" s="39"/>
      <c r="B186" s="39"/>
      <c r="C186" s="38"/>
      <c r="D186" s="39"/>
      <c r="E186" s="38"/>
      <c r="F186" s="43"/>
      <c r="G186" s="39"/>
      <c r="H186" s="71"/>
      <c r="I186" s="38"/>
      <c r="J186" s="38"/>
      <c r="K186" s="46"/>
      <c r="L186" s="47"/>
      <c r="M186" s="46"/>
      <c r="N186" s="46"/>
      <c r="O186" s="60"/>
      <c r="P186" s="114"/>
      <c r="Q186" s="12"/>
      <c r="R186" s="67"/>
      <c r="S186" s="67"/>
      <c r="T186" s="67"/>
      <c r="U186" s="116"/>
      <c r="V186" s="117"/>
      <c r="W186" s="118"/>
      <c r="X186" s="119"/>
      <c r="Y186" s="113"/>
      <c r="Z186" s="113"/>
    </row>
    <row r="187">
      <c r="A187" s="39"/>
      <c r="B187" s="39"/>
      <c r="C187" s="38"/>
      <c r="D187" s="39"/>
      <c r="E187" s="38"/>
      <c r="F187" s="43"/>
      <c r="G187" s="39"/>
      <c r="H187" s="71"/>
      <c r="I187" s="38"/>
      <c r="J187" s="38"/>
      <c r="K187" s="46"/>
      <c r="L187" s="47"/>
      <c r="M187" s="46"/>
      <c r="N187" s="46"/>
      <c r="O187" s="60"/>
      <c r="P187" s="114"/>
      <c r="Q187" s="12"/>
      <c r="R187" s="67"/>
      <c r="S187" s="67"/>
      <c r="T187" s="67"/>
      <c r="U187" s="116"/>
      <c r="V187" s="117"/>
      <c r="W187" s="118"/>
      <c r="X187" s="119"/>
      <c r="Y187" s="113"/>
      <c r="Z187" s="113"/>
    </row>
    <row r="188">
      <c r="A188" s="39"/>
      <c r="B188" s="39"/>
      <c r="C188" s="38"/>
      <c r="D188" s="39"/>
      <c r="E188" s="38"/>
      <c r="F188" s="43"/>
      <c r="G188" s="39"/>
      <c r="H188" s="71"/>
      <c r="I188" s="38"/>
      <c r="J188" s="38"/>
      <c r="K188" s="46"/>
      <c r="L188" s="47"/>
      <c r="M188" s="46"/>
      <c r="N188" s="46"/>
      <c r="O188" s="60"/>
      <c r="P188" s="114"/>
      <c r="Q188" s="12"/>
      <c r="R188" s="67"/>
      <c r="S188" s="67"/>
      <c r="T188" s="67"/>
      <c r="U188" s="116"/>
      <c r="V188" s="117"/>
      <c r="W188" s="118"/>
      <c r="X188" s="119"/>
      <c r="Y188" s="113"/>
      <c r="Z188" s="113"/>
    </row>
    <row r="189">
      <c r="A189" s="39"/>
      <c r="B189" s="39"/>
      <c r="C189" s="38"/>
      <c r="D189" s="39"/>
      <c r="E189" s="38"/>
      <c r="F189" s="43"/>
      <c r="G189" s="39"/>
      <c r="H189" s="71"/>
      <c r="I189" s="38"/>
      <c r="J189" s="38"/>
      <c r="K189" s="46"/>
      <c r="L189" s="47"/>
      <c r="M189" s="46"/>
      <c r="N189" s="46"/>
      <c r="O189" s="60"/>
      <c r="P189" s="114"/>
      <c r="Q189" s="12"/>
      <c r="R189" s="67"/>
      <c r="S189" s="67"/>
      <c r="T189" s="67"/>
      <c r="U189" s="116"/>
      <c r="V189" s="117"/>
      <c r="W189" s="118"/>
      <c r="X189" s="119"/>
      <c r="Y189" s="113"/>
      <c r="Z189" s="113"/>
    </row>
    <row r="190">
      <c r="A190" s="39"/>
      <c r="B190" s="39"/>
      <c r="C190" s="38"/>
      <c r="D190" s="39"/>
      <c r="E190" s="38"/>
      <c r="F190" s="43"/>
      <c r="G190" s="39"/>
      <c r="H190" s="71"/>
      <c r="I190" s="38"/>
      <c r="J190" s="38"/>
      <c r="K190" s="46"/>
      <c r="L190" s="47"/>
      <c r="M190" s="46"/>
      <c r="N190" s="46"/>
      <c r="O190" s="60"/>
      <c r="P190" s="114"/>
      <c r="Q190" s="12"/>
      <c r="R190" s="67"/>
      <c r="S190" s="67"/>
      <c r="T190" s="67"/>
      <c r="U190" s="116"/>
      <c r="V190" s="117"/>
      <c r="W190" s="118"/>
      <c r="X190" s="119"/>
      <c r="Y190" s="113"/>
      <c r="Z190" s="113"/>
    </row>
    <row r="191">
      <c r="A191" s="39"/>
      <c r="B191" s="39"/>
      <c r="C191" s="38"/>
      <c r="D191" s="39"/>
      <c r="E191" s="38"/>
      <c r="F191" s="43"/>
      <c r="G191" s="39"/>
      <c r="H191" s="71"/>
      <c r="I191" s="38"/>
      <c r="J191" s="38"/>
      <c r="K191" s="46"/>
      <c r="L191" s="47"/>
      <c r="M191" s="46"/>
      <c r="N191" s="46"/>
      <c r="O191" s="60"/>
      <c r="P191" s="114"/>
      <c r="Q191" s="12"/>
      <c r="R191" s="67"/>
      <c r="S191" s="67"/>
      <c r="T191" s="67"/>
      <c r="U191" s="116"/>
      <c r="V191" s="117"/>
      <c r="W191" s="118"/>
      <c r="X191" s="119"/>
      <c r="Y191" s="113"/>
      <c r="Z191" s="113"/>
    </row>
    <row r="192">
      <c r="A192" s="39"/>
      <c r="B192" s="39"/>
      <c r="C192" s="38"/>
      <c r="D192" s="39"/>
      <c r="E192" s="38"/>
      <c r="F192" s="43"/>
      <c r="G192" s="39"/>
      <c r="H192" s="71"/>
      <c r="I192" s="38"/>
      <c r="J192" s="38"/>
      <c r="K192" s="46"/>
      <c r="L192" s="47"/>
      <c r="M192" s="46"/>
      <c r="N192" s="46"/>
      <c r="O192" s="60"/>
      <c r="P192" s="114"/>
      <c r="Q192" s="12"/>
      <c r="R192" s="67"/>
      <c r="S192" s="67"/>
      <c r="T192" s="67"/>
      <c r="U192" s="116"/>
      <c r="V192" s="117"/>
      <c r="W192" s="118"/>
      <c r="X192" s="119"/>
      <c r="Y192" s="113"/>
      <c r="Z192" s="113"/>
    </row>
    <row r="193">
      <c r="A193" s="39"/>
      <c r="B193" s="39"/>
      <c r="C193" s="38"/>
      <c r="D193" s="39"/>
      <c r="E193" s="38"/>
      <c r="F193" s="43"/>
      <c r="G193" s="39"/>
      <c r="H193" s="71"/>
      <c r="I193" s="38"/>
      <c r="J193" s="38"/>
      <c r="K193" s="46"/>
      <c r="L193" s="47"/>
      <c r="M193" s="46"/>
      <c r="N193" s="46"/>
      <c r="O193" s="60"/>
      <c r="P193" s="114"/>
      <c r="Q193" s="12"/>
      <c r="R193" s="67"/>
      <c r="S193" s="67"/>
      <c r="T193" s="67"/>
      <c r="U193" s="116"/>
      <c r="V193" s="117"/>
      <c r="W193" s="118"/>
      <c r="X193" s="119"/>
      <c r="Y193" s="113"/>
      <c r="Z193" s="113"/>
    </row>
    <row r="194">
      <c r="A194" s="39"/>
      <c r="B194" s="39"/>
      <c r="C194" s="38"/>
      <c r="D194" s="39"/>
      <c r="E194" s="38"/>
      <c r="F194" s="43"/>
      <c r="G194" s="39"/>
      <c r="H194" s="71"/>
      <c r="I194" s="38"/>
      <c r="J194" s="38"/>
      <c r="K194" s="46"/>
      <c r="L194" s="47"/>
      <c r="M194" s="46"/>
      <c r="N194" s="46"/>
      <c r="O194" s="60"/>
      <c r="P194" s="114"/>
      <c r="Q194" s="12"/>
      <c r="R194" s="67"/>
      <c r="S194" s="67"/>
      <c r="T194" s="67"/>
      <c r="U194" s="116"/>
      <c r="V194" s="117"/>
      <c r="W194" s="118"/>
      <c r="X194" s="119"/>
      <c r="Y194" s="113"/>
      <c r="Z194" s="113"/>
    </row>
    <row r="195">
      <c r="A195" s="39"/>
      <c r="B195" s="39"/>
      <c r="C195" s="38"/>
      <c r="D195" s="39"/>
      <c r="E195" s="38"/>
      <c r="F195" s="43"/>
      <c r="G195" s="39"/>
      <c r="H195" s="12"/>
      <c r="I195" s="38"/>
      <c r="J195" s="38"/>
      <c r="K195" s="46"/>
      <c r="L195" s="47"/>
      <c r="M195" s="46"/>
      <c r="N195" s="46"/>
      <c r="O195" s="60"/>
      <c r="P195" s="114"/>
      <c r="Q195" s="12"/>
      <c r="R195" s="67"/>
      <c r="S195" s="67"/>
      <c r="T195" s="67"/>
      <c r="U195" s="116"/>
      <c r="V195" s="117"/>
      <c r="W195" s="118"/>
      <c r="X195" s="119"/>
      <c r="Y195" s="113"/>
      <c r="Z195" s="113"/>
    </row>
    <row r="196">
      <c r="A196" s="39"/>
      <c r="B196" s="39"/>
      <c r="C196" s="38"/>
      <c r="D196" s="39"/>
      <c r="E196" s="38"/>
      <c r="F196" s="43"/>
      <c r="G196" s="39"/>
      <c r="H196" s="12"/>
      <c r="I196" s="38"/>
      <c r="J196" s="38"/>
      <c r="K196" s="46"/>
      <c r="L196" s="47"/>
      <c r="M196" s="46"/>
      <c r="N196" s="46"/>
      <c r="O196" s="60"/>
      <c r="P196" s="114"/>
      <c r="Q196" s="12"/>
      <c r="R196" s="67"/>
      <c r="S196" s="67"/>
      <c r="T196" s="67"/>
      <c r="U196" s="116"/>
      <c r="V196" s="117"/>
      <c r="W196" s="118"/>
      <c r="X196" s="119"/>
      <c r="Y196" s="113"/>
      <c r="Z196" s="113"/>
    </row>
    <row r="197">
      <c r="A197" s="39"/>
      <c r="B197" s="39"/>
      <c r="C197" s="38"/>
      <c r="D197" s="39"/>
      <c r="E197" s="38"/>
      <c r="F197" s="43"/>
      <c r="G197" s="39"/>
      <c r="H197" s="12"/>
      <c r="I197" s="38"/>
      <c r="J197" s="38"/>
      <c r="K197" s="46"/>
      <c r="L197" s="47"/>
      <c r="M197" s="46"/>
      <c r="N197" s="46"/>
      <c r="O197" s="60"/>
      <c r="P197" s="114"/>
      <c r="Q197" s="12"/>
      <c r="R197" s="67"/>
      <c r="S197" s="67"/>
      <c r="T197" s="67"/>
      <c r="U197" s="116"/>
      <c r="V197" s="117"/>
      <c r="W197" s="118"/>
      <c r="X197" s="119"/>
      <c r="Y197" s="113"/>
      <c r="Z197" s="113"/>
    </row>
    <row r="198">
      <c r="A198" s="39"/>
      <c r="B198" s="39"/>
      <c r="C198" s="38"/>
      <c r="D198" s="39"/>
      <c r="E198" s="38"/>
      <c r="F198" s="43"/>
      <c r="G198" s="39"/>
      <c r="H198" s="71"/>
      <c r="I198" s="38"/>
      <c r="J198" s="38"/>
      <c r="K198" s="46"/>
      <c r="L198" s="47"/>
      <c r="M198" s="46"/>
      <c r="N198" s="46"/>
      <c r="O198" s="60"/>
      <c r="P198" s="114"/>
      <c r="Q198" s="12"/>
      <c r="R198" s="67"/>
      <c r="S198" s="67"/>
      <c r="T198" s="67"/>
      <c r="U198" s="116"/>
      <c r="V198" s="117"/>
      <c r="W198" s="118"/>
      <c r="X198" s="119"/>
      <c r="Y198" s="113"/>
      <c r="Z198" s="113"/>
    </row>
    <row r="199">
      <c r="A199" s="39"/>
      <c r="B199" s="39"/>
      <c r="C199" s="38"/>
      <c r="D199" s="39"/>
      <c r="E199" s="38"/>
      <c r="F199" s="43"/>
      <c r="G199" s="39"/>
      <c r="H199" s="12"/>
      <c r="I199" s="38"/>
      <c r="J199" s="38"/>
      <c r="K199" s="46"/>
      <c r="L199" s="47"/>
      <c r="M199" s="46"/>
      <c r="N199" s="46"/>
      <c r="O199" s="60"/>
      <c r="P199" s="114"/>
      <c r="Q199" s="12"/>
      <c r="R199" s="67"/>
      <c r="S199" s="67"/>
      <c r="T199" s="67"/>
      <c r="U199" s="116"/>
      <c r="V199" s="117"/>
      <c r="W199" s="118"/>
      <c r="X199" s="119"/>
      <c r="Y199" s="113"/>
      <c r="Z199" s="113"/>
    </row>
  </sheetData>
  <dataValidations>
    <dataValidation type="list" allowBlank="1" sqref="C2:C103 C127:C199">
      <formula1>Fields!$F$2:$F$4</formula1>
    </dataValidation>
    <dataValidation type="list" allowBlank="1" sqref="C104:C126">
      <formula1>Fields!$F$2:$F$8</formula1>
    </dataValidation>
    <dataValidation type="list" allowBlank="1" showErrorMessage="1" sqref="U2:U56 U93">
      <formula1>"Yes,No"</formula1>
    </dataValidation>
    <dataValidation type="list" allowBlank="1" sqref="B55:B103">
      <formula1>Fields!$D$2:$D$4</formula1>
    </dataValidation>
    <dataValidation type="list" allowBlank="1" sqref="D55:D126">
      <formula1>Fields!$A$2:$A$8</formula1>
    </dataValidation>
    <dataValidation type="list" allowBlank="1" sqref="B104:B126">
      <formula1>Fields!$D$2:$D$12</formula1>
    </dataValidation>
  </dataValidations>
  <hyperlinks>
    <hyperlink r:id="rId2" ref="F2"/>
    <hyperlink r:id="rId3" ref="F3"/>
    <hyperlink r:id="rId4" ref="F4"/>
    <hyperlink r:id="rId5" ref="F5"/>
    <hyperlink r:id="rId6" ref="F6"/>
    <hyperlink r:id="rId7" ref="F7"/>
    <hyperlink r:id="rId8" ref="F8"/>
    <hyperlink r:id="rId9" ref="F9"/>
    <hyperlink r:id="rId10" ref="F11"/>
    <hyperlink r:id="rId11" ref="F12"/>
    <hyperlink r:id="rId12" ref="F14"/>
    <hyperlink r:id="rId13" ref="F15"/>
    <hyperlink r:id="rId14" ref="F16"/>
    <hyperlink r:id="rId15" ref="F17"/>
    <hyperlink r:id="rId16" ref="F18"/>
    <hyperlink r:id="rId17" ref="F19"/>
    <hyperlink r:id="rId18" ref="F20"/>
    <hyperlink r:id="rId19" ref="F35"/>
    <hyperlink r:id="rId20" ref="F43"/>
    <hyperlink r:id="rId21" ref="F55"/>
    <hyperlink r:id="rId22" ref="F56"/>
    <hyperlink r:id="rId23" ref="F76"/>
    <hyperlink r:id="rId24" ref="F91"/>
    <hyperlink r:id="rId25" ref="F93"/>
    <hyperlink r:id="rId26" ref="F104"/>
    <hyperlink r:id="rId27" ref="F114"/>
  </hyperlinks>
  <drawing r:id="rId28"/>
  <legacyDrawing r:id="rId2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2.63" defaultRowHeight="15.0"/>
  <cols>
    <col customWidth="1" min="1" max="1" width="5.13"/>
    <col customWidth="1" min="2" max="2" width="6.25"/>
    <col customWidth="1" min="3" max="3" width="5.5"/>
    <col customWidth="1" min="4" max="4" width="11.25"/>
    <col customWidth="1" min="5" max="5" width="3.13"/>
    <col customWidth="1" min="6" max="6" width="24.5"/>
    <col customWidth="1" min="7" max="7" width="24.88"/>
    <col customWidth="1" min="8" max="8" width="12.5"/>
    <col customWidth="1" min="9" max="10" width="7.38"/>
    <col customWidth="1" min="11" max="11" width="6.5"/>
    <col customWidth="1" min="12" max="12" width="8.5"/>
    <col customWidth="1" min="13" max="14" width="6.5"/>
    <col customWidth="1" min="15" max="16" width="7.38"/>
    <col customWidth="1" min="17" max="17" width="18.25"/>
    <col customWidth="1" min="18" max="18" width="5.75"/>
    <col customWidth="1" min="19" max="19" width="5.63"/>
    <col customWidth="1" min="20" max="20" width="6.63"/>
    <col customWidth="1" min="21" max="21" width="6.88"/>
    <col customWidth="1" min="22" max="22" width="7.75"/>
    <col customWidth="1" min="23" max="23" width="6.63"/>
    <col customWidth="1" min="24" max="24" width="7.63"/>
    <col customWidth="1" min="25" max="26" width="42.88"/>
    <col customWidth="1" min="27" max="33" width="11.0"/>
    <col customWidth="1" min="34" max="40" width="31.88"/>
  </cols>
  <sheetData>
    <row r="1" ht="45.0" customHeight="1">
      <c r="A1" s="1" t="s">
        <v>0</v>
      </c>
      <c r="B1" s="6" t="str">
        <f>HYPERLINK("#rangeid=2086300674","Content Owner")</f>
        <v>Content Owner</v>
      </c>
      <c r="C1" s="9" t="str">
        <f>HYPERLINK("#rangeid=632369931","Video Owner")</f>
        <v>Video Owner</v>
      </c>
      <c r="D1" s="11" t="s">
        <v>4</v>
      </c>
      <c r="E1" s="12" t="s">
        <v>5</v>
      </c>
      <c r="F1" s="13" t="s">
        <v>6</v>
      </c>
      <c r="G1" s="1" t="s">
        <v>7</v>
      </c>
      <c r="H1" s="21" t="str">
        <f>HYPERLINK("#rangeid=906849400","Description")</f>
        <v>Description</v>
      </c>
      <c r="I1" s="17" t="s">
        <v>11</v>
      </c>
      <c r="J1" s="1" t="s">
        <v>15</v>
      </c>
      <c r="K1" s="19" t="s">
        <v>16</v>
      </c>
      <c r="L1" s="1" t="s">
        <v>22</v>
      </c>
      <c r="M1" s="1" t="s">
        <v>23</v>
      </c>
      <c r="N1" s="1" t="s">
        <v>25</v>
      </c>
      <c r="O1" s="1" t="s">
        <v>26</v>
      </c>
      <c r="P1" s="1" t="s">
        <v>27</v>
      </c>
      <c r="Q1" s="1" t="s">
        <v>28</v>
      </c>
      <c r="R1" s="23" t="s">
        <v>29</v>
      </c>
      <c r="S1" s="23" t="s">
        <v>31</v>
      </c>
      <c r="T1" s="23" t="s">
        <v>32</v>
      </c>
      <c r="U1" s="26" t="s">
        <v>33</v>
      </c>
      <c r="V1" s="29" t="s">
        <v>35</v>
      </c>
      <c r="W1" s="31" t="str">
        <f>HYPERLINK("#rangeid=120001109","Replay")</f>
        <v>Replay</v>
      </c>
      <c r="X1" s="33" t="s">
        <v>38</v>
      </c>
      <c r="Y1" s="34" t="s">
        <v>39</v>
      </c>
      <c r="Z1" s="36" t="s">
        <v>40</v>
      </c>
      <c r="AA1" s="37"/>
      <c r="AB1" s="37"/>
      <c r="AC1" s="37"/>
      <c r="AD1" s="37"/>
      <c r="AE1" s="37"/>
      <c r="AF1" s="37"/>
      <c r="AG1" s="37"/>
      <c r="AH1" s="37"/>
      <c r="AI1" s="37"/>
      <c r="AJ1" s="37"/>
      <c r="AK1" s="37"/>
      <c r="AL1" s="37"/>
      <c r="AM1" s="37"/>
      <c r="AN1" s="37"/>
    </row>
    <row r="2">
      <c r="A2" s="38">
        <v>20.0</v>
      </c>
      <c r="B2" s="38" t="s">
        <v>107</v>
      </c>
      <c r="C2" s="39"/>
      <c r="D2" s="38" t="s">
        <v>55</v>
      </c>
      <c r="E2" s="38" t="s">
        <v>108</v>
      </c>
      <c r="F2" s="41" t="s">
        <v>109</v>
      </c>
      <c r="G2" s="43"/>
      <c r="H2" s="45"/>
      <c r="I2" s="38"/>
      <c r="J2" s="38">
        <f>8.5*1000</f>
        <v>8500</v>
      </c>
      <c r="K2" s="46">
        <v>0.0071874999999999994</v>
      </c>
      <c r="L2" s="47" t="s">
        <v>60</v>
      </c>
      <c r="M2" s="46"/>
      <c r="N2" s="46"/>
      <c r="O2" s="38"/>
      <c r="P2" s="49">
        <v>42990.0</v>
      </c>
      <c r="Q2" s="12" t="str">
        <f t="shared" ref="Q2:Q104" si="1">HYPERLINK(IF(INT(A2)-A2=0,"",REPLACE(INDIRECT("MasterList!e"&amp;INT(A2)+1),25,8,"embed/")&amp;"?start="&amp;HOUR(M2)*3600+MINUTE(M2)*60+SECOND(M2)&amp;"&amp;end="&amp;HOUR(N2)*3600+MINUTE(N2)*60+SECOND(N2)&amp;"&amp;autoplay=1"))</f>
        <v/>
      </c>
      <c r="R2" s="50"/>
      <c r="S2" s="50"/>
      <c r="T2" s="50"/>
      <c r="U2" s="53"/>
      <c r="V2" s="54"/>
      <c r="W2" s="56"/>
      <c r="X2" s="57"/>
      <c r="Y2" s="38"/>
      <c r="Z2" s="38"/>
      <c r="AH2" s="38"/>
      <c r="AI2" s="38"/>
      <c r="AJ2" s="38"/>
      <c r="AK2" s="38"/>
      <c r="AL2" s="38"/>
      <c r="AM2" s="38"/>
      <c r="AN2" s="38"/>
    </row>
    <row r="3">
      <c r="A3" s="38">
        <v>20.01</v>
      </c>
      <c r="B3" s="38" t="s">
        <v>107</v>
      </c>
      <c r="C3" s="39"/>
      <c r="D3" s="38" t="s">
        <v>55</v>
      </c>
      <c r="E3" s="38"/>
      <c r="F3" s="41"/>
      <c r="G3" s="43" t="s">
        <v>120</v>
      </c>
      <c r="H3" s="58" t="s">
        <v>121</v>
      </c>
      <c r="I3" s="38"/>
      <c r="J3" s="38"/>
      <c r="K3" s="46"/>
      <c r="L3" s="47"/>
      <c r="M3" s="46">
        <v>5.787037037037038E-4</v>
      </c>
      <c r="N3" s="46">
        <v>0.0032407407407407406</v>
      </c>
      <c r="O3" s="46">
        <f t="shared" ref="O3:O5" si="2">N3-M3</f>
        <v>0.002662037037</v>
      </c>
      <c r="P3" s="49">
        <v>42990.0</v>
      </c>
      <c r="Q3" s="61" t="str">
        <f t="shared" si="1"/>
        <v>https://www.youtube.com/embed/_IcfDP-ezpo?start=50&amp;end=280&amp;autoplay=1</v>
      </c>
      <c r="R3" s="50" t="s">
        <v>61</v>
      </c>
      <c r="S3" s="50" t="s">
        <v>124</v>
      </c>
      <c r="T3" s="50" t="s">
        <v>61</v>
      </c>
      <c r="U3" s="53"/>
      <c r="V3" s="54"/>
      <c r="W3" s="56" t="s">
        <v>62</v>
      </c>
      <c r="X3" s="57"/>
      <c r="Y3" s="38"/>
      <c r="Z3" s="38"/>
      <c r="AH3" s="38"/>
      <c r="AI3" s="38"/>
      <c r="AJ3" s="38"/>
      <c r="AK3" s="38"/>
      <c r="AL3" s="38"/>
      <c r="AM3" s="38"/>
      <c r="AN3" s="38"/>
    </row>
    <row r="4">
      <c r="A4" s="38">
        <v>20.02</v>
      </c>
      <c r="B4" s="38" t="s">
        <v>107</v>
      </c>
      <c r="C4" s="39"/>
      <c r="D4" s="38" t="s">
        <v>55</v>
      </c>
      <c r="E4" s="38"/>
      <c r="F4" s="41"/>
      <c r="G4" s="43" t="s">
        <v>126</v>
      </c>
      <c r="H4" s="45" t="s">
        <v>127</v>
      </c>
      <c r="I4" s="38"/>
      <c r="J4" s="38"/>
      <c r="K4" s="46"/>
      <c r="L4" s="47"/>
      <c r="M4" s="46">
        <v>0.0032407407407407406</v>
      </c>
      <c r="N4" s="46">
        <v>0.005775462962962962</v>
      </c>
      <c r="O4" s="46">
        <f t="shared" si="2"/>
        <v>0.002534722222</v>
      </c>
      <c r="P4" s="49">
        <v>42990.0</v>
      </c>
      <c r="Q4" s="61" t="str">
        <f t="shared" si="1"/>
        <v>https://www.youtube.com/embed/_IcfDP-ezpo?start=280&amp;end=499&amp;autoplay=1</v>
      </c>
      <c r="R4" s="50" t="s">
        <v>61</v>
      </c>
      <c r="S4" s="50" t="s">
        <v>124</v>
      </c>
      <c r="T4" s="50" t="s">
        <v>61</v>
      </c>
      <c r="U4" s="53"/>
      <c r="V4" s="54"/>
      <c r="W4" s="56" t="s">
        <v>62</v>
      </c>
      <c r="X4" s="57"/>
      <c r="Y4" s="38"/>
      <c r="Z4" s="38"/>
      <c r="AH4" s="38"/>
      <c r="AI4" s="38"/>
      <c r="AJ4" s="38"/>
      <c r="AK4" s="38"/>
      <c r="AL4" s="38"/>
      <c r="AM4" s="38"/>
      <c r="AN4" s="38"/>
    </row>
    <row r="5">
      <c r="A5" s="38">
        <v>20.03</v>
      </c>
      <c r="B5" s="38" t="s">
        <v>107</v>
      </c>
      <c r="C5" s="39"/>
      <c r="D5" s="38" t="s">
        <v>55</v>
      </c>
      <c r="E5" s="38"/>
      <c r="F5" s="41"/>
      <c r="G5" s="43" t="s">
        <v>131</v>
      </c>
      <c r="H5" s="45" t="s">
        <v>132</v>
      </c>
      <c r="I5" s="38"/>
      <c r="J5" s="38"/>
      <c r="K5" s="46"/>
      <c r="L5" s="47"/>
      <c r="M5" s="46">
        <v>0.005775462962962962</v>
      </c>
      <c r="N5" s="46">
        <v>0.007175925925925926</v>
      </c>
      <c r="O5" s="46">
        <f t="shared" si="2"/>
        <v>0.001400462963</v>
      </c>
      <c r="P5" s="49">
        <v>42990.0</v>
      </c>
      <c r="Q5" s="61" t="str">
        <f t="shared" si="1"/>
        <v>https://www.youtube.com/embed/_IcfDP-ezpo?start=499&amp;end=620&amp;autoplay=1</v>
      </c>
      <c r="R5" s="50" t="s">
        <v>61</v>
      </c>
      <c r="S5" s="50" t="s">
        <v>124</v>
      </c>
      <c r="T5" s="50" t="s">
        <v>61</v>
      </c>
      <c r="U5" s="53"/>
      <c r="V5" s="54"/>
      <c r="W5" s="56" t="s">
        <v>62</v>
      </c>
      <c r="X5" s="57"/>
      <c r="Y5" s="38"/>
      <c r="Z5" s="38"/>
      <c r="AH5" s="38"/>
      <c r="AI5" s="38"/>
      <c r="AJ5" s="38"/>
      <c r="AK5" s="38"/>
      <c r="AL5" s="38"/>
      <c r="AM5" s="38"/>
      <c r="AN5" s="38"/>
    </row>
    <row r="6">
      <c r="A6" s="38">
        <v>22.0</v>
      </c>
      <c r="B6" s="38" t="s">
        <v>107</v>
      </c>
      <c r="C6" s="39"/>
      <c r="D6" s="38" t="s">
        <v>55</v>
      </c>
      <c r="E6" s="38" t="s">
        <v>137</v>
      </c>
      <c r="F6" s="41" t="s">
        <v>138</v>
      </c>
      <c r="G6" s="43"/>
      <c r="H6" s="45"/>
      <c r="I6" s="38"/>
      <c r="J6" s="38">
        <f>4.9*1000</f>
        <v>4900</v>
      </c>
      <c r="K6" s="46">
        <v>0.009293981481481481</v>
      </c>
      <c r="L6" s="47" t="s">
        <v>60</v>
      </c>
      <c r="M6" s="46"/>
      <c r="N6" s="46"/>
      <c r="O6" s="38"/>
      <c r="P6" s="49">
        <v>42990.0</v>
      </c>
      <c r="Q6" s="12" t="str">
        <f t="shared" si="1"/>
        <v/>
      </c>
      <c r="R6" s="50"/>
      <c r="S6" s="50"/>
      <c r="T6" s="50"/>
      <c r="U6" s="53"/>
      <c r="V6" s="54"/>
      <c r="W6" s="56"/>
      <c r="X6" s="57"/>
      <c r="Y6" s="38"/>
      <c r="Z6" s="38"/>
      <c r="AH6" s="38"/>
      <c r="AI6" s="38"/>
      <c r="AJ6" s="38"/>
      <c r="AK6" s="38"/>
      <c r="AL6" s="38"/>
      <c r="AM6" s="38"/>
      <c r="AN6" s="38"/>
    </row>
    <row r="7">
      <c r="A7" s="38">
        <v>22.01</v>
      </c>
      <c r="B7" s="38" t="s">
        <v>107</v>
      </c>
      <c r="C7" s="39"/>
      <c r="D7" s="38" t="s">
        <v>55</v>
      </c>
      <c r="E7" s="38"/>
      <c r="F7" s="41"/>
      <c r="G7" s="59" t="s">
        <v>147</v>
      </c>
      <c r="H7" s="45" t="s">
        <v>149</v>
      </c>
      <c r="I7" s="38"/>
      <c r="J7" s="38"/>
      <c r="K7" s="46"/>
      <c r="L7" s="47"/>
      <c r="M7" s="46">
        <v>0.0</v>
      </c>
      <c r="N7" s="46">
        <v>0.0011805555555555556</v>
      </c>
      <c r="O7" s="46">
        <f t="shared" ref="O7:O12" si="3">N7-M7</f>
        <v>0.001180555556</v>
      </c>
      <c r="P7" s="49">
        <v>42990.0</v>
      </c>
      <c r="Q7" s="61" t="str">
        <f t="shared" si="1"/>
        <v>https://www.youtube.com/embed/Uq2PJjcHiqI?start=0&amp;end=102&amp;autoplay=1</v>
      </c>
      <c r="R7" s="50" t="s">
        <v>61</v>
      </c>
      <c r="S7" s="50" t="s">
        <v>124</v>
      </c>
      <c r="T7" s="50" t="s">
        <v>61</v>
      </c>
      <c r="U7" s="53"/>
      <c r="V7" s="54"/>
      <c r="W7" s="56" t="s">
        <v>62</v>
      </c>
      <c r="X7" s="57"/>
      <c r="Y7" s="38"/>
      <c r="Z7" s="38"/>
      <c r="AH7" s="38"/>
      <c r="AI7" s="38"/>
      <c r="AJ7" s="38"/>
      <c r="AK7" s="38"/>
      <c r="AL7" s="38"/>
      <c r="AM7" s="38"/>
      <c r="AN7" s="38"/>
    </row>
    <row r="8">
      <c r="A8" s="38">
        <v>22.02</v>
      </c>
      <c r="B8" s="38" t="s">
        <v>107</v>
      </c>
      <c r="C8" s="39"/>
      <c r="D8" s="38" t="s">
        <v>55</v>
      </c>
      <c r="E8" s="38"/>
      <c r="F8" s="41"/>
      <c r="G8" s="43" t="s">
        <v>152</v>
      </c>
      <c r="H8" s="45" t="s">
        <v>153</v>
      </c>
      <c r="I8" s="38"/>
      <c r="J8" s="38"/>
      <c r="K8" s="46"/>
      <c r="L8" s="47"/>
      <c r="M8" s="46">
        <v>0.0011805555555555556</v>
      </c>
      <c r="N8" s="46">
        <v>0.003101851851851852</v>
      </c>
      <c r="O8" s="46">
        <f t="shared" si="3"/>
        <v>0.001921296296</v>
      </c>
      <c r="P8" s="49">
        <v>42990.0</v>
      </c>
      <c r="Q8" s="61" t="str">
        <f t="shared" si="1"/>
        <v>https://www.youtube.com/embed/Uq2PJjcHiqI?start=102&amp;end=268&amp;autoplay=1</v>
      </c>
      <c r="R8" s="50" t="s">
        <v>61</v>
      </c>
      <c r="S8" s="50" t="s">
        <v>124</v>
      </c>
      <c r="T8" s="50" t="s">
        <v>61</v>
      </c>
      <c r="U8" s="53"/>
      <c r="V8" s="54"/>
      <c r="W8" s="56" t="s">
        <v>62</v>
      </c>
      <c r="X8" s="57"/>
      <c r="Y8" s="38"/>
      <c r="Z8" s="38"/>
      <c r="AH8" s="38"/>
      <c r="AI8" s="38"/>
      <c r="AJ8" s="38"/>
      <c r="AK8" s="38"/>
      <c r="AL8" s="38"/>
      <c r="AM8" s="38"/>
      <c r="AN8" s="38"/>
    </row>
    <row r="9">
      <c r="A9" s="38">
        <v>22.03</v>
      </c>
      <c r="B9" s="38" t="s">
        <v>107</v>
      </c>
      <c r="C9" s="39"/>
      <c r="D9" s="38" t="s">
        <v>55</v>
      </c>
      <c r="E9" s="38"/>
      <c r="F9" s="41"/>
      <c r="G9" s="43" t="s">
        <v>158</v>
      </c>
      <c r="H9" s="58" t="s">
        <v>159</v>
      </c>
      <c r="I9" s="38"/>
      <c r="J9" s="38"/>
      <c r="K9" s="46"/>
      <c r="L9" s="47"/>
      <c r="M9" s="46">
        <v>0.003101851851851852</v>
      </c>
      <c r="N9" s="46">
        <v>0.004641203703703704</v>
      </c>
      <c r="O9" s="46">
        <f t="shared" si="3"/>
        <v>0.001539351852</v>
      </c>
      <c r="P9" s="49">
        <v>42990.0</v>
      </c>
      <c r="Q9" s="61" t="str">
        <f t="shared" si="1"/>
        <v>https://www.youtube.com/embed/Uq2PJjcHiqI?start=268&amp;end=401&amp;autoplay=1</v>
      </c>
      <c r="R9" s="50" t="s">
        <v>61</v>
      </c>
      <c r="S9" s="50" t="s">
        <v>124</v>
      </c>
      <c r="T9" s="50" t="s">
        <v>61</v>
      </c>
      <c r="U9" s="53"/>
      <c r="V9" s="54"/>
      <c r="W9" s="56" t="s">
        <v>62</v>
      </c>
      <c r="X9" s="57"/>
      <c r="Y9" s="38"/>
      <c r="Z9" s="38" t="s">
        <v>162</v>
      </c>
      <c r="AH9" s="38"/>
      <c r="AI9" s="38"/>
      <c r="AJ9" s="38"/>
      <c r="AK9" s="38"/>
      <c r="AL9" s="38"/>
      <c r="AM9" s="38"/>
      <c r="AN9" s="38"/>
    </row>
    <row r="10">
      <c r="A10" s="39">
        <v>22.04</v>
      </c>
      <c r="B10" s="38" t="s">
        <v>107</v>
      </c>
      <c r="C10" s="39"/>
      <c r="D10" s="38" t="s">
        <v>55</v>
      </c>
      <c r="E10" s="38"/>
      <c r="F10" s="41"/>
      <c r="G10" s="43" t="s">
        <v>163</v>
      </c>
      <c r="H10" s="45" t="s">
        <v>164</v>
      </c>
      <c r="I10" s="38"/>
      <c r="J10" s="38"/>
      <c r="K10" s="46"/>
      <c r="L10" s="47"/>
      <c r="M10" s="46">
        <v>0.004641203703703704</v>
      </c>
      <c r="N10" s="46">
        <v>0.0072106481481481475</v>
      </c>
      <c r="O10" s="60">
        <f t="shared" si="3"/>
        <v>0.002569444444</v>
      </c>
      <c r="P10" s="49">
        <v>42990.0</v>
      </c>
      <c r="Q10" s="61" t="str">
        <f t="shared" si="1"/>
        <v>https://www.youtube.com/embed/Uq2PJjcHiqI?start=401&amp;end=623&amp;autoplay=1</v>
      </c>
      <c r="R10" s="50" t="s">
        <v>61</v>
      </c>
      <c r="S10" s="50" t="s">
        <v>124</v>
      </c>
      <c r="T10" s="50" t="s">
        <v>61</v>
      </c>
      <c r="U10" s="53"/>
      <c r="V10" s="54"/>
      <c r="W10" s="56" t="s">
        <v>62</v>
      </c>
      <c r="X10" s="57"/>
      <c r="Y10" s="38"/>
      <c r="Z10" s="38"/>
      <c r="AH10" s="38"/>
      <c r="AI10" s="38"/>
      <c r="AJ10" s="38"/>
      <c r="AK10" s="38"/>
      <c r="AL10" s="38"/>
      <c r="AM10" s="38"/>
      <c r="AN10" s="38"/>
    </row>
    <row r="11">
      <c r="A11" s="38">
        <v>22.05</v>
      </c>
      <c r="B11" s="38" t="s">
        <v>107</v>
      </c>
      <c r="C11" s="39"/>
      <c r="D11" s="38" t="s">
        <v>55</v>
      </c>
      <c r="E11" s="38"/>
      <c r="F11" s="41"/>
      <c r="G11" s="43" t="s">
        <v>167</v>
      </c>
      <c r="H11" s="45" t="s">
        <v>168</v>
      </c>
      <c r="I11" s="38"/>
      <c r="J11" s="38"/>
      <c r="K11" s="46"/>
      <c r="L11" s="47"/>
      <c r="M11" s="46">
        <v>0.0072106481481481475</v>
      </c>
      <c r="N11" s="46">
        <v>0.007673611111111111</v>
      </c>
      <c r="O11" s="46">
        <f t="shared" si="3"/>
        <v>0.000462962963</v>
      </c>
      <c r="P11" s="49">
        <v>42990.0</v>
      </c>
      <c r="Q11" s="61" t="str">
        <f t="shared" si="1"/>
        <v>https://www.youtube.com/embed/Uq2PJjcHiqI?start=623&amp;end=663&amp;autoplay=1</v>
      </c>
      <c r="R11" s="50" t="s">
        <v>61</v>
      </c>
      <c r="S11" s="50" t="s">
        <v>124</v>
      </c>
      <c r="T11" s="50" t="s">
        <v>61</v>
      </c>
      <c r="U11" s="53"/>
      <c r="V11" s="54"/>
      <c r="W11" s="56" t="s">
        <v>62</v>
      </c>
      <c r="X11" s="57"/>
      <c r="Y11" s="38"/>
      <c r="Z11" s="38" t="s">
        <v>169</v>
      </c>
      <c r="AH11" s="38"/>
      <c r="AI11" s="38"/>
      <c r="AJ11" s="38"/>
      <c r="AK11" s="38"/>
      <c r="AL11" s="38"/>
      <c r="AM11" s="38"/>
      <c r="AN11" s="38"/>
    </row>
    <row r="12">
      <c r="A12" s="38">
        <v>22.06</v>
      </c>
      <c r="B12" s="38" t="s">
        <v>107</v>
      </c>
      <c r="C12" s="39"/>
      <c r="D12" s="38" t="s">
        <v>55</v>
      </c>
      <c r="E12" s="38"/>
      <c r="F12" s="41"/>
      <c r="G12" s="43" t="s">
        <v>170</v>
      </c>
      <c r="H12" s="45" t="s">
        <v>171</v>
      </c>
      <c r="I12" s="38"/>
      <c r="J12" s="38"/>
      <c r="K12" s="46"/>
      <c r="L12" s="47"/>
      <c r="M12" s="46">
        <v>0.0076851851851851855</v>
      </c>
      <c r="N12" s="46">
        <v>0.009282407407407408</v>
      </c>
      <c r="O12" s="46">
        <f t="shared" si="3"/>
        <v>0.001597222222</v>
      </c>
      <c r="P12" s="49">
        <v>42990.0</v>
      </c>
      <c r="Q12" s="61" t="str">
        <f t="shared" si="1"/>
        <v>https://www.youtube.com/embed/Uq2PJjcHiqI?start=664&amp;end=802&amp;autoplay=1</v>
      </c>
      <c r="R12" s="50" t="s">
        <v>61</v>
      </c>
      <c r="S12" s="50" t="s">
        <v>124</v>
      </c>
      <c r="T12" s="50" t="s">
        <v>61</v>
      </c>
      <c r="U12" s="53"/>
      <c r="V12" s="54"/>
      <c r="W12" s="56" t="s">
        <v>62</v>
      </c>
      <c r="X12" s="57"/>
      <c r="Y12" s="38"/>
      <c r="Z12" s="38"/>
      <c r="AH12" s="38"/>
      <c r="AI12" s="38"/>
      <c r="AJ12" s="38"/>
      <c r="AK12" s="38"/>
      <c r="AL12" s="38"/>
      <c r="AM12" s="38"/>
      <c r="AN12" s="38"/>
    </row>
    <row r="13">
      <c r="A13" s="39">
        <v>23.0</v>
      </c>
      <c r="B13" s="38" t="s">
        <v>107</v>
      </c>
      <c r="C13" s="39"/>
      <c r="D13" s="38" t="s">
        <v>55</v>
      </c>
      <c r="E13" s="38" t="s">
        <v>176</v>
      </c>
      <c r="F13" s="41" t="s">
        <v>177</v>
      </c>
      <c r="G13" s="43"/>
      <c r="H13" s="45"/>
      <c r="I13" s="38"/>
      <c r="J13" s="38">
        <f>3.6*1000</f>
        <v>3600</v>
      </c>
      <c r="K13" s="46">
        <v>0.007476851851851853</v>
      </c>
      <c r="L13" s="47" t="s">
        <v>60</v>
      </c>
      <c r="M13" s="46"/>
      <c r="N13" s="46"/>
      <c r="O13" s="60"/>
      <c r="P13" s="49">
        <v>42991.0</v>
      </c>
      <c r="Q13" s="12" t="str">
        <f t="shared" si="1"/>
        <v/>
      </c>
      <c r="R13" s="50"/>
      <c r="S13" s="50"/>
      <c r="T13" s="50"/>
      <c r="U13" s="53"/>
      <c r="V13" s="54"/>
      <c r="W13" s="56"/>
      <c r="X13" s="57"/>
      <c r="Y13" s="38"/>
      <c r="Z13" s="38"/>
      <c r="AH13" s="38"/>
      <c r="AI13" s="38"/>
      <c r="AJ13" s="38"/>
      <c r="AK13" s="38"/>
      <c r="AL13" s="38"/>
      <c r="AM13" s="38"/>
      <c r="AN13" s="38"/>
    </row>
    <row r="14">
      <c r="A14" s="38">
        <v>23.01</v>
      </c>
      <c r="B14" s="38" t="s">
        <v>107</v>
      </c>
      <c r="C14" s="39"/>
      <c r="D14" s="38" t="s">
        <v>55</v>
      </c>
      <c r="E14" s="38"/>
      <c r="F14" s="41"/>
      <c r="G14" s="62" t="s">
        <v>180</v>
      </c>
      <c r="H14" s="58" t="s">
        <v>181</v>
      </c>
      <c r="I14" s="38"/>
      <c r="J14" s="38"/>
      <c r="K14" s="46"/>
      <c r="L14" s="47"/>
      <c r="M14" s="46">
        <v>0.0</v>
      </c>
      <c r="N14" s="46">
        <v>0.0015162037037037036</v>
      </c>
      <c r="O14" s="46">
        <f t="shared" ref="O14:O16" si="4">N14-M14</f>
        <v>0.001516203704</v>
      </c>
      <c r="P14" s="49">
        <v>42991.0</v>
      </c>
      <c r="Q14" s="61" t="str">
        <f t="shared" si="1"/>
        <v>https://www.youtube.com/embed/5LJPOCxc3E8?start=0&amp;end=131&amp;autoplay=1</v>
      </c>
      <c r="R14" s="50" t="s">
        <v>61</v>
      </c>
      <c r="S14" s="50" t="s">
        <v>124</v>
      </c>
      <c r="T14" s="50" t="s">
        <v>61</v>
      </c>
      <c r="U14" s="53"/>
      <c r="V14" s="54"/>
      <c r="W14" s="56" t="s">
        <v>62</v>
      </c>
      <c r="X14" s="57"/>
      <c r="Y14" s="38"/>
      <c r="Z14" s="38"/>
      <c r="AH14" s="38"/>
      <c r="AI14" s="38"/>
      <c r="AJ14" s="38"/>
      <c r="AK14" s="38"/>
      <c r="AL14" s="38"/>
      <c r="AM14" s="38"/>
      <c r="AN14" s="38"/>
    </row>
    <row r="15">
      <c r="A15" s="38">
        <v>23.02</v>
      </c>
      <c r="B15" s="38" t="s">
        <v>107</v>
      </c>
      <c r="C15" s="39"/>
      <c r="D15" s="38" t="s">
        <v>55</v>
      </c>
      <c r="E15" s="38"/>
      <c r="F15" s="41"/>
      <c r="G15" s="45" t="s">
        <v>184</v>
      </c>
      <c r="H15" s="43" t="s">
        <v>185</v>
      </c>
      <c r="I15" s="43"/>
      <c r="J15" s="43"/>
      <c r="K15" s="46"/>
      <c r="L15" s="47"/>
      <c r="M15" s="46">
        <v>0.0015162037037037036</v>
      </c>
      <c r="N15" s="46">
        <v>0.004085648148148148</v>
      </c>
      <c r="O15" s="46">
        <f t="shared" si="4"/>
        <v>0.002569444444</v>
      </c>
      <c r="P15" s="49">
        <v>42991.0</v>
      </c>
      <c r="Q15" s="61" t="str">
        <f t="shared" si="1"/>
        <v>https://www.youtube.com/embed/5LJPOCxc3E8?start=131&amp;end=353&amp;autoplay=1</v>
      </c>
      <c r="R15" s="50" t="s">
        <v>61</v>
      </c>
      <c r="S15" s="50" t="s">
        <v>124</v>
      </c>
      <c r="T15" s="50" t="s">
        <v>61</v>
      </c>
      <c r="U15" s="53"/>
      <c r="V15" s="54"/>
      <c r="W15" s="56" t="s">
        <v>62</v>
      </c>
      <c r="X15" s="57"/>
      <c r="Y15" s="38"/>
      <c r="Z15" s="38"/>
      <c r="AH15" s="38"/>
      <c r="AI15" s="38"/>
      <c r="AJ15" s="38"/>
      <c r="AK15" s="38"/>
      <c r="AL15" s="38"/>
      <c r="AM15" s="38"/>
      <c r="AN15" s="38"/>
    </row>
    <row r="16">
      <c r="A16" s="38">
        <v>23.03</v>
      </c>
      <c r="B16" s="38" t="s">
        <v>107</v>
      </c>
      <c r="C16" s="39"/>
      <c r="D16" s="38" t="s">
        <v>55</v>
      </c>
      <c r="E16" s="38"/>
      <c r="F16" s="41"/>
      <c r="G16" s="38" t="s">
        <v>191</v>
      </c>
      <c r="H16" s="45" t="s">
        <v>192</v>
      </c>
      <c r="I16" s="38"/>
      <c r="J16" s="38"/>
      <c r="K16" s="46"/>
      <c r="L16" s="47"/>
      <c r="M16" s="46">
        <v>0.004143518518518519</v>
      </c>
      <c r="N16" s="46">
        <v>0.007395833333333334</v>
      </c>
      <c r="O16" s="46">
        <f t="shared" si="4"/>
        <v>0.003252314815</v>
      </c>
      <c r="P16" s="49">
        <v>42991.0</v>
      </c>
      <c r="Q16" s="61" t="str">
        <f t="shared" si="1"/>
        <v>https://www.youtube.com/embed/5LJPOCxc3E8?start=358&amp;end=639&amp;autoplay=1</v>
      </c>
      <c r="R16" s="50" t="s">
        <v>61</v>
      </c>
      <c r="S16" s="50" t="s">
        <v>124</v>
      </c>
      <c r="T16" s="50" t="s">
        <v>61</v>
      </c>
      <c r="U16" s="53"/>
      <c r="V16" s="54"/>
      <c r="W16" s="56" t="s">
        <v>62</v>
      </c>
      <c r="X16" s="57"/>
      <c r="Y16" s="38"/>
      <c r="Z16" s="38"/>
      <c r="AH16" s="38"/>
      <c r="AI16" s="38"/>
      <c r="AJ16" s="38"/>
      <c r="AK16" s="38"/>
      <c r="AL16" s="38"/>
      <c r="AM16" s="38"/>
      <c r="AN16" s="38"/>
    </row>
    <row r="17">
      <c r="A17" s="38">
        <v>26.0</v>
      </c>
      <c r="B17" s="38" t="s">
        <v>107</v>
      </c>
      <c r="C17" s="39"/>
      <c r="D17" s="38" t="s">
        <v>55</v>
      </c>
      <c r="E17" s="38" t="s">
        <v>194</v>
      </c>
      <c r="F17" s="41" t="s">
        <v>195</v>
      </c>
      <c r="G17" s="43"/>
      <c r="H17" s="45"/>
      <c r="I17" s="38"/>
      <c r="J17" s="38">
        <f>14*1000</f>
        <v>14000</v>
      </c>
      <c r="K17" s="46">
        <v>0.007488425925925926</v>
      </c>
      <c r="L17" s="47" t="s">
        <v>60</v>
      </c>
      <c r="M17" s="46"/>
      <c r="N17" s="46"/>
      <c r="O17" s="38"/>
      <c r="P17" s="49">
        <v>42991.0</v>
      </c>
      <c r="Q17" s="12" t="str">
        <f t="shared" si="1"/>
        <v/>
      </c>
      <c r="R17" s="50"/>
      <c r="S17" s="50"/>
      <c r="T17" s="50"/>
      <c r="U17" s="53"/>
      <c r="V17" s="54"/>
      <c r="W17" s="56"/>
      <c r="X17" s="57"/>
      <c r="Y17" s="38"/>
      <c r="Z17" s="38"/>
      <c r="AH17" s="38"/>
      <c r="AI17" s="38"/>
      <c r="AJ17" s="38"/>
      <c r="AK17" s="38"/>
      <c r="AL17" s="38"/>
      <c r="AM17" s="38"/>
      <c r="AN17" s="38"/>
    </row>
    <row r="18">
      <c r="A18" s="38">
        <v>26.01</v>
      </c>
      <c r="B18" s="38" t="s">
        <v>107</v>
      </c>
      <c r="C18" s="39"/>
      <c r="D18" s="38" t="s">
        <v>55</v>
      </c>
      <c r="E18" s="38"/>
      <c r="F18" s="41"/>
      <c r="G18" s="43" t="s">
        <v>152</v>
      </c>
      <c r="H18" s="45" t="s">
        <v>199</v>
      </c>
      <c r="I18" s="38"/>
      <c r="J18" s="38"/>
      <c r="K18" s="46"/>
      <c r="L18" s="47"/>
      <c r="M18" s="46">
        <v>9.259259259259259E-4</v>
      </c>
      <c r="N18" s="46">
        <v>0.0029861111111111113</v>
      </c>
      <c r="O18" s="46">
        <f t="shared" ref="O18:O20" si="5">N18-M18</f>
        <v>0.002060185185</v>
      </c>
      <c r="P18" s="49">
        <v>42991.0</v>
      </c>
      <c r="Q18" s="61" t="str">
        <f t="shared" si="1"/>
        <v>https://www.youtube.com/embed/RdBz1kIwrqo?start=80&amp;end=258&amp;autoplay=1</v>
      </c>
      <c r="R18" s="50" t="s">
        <v>61</v>
      </c>
      <c r="S18" s="50" t="s">
        <v>124</v>
      </c>
      <c r="T18" s="50" t="s">
        <v>61</v>
      </c>
      <c r="U18" s="53"/>
      <c r="V18" s="54"/>
      <c r="W18" s="56" t="s">
        <v>76</v>
      </c>
      <c r="X18" s="57"/>
      <c r="Y18" s="38"/>
      <c r="Z18" s="38" t="s">
        <v>204</v>
      </c>
      <c r="AH18" s="38"/>
      <c r="AI18" s="38"/>
      <c r="AJ18" s="38"/>
      <c r="AK18" s="38"/>
      <c r="AL18" s="38"/>
      <c r="AM18" s="38"/>
      <c r="AN18" s="38"/>
    </row>
    <row r="19">
      <c r="A19" s="38">
        <v>26.02</v>
      </c>
      <c r="B19" s="38" t="s">
        <v>107</v>
      </c>
      <c r="C19" s="39"/>
      <c r="D19" s="38" t="s">
        <v>55</v>
      </c>
      <c r="E19" s="38"/>
      <c r="F19" s="41"/>
      <c r="G19" s="43" t="s">
        <v>205</v>
      </c>
      <c r="H19" s="45" t="s">
        <v>206</v>
      </c>
      <c r="I19" s="38"/>
      <c r="J19" s="38"/>
      <c r="K19" s="46"/>
      <c r="L19" s="47"/>
      <c r="M19" s="46">
        <v>0.0030787037037037037</v>
      </c>
      <c r="N19" s="46">
        <v>0.004641203703703704</v>
      </c>
      <c r="O19" s="46">
        <f t="shared" si="5"/>
        <v>0.0015625</v>
      </c>
      <c r="P19" s="49">
        <v>42991.0</v>
      </c>
      <c r="Q19" s="61" t="str">
        <f t="shared" si="1"/>
        <v>https://www.youtube.com/embed/RdBz1kIwrqo?start=266&amp;end=401&amp;autoplay=1</v>
      </c>
      <c r="R19" s="50" t="s">
        <v>61</v>
      </c>
      <c r="S19" s="50" t="s">
        <v>124</v>
      </c>
      <c r="T19" s="50" t="s">
        <v>61</v>
      </c>
      <c r="U19" s="53"/>
      <c r="V19" s="54"/>
      <c r="W19" s="56" t="s">
        <v>76</v>
      </c>
      <c r="X19" s="57"/>
      <c r="Y19" s="38"/>
      <c r="Z19" s="38"/>
      <c r="AH19" s="38"/>
      <c r="AI19" s="38"/>
      <c r="AJ19" s="38"/>
      <c r="AK19" s="38"/>
      <c r="AL19" s="38"/>
      <c r="AM19" s="38"/>
      <c r="AN19" s="38"/>
    </row>
    <row r="20">
      <c r="A20" s="38">
        <v>26.03</v>
      </c>
      <c r="B20" s="38" t="s">
        <v>107</v>
      </c>
      <c r="C20" s="39"/>
      <c r="D20" s="38" t="s">
        <v>55</v>
      </c>
      <c r="E20" s="38"/>
      <c r="F20" s="41"/>
      <c r="G20" s="43" t="s">
        <v>212</v>
      </c>
      <c r="H20" s="45" t="s">
        <v>213</v>
      </c>
      <c r="I20" s="38"/>
      <c r="J20" s="38"/>
      <c r="K20" s="46"/>
      <c r="L20" s="47"/>
      <c r="M20" s="46">
        <v>0.006516203703703704</v>
      </c>
      <c r="N20" s="46">
        <v>0.007476851851851853</v>
      </c>
      <c r="O20" s="46">
        <f t="shared" si="5"/>
        <v>0.0009606481481</v>
      </c>
      <c r="P20" s="72">
        <v>42991.0</v>
      </c>
      <c r="Q20" s="61" t="str">
        <f t="shared" si="1"/>
        <v>https://www.youtube.com/embed/RdBz1kIwrqo?start=563&amp;end=646&amp;autoplay=1</v>
      </c>
      <c r="R20" s="50" t="s">
        <v>61</v>
      </c>
      <c r="S20" s="50" t="s">
        <v>124</v>
      </c>
      <c r="T20" s="50" t="s">
        <v>61</v>
      </c>
      <c r="U20" s="53"/>
      <c r="V20" s="54"/>
      <c r="W20" s="56" t="s">
        <v>76</v>
      </c>
      <c r="X20" s="57"/>
      <c r="Y20" s="38"/>
      <c r="Z20" s="38"/>
      <c r="AH20" s="39"/>
      <c r="AI20" s="39"/>
      <c r="AJ20" s="39"/>
      <c r="AK20" s="39"/>
      <c r="AL20" s="39"/>
      <c r="AM20" s="39"/>
      <c r="AN20" s="39"/>
    </row>
    <row r="21">
      <c r="A21" s="38">
        <v>27.0</v>
      </c>
      <c r="B21" s="38" t="s">
        <v>107</v>
      </c>
      <c r="C21" s="39"/>
      <c r="D21" s="38" t="s">
        <v>55</v>
      </c>
      <c r="E21" s="38" t="s">
        <v>209</v>
      </c>
      <c r="F21" s="41" t="s">
        <v>210</v>
      </c>
      <c r="G21" s="43"/>
      <c r="H21" s="45"/>
      <c r="I21" s="38"/>
      <c r="J21" s="38">
        <f>15*1000</f>
        <v>15000</v>
      </c>
      <c r="K21" s="46">
        <v>0.0032407407407407406</v>
      </c>
      <c r="L21" s="47" t="s">
        <v>60</v>
      </c>
      <c r="M21" s="46"/>
      <c r="N21" s="46"/>
      <c r="O21" s="38"/>
      <c r="P21" s="38"/>
      <c r="Q21" s="12" t="str">
        <f t="shared" si="1"/>
        <v/>
      </c>
      <c r="R21" s="50"/>
      <c r="S21" s="50"/>
      <c r="T21" s="50"/>
      <c r="U21" s="53"/>
      <c r="V21" s="54"/>
      <c r="W21" s="56"/>
      <c r="X21" s="57"/>
      <c r="Y21" s="38"/>
      <c r="Z21" s="38" t="s">
        <v>221</v>
      </c>
      <c r="AH21" s="38"/>
      <c r="AI21" s="38"/>
      <c r="AJ21" s="38"/>
      <c r="AK21" s="38"/>
      <c r="AL21" s="38"/>
      <c r="AM21" s="38"/>
      <c r="AN21" s="38"/>
    </row>
    <row r="22">
      <c r="A22" s="38">
        <v>28.0</v>
      </c>
      <c r="B22" s="38" t="s">
        <v>107</v>
      </c>
      <c r="C22" s="38"/>
      <c r="D22" s="38" t="s">
        <v>55</v>
      </c>
      <c r="E22" s="38" t="s">
        <v>215</v>
      </c>
      <c r="F22" s="41" t="s">
        <v>216</v>
      </c>
      <c r="G22" s="43"/>
      <c r="H22" s="45"/>
      <c r="I22" s="38"/>
      <c r="J22" s="38">
        <f>9.3*1000</f>
        <v>9300</v>
      </c>
      <c r="K22" s="46">
        <v>0.00806712962962963</v>
      </c>
      <c r="L22" s="47" t="s">
        <v>60</v>
      </c>
      <c r="M22" s="46"/>
      <c r="N22" s="46"/>
      <c r="O22" s="38"/>
      <c r="P22" s="38"/>
      <c r="Q22" s="12" t="str">
        <f t="shared" si="1"/>
        <v/>
      </c>
      <c r="R22" s="50"/>
      <c r="S22" s="50"/>
      <c r="T22" s="50"/>
      <c r="U22" s="53"/>
      <c r="V22" s="54"/>
      <c r="W22" s="56"/>
      <c r="X22" s="57"/>
      <c r="Y22" s="38"/>
      <c r="Z22" s="38"/>
      <c r="AH22" s="38"/>
      <c r="AI22" s="38"/>
      <c r="AJ22" s="38"/>
      <c r="AK22" s="38"/>
      <c r="AL22" s="38"/>
      <c r="AM22" s="38"/>
      <c r="AN22" s="38"/>
    </row>
    <row r="23">
      <c r="A23" s="38">
        <v>28.01</v>
      </c>
      <c r="B23" s="38" t="s">
        <v>107</v>
      </c>
      <c r="C23" s="39"/>
      <c r="D23" s="38" t="s">
        <v>55</v>
      </c>
      <c r="E23" s="38"/>
      <c r="F23" s="41"/>
      <c r="G23" s="43" t="s">
        <v>226</v>
      </c>
      <c r="H23" s="45" t="s">
        <v>227</v>
      </c>
      <c r="I23" s="38"/>
      <c r="J23" s="38"/>
      <c r="K23" s="46"/>
      <c r="L23" s="47"/>
      <c r="M23" s="46">
        <v>0.0</v>
      </c>
      <c r="N23" s="46">
        <v>8.796296296296296E-4</v>
      </c>
      <c r="O23" s="46">
        <f t="shared" ref="O23:O26" si="6">N23-M23</f>
        <v>0.0008796296296</v>
      </c>
      <c r="P23" s="64">
        <v>42991.0</v>
      </c>
      <c r="Q23" s="61" t="str">
        <f t="shared" si="1"/>
        <v>https://www.youtube.com/embed/N0PD3TuLvoo?start=0&amp;end=76&amp;autoplay=1</v>
      </c>
      <c r="R23" s="50" t="s">
        <v>61</v>
      </c>
      <c r="S23" s="50" t="s">
        <v>124</v>
      </c>
      <c r="T23" s="50" t="s">
        <v>61</v>
      </c>
      <c r="U23" s="53"/>
      <c r="V23" s="54"/>
      <c r="W23" s="56" t="s">
        <v>76</v>
      </c>
      <c r="X23" s="57"/>
      <c r="Y23" s="38"/>
      <c r="Z23" s="38"/>
      <c r="AA23" s="65"/>
      <c r="AB23" s="65"/>
      <c r="AC23" s="65"/>
      <c r="AD23" s="65"/>
      <c r="AE23" s="65"/>
      <c r="AF23" s="65"/>
      <c r="AG23" s="65"/>
      <c r="AH23" s="38"/>
      <c r="AI23" s="38"/>
      <c r="AJ23" s="38"/>
      <c r="AK23" s="38"/>
      <c r="AL23" s="38"/>
      <c r="AM23" s="38"/>
      <c r="AN23" s="38"/>
    </row>
    <row r="24">
      <c r="A24" s="39">
        <v>28.02</v>
      </c>
      <c r="B24" s="38" t="s">
        <v>107</v>
      </c>
      <c r="C24" s="39"/>
      <c r="D24" s="38" t="s">
        <v>55</v>
      </c>
      <c r="E24" s="38"/>
      <c r="F24" s="41"/>
      <c r="G24" s="43" t="s">
        <v>234</v>
      </c>
      <c r="H24" s="58" t="s">
        <v>235</v>
      </c>
      <c r="I24" s="38"/>
      <c r="J24" s="38"/>
      <c r="K24" s="46"/>
      <c r="L24" s="47"/>
      <c r="M24" s="46">
        <v>8.912037037037036E-4</v>
      </c>
      <c r="N24" s="46">
        <v>0.0021296296296296298</v>
      </c>
      <c r="O24" s="60">
        <f t="shared" si="6"/>
        <v>0.001238425926</v>
      </c>
      <c r="P24" s="64">
        <v>42991.0</v>
      </c>
      <c r="Q24" s="61" t="str">
        <f t="shared" si="1"/>
        <v>https://www.youtube.com/embed/N0PD3TuLvoo?start=77&amp;end=184&amp;autoplay=1</v>
      </c>
      <c r="R24" s="67" t="s">
        <v>61</v>
      </c>
      <c r="S24" s="67" t="s">
        <v>124</v>
      </c>
      <c r="T24" s="67" t="s">
        <v>61</v>
      </c>
      <c r="U24" s="53"/>
      <c r="V24" s="54"/>
      <c r="W24" s="56" t="s">
        <v>76</v>
      </c>
      <c r="X24" s="57"/>
      <c r="Y24" s="38"/>
      <c r="Z24" s="38" t="s">
        <v>238</v>
      </c>
      <c r="AA24" s="65"/>
      <c r="AB24" s="65"/>
      <c r="AC24" s="65"/>
      <c r="AD24" s="65"/>
      <c r="AE24" s="65"/>
      <c r="AF24" s="65"/>
      <c r="AG24" s="65"/>
      <c r="AH24" s="38"/>
      <c r="AI24" s="38"/>
      <c r="AJ24" s="38"/>
      <c r="AK24" s="38"/>
      <c r="AL24" s="38"/>
      <c r="AM24" s="38"/>
      <c r="AN24" s="38"/>
    </row>
    <row r="25">
      <c r="A25" s="39">
        <v>28.03</v>
      </c>
      <c r="B25" s="38" t="s">
        <v>107</v>
      </c>
      <c r="C25" s="39"/>
      <c r="D25" s="38" t="s">
        <v>55</v>
      </c>
      <c r="E25" s="38"/>
      <c r="F25" s="41"/>
      <c r="G25" s="62" t="s">
        <v>240</v>
      </c>
      <c r="H25" s="43" t="s">
        <v>242</v>
      </c>
      <c r="I25" s="38"/>
      <c r="J25" s="38"/>
      <c r="K25" s="46"/>
      <c r="L25" s="47"/>
      <c r="M25" s="46">
        <v>0.0022800925925925927</v>
      </c>
      <c r="N25" s="46">
        <v>0.0035185185185185185</v>
      </c>
      <c r="O25" s="60">
        <f t="shared" si="6"/>
        <v>0.001238425926</v>
      </c>
      <c r="P25" s="64">
        <v>42991.0</v>
      </c>
      <c r="Q25" s="61" t="str">
        <f t="shared" si="1"/>
        <v>https://www.youtube.com/embed/N0PD3TuLvoo?start=197&amp;end=304&amp;autoplay=1</v>
      </c>
      <c r="R25" s="67" t="s">
        <v>61</v>
      </c>
      <c r="S25" s="67" t="s">
        <v>124</v>
      </c>
      <c r="T25" s="67" t="s">
        <v>61</v>
      </c>
      <c r="U25" s="53"/>
      <c r="V25" s="54"/>
      <c r="W25" s="56" t="s">
        <v>76</v>
      </c>
      <c r="X25" s="57"/>
      <c r="Y25" s="38"/>
      <c r="Z25" s="38" t="s">
        <v>238</v>
      </c>
      <c r="AA25" s="65"/>
      <c r="AB25" s="65"/>
      <c r="AC25" s="65"/>
      <c r="AD25" s="65"/>
      <c r="AE25" s="65"/>
      <c r="AF25" s="65"/>
      <c r="AG25" s="65"/>
      <c r="AH25" s="38"/>
      <c r="AI25" s="38"/>
      <c r="AJ25" s="38"/>
      <c r="AK25" s="38"/>
      <c r="AL25" s="38"/>
      <c r="AM25" s="38"/>
      <c r="AN25" s="38"/>
    </row>
    <row r="26">
      <c r="A26" s="39">
        <v>28.04</v>
      </c>
      <c r="B26" s="38" t="s">
        <v>107</v>
      </c>
      <c r="C26" s="39"/>
      <c r="D26" s="38" t="s">
        <v>55</v>
      </c>
      <c r="E26" s="38"/>
      <c r="F26" s="41"/>
      <c r="G26" s="43" t="s">
        <v>245</v>
      </c>
      <c r="H26" s="58" t="s">
        <v>246</v>
      </c>
      <c r="I26" s="38"/>
      <c r="J26" s="38"/>
      <c r="K26" s="46"/>
      <c r="L26" s="47"/>
      <c r="M26" s="46">
        <v>0.0035185185185185185</v>
      </c>
      <c r="N26" s="46">
        <v>0.006099537037037036</v>
      </c>
      <c r="O26" s="60">
        <f t="shared" si="6"/>
        <v>0.002581018519</v>
      </c>
      <c r="P26" s="64">
        <v>42991.0</v>
      </c>
      <c r="Q26" s="61" t="str">
        <f t="shared" si="1"/>
        <v>https://www.youtube.com/embed/N0PD3TuLvoo?start=304&amp;end=527&amp;autoplay=1</v>
      </c>
      <c r="R26" s="67" t="s">
        <v>61</v>
      </c>
      <c r="S26" s="67" t="s">
        <v>124</v>
      </c>
      <c r="T26" s="67" t="s">
        <v>61</v>
      </c>
      <c r="U26" s="53"/>
      <c r="V26" s="54"/>
      <c r="W26" s="56" t="s">
        <v>76</v>
      </c>
      <c r="X26" s="57"/>
      <c r="Y26" s="38"/>
      <c r="Z26" s="38" t="s">
        <v>251</v>
      </c>
      <c r="AA26" s="65"/>
      <c r="AB26" s="65"/>
      <c r="AC26" s="65"/>
      <c r="AD26" s="65"/>
      <c r="AE26" s="65"/>
      <c r="AF26" s="65"/>
      <c r="AG26" s="65"/>
      <c r="AH26" s="38"/>
      <c r="AI26" s="38"/>
      <c r="AJ26" s="38"/>
      <c r="AK26" s="38"/>
      <c r="AL26" s="38"/>
      <c r="AM26" s="38"/>
      <c r="AN26" s="38"/>
    </row>
    <row r="27">
      <c r="A27" s="38">
        <v>29.0</v>
      </c>
      <c r="B27" s="38" t="s">
        <v>107</v>
      </c>
      <c r="C27" s="39"/>
      <c r="D27" s="38" t="s">
        <v>55</v>
      </c>
      <c r="E27" s="38" t="s">
        <v>217</v>
      </c>
      <c r="F27" s="41" t="s">
        <v>218</v>
      </c>
      <c r="G27" s="43"/>
      <c r="H27" s="45"/>
      <c r="I27" s="38"/>
      <c r="J27" s="38">
        <f>35*1000</f>
        <v>35000</v>
      </c>
      <c r="K27" s="46">
        <v>0.007685185185185185</v>
      </c>
      <c r="L27" s="47" t="s">
        <v>60</v>
      </c>
      <c r="M27" s="46"/>
      <c r="N27" s="46"/>
      <c r="O27" s="38"/>
      <c r="P27" s="72">
        <v>42992.0</v>
      </c>
      <c r="Q27" s="12" t="str">
        <f t="shared" si="1"/>
        <v/>
      </c>
      <c r="R27" s="50"/>
      <c r="S27" s="50"/>
      <c r="T27" s="50"/>
      <c r="U27" s="53"/>
      <c r="V27" s="54"/>
      <c r="W27" s="56"/>
      <c r="X27" s="57"/>
      <c r="Y27" s="38"/>
      <c r="Z27" s="38"/>
      <c r="AH27" s="59"/>
      <c r="AI27" s="59"/>
      <c r="AJ27" s="59"/>
      <c r="AK27" s="59"/>
      <c r="AL27" s="59"/>
      <c r="AM27" s="59"/>
      <c r="AN27" s="59"/>
    </row>
    <row r="28">
      <c r="A28" s="38">
        <v>29.01</v>
      </c>
      <c r="B28" s="38" t="s">
        <v>107</v>
      </c>
      <c r="C28" s="39"/>
      <c r="D28" s="38" t="s">
        <v>55</v>
      </c>
      <c r="E28" s="38"/>
      <c r="F28" s="41"/>
      <c r="G28" s="43" t="s">
        <v>120</v>
      </c>
      <c r="H28" s="45" t="s">
        <v>260</v>
      </c>
      <c r="I28" s="38"/>
      <c r="J28" s="38"/>
      <c r="K28" s="46"/>
      <c r="L28" s="47"/>
      <c r="M28" s="46">
        <v>0.0</v>
      </c>
      <c r="N28" s="46">
        <v>0.0024421296296296296</v>
      </c>
      <c r="O28" s="46">
        <f t="shared" ref="O28:O32" si="7">N28-M28</f>
        <v>0.00244212963</v>
      </c>
      <c r="P28" s="64">
        <v>42992.0</v>
      </c>
      <c r="Q28" s="61" t="str">
        <f t="shared" si="1"/>
        <v>https://www.youtube.com/embed/C3_6Ub1GnfA?start=0&amp;end=211&amp;autoplay=1</v>
      </c>
      <c r="R28" s="50" t="s">
        <v>61</v>
      </c>
      <c r="S28" s="50" t="s">
        <v>124</v>
      </c>
      <c r="T28" s="50" t="s">
        <v>61</v>
      </c>
      <c r="U28" s="53"/>
      <c r="V28" s="54"/>
      <c r="W28" s="56" t="s">
        <v>62</v>
      </c>
      <c r="X28" s="57"/>
      <c r="Y28" s="38"/>
      <c r="Z28" s="38"/>
      <c r="AA28" s="65"/>
      <c r="AB28" s="65"/>
      <c r="AC28" s="65"/>
      <c r="AD28" s="65"/>
      <c r="AE28" s="65"/>
      <c r="AF28" s="65"/>
      <c r="AG28" s="65"/>
      <c r="AH28" s="38"/>
      <c r="AI28" s="38"/>
      <c r="AJ28" s="38"/>
      <c r="AK28" s="38"/>
      <c r="AL28" s="38"/>
      <c r="AM28" s="38"/>
      <c r="AN28" s="38"/>
    </row>
    <row r="29">
      <c r="A29" s="39">
        <v>29.02</v>
      </c>
      <c r="B29" s="38" t="s">
        <v>107</v>
      </c>
      <c r="C29" s="39"/>
      <c r="D29" s="38" t="s">
        <v>55</v>
      </c>
      <c r="E29" s="38"/>
      <c r="F29" s="41"/>
      <c r="G29" s="43" t="s">
        <v>205</v>
      </c>
      <c r="H29" s="58" t="s">
        <v>265</v>
      </c>
      <c r="I29" s="38"/>
      <c r="J29" s="38"/>
      <c r="K29" s="46"/>
      <c r="L29" s="47"/>
      <c r="M29" s="46">
        <v>0.0024421296296296296</v>
      </c>
      <c r="N29" s="46">
        <v>0.004976851851851852</v>
      </c>
      <c r="O29" s="60">
        <f t="shared" si="7"/>
        <v>0.002534722222</v>
      </c>
      <c r="P29" s="64">
        <v>42992.0</v>
      </c>
      <c r="Q29" s="61" t="str">
        <f t="shared" si="1"/>
        <v>https://www.youtube.com/embed/C3_6Ub1GnfA?start=211&amp;end=430&amp;autoplay=1</v>
      </c>
      <c r="R29" s="67" t="s">
        <v>61</v>
      </c>
      <c r="S29" s="67" t="s">
        <v>124</v>
      </c>
      <c r="T29" s="67" t="s">
        <v>61</v>
      </c>
      <c r="U29" s="53"/>
      <c r="V29" s="54"/>
      <c r="W29" s="56" t="s">
        <v>62</v>
      </c>
      <c r="X29" s="57"/>
      <c r="Y29" s="38"/>
      <c r="Z29" s="38"/>
      <c r="AA29" s="65"/>
      <c r="AB29" s="65"/>
      <c r="AC29" s="65"/>
      <c r="AD29" s="65"/>
      <c r="AE29" s="65"/>
      <c r="AF29" s="65"/>
      <c r="AG29" s="65"/>
      <c r="AH29" s="38"/>
      <c r="AI29" s="38"/>
      <c r="AJ29" s="38"/>
      <c r="AK29" s="38"/>
      <c r="AL29" s="38"/>
      <c r="AM29" s="38"/>
      <c r="AN29" s="38"/>
    </row>
    <row r="30">
      <c r="A30" s="39">
        <v>29.03</v>
      </c>
      <c r="B30" s="38" t="s">
        <v>107</v>
      </c>
      <c r="C30" s="39"/>
      <c r="D30" s="38" t="s">
        <v>55</v>
      </c>
      <c r="E30" s="38"/>
      <c r="F30" s="41"/>
      <c r="G30" s="43" t="s">
        <v>269</v>
      </c>
      <c r="H30" s="58" t="s">
        <v>270</v>
      </c>
      <c r="I30" s="38"/>
      <c r="J30" s="38"/>
      <c r="K30" s="46"/>
      <c r="L30" s="47"/>
      <c r="M30" s="46">
        <v>0.0049884259259259265</v>
      </c>
      <c r="N30" s="46">
        <v>0.006018518518518518</v>
      </c>
      <c r="O30" s="60">
        <f t="shared" si="7"/>
        <v>0.001030092593</v>
      </c>
      <c r="P30" s="64">
        <v>42992.0</v>
      </c>
      <c r="Q30" s="61" t="str">
        <f t="shared" si="1"/>
        <v>https://www.youtube.com/embed/C3_6Ub1GnfA?start=431&amp;end=520&amp;autoplay=1</v>
      </c>
      <c r="R30" s="67" t="s">
        <v>61</v>
      </c>
      <c r="S30" s="67" t="s">
        <v>124</v>
      </c>
      <c r="T30" s="67" t="s">
        <v>61</v>
      </c>
      <c r="U30" s="53"/>
      <c r="V30" s="54"/>
      <c r="W30" s="56" t="s">
        <v>62</v>
      </c>
      <c r="X30" s="57"/>
      <c r="Y30" s="38"/>
      <c r="Z30" s="38"/>
      <c r="AA30" s="65"/>
      <c r="AB30" s="65"/>
      <c r="AC30" s="65"/>
      <c r="AD30" s="65"/>
      <c r="AE30" s="65"/>
      <c r="AF30" s="65"/>
      <c r="AG30" s="65"/>
      <c r="AH30" s="38"/>
      <c r="AI30" s="38"/>
      <c r="AJ30" s="38"/>
      <c r="AK30" s="38"/>
      <c r="AL30" s="38"/>
      <c r="AM30" s="38"/>
      <c r="AN30" s="38"/>
    </row>
    <row r="31">
      <c r="A31" s="39">
        <v>29.04</v>
      </c>
      <c r="B31" s="38" t="s">
        <v>107</v>
      </c>
      <c r="C31" s="38"/>
      <c r="D31" s="38" t="s">
        <v>55</v>
      </c>
      <c r="E31" s="38"/>
      <c r="F31" s="41"/>
      <c r="G31" s="43" t="s">
        <v>272</v>
      </c>
      <c r="H31" s="58" t="s">
        <v>273</v>
      </c>
      <c r="I31" s="38"/>
      <c r="J31" s="38"/>
      <c r="K31" s="46"/>
      <c r="L31" s="47"/>
      <c r="M31" s="46">
        <v>0.0062268518518518515</v>
      </c>
      <c r="N31" s="46">
        <v>0.006817129629629629</v>
      </c>
      <c r="O31" s="60">
        <f t="shared" si="7"/>
        <v>0.0005902777778</v>
      </c>
      <c r="P31" s="64">
        <v>42992.0</v>
      </c>
      <c r="Q31" s="61" t="str">
        <f t="shared" si="1"/>
        <v>https://www.youtube.com/embed/C3_6Ub1GnfA?start=538&amp;end=589&amp;autoplay=1</v>
      </c>
      <c r="R31" s="67" t="s">
        <v>61</v>
      </c>
      <c r="S31" s="67" t="s">
        <v>124</v>
      </c>
      <c r="T31" s="67" t="s">
        <v>61</v>
      </c>
      <c r="U31" s="53"/>
      <c r="V31" s="54"/>
      <c r="W31" s="56" t="s">
        <v>62</v>
      </c>
      <c r="X31" s="70"/>
      <c r="Y31" s="59"/>
      <c r="Z31" s="59"/>
      <c r="AA31" s="65"/>
      <c r="AB31" s="65"/>
      <c r="AC31" s="65"/>
      <c r="AD31" s="65"/>
      <c r="AE31" s="65"/>
      <c r="AF31" s="65"/>
      <c r="AG31" s="65"/>
      <c r="AH31" s="38"/>
      <c r="AI31" s="38"/>
      <c r="AJ31" s="38"/>
      <c r="AK31" s="38"/>
      <c r="AL31" s="38"/>
      <c r="AM31" s="38"/>
      <c r="AN31" s="38"/>
    </row>
    <row r="32">
      <c r="A32" s="39">
        <v>29.05</v>
      </c>
      <c r="B32" s="38" t="s">
        <v>107</v>
      </c>
      <c r="C32" s="38"/>
      <c r="D32" s="38" t="s">
        <v>55</v>
      </c>
      <c r="E32" s="38"/>
      <c r="F32" s="41"/>
      <c r="G32" s="43" t="s">
        <v>152</v>
      </c>
      <c r="H32" s="58" t="s">
        <v>278</v>
      </c>
      <c r="I32" s="38"/>
      <c r="J32" s="38"/>
      <c r="K32" s="46"/>
      <c r="L32" s="47"/>
      <c r="M32" s="46">
        <v>0.006817129629629629</v>
      </c>
      <c r="N32" s="46">
        <v>0.007673611111111111</v>
      </c>
      <c r="O32" s="60">
        <f t="shared" si="7"/>
        <v>0.0008564814815</v>
      </c>
      <c r="P32" s="64">
        <v>42992.0</v>
      </c>
      <c r="Q32" s="61" t="str">
        <f t="shared" si="1"/>
        <v>https://www.youtube.com/embed/C3_6Ub1GnfA?start=589&amp;end=663&amp;autoplay=1</v>
      </c>
      <c r="R32" s="67" t="s">
        <v>61</v>
      </c>
      <c r="S32" s="67" t="s">
        <v>124</v>
      </c>
      <c r="T32" s="67" t="s">
        <v>61</v>
      </c>
      <c r="U32" s="53"/>
      <c r="V32" s="54"/>
      <c r="W32" s="56" t="s">
        <v>62</v>
      </c>
      <c r="X32" s="70"/>
      <c r="Y32" s="59"/>
      <c r="Z32" s="59"/>
      <c r="AA32" s="65"/>
      <c r="AB32" s="65"/>
      <c r="AC32" s="65"/>
      <c r="AD32" s="65"/>
      <c r="AE32" s="65"/>
      <c r="AF32" s="65"/>
      <c r="AG32" s="65"/>
      <c r="AH32" s="38"/>
      <c r="AI32" s="38"/>
      <c r="AJ32" s="38"/>
      <c r="AK32" s="38"/>
      <c r="AL32" s="38"/>
      <c r="AM32" s="38"/>
      <c r="AN32" s="38"/>
    </row>
    <row r="33">
      <c r="A33" s="39">
        <v>91.0</v>
      </c>
      <c r="B33" s="38" t="s">
        <v>107</v>
      </c>
      <c r="C33" s="38"/>
      <c r="D33" s="38" t="s">
        <v>55</v>
      </c>
      <c r="E33" s="38" t="s">
        <v>279</v>
      </c>
      <c r="F33" s="41" t="s">
        <v>281</v>
      </c>
      <c r="G33" s="62"/>
      <c r="H33" s="58"/>
      <c r="I33" s="38"/>
      <c r="J33" s="38">
        <f>44*1000</f>
        <v>44000</v>
      </c>
      <c r="K33" s="46">
        <v>0.02407407407407407</v>
      </c>
      <c r="L33" s="47" t="s">
        <v>211</v>
      </c>
      <c r="M33" s="46"/>
      <c r="N33" s="46"/>
      <c r="O33" s="60"/>
      <c r="P33" s="64">
        <v>43008.0</v>
      </c>
      <c r="Q33" s="12" t="str">
        <f t="shared" si="1"/>
        <v/>
      </c>
      <c r="R33" s="67"/>
      <c r="S33" s="67"/>
      <c r="T33" s="67"/>
      <c r="U33" s="53"/>
      <c r="V33" s="54"/>
      <c r="W33" s="56"/>
      <c r="X33" s="70"/>
      <c r="Y33" s="59"/>
      <c r="Z33" s="59"/>
      <c r="AA33" s="65"/>
      <c r="AB33" s="65"/>
      <c r="AC33" s="65"/>
      <c r="AD33" s="65"/>
      <c r="AE33" s="65"/>
      <c r="AF33" s="65"/>
      <c r="AG33" s="65"/>
      <c r="AH33" s="38"/>
      <c r="AI33" s="38"/>
      <c r="AJ33" s="38"/>
      <c r="AK33" s="38"/>
      <c r="AL33" s="38"/>
      <c r="AM33" s="38"/>
      <c r="AN33" s="38"/>
    </row>
    <row r="34">
      <c r="A34" s="39">
        <v>91.01</v>
      </c>
      <c r="B34" s="38" t="s">
        <v>107</v>
      </c>
      <c r="C34" s="39"/>
      <c r="D34" s="38" t="s">
        <v>55</v>
      </c>
      <c r="E34" s="38"/>
      <c r="F34" s="41"/>
      <c r="G34" s="43" t="s">
        <v>285</v>
      </c>
      <c r="H34" s="58" t="s">
        <v>286</v>
      </c>
      <c r="I34" s="38"/>
      <c r="J34" s="38"/>
      <c r="K34" s="46"/>
      <c r="L34" s="47"/>
      <c r="M34" s="46">
        <v>0.0010532407407407407</v>
      </c>
      <c r="N34" s="46">
        <v>0.002777777777777778</v>
      </c>
      <c r="O34" s="60">
        <f t="shared" ref="O34:O40" si="8">N34-M34</f>
        <v>0.001724537037</v>
      </c>
      <c r="P34" s="64">
        <v>43008.0</v>
      </c>
      <c r="Q34" s="61" t="str">
        <f t="shared" si="1"/>
        <v>https://www.youtube.com/embed/G3NpQQMh8jQ?start=91&amp;end=240&amp;autoplay=1</v>
      </c>
      <c r="R34" s="67" t="s">
        <v>61</v>
      </c>
      <c r="S34" s="67" t="s">
        <v>61</v>
      </c>
      <c r="T34" s="67" t="s">
        <v>61</v>
      </c>
      <c r="U34" s="53"/>
      <c r="V34" s="54"/>
      <c r="W34" s="56" t="s">
        <v>62</v>
      </c>
      <c r="X34" s="70"/>
      <c r="Y34" s="59"/>
      <c r="Z34" s="59"/>
      <c r="AA34" s="65"/>
      <c r="AB34" s="65"/>
      <c r="AC34" s="65"/>
      <c r="AD34" s="65"/>
      <c r="AE34" s="65"/>
      <c r="AF34" s="65"/>
      <c r="AG34" s="65"/>
      <c r="AH34" s="38"/>
      <c r="AI34" s="38"/>
      <c r="AJ34" s="38"/>
      <c r="AK34" s="38"/>
      <c r="AL34" s="38"/>
      <c r="AM34" s="38"/>
      <c r="AN34" s="38"/>
    </row>
    <row r="35">
      <c r="A35" s="38">
        <v>91.02</v>
      </c>
      <c r="B35" s="38" t="s">
        <v>107</v>
      </c>
      <c r="C35" s="38"/>
      <c r="D35" s="38" t="s">
        <v>55</v>
      </c>
      <c r="E35" s="38"/>
      <c r="F35" s="41"/>
      <c r="G35" s="43" t="s">
        <v>290</v>
      </c>
      <c r="H35" s="45" t="s">
        <v>291</v>
      </c>
      <c r="I35" s="38"/>
      <c r="J35" s="38"/>
      <c r="K35" s="46"/>
      <c r="L35" s="47"/>
      <c r="M35" s="46">
        <v>0.002789351851851852</v>
      </c>
      <c r="N35" s="46">
        <v>0.003969907407407407</v>
      </c>
      <c r="O35" s="46">
        <f t="shared" si="8"/>
        <v>0.001180555556</v>
      </c>
      <c r="P35" s="64">
        <v>43008.0</v>
      </c>
      <c r="Q35" s="61" t="str">
        <f t="shared" si="1"/>
        <v>https://www.youtube.com/embed/G3NpQQMh8jQ?start=241&amp;end=343&amp;autoplay=1</v>
      </c>
      <c r="R35" s="50" t="s">
        <v>61</v>
      </c>
      <c r="S35" s="50" t="s">
        <v>61</v>
      </c>
      <c r="T35" s="50" t="s">
        <v>61</v>
      </c>
      <c r="U35" s="53"/>
      <c r="V35" s="54"/>
      <c r="W35" s="56" t="s">
        <v>62</v>
      </c>
      <c r="X35" s="57"/>
      <c r="Y35" s="38"/>
      <c r="Z35" s="38"/>
      <c r="AA35" s="65"/>
      <c r="AB35" s="65"/>
      <c r="AC35" s="65"/>
      <c r="AD35" s="65"/>
      <c r="AE35" s="65"/>
      <c r="AF35" s="65"/>
      <c r="AG35" s="65"/>
      <c r="AH35" s="38"/>
      <c r="AI35" s="38"/>
      <c r="AJ35" s="38"/>
      <c r="AK35" s="38"/>
      <c r="AL35" s="38"/>
      <c r="AM35" s="38"/>
      <c r="AN35" s="38"/>
    </row>
    <row r="36">
      <c r="A36" s="39">
        <v>91.03</v>
      </c>
      <c r="B36" s="38" t="s">
        <v>107</v>
      </c>
      <c r="C36" s="38"/>
      <c r="D36" s="38" t="s">
        <v>55</v>
      </c>
      <c r="E36" s="38"/>
      <c r="F36" s="41"/>
      <c r="G36" s="43" t="s">
        <v>296</v>
      </c>
      <c r="H36" s="71" t="s">
        <v>297</v>
      </c>
      <c r="I36" s="38"/>
      <c r="J36" s="38"/>
      <c r="K36" s="46"/>
      <c r="L36" s="47"/>
      <c r="M36" s="46">
        <v>0.003969907407407407</v>
      </c>
      <c r="N36" s="46">
        <v>0.010451388888888889</v>
      </c>
      <c r="O36" s="60">
        <f t="shared" si="8"/>
        <v>0.006481481481</v>
      </c>
      <c r="P36" s="64">
        <v>43008.0</v>
      </c>
      <c r="Q36" s="61" t="str">
        <f t="shared" si="1"/>
        <v>https://www.youtube.com/embed/G3NpQQMh8jQ?start=343&amp;end=903&amp;autoplay=1</v>
      </c>
      <c r="R36" s="50" t="s">
        <v>61</v>
      </c>
      <c r="S36" s="50" t="s">
        <v>61</v>
      </c>
      <c r="T36" s="50" t="s">
        <v>61</v>
      </c>
      <c r="U36" s="53"/>
      <c r="V36" s="54"/>
      <c r="W36" s="56" t="s">
        <v>62</v>
      </c>
      <c r="X36" s="57"/>
      <c r="Y36" s="38"/>
      <c r="Z36" s="38" t="s">
        <v>301</v>
      </c>
      <c r="AA36" s="65"/>
      <c r="AB36" s="65"/>
      <c r="AC36" s="65"/>
      <c r="AD36" s="65"/>
      <c r="AE36" s="65"/>
      <c r="AF36" s="65"/>
      <c r="AG36" s="65"/>
      <c r="AH36" s="38"/>
      <c r="AI36" s="38"/>
      <c r="AJ36" s="38"/>
      <c r="AK36" s="38"/>
      <c r="AL36" s="38"/>
      <c r="AM36" s="38"/>
      <c r="AN36" s="38"/>
    </row>
    <row r="37">
      <c r="A37" s="39">
        <v>91.04</v>
      </c>
      <c r="B37" s="38" t="s">
        <v>107</v>
      </c>
      <c r="C37" s="38"/>
      <c r="D37" s="38" t="s">
        <v>55</v>
      </c>
      <c r="E37" s="38"/>
      <c r="F37" s="41"/>
      <c r="G37" s="43" t="s">
        <v>305</v>
      </c>
      <c r="H37" s="71" t="s">
        <v>306</v>
      </c>
      <c r="I37" s="38"/>
      <c r="J37" s="38"/>
      <c r="K37" s="46"/>
      <c r="L37" s="47"/>
      <c r="M37" s="46">
        <v>0.010451388888888889</v>
      </c>
      <c r="N37" s="46">
        <v>0.013020833333333334</v>
      </c>
      <c r="O37" s="60">
        <f t="shared" si="8"/>
        <v>0.002569444444</v>
      </c>
      <c r="P37" s="64">
        <v>43008.0</v>
      </c>
      <c r="Q37" s="61" t="str">
        <f t="shared" si="1"/>
        <v>https://www.youtube.com/embed/G3NpQQMh8jQ?start=903&amp;end=1125&amp;autoplay=1</v>
      </c>
      <c r="R37" s="50" t="s">
        <v>61</v>
      </c>
      <c r="S37" s="50" t="s">
        <v>61</v>
      </c>
      <c r="T37" s="50" t="s">
        <v>61</v>
      </c>
      <c r="U37" s="53"/>
      <c r="V37" s="54"/>
      <c r="W37" s="56" t="s">
        <v>62</v>
      </c>
      <c r="X37" s="57"/>
      <c r="Y37" s="38"/>
      <c r="Z37" s="38"/>
      <c r="AA37" s="65"/>
      <c r="AB37" s="65"/>
      <c r="AC37" s="65"/>
      <c r="AD37" s="65"/>
      <c r="AE37" s="65"/>
      <c r="AF37" s="65"/>
      <c r="AG37" s="65"/>
      <c r="AH37" s="38"/>
      <c r="AI37" s="38"/>
      <c r="AJ37" s="38"/>
      <c r="AK37" s="38"/>
      <c r="AL37" s="38"/>
      <c r="AM37" s="38"/>
      <c r="AN37" s="38"/>
    </row>
    <row r="38">
      <c r="A38" s="39">
        <v>91.05</v>
      </c>
      <c r="B38" s="38" t="s">
        <v>107</v>
      </c>
      <c r="C38" s="38"/>
      <c r="D38" s="38" t="s">
        <v>55</v>
      </c>
      <c r="E38" s="38"/>
      <c r="F38" s="41"/>
      <c r="G38" s="43" t="s">
        <v>307</v>
      </c>
      <c r="H38" s="71" t="s">
        <v>308</v>
      </c>
      <c r="I38" s="38"/>
      <c r="J38" s="38"/>
      <c r="K38" s="46"/>
      <c r="L38" s="47"/>
      <c r="M38" s="46">
        <v>0.01355324074074074</v>
      </c>
      <c r="N38" s="46">
        <v>0.015891203703703703</v>
      </c>
      <c r="O38" s="60">
        <f t="shared" si="8"/>
        <v>0.002337962963</v>
      </c>
      <c r="P38" s="64">
        <v>43008.0</v>
      </c>
      <c r="Q38" s="61" t="str">
        <f t="shared" si="1"/>
        <v>https://www.youtube.com/embed/G3NpQQMh8jQ?start=1171&amp;end=1373&amp;autoplay=1</v>
      </c>
      <c r="R38" s="50" t="s">
        <v>61</v>
      </c>
      <c r="S38" s="50" t="s">
        <v>61</v>
      </c>
      <c r="T38" s="50" t="s">
        <v>61</v>
      </c>
      <c r="U38" s="53"/>
      <c r="V38" s="54"/>
      <c r="W38" s="56" t="s">
        <v>62</v>
      </c>
      <c r="X38" s="57"/>
      <c r="Y38" s="38"/>
      <c r="Z38" s="38"/>
      <c r="AA38" s="65"/>
      <c r="AB38" s="65"/>
      <c r="AC38" s="65"/>
      <c r="AD38" s="65"/>
      <c r="AE38" s="65"/>
      <c r="AF38" s="65"/>
      <c r="AG38" s="65"/>
      <c r="AH38" s="38"/>
      <c r="AI38" s="38"/>
      <c r="AJ38" s="38"/>
      <c r="AK38" s="38"/>
      <c r="AL38" s="38"/>
      <c r="AM38" s="38"/>
      <c r="AN38" s="38"/>
    </row>
    <row r="39">
      <c r="A39" s="73">
        <v>91.06</v>
      </c>
      <c r="B39" s="39" t="s">
        <v>107</v>
      </c>
      <c r="C39" s="38"/>
      <c r="D39" s="74" t="s">
        <v>55</v>
      </c>
      <c r="E39" s="74"/>
      <c r="F39" s="75"/>
      <c r="G39" s="76" t="s">
        <v>312</v>
      </c>
      <c r="H39" s="65" t="s">
        <v>313</v>
      </c>
      <c r="I39" s="73"/>
      <c r="J39" s="73"/>
      <c r="K39" s="46"/>
      <c r="L39" s="73"/>
      <c r="M39" s="46">
        <v>0.015891203703703703</v>
      </c>
      <c r="N39" s="46">
        <v>0.016828703703703703</v>
      </c>
      <c r="O39" s="46">
        <f t="shared" si="8"/>
        <v>0.0009375</v>
      </c>
      <c r="P39" s="64">
        <v>43008.0</v>
      </c>
      <c r="Q39" s="61" t="str">
        <f t="shared" si="1"/>
        <v>https://www.youtube.com/embed/G3NpQQMh8jQ?start=1373&amp;end=1454&amp;autoplay=1</v>
      </c>
      <c r="R39" s="50" t="s">
        <v>61</v>
      </c>
      <c r="S39" s="50" t="s">
        <v>61</v>
      </c>
      <c r="T39" s="50" t="s">
        <v>61</v>
      </c>
      <c r="U39" s="53"/>
      <c r="V39" s="54"/>
      <c r="W39" s="56" t="s">
        <v>62</v>
      </c>
      <c r="X39" s="69"/>
      <c r="Y39" s="39"/>
      <c r="Z39" s="39"/>
      <c r="AA39" s="65"/>
      <c r="AB39" s="65"/>
      <c r="AC39" s="65"/>
      <c r="AD39" s="65"/>
      <c r="AE39" s="65"/>
      <c r="AF39" s="65"/>
      <c r="AG39" s="65"/>
      <c r="AH39" s="38"/>
      <c r="AI39" s="38"/>
      <c r="AJ39" s="38"/>
      <c r="AK39" s="38"/>
      <c r="AL39" s="38"/>
      <c r="AM39" s="38"/>
      <c r="AN39" s="38"/>
    </row>
    <row r="40">
      <c r="A40" s="39">
        <v>91.07</v>
      </c>
      <c r="B40" s="39" t="s">
        <v>107</v>
      </c>
      <c r="C40" s="39"/>
      <c r="D40" s="38" t="s">
        <v>55</v>
      </c>
      <c r="E40" s="38"/>
      <c r="F40" s="43"/>
      <c r="G40" s="39" t="s">
        <v>316</v>
      </c>
      <c r="H40" s="71" t="s">
        <v>317</v>
      </c>
      <c r="I40" s="38"/>
      <c r="J40" s="38"/>
      <c r="K40" s="46"/>
      <c r="L40" s="47"/>
      <c r="M40" s="46">
        <v>0.016909722222222222</v>
      </c>
      <c r="N40" s="46">
        <v>0.022268518518518517</v>
      </c>
      <c r="O40" s="60">
        <f t="shared" si="8"/>
        <v>0.005358796296</v>
      </c>
      <c r="P40" s="64">
        <v>43008.0</v>
      </c>
      <c r="Q40" s="61" t="str">
        <f t="shared" si="1"/>
        <v>https://www.youtube.com/embed/G3NpQQMh8jQ?start=1461&amp;end=1924&amp;autoplay=1</v>
      </c>
      <c r="R40" s="67" t="s">
        <v>61</v>
      </c>
      <c r="S40" s="67" t="s">
        <v>61</v>
      </c>
      <c r="T40" s="67" t="s">
        <v>61</v>
      </c>
      <c r="U40" s="53"/>
      <c r="V40" s="54"/>
      <c r="W40" s="56" t="s">
        <v>62</v>
      </c>
      <c r="X40" s="77"/>
      <c r="Y40" s="65"/>
      <c r="Z40" s="65"/>
      <c r="AA40" s="65"/>
      <c r="AB40" s="65"/>
      <c r="AC40" s="65"/>
      <c r="AD40" s="65"/>
      <c r="AE40" s="65"/>
      <c r="AF40" s="65"/>
      <c r="AG40" s="65"/>
      <c r="AH40" s="38"/>
      <c r="AI40" s="38"/>
      <c r="AJ40" s="38"/>
      <c r="AK40" s="38"/>
      <c r="AL40" s="38"/>
      <c r="AM40" s="38"/>
      <c r="AN40" s="38"/>
    </row>
    <row r="41">
      <c r="A41" s="39">
        <v>24.0</v>
      </c>
      <c r="B41" s="39" t="s">
        <v>107</v>
      </c>
      <c r="C41" s="38"/>
      <c r="D41" s="38"/>
      <c r="E41" s="38" t="s">
        <v>188</v>
      </c>
      <c r="F41" s="78" t="s">
        <v>189</v>
      </c>
      <c r="G41" s="39" t="s">
        <v>322</v>
      </c>
      <c r="H41" s="71"/>
      <c r="I41" s="38"/>
      <c r="J41" s="38">
        <f>2.4*1000</f>
        <v>2400</v>
      </c>
      <c r="K41" s="46">
        <v>0.008252314814814815</v>
      </c>
      <c r="L41" s="47" t="s">
        <v>60</v>
      </c>
      <c r="M41" s="46"/>
      <c r="N41" s="46"/>
      <c r="O41" s="60"/>
      <c r="P41" s="64">
        <v>43008.0</v>
      </c>
      <c r="Q41" s="12" t="str">
        <f t="shared" si="1"/>
        <v/>
      </c>
      <c r="R41" s="50"/>
      <c r="S41" s="50"/>
      <c r="T41" s="50"/>
      <c r="U41" s="53"/>
      <c r="V41" s="54"/>
      <c r="W41" s="56" t="s">
        <v>62</v>
      </c>
      <c r="X41" s="57"/>
      <c r="Y41" s="38"/>
      <c r="Z41" s="38" t="s">
        <v>325</v>
      </c>
      <c r="AA41" s="65"/>
      <c r="AB41" s="65"/>
      <c r="AC41" s="65"/>
      <c r="AD41" s="65"/>
      <c r="AE41" s="65"/>
      <c r="AF41" s="65"/>
      <c r="AG41" s="65"/>
      <c r="AH41" s="38"/>
      <c r="AI41" s="38"/>
      <c r="AJ41" s="38"/>
      <c r="AK41" s="38"/>
      <c r="AL41" s="38"/>
      <c r="AM41" s="38"/>
      <c r="AN41" s="38"/>
    </row>
    <row r="42">
      <c r="A42" s="39">
        <v>24.01</v>
      </c>
      <c r="B42" s="39" t="s">
        <v>107</v>
      </c>
      <c r="C42" s="38"/>
      <c r="D42" s="38" t="s">
        <v>55</v>
      </c>
      <c r="E42" s="38"/>
      <c r="F42" s="43"/>
      <c r="G42" s="39" t="s">
        <v>326</v>
      </c>
      <c r="H42" s="71" t="s">
        <v>327</v>
      </c>
      <c r="I42" s="38"/>
      <c r="J42" s="38"/>
      <c r="K42" s="46"/>
      <c r="L42" s="47"/>
      <c r="M42" s="46">
        <v>0.0014236111111111112</v>
      </c>
      <c r="N42" s="46">
        <v>0.0019560185185185184</v>
      </c>
      <c r="O42" s="60">
        <f t="shared" ref="O42:O45" si="9">N42-M42</f>
        <v>0.0005324074074</v>
      </c>
      <c r="P42" s="64">
        <v>43008.0</v>
      </c>
      <c r="Q42" s="61" t="str">
        <f t="shared" si="1"/>
        <v>https://www.youtube.com/embed/LdrmgXtd_rs?start=123&amp;end=169&amp;autoplay=1</v>
      </c>
      <c r="R42" s="50" t="s">
        <v>61</v>
      </c>
      <c r="S42" s="50" t="s">
        <v>124</v>
      </c>
      <c r="T42" s="50" t="s">
        <v>124</v>
      </c>
      <c r="U42" s="53"/>
      <c r="V42" s="54"/>
      <c r="W42" s="56" t="s">
        <v>76</v>
      </c>
      <c r="X42" s="57"/>
      <c r="Y42" s="38"/>
      <c r="Z42" s="38"/>
      <c r="AA42" s="65"/>
      <c r="AB42" s="65"/>
      <c r="AC42" s="65"/>
      <c r="AD42" s="65"/>
      <c r="AE42" s="65"/>
      <c r="AF42" s="65"/>
      <c r="AG42" s="65"/>
      <c r="AH42" s="38"/>
      <c r="AI42" s="38"/>
      <c r="AJ42" s="38"/>
      <c r="AK42" s="38"/>
      <c r="AL42" s="38"/>
      <c r="AM42" s="38"/>
      <c r="AN42" s="38"/>
    </row>
    <row r="43">
      <c r="A43" s="39">
        <v>24.02</v>
      </c>
      <c r="B43" s="39" t="s">
        <v>107</v>
      </c>
      <c r="C43" s="38"/>
      <c r="D43" s="38" t="s">
        <v>55</v>
      </c>
      <c r="E43" s="38"/>
      <c r="F43" s="43"/>
      <c r="G43" s="39" t="s">
        <v>331</v>
      </c>
      <c r="H43" s="71" t="s">
        <v>332</v>
      </c>
      <c r="I43" s="38"/>
      <c r="J43" s="38"/>
      <c r="K43" s="46"/>
      <c r="L43" s="47"/>
      <c r="M43" s="46">
        <v>0.0025810185185185185</v>
      </c>
      <c r="N43" s="46">
        <v>0.005462962962962963</v>
      </c>
      <c r="O43" s="60">
        <f t="shared" si="9"/>
        <v>0.002881944444</v>
      </c>
      <c r="P43" s="64">
        <v>43008.0</v>
      </c>
      <c r="Q43" s="61" t="str">
        <f t="shared" si="1"/>
        <v>https://www.youtube.com/embed/LdrmgXtd_rs?start=223&amp;end=472&amp;autoplay=1</v>
      </c>
      <c r="R43" s="50" t="s">
        <v>61</v>
      </c>
      <c r="S43" s="50" t="s">
        <v>124</v>
      </c>
      <c r="T43" s="50" t="s">
        <v>124</v>
      </c>
      <c r="U43" s="53"/>
      <c r="V43" s="54"/>
      <c r="W43" s="56" t="s">
        <v>76</v>
      </c>
      <c r="X43" s="57"/>
      <c r="Y43" s="38"/>
      <c r="Z43" s="38"/>
      <c r="AA43" s="65"/>
      <c r="AB43" s="65"/>
      <c r="AC43" s="65"/>
      <c r="AD43" s="65"/>
      <c r="AE43" s="65"/>
      <c r="AF43" s="65"/>
      <c r="AG43" s="65"/>
      <c r="AH43" s="38"/>
      <c r="AI43" s="38"/>
      <c r="AJ43" s="38"/>
      <c r="AK43" s="38"/>
      <c r="AL43" s="38"/>
      <c r="AM43" s="38"/>
      <c r="AN43" s="38"/>
    </row>
    <row r="44">
      <c r="A44" s="38">
        <v>24.03</v>
      </c>
      <c r="B44" s="39" t="s">
        <v>107</v>
      </c>
      <c r="C44" s="38"/>
      <c r="D44" s="39" t="s">
        <v>55</v>
      </c>
      <c r="E44" s="38"/>
      <c r="F44" s="41"/>
      <c r="G44" s="43" t="s">
        <v>335</v>
      </c>
      <c r="H44" s="45" t="s">
        <v>336</v>
      </c>
      <c r="I44" s="38"/>
      <c r="J44" s="38"/>
      <c r="K44" s="46"/>
      <c r="L44" s="47"/>
      <c r="M44" s="46">
        <v>0.005462962962962963</v>
      </c>
      <c r="N44" s="46">
        <v>0.00662037037037037</v>
      </c>
      <c r="O44" s="46">
        <f t="shared" si="9"/>
        <v>0.001157407407</v>
      </c>
      <c r="P44" s="64">
        <v>43008.0</v>
      </c>
      <c r="Q44" s="61" t="str">
        <f t="shared" si="1"/>
        <v>https://www.youtube.com/embed/LdrmgXtd_rs?start=472&amp;end=572&amp;autoplay=1</v>
      </c>
      <c r="R44" s="38" t="s">
        <v>61</v>
      </c>
      <c r="S44" s="38" t="s">
        <v>124</v>
      </c>
      <c r="T44" s="38" t="s">
        <v>124</v>
      </c>
      <c r="U44" s="38"/>
      <c r="V44" s="38"/>
      <c r="W44" s="38" t="s">
        <v>76</v>
      </c>
      <c r="X44" s="69"/>
      <c r="Y44" s="39"/>
      <c r="Z44" s="39"/>
      <c r="AA44" s="38"/>
      <c r="AB44" s="38"/>
      <c r="AC44" s="79"/>
      <c r="AD44" s="79"/>
      <c r="AE44" s="79"/>
      <c r="AF44" s="79"/>
      <c r="AG44" s="79"/>
      <c r="AH44" s="38"/>
      <c r="AI44" s="38"/>
      <c r="AJ44" s="38"/>
      <c r="AK44" s="38"/>
      <c r="AL44" s="38"/>
      <c r="AM44" s="38"/>
      <c r="AN44" s="38"/>
    </row>
    <row r="45">
      <c r="A45" s="39">
        <v>24.04</v>
      </c>
      <c r="B45" s="39" t="s">
        <v>107</v>
      </c>
      <c r="C45" s="38"/>
      <c r="D45" s="39" t="s">
        <v>55</v>
      </c>
      <c r="E45" s="38"/>
      <c r="F45" s="43"/>
      <c r="G45" s="39" t="s">
        <v>340</v>
      </c>
      <c r="H45" s="71" t="s">
        <v>341</v>
      </c>
      <c r="I45" s="38"/>
      <c r="J45" s="38"/>
      <c r="K45" s="46"/>
      <c r="L45" s="47"/>
      <c r="M45" s="46">
        <v>0.00662037037037037</v>
      </c>
      <c r="N45" s="46">
        <v>0.008240740740740741</v>
      </c>
      <c r="O45" s="60">
        <f t="shared" si="9"/>
        <v>0.00162037037</v>
      </c>
      <c r="P45" s="64">
        <v>43008.0</v>
      </c>
      <c r="Q45" s="61" t="str">
        <f t="shared" si="1"/>
        <v>https://www.youtube.com/embed/LdrmgXtd_rs?start=572&amp;end=712&amp;autoplay=1</v>
      </c>
      <c r="R45" s="67" t="s">
        <v>61</v>
      </c>
      <c r="S45" s="67" t="s">
        <v>124</v>
      </c>
      <c r="T45" s="67" t="s">
        <v>124</v>
      </c>
      <c r="U45" s="53"/>
      <c r="V45" s="54"/>
      <c r="W45" s="56" t="s">
        <v>76</v>
      </c>
      <c r="X45" s="57"/>
      <c r="Y45" s="38"/>
      <c r="Z45" s="38"/>
      <c r="AA45" s="65"/>
      <c r="AB45" s="65"/>
      <c r="AC45" s="65"/>
      <c r="AD45" s="65"/>
      <c r="AE45" s="65"/>
      <c r="AF45" s="65"/>
      <c r="AG45" s="65"/>
      <c r="AH45" s="38"/>
      <c r="AI45" s="38"/>
      <c r="AJ45" s="38"/>
      <c r="AK45" s="38"/>
      <c r="AL45" s="38"/>
      <c r="AM45" s="38"/>
      <c r="AN45" s="38"/>
    </row>
    <row r="46">
      <c r="A46" s="38">
        <v>25.0</v>
      </c>
      <c r="B46" s="38" t="s">
        <v>107</v>
      </c>
      <c r="C46" s="38"/>
      <c r="D46" s="38" t="s">
        <v>55</v>
      </c>
      <c r="E46" s="38" t="s">
        <v>196</v>
      </c>
      <c r="F46" s="41" t="s">
        <v>197</v>
      </c>
      <c r="G46" s="43"/>
      <c r="H46" s="45"/>
      <c r="I46" s="38"/>
      <c r="J46" s="38">
        <f>2.1*1000</f>
        <v>2100</v>
      </c>
      <c r="K46" s="46">
        <v>0.009618055555555555</v>
      </c>
      <c r="L46" s="47" t="s">
        <v>60</v>
      </c>
      <c r="M46" s="46"/>
      <c r="N46" s="46"/>
      <c r="O46" s="38"/>
      <c r="P46" s="64">
        <v>43008.0</v>
      </c>
      <c r="Q46" s="12" t="str">
        <f t="shared" si="1"/>
        <v/>
      </c>
      <c r="R46" s="50"/>
      <c r="S46" s="50"/>
      <c r="T46" s="50"/>
      <c r="U46" s="53"/>
      <c r="V46" s="54"/>
      <c r="W46" s="56"/>
      <c r="X46" s="57"/>
      <c r="Y46" s="38"/>
      <c r="Z46" s="38" t="s">
        <v>349</v>
      </c>
      <c r="AA46" s="65"/>
      <c r="AB46" s="65"/>
      <c r="AC46" s="65"/>
      <c r="AD46" s="65"/>
      <c r="AE46" s="65"/>
      <c r="AF46" s="65"/>
      <c r="AG46" s="65"/>
      <c r="AH46" s="38"/>
      <c r="AI46" s="38"/>
      <c r="AJ46" s="38"/>
      <c r="AK46" s="38"/>
      <c r="AL46" s="38"/>
      <c r="AM46" s="38"/>
      <c r="AN46" s="38"/>
    </row>
    <row r="47">
      <c r="A47" s="39">
        <v>25.01</v>
      </c>
      <c r="B47" s="38" t="s">
        <v>107</v>
      </c>
      <c r="C47" s="38"/>
      <c r="D47" s="38" t="s">
        <v>55</v>
      </c>
      <c r="E47" s="38"/>
      <c r="F47" s="41"/>
      <c r="G47" s="43" t="s">
        <v>340</v>
      </c>
      <c r="H47" s="58" t="s">
        <v>352</v>
      </c>
      <c r="I47" s="38"/>
      <c r="J47" s="38"/>
      <c r="K47" s="46"/>
      <c r="L47" s="47"/>
      <c r="M47" s="46">
        <v>2.3148148148148147E-5</v>
      </c>
      <c r="N47" s="46">
        <v>0.0060648148148148145</v>
      </c>
      <c r="O47" s="60">
        <f>N47-M47</f>
        <v>0.006041666667</v>
      </c>
      <c r="P47" s="64">
        <v>43008.0</v>
      </c>
      <c r="Q47" s="61" t="str">
        <f t="shared" si="1"/>
        <v>https://www.youtube.com/embed/gbWoqwJKhbM?start=2&amp;end=524&amp;autoplay=1</v>
      </c>
      <c r="R47" s="50" t="s">
        <v>61</v>
      </c>
      <c r="S47" s="50" t="s">
        <v>124</v>
      </c>
      <c r="T47" s="50" t="s">
        <v>124</v>
      </c>
      <c r="U47" s="53"/>
      <c r="V47" s="54"/>
      <c r="W47" s="56" t="s">
        <v>76</v>
      </c>
      <c r="X47" s="70"/>
      <c r="Y47" s="59"/>
      <c r="Z47" s="59"/>
      <c r="AA47" s="65"/>
      <c r="AB47" s="65"/>
      <c r="AC47" s="65"/>
      <c r="AD47" s="65"/>
      <c r="AE47" s="65"/>
      <c r="AF47" s="65"/>
      <c r="AG47" s="65"/>
      <c r="AH47" s="38"/>
      <c r="AI47" s="38"/>
      <c r="AJ47" s="38"/>
      <c r="AK47" s="38"/>
      <c r="AL47" s="38"/>
      <c r="AM47" s="38"/>
      <c r="AN47" s="38"/>
    </row>
    <row r="48">
      <c r="A48" s="39">
        <v>33.0</v>
      </c>
      <c r="B48" s="38" t="s">
        <v>107</v>
      </c>
      <c r="C48" s="38"/>
      <c r="D48" s="39" t="s">
        <v>55</v>
      </c>
      <c r="E48" s="38" t="s">
        <v>239</v>
      </c>
      <c r="F48" s="41" t="s">
        <v>241</v>
      </c>
      <c r="G48" s="43"/>
      <c r="H48" s="58"/>
      <c r="I48" s="38"/>
      <c r="J48" s="38">
        <f>732</f>
        <v>732</v>
      </c>
      <c r="K48" s="46">
        <v>0.007337962962962963</v>
      </c>
      <c r="L48" s="47" t="s">
        <v>60</v>
      </c>
      <c r="M48" s="46"/>
      <c r="N48" s="46"/>
      <c r="O48" s="60"/>
      <c r="P48" s="64"/>
      <c r="Q48" s="12" t="str">
        <f t="shared" si="1"/>
        <v/>
      </c>
      <c r="R48" s="50"/>
      <c r="S48" s="50"/>
      <c r="T48" s="50"/>
      <c r="U48" s="53"/>
      <c r="V48" s="54"/>
      <c r="W48" s="56"/>
      <c r="X48" s="70"/>
      <c r="Y48" s="59"/>
      <c r="Z48" s="59"/>
      <c r="AA48" s="65"/>
      <c r="AB48" s="65"/>
      <c r="AC48" s="65"/>
      <c r="AD48" s="65"/>
      <c r="AE48" s="65"/>
      <c r="AF48" s="65"/>
      <c r="AG48" s="65"/>
      <c r="AH48" s="38"/>
      <c r="AI48" s="38"/>
      <c r="AJ48" s="38"/>
      <c r="AK48" s="38"/>
      <c r="AL48" s="38"/>
      <c r="AM48" s="38"/>
      <c r="AN48" s="38"/>
    </row>
    <row r="49">
      <c r="A49" s="39">
        <v>33.01</v>
      </c>
      <c r="B49" s="39" t="s">
        <v>107</v>
      </c>
      <c r="C49" s="38"/>
      <c r="D49" s="39" t="s">
        <v>55</v>
      </c>
      <c r="E49" s="38"/>
      <c r="F49" s="41"/>
      <c r="G49" s="62" t="s">
        <v>361</v>
      </c>
      <c r="H49" s="58" t="s">
        <v>362</v>
      </c>
      <c r="I49" s="38"/>
      <c r="J49" s="38"/>
      <c r="K49" s="46"/>
      <c r="L49" s="47"/>
      <c r="M49" s="84">
        <v>7.754629629629629E-4</v>
      </c>
      <c r="N49" s="84">
        <v>0.004108796296296296</v>
      </c>
      <c r="O49" s="60">
        <f t="shared" ref="O49:O50" si="10">N49-M49</f>
        <v>0.003333333333</v>
      </c>
      <c r="P49" s="64">
        <v>43012.0</v>
      </c>
      <c r="Q49" s="61" t="str">
        <f t="shared" si="1"/>
        <v>https://www.youtube.com/embed/BEz8X5SUwjY?start=67&amp;end=355&amp;autoplay=1</v>
      </c>
      <c r="R49" s="67" t="s">
        <v>61</v>
      </c>
      <c r="S49" s="67" t="s">
        <v>61</v>
      </c>
      <c r="T49" s="67" t="s">
        <v>61</v>
      </c>
      <c r="U49" s="53"/>
      <c r="V49" s="54"/>
      <c r="W49" s="85" t="s">
        <v>62</v>
      </c>
      <c r="X49" s="70"/>
      <c r="Y49" s="59"/>
      <c r="Z49" s="86" t="s">
        <v>371</v>
      </c>
      <c r="AA49" s="65"/>
      <c r="AB49" s="65"/>
      <c r="AC49" s="65"/>
      <c r="AD49" s="65"/>
      <c r="AE49" s="65"/>
      <c r="AF49" s="65"/>
      <c r="AG49" s="65"/>
      <c r="AH49" s="38"/>
      <c r="AI49" s="38"/>
      <c r="AJ49" s="38"/>
      <c r="AK49" s="38"/>
      <c r="AL49" s="38"/>
      <c r="AM49" s="38"/>
      <c r="AN49" s="38"/>
    </row>
    <row r="50">
      <c r="A50" s="39">
        <v>33.02</v>
      </c>
      <c r="B50" s="39" t="s">
        <v>107</v>
      </c>
      <c r="C50" s="38"/>
      <c r="D50" s="39" t="s">
        <v>55</v>
      </c>
      <c r="E50" s="38"/>
      <c r="F50" s="41"/>
      <c r="G50" s="62" t="s">
        <v>373</v>
      </c>
      <c r="H50" s="58" t="s">
        <v>374</v>
      </c>
      <c r="I50" s="38"/>
      <c r="J50" s="38"/>
      <c r="K50" s="46"/>
      <c r="L50" s="47"/>
      <c r="M50" s="84">
        <v>0.004108796296296296</v>
      </c>
      <c r="N50" s="84">
        <v>0.007326388888888889</v>
      </c>
      <c r="O50" s="60">
        <f t="shared" si="10"/>
        <v>0.003217592593</v>
      </c>
      <c r="P50" s="64">
        <v>43012.0</v>
      </c>
      <c r="Q50" s="61" t="str">
        <f t="shared" si="1"/>
        <v>https://www.youtube.com/embed/BEz8X5SUwjY?start=355&amp;end=633&amp;autoplay=1</v>
      </c>
      <c r="R50" s="67" t="s">
        <v>61</v>
      </c>
      <c r="S50" s="67" t="s">
        <v>61</v>
      </c>
      <c r="T50" s="67" t="s">
        <v>61</v>
      </c>
      <c r="U50" s="53"/>
      <c r="V50" s="54"/>
      <c r="W50" s="85" t="s">
        <v>62</v>
      </c>
      <c r="X50" s="70"/>
      <c r="Y50" s="59"/>
      <c r="Z50" s="59"/>
      <c r="AA50" s="65"/>
      <c r="AB50" s="65"/>
      <c r="AC50" s="65"/>
      <c r="AD50" s="65"/>
      <c r="AE50" s="65"/>
      <c r="AF50" s="65"/>
      <c r="AG50" s="65"/>
      <c r="AH50" s="38"/>
      <c r="AI50" s="38"/>
      <c r="AJ50" s="38"/>
      <c r="AK50" s="38"/>
      <c r="AL50" s="38"/>
      <c r="AM50" s="38"/>
      <c r="AN50" s="38"/>
    </row>
    <row r="51">
      <c r="A51" s="38">
        <v>34.0</v>
      </c>
      <c r="B51" s="39" t="s">
        <v>107</v>
      </c>
      <c r="C51" s="38"/>
      <c r="D51" s="39" t="s">
        <v>55</v>
      </c>
      <c r="E51" s="38" t="s">
        <v>247</v>
      </c>
      <c r="F51" s="41" t="s">
        <v>248</v>
      </c>
      <c r="G51" s="43"/>
      <c r="H51" s="45"/>
      <c r="I51" s="38"/>
      <c r="J51" s="38">
        <f>459</f>
        <v>459</v>
      </c>
      <c r="K51" s="46">
        <v>0.007638888888888889</v>
      </c>
      <c r="L51" s="47" t="s">
        <v>60</v>
      </c>
      <c r="M51" s="60"/>
      <c r="N51" s="60"/>
      <c r="O51" s="38"/>
      <c r="P51" s="38"/>
      <c r="Q51" s="12" t="str">
        <f t="shared" si="1"/>
        <v/>
      </c>
      <c r="R51" s="42"/>
      <c r="S51" s="42"/>
      <c r="T51" s="42"/>
      <c r="U51" s="51"/>
      <c r="V51" s="52"/>
      <c r="W51" s="55"/>
      <c r="X51" s="57"/>
      <c r="Y51" s="38"/>
      <c r="Z51" s="38"/>
      <c r="AA51" s="38"/>
      <c r="AB51" s="38"/>
      <c r="AC51" s="65"/>
      <c r="AD51" s="65"/>
      <c r="AE51" s="65"/>
      <c r="AF51" s="65"/>
      <c r="AG51" s="65"/>
      <c r="AH51" s="38"/>
      <c r="AI51" s="38"/>
      <c r="AJ51" s="38"/>
      <c r="AK51" s="38"/>
      <c r="AL51" s="38"/>
      <c r="AM51" s="38"/>
      <c r="AN51" s="38"/>
    </row>
    <row r="52">
      <c r="A52" s="39">
        <v>34.01</v>
      </c>
      <c r="B52" s="39" t="s">
        <v>107</v>
      </c>
      <c r="C52" s="38"/>
      <c r="D52" s="39" t="s">
        <v>55</v>
      </c>
      <c r="E52" s="38"/>
      <c r="F52" s="41"/>
      <c r="G52" s="62" t="s">
        <v>380</v>
      </c>
      <c r="H52" s="58" t="s">
        <v>382</v>
      </c>
      <c r="I52" s="38"/>
      <c r="J52" s="38"/>
      <c r="K52" s="46"/>
      <c r="L52" s="47"/>
      <c r="M52" s="84">
        <v>0.0</v>
      </c>
      <c r="N52" s="84">
        <v>0.0042592592592592595</v>
      </c>
      <c r="O52" s="60">
        <f t="shared" ref="O52:O54" si="11">N52-M52</f>
        <v>0.004259259259</v>
      </c>
      <c r="P52" s="64">
        <v>43012.0</v>
      </c>
      <c r="Q52" s="61" t="str">
        <f t="shared" si="1"/>
        <v>https://www.youtube.com/embed/lzMEDrUFlpw?start=0&amp;end=368&amp;autoplay=1</v>
      </c>
      <c r="R52" s="50"/>
      <c r="S52" s="50"/>
      <c r="T52" s="50"/>
      <c r="U52" s="53"/>
      <c r="V52" s="54"/>
      <c r="W52" s="85" t="s">
        <v>62</v>
      </c>
      <c r="X52" s="70"/>
      <c r="Y52" s="59"/>
      <c r="Z52" s="59"/>
      <c r="AA52" s="65"/>
      <c r="AB52" s="65"/>
      <c r="AC52" s="65"/>
      <c r="AD52" s="65"/>
      <c r="AE52" s="65"/>
      <c r="AF52" s="65"/>
      <c r="AG52" s="65"/>
      <c r="AH52" s="38"/>
      <c r="AI52" s="38"/>
      <c r="AJ52" s="38"/>
      <c r="AK52" s="38"/>
      <c r="AL52" s="38"/>
      <c r="AM52" s="38"/>
      <c r="AN52" s="38"/>
    </row>
    <row r="53">
      <c r="A53" s="39">
        <v>34.02</v>
      </c>
      <c r="B53" s="39" t="s">
        <v>107</v>
      </c>
      <c r="C53" s="38"/>
      <c r="D53" s="39" t="s">
        <v>55</v>
      </c>
      <c r="E53" s="38"/>
      <c r="F53" s="41"/>
      <c r="G53" s="62" t="s">
        <v>386</v>
      </c>
      <c r="H53" s="58" t="s">
        <v>388</v>
      </c>
      <c r="I53" s="38"/>
      <c r="J53" s="38"/>
      <c r="K53" s="46"/>
      <c r="L53" s="47"/>
      <c r="M53" s="84">
        <v>0.0042592592592592595</v>
      </c>
      <c r="N53" s="84">
        <v>0.006273148148148148</v>
      </c>
      <c r="O53" s="60">
        <f t="shared" si="11"/>
        <v>0.002013888889</v>
      </c>
      <c r="P53" s="64">
        <v>43012.0</v>
      </c>
      <c r="Q53" s="61" t="str">
        <f t="shared" si="1"/>
        <v>https://www.youtube.com/embed/lzMEDrUFlpw?start=368&amp;end=542&amp;autoplay=1</v>
      </c>
      <c r="R53" s="50"/>
      <c r="S53" s="50"/>
      <c r="T53" s="50"/>
      <c r="U53" s="53"/>
      <c r="V53" s="54"/>
      <c r="W53" s="85" t="s">
        <v>62</v>
      </c>
      <c r="X53" s="70"/>
      <c r="Y53" s="59"/>
      <c r="Z53" s="59"/>
      <c r="AA53" s="65"/>
      <c r="AB53" s="65"/>
      <c r="AC53" s="65"/>
      <c r="AD53" s="65"/>
      <c r="AE53" s="65"/>
      <c r="AF53" s="65"/>
      <c r="AG53" s="65"/>
      <c r="AH53" s="38"/>
      <c r="AI53" s="38"/>
      <c r="AJ53" s="38"/>
      <c r="AK53" s="38"/>
      <c r="AL53" s="38"/>
      <c r="AM53" s="38"/>
      <c r="AN53" s="38"/>
    </row>
    <row r="54">
      <c r="A54" s="39">
        <v>34.03</v>
      </c>
      <c r="B54" s="39" t="s">
        <v>107</v>
      </c>
      <c r="C54" s="38"/>
      <c r="D54" s="39" t="s">
        <v>55</v>
      </c>
      <c r="E54" s="38"/>
      <c r="F54" s="41"/>
      <c r="G54" s="62" t="s">
        <v>389</v>
      </c>
      <c r="H54" s="58" t="s">
        <v>390</v>
      </c>
      <c r="I54" s="38"/>
      <c r="J54" s="38"/>
      <c r="K54" s="46"/>
      <c r="L54" s="47"/>
      <c r="M54" s="84">
        <v>0.006273148148148148</v>
      </c>
      <c r="N54" s="84">
        <v>0.007627314814814815</v>
      </c>
      <c r="O54" s="60">
        <f t="shared" si="11"/>
        <v>0.001354166667</v>
      </c>
      <c r="P54" s="64">
        <v>43012.0</v>
      </c>
      <c r="Q54" s="61" t="str">
        <f t="shared" si="1"/>
        <v>https://www.youtube.com/embed/lzMEDrUFlpw?start=542&amp;end=659&amp;autoplay=1</v>
      </c>
      <c r="R54" s="50"/>
      <c r="S54" s="50"/>
      <c r="T54" s="50"/>
      <c r="U54" s="53"/>
      <c r="V54" s="54"/>
      <c r="W54" s="85" t="s">
        <v>62</v>
      </c>
      <c r="X54" s="70"/>
      <c r="Y54" s="59"/>
      <c r="Z54" s="59"/>
      <c r="AA54" s="65"/>
      <c r="AB54" s="65"/>
      <c r="AC54" s="65"/>
      <c r="AD54" s="65"/>
      <c r="AE54" s="65"/>
      <c r="AF54" s="65"/>
      <c r="AG54" s="65"/>
      <c r="AH54" s="38"/>
      <c r="AI54" s="38"/>
      <c r="AJ54" s="38"/>
      <c r="AK54" s="38"/>
      <c r="AL54" s="38"/>
      <c r="AM54" s="38"/>
      <c r="AN54" s="38"/>
    </row>
    <row r="55">
      <c r="A55" s="38">
        <v>35.0</v>
      </c>
      <c r="B55" s="39" t="s">
        <v>107</v>
      </c>
      <c r="C55" s="38"/>
      <c r="D55" s="39" t="s">
        <v>55</v>
      </c>
      <c r="E55" s="38" t="s">
        <v>253</v>
      </c>
      <c r="F55" s="41" t="s">
        <v>254</v>
      </c>
      <c r="G55" s="43"/>
      <c r="H55" s="45"/>
      <c r="I55" s="38"/>
      <c r="J55" s="38">
        <f>419</f>
        <v>419</v>
      </c>
      <c r="K55" s="46">
        <v>0.0059490740740740745</v>
      </c>
      <c r="L55" s="47" t="s">
        <v>60</v>
      </c>
      <c r="M55" s="60"/>
      <c r="N55" s="60"/>
      <c r="O55" s="38"/>
      <c r="P55" s="64">
        <v>43012.0</v>
      </c>
      <c r="Q55" s="12" t="str">
        <f t="shared" si="1"/>
        <v/>
      </c>
      <c r="R55" s="42"/>
      <c r="S55" s="42"/>
      <c r="T55" s="42"/>
      <c r="U55" s="51"/>
      <c r="V55" s="52"/>
      <c r="W55" s="55"/>
      <c r="X55" s="57"/>
      <c r="Y55" s="38"/>
      <c r="Z55" s="38"/>
      <c r="AA55" s="38"/>
      <c r="AB55" s="38"/>
      <c r="AC55" s="65"/>
      <c r="AD55" s="65"/>
      <c r="AE55" s="65"/>
      <c r="AF55" s="65"/>
      <c r="AG55" s="65"/>
      <c r="AH55" s="38"/>
      <c r="AI55" s="38"/>
      <c r="AJ55" s="38"/>
      <c r="AK55" s="38"/>
      <c r="AL55" s="38"/>
      <c r="AM55" s="38"/>
      <c r="AN55" s="38"/>
    </row>
    <row r="56">
      <c r="A56" s="39">
        <v>35.01</v>
      </c>
      <c r="B56" s="39" t="s">
        <v>107</v>
      </c>
      <c r="C56" s="38"/>
      <c r="D56" s="39" t="s">
        <v>55</v>
      </c>
      <c r="E56" s="38"/>
      <c r="F56" s="41"/>
      <c r="G56" s="62" t="s">
        <v>392</v>
      </c>
      <c r="H56" s="58" t="s">
        <v>394</v>
      </c>
      <c r="I56" s="38"/>
      <c r="J56" s="38"/>
      <c r="K56" s="46"/>
      <c r="L56" s="47"/>
      <c r="M56" s="84">
        <v>0.0</v>
      </c>
      <c r="N56" s="84">
        <v>0.004016203703703704</v>
      </c>
      <c r="O56" s="60">
        <f t="shared" ref="O56:O57" si="12">N56-M56</f>
        <v>0.004016203704</v>
      </c>
      <c r="P56" s="64">
        <v>43012.0</v>
      </c>
      <c r="Q56" s="61" t="str">
        <f t="shared" si="1"/>
        <v>https://www.youtube.com/embed/qCG2vqnaUx4?start=0&amp;end=347&amp;autoplay=1</v>
      </c>
      <c r="R56" s="50"/>
      <c r="S56" s="50"/>
      <c r="T56" s="50"/>
      <c r="U56" s="53"/>
      <c r="V56" s="54"/>
      <c r="W56" s="85" t="s">
        <v>62</v>
      </c>
      <c r="X56" s="57"/>
      <c r="Y56" s="38"/>
      <c r="Z56" s="38"/>
      <c r="AA56" s="65"/>
      <c r="AB56" s="65"/>
      <c r="AC56" s="65"/>
      <c r="AD56" s="65"/>
      <c r="AE56" s="65"/>
      <c r="AF56" s="65"/>
      <c r="AG56" s="65"/>
      <c r="AH56" s="38"/>
      <c r="AI56" s="38"/>
      <c r="AJ56" s="38"/>
      <c r="AK56" s="38"/>
      <c r="AL56" s="38"/>
      <c r="AM56" s="38"/>
      <c r="AN56" s="38"/>
    </row>
    <row r="57">
      <c r="A57" s="39">
        <v>35.02</v>
      </c>
      <c r="B57" s="39" t="s">
        <v>107</v>
      </c>
      <c r="C57" s="38"/>
      <c r="D57" s="39" t="s">
        <v>55</v>
      </c>
      <c r="E57" s="38"/>
      <c r="F57" s="41"/>
      <c r="G57" s="62" t="s">
        <v>398</v>
      </c>
      <c r="H57" s="58" t="s">
        <v>399</v>
      </c>
      <c r="I57" s="38"/>
      <c r="J57" s="38"/>
      <c r="K57" s="46"/>
      <c r="L57" s="47"/>
      <c r="M57" s="84">
        <v>0.004016203703703704</v>
      </c>
      <c r="N57" s="84">
        <v>0.0059490740740740745</v>
      </c>
      <c r="O57" s="60">
        <f t="shared" si="12"/>
        <v>0.00193287037</v>
      </c>
      <c r="P57" s="64">
        <v>43012.0</v>
      </c>
      <c r="Q57" s="61" t="str">
        <f t="shared" si="1"/>
        <v>https://www.youtube.com/embed/qCG2vqnaUx4?start=347&amp;end=514&amp;autoplay=1</v>
      </c>
      <c r="R57" s="50"/>
      <c r="S57" s="50"/>
      <c r="T57" s="50"/>
      <c r="U57" s="53"/>
      <c r="V57" s="54"/>
      <c r="W57" s="85" t="s">
        <v>62</v>
      </c>
      <c r="X57" s="57"/>
      <c r="Y57" s="38"/>
      <c r="Z57" s="38"/>
      <c r="AA57" s="65"/>
      <c r="AB57" s="65"/>
      <c r="AC57" s="65"/>
      <c r="AD57" s="65"/>
      <c r="AE57" s="65"/>
      <c r="AF57" s="65"/>
      <c r="AG57" s="65"/>
      <c r="AH57" s="38"/>
      <c r="AI57" s="38"/>
      <c r="AJ57" s="38"/>
      <c r="AK57" s="38"/>
      <c r="AL57" s="38"/>
      <c r="AM57" s="38"/>
      <c r="AN57" s="38"/>
    </row>
    <row r="58">
      <c r="A58" s="38">
        <v>36.0</v>
      </c>
      <c r="B58" s="39" t="s">
        <v>107</v>
      </c>
      <c r="C58" s="38"/>
      <c r="D58" s="39" t="s">
        <v>55</v>
      </c>
      <c r="E58" s="38" t="s">
        <v>258</v>
      </c>
      <c r="F58" s="41" t="s">
        <v>259</v>
      </c>
      <c r="G58" s="43"/>
      <c r="H58" s="45"/>
      <c r="I58" s="38"/>
      <c r="J58" s="38">
        <f>755</f>
        <v>755</v>
      </c>
      <c r="K58" s="46">
        <v>0.008344907407407409</v>
      </c>
      <c r="L58" s="47" t="s">
        <v>60</v>
      </c>
      <c r="M58" s="60"/>
      <c r="N58" s="60"/>
      <c r="O58" s="38"/>
      <c r="P58" s="38"/>
      <c r="Q58" s="12" t="str">
        <f t="shared" si="1"/>
        <v/>
      </c>
      <c r="R58" s="42"/>
      <c r="S58" s="42"/>
      <c r="T58" s="42"/>
      <c r="U58" s="51"/>
      <c r="V58" s="52"/>
      <c r="W58" s="55"/>
      <c r="X58" s="57"/>
      <c r="Y58" s="38"/>
      <c r="Z58" s="38"/>
      <c r="AA58" s="38"/>
      <c r="AB58" s="38"/>
      <c r="AC58" s="65"/>
      <c r="AD58" s="65"/>
      <c r="AE58" s="65"/>
      <c r="AF58" s="65"/>
      <c r="AG58" s="65"/>
      <c r="AH58" s="38"/>
      <c r="AI58" s="38"/>
      <c r="AJ58" s="38"/>
      <c r="AK58" s="38"/>
      <c r="AL58" s="38"/>
      <c r="AM58" s="38"/>
      <c r="AN58" s="38"/>
    </row>
    <row r="59">
      <c r="A59" s="39">
        <v>36.01</v>
      </c>
      <c r="B59" s="39" t="s">
        <v>107</v>
      </c>
      <c r="C59" s="38"/>
      <c r="D59" s="39" t="s">
        <v>55</v>
      </c>
      <c r="E59" s="38"/>
      <c r="F59" s="41"/>
      <c r="G59" s="62" t="s">
        <v>404</v>
      </c>
      <c r="H59" s="58" t="s">
        <v>405</v>
      </c>
      <c r="I59" s="38"/>
      <c r="J59" s="38"/>
      <c r="K59" s="46"/>
      <c r="L59" s="47"/>
      <c r="M59" s="84">
        <v>3.587962962962963E-4</v>
      </c>
      <c r="N59" s="84">
        <v>0.0035416666666666665</v>
      </c>
      <c r="O59" s="60">
        <f t="shared" ref="O59:O62" si="13">N59-M59</f>
        <v>0.00318287037</v>
      </c>
      <c r="P59" s="88">
        <v>43013.0</v>
      </c>
      <c r="Q59" s="61" t="str">
        <f t="shared" si="1"/>
        <v>https://www.youtube.com/embed/ycnvyB8pDEM?start=31&amp;end=306&amp;autoplay=1</v>
      </c>
      <c r="R59" s="67" t="s">
        <v>124</v>
      </c>
      <c r="S59" s="67" t="s">
        <v>61</v>
      </c>
      <c r="T59" s="67" t="s">
        <v>61</v>
      </c>
      <c r="U59" s="53"/>
      <c r="V59" s="54"/>
      <c r="W59" s="85" t="s">
        <v>62</v>
      </c>
      <c r="X59" s="57"/>
      <c r="Y59" s="38"/>
      <c r="Z59" s="86" t="s">
        <v>407</v>
      </c>
      <c r="AA59" s="65"/>
      <c r="AB59" s="65"/>
      <c r="AC59" s="65"/>
      <c r="AD59" s="65"/>
      <c r="AE59" s="65"/>
      <c r="AF59" s="65"/>
      <c r="AG59" s="65"/>
      <c r="AH59" s="38"/>
      <c r="AI59" s="38"/>
      <c r="AJ59" s="38"/>
      <c r="AK59" s="38"/>
      <c r="AL59" s="38"/>
      <c r="AM59" s="38"/>
      <c r="AN59" s="38"/>
    </row>
    <row r="60">
      <c r="A60" s="39">
        <v>36.02</v>
      </c>
      <c r="B60" s="39" t="s">
        <v>107</v>
      </c>
      <c r="C60" s="39"/>
      <c r="D60" s="39" t="s">
        <v>55</v>
      </c>
      <c r="E60" s="38"/>
      <c r="F60" s="41"/>
      <c r="G60" s="62" t="s">
        <v>408</v>
      </c>
      <c r="H60" s="58" t="s">
        <v>409</v>
      </c>
      <c r="I60" s="38"/>
      <c r="J60" s="38"/>
      <c r="K60" s="46"/>
      <c r="L60" s="47"/>
      <c r="M60" s="84">
        <v>0.003553240740740741</v>
      </c>
      <c r="N60" s="84">
        <v>0.004571759259259259</v>
      </c>
      <c r="O60" s="60">
        <f t="shared" si="13"/>
        <v>0.001018518519</v>
      </c>
      <c r="P60" s="88">
        <v>43013.0</v>
      </c>
      <c r="Q60" s="61" t="str">
        <f t="shared" si="1"/>
        <v>https://www.youtube.com/embed/ycnvyB8pDEM?start=307&amp;end=395&amp;autoplay=1</v>
      </c>
      <c r="R60" s="67" t="s">
        <v>61</v>
      </c>
      <c r="S60" s="67" t="s">
        <v>61</v>
      </c>
      <c r="T60" s="67" t="s">
        <v>61</v>
      </c>
      <c r="U60" s="53"/>
      <c r="V60" s="54"/>
      <c r="W60" s="85" t="s">
        <v>62</v>
      </c>
      <c r="X60" s="57"/>
      <c r="Y60" s="38"/>
      <c r="Z60" s="38"/>
      <c r="AA60" s="65"/>
      <c r="AB60" s="65"/>
      <c r="AC60" s="65"/>
      <c r="AD60" s="65"/>
      <c r="AE60" s="65"/>
      <c r="AF60" s="65"/>
      <c r="AG60" s="65"/>
      <c r="AH60" s="38"/>
      <c r="AI60" s="38"/>
      <c r="AJ60" s="38"/>
      <c r="AK60" s="38"/>
      <c r="AL60" s="38"/>
      <c r="AM60" s="38"/>
      <c r="AN60" s="38"/>
    </row>
    <row r="61">
      <c r="A61" s="39">
        <v>36.03</v>
      </c>
      <c r="B61" s="39" t="s">
        <v>107</v>
      </c>
      <c r="C61" s="38"/>
      <c r="D61" s="39" t="s">
        <v>55</v>
      </c>
      <c r="E61" s="38"/>
      <c r="F61" s="41"/>
      <c r="G61" s="62" t="s">
        <v>415</v>
      </c>
      <c r="H61" s="58" t="s">
        <v>416</v>
      </c>
      <c r="I61" s="38"/>
      <c r="J61" s="38"/>
      <c r="K61" s="46"/>
      <c r="L61" s="47"/>
      <c r="M61" s="84">
        <v>0.004571759259259259</v>
      </c>
      <c r="N61" s="84">
        <v>0.006111111111111111</v>
      </c>
      <c r="O61" s="60">
        <f t="shared" si="13"/>
        <v>0.001539351852</v>
      </c>
      <c r="P61" s="88">
        <v>43013.0</v>
      </c>
      <c r="Q61" s="61" t="str">
        <f t="shared" si="1"/>
        <v>https://www.youtube.com/embed/ycnvyB8pDEM?start=395&amp;end=528&amp;autoplay=1</v>
      </c>
      <c r="R61" s="67" t="s">
        <v>61</v>
      </c>
      <c r="S61" s="67" t="s">
        <v>61</v>
      </c>
      <c r="T61" s="67" t="s">
        <v>61</v>
      </c>
      <c r="U61" s="53"/>
      <c r="V61" s="54"/>
      <c r="W61" s="85" t="s">
        <v>62</v>
      </c>
      <c r="X61" s="57"/>
      <c r="Y61" s="38"/>
      <c r="Z61" s="39" t="s">
        <v>417</v>
      </c>
      <c r="AA61" s="65"/>
      <c r="AB61" s="65"/>
      <c r="AC61" s="65"/>
      <c r="AD61" s="65"/>
      <c r="AE61" s="65"/>
      <c r="AF61" s="65"/>
      <c r="AG61" s="65"/>
      <c r="AH61" s="38"/>
      <c r="AI61" s="38"/>
      <c r="AJ61" s="38"/>
      <c r="AK61" s="38"/>
      <c r="AL61" s="38"/>
      <c r="AM61" s="38"/>
      <c r="AN61" s="38"/>
    </row>
    <row r="62">
      <c r="A62" s="39">
        <v>36.04</v>
      </c>
      <c r="B62" s="39" t="s">
        <v>107</v>
      </c>
      <c r="C62" s="38"/>
      <c r="D62" s="39" t="s">
        <v>55</v>
      </c>
      <c r="E62" s="38"/>
      <c r="F62" s="41"/>
      <c r="G62" s="62" t="s">
        <v>418</v>
      </c>
      <c r="H62" s="58" t="s">
        <v>419</v>
      </c>
      <c r="I62" s="38"/>
      <c r="J62" s="38"/>
      <c r="K62" s="46"/>
      <c r="L62" s="47"/>
      <c r="M62" s="84">
        <v>0.006111111111111111</v>
      </c>
      <c r="N62" s="84">
        <v>0.0078125</v>
      </c>
      <c r="O62" s="60">
        <f t="shared" si="13"/>
        <v>0.001701388889</v>
      </c>
      <c r="P62" s="88">
        <v>43013.0</v>
      </c>
      <c r="Q62" s="61" t="str">
        <f t="shared" si="1"/>
        <v>https://www.youtube.com/embed/ycnvyB8pDEM?start=528&amp;end=675&amp;autoplay=1</v>
      </c>
      <c r="R62" s="67" t="s">
        <v>61</v>
      </c>
      <c r="S62" s="67" t="s">
        <v>61</v>
      </c>
      <c r="T62" s="67" t="s">
        <v>61</v>
      </c>
      <c r="U62" s="53"/>
      <c r="V62" s="54"/>
      <c r="W62" s="85" t="s">
        <v>62</v>
      </c>
      <c r="X62" s="57"/>
      <c r="Y62" s="38"/>
      <c r="Z62" s="39" t="s">
        <v>417</v>
      </c>
      <c r="AH62" s="38"/>
      <c r="AI62" s="38"/>
      <c r="AJ62" s="38"/>
      <c r="AK62" s="38"/>
      <c r="AL62" s="38"/>
      <c r="AM62" s="38"/>
      <c r="AN62" s="38"/>
    </row>
    <row r="63">
      <c r="A63" s="38">
        <v>37.0</v>
      </c>
      <c r="B63" s="39" t="s">
        <v>107</v>
      </c>
      <c r="C63" s="38"/>
      <c r="D63" s="39" t="s">
        <v>55</v>
      </c>
      <c r="E63" s="38" t="s">
        <v>261</v>
      </c>
      <c r="F63" s="41" t="s">
        <v>262</v>
      </c>
      <c r="G63" s="43"/>
      <c r="H63" s="45"/>
      <c r="I63" s="38"/>
      <c r="J63" s="38">
        <f>773</f>
        <v>773</v>
      </c>
      <c r="K63" s="46">
        <v>0.00954861111111111</v>
      </c>
      <c r="L63" s="47" t="s">
        <v>60</v>
      </c>
      <c r="M63" s="60"/>
      <c r="N63" s="60"/>
      <c r="O63" s="38"/>
      <c r="P63" s="38"/>
      <c r="Q63" s="12" t="str">
        <f t="shared" si="1"/>
        <v/>
      </c>
      <c r="R63" s="42"/>
      <c r="S63" s="42"/>
      <c r="T63" s="42"/>
      <c r="U63" s="51"/>
      <c r="V63" s="52"/>
      <c r="W63" s="55"/>
      <c r="X63" s="57"/>
      <c r="Y63" s="38"/>
      <c r="Z63" s="38"/>
      <c r="AA63" s="38"/>
      <c r="AB63" s="38"/>
      <c r="AH63" s="38"/>
      <c r="AI63" s="38"/>
      <c r="AJ63" s="38"/>
      <c r="AK63" s="38"/>
      <c r="AL63" s="38"/>
      <c r="AM63" s="38"/>
      <c r="AN63" s="38"/>
    </row>
    <row r="64">
      <c r="A64" s="39">
        <v>37.01</v>
      </c>
      <c r="B64" s="39" t="s">
        <v>107</v>
      </c>
      <c r="C64" s="38"/>
      <c r="D64" s="39" t="s">
        <v>55</v>
      </c>
      <c r="E64" s="38"/>
      <c r="F64" s="41"/>
      <c r="G64" s="62" t="s">
        <v>423</v>
      </c>
      <c r="H64" s="58" t="s">
        <v>424</v>
      </c>
      <c r="I64" s="38"/>
      <c r="J64" s="38"/>
      <c r="K64" s="46"/>
      <c r="L64" s="47"/>
      <c r="M64" s="90">
        <v>0.0</v>
      </c>
      <c r="N64" s="90">
        <v>0.0036805555555555554</v>
      </c>
      <c r="O64" s="60">
        <f t="shared" ref="O64:O66" si="14">N64-M64</f>
        <v>0.003680555556</v>
      </c>
      <c r="P64" s="88">
        <v>43013.0</v>
      </c>
      <c r="Q64" s="61" t="str">
        <f t="shared" si="1"/>
        <v>https://www.youtube.com/embed/xANxZaCCD70?start=0&amp;end=318&amp;autoplay=1</v>
      </c>
      <c r="R64" s="67" t="s">
        <v>61</v>
      </c>
      <c r="S64" s="67" t="s">
        <v>61</v>
      </c>
      <c r="T64" s="67" t="s">
        <v>61</v>
      </c>
      <c r="U64" s="51"/>
      <c r="V64" s="52"/>
      <c r="W64" s="81" t="s">
        <v>62</v>
      </c>
      <c r="X64" s="57"/>
      <c r="Y64" s="38"/>
      <c r="Z64" s="38"/>
      <c r="AA64" s="38"/>
      <c r="AB64" s="38"/>
      <c r="AH64" s="38"/>
      <c r="AI64" s="38"/>
      <c r="AJ64" s="38"/>
      <c r="AK64" s="38"/>
      <c r="AL64" s="38"/>
      <c r="AM64" s="38"/>
      <c r="AN64" s="38"/>
    </row>
    <row r="65">
      <c r="A65" s="39">
        <v>37.02</v>
      </c>
      <c r="B65" s="39" t="s">
        <v>107</v>
      </c>
      <c r="C65" s="38"/>
      <c r="D65" s="39" t="s">
        <v>55</v>
      </c>
      <c r="E65" s="38"/>
      <c r="F65" s="41"/>
      <c r="G65" s="62" t="s">
        <v>429</v>
      </c>
      <c r="H65" s="58" t="s">
        <v>430</v>
      </c>
      <c r="I65" s="38"/>
      <c r="J65" s="38"/>
      <c r="K65" s="46"/>
      <c r="L65" s="47"/>
      <c r="M65" s="90">
        <v>0.0036805555555555554</v>
      </c>
      <c r="N65" s="90">
        <v>0.005069444444444444</v>
      </c>
      <c r="O65" s="60">
        <f t="shared" si="14"/>
        <v>0.001388888889</v>
      </c>
      <c r="P65" s="88">
        <v>43013.0</v>
      </c>
      <c r="Q65" s="61" t="str">
        <f t="shared" si="1"/>
        <v>https://www.youtube.com/embed/xANxZaCCD70?start=318&amp;end=438&amp;autoplay=1</v>
      </c>
      <c r="R65" s="63" t="s">
        <v>124</v>
      </c>
      <c r="S65" s="63" t="s">
        <v>61</v>
      </c>
      <c r="T65" s="63" t="s">
        <v>61</v>
      </c>
      <c r="U65" s="51"/>
      <c r="V65" s="52"/>
      <c r="W65" s="81" t="s">
        <v>62</v>
      </c>
      <c r="X65" s="57"/>
      <c r="Y65" s="38"/>
      <c r="Z65" s="39" t="s">
        <v>431</v>
      </c>
      <c r="AA65" s="38"/>
      <c r="AB65" s="38"/>
      <c r="AH65" s="38"/>
      <c r="AI65" s="38"/>
      <c r="AJ65" s="38"/>
      <c r="AK65" s="38"/>
      <c r="AL65" s="38"/>
      <c r="AM65" s="38"/>
      <c r="AN65" s="38"/>
    </row>
    <row r="66">
      <c r="A66" s="39">
        <v>37.03</v>
      </c>
      <c r="B66" s="39" t="s">
        <v>107</v>
      </c>
      <c r="C66" s="38"/>
      <c r="D66" s="39" t="s">
        <v>55</v>
      </c>
      <c r="E66" s="38"/>
      <c r="F66" s="41"/>
      <c r="G66" s="62" t="s">
        <v>435</v>
      </c>
      <c r="H66" s="58" t="s">
        <v>436</v>
      </c>
      <c r="I66" s="38"/>
      <c r="J66" s="38"/>
      <c r="K66" s="46"/>
      <c r="L66" s="47"/>
      <c r="M66" s="90">
        <v>0.005092592592592593</v>
      </c>
      <c r="N66" s="90">
        <v>0.009537037037037037</v>
      </c>
      <c r="O66" s="60">
        <f t="shared" si="14"/>
        <v>0.004444444444</v>
      </c>
      <c r="P66" s="88">
        <v>43013.0</v>
      </c>
      <c r="Q66" s="61" t="str">
        <f t="shared" si="1"/>
        <v>https://www.youtube.com/embed/xANxZaCCD70?start=440&amp;end=824&amp;autoplay=1</v>
      </c>
      <c r="R66" s="42"/>
      <c r="S66" s="42"/>
      <c r="T66" s="42"/>
      <c r="U66" s="51"/>
      <c r="V66" s="52"/>
      <c r="W66" s="81" t="s">
        <v>62</v>
      </c>
      <c r="X66" s="57"/>
      <c r="Y66" s="38"/>
      <c r="Z66" s="39" t="s">
        <v>437</v>
      </c>
      <c r="AA66" s="38"/>
      <c r="AB66" s="38"/>
      <c r="AH66" s="38"/>
      <c r="AI66" s="38"/>
      <c r="AJ66" s="38"/>
      <c r="AK66" s="38"/>
      <c r="AL66" s="38"/>
      <c r="AM66" s="38"/>
      <c r="AN66" s="38"/>
    </row>
    <row r="67">
      <c r="A67" s="38">
        <v>38.0</v>
      </c>
      <c r="B67" s="39" t="s">
        <v>107</v>
      </c>
      <c r="C67" s="38"/>
      <c r="D67" s="39" t="s">
        <v>71</v>
      </c>
      <c r="E67" s="38" t="s">
        <v>266</v>
      </c>
      <c r="F67" s="41" t="s">
        <v>268</v>
      </c>
      <c r="G67" s="43"/>
      <c r="H67" s="45"/>
      <c r="I67" s="38"/>
      <c r="J67" s="38">
        <f>427</f>
        <v>427</v>
      </c>
      <c r="K67" s="46">
        <v>0.003356481481481481</v>
      </c>
      <c r="L67" s="47" t="s">
        <v>60</v>
      </c>
      <c r="M67" s="60"/>
      <c r="N67" s="60"/>
      <c r="O67" s="38"/>
      <c r="P67" s="38"/>
      <c r="Q67" s="12" t="str">
        <f t="shared" si="1"/>
        <v/>
      </c>
      <c r="R67" s="42"/>
      <c r="S67" s="42"/>
      <c r="T67" s="42"/>
      <c r="U67" s="51"/>
      <c r="V67" s="52"/>
      <c r="W67" s="55"/>
      <c r="X67" s="57"/>
      <c r="Y67" s="38"/>
      <c r="Z67" s="39" t="s">
        <v>441</v>
      </c>
      <c r="AA67" s="38"/>
      <c r="AB67" s="38"/>
      <c r="AH67" s="38"/>
      <c r="AI67" s="38"/>
      <c r="AJ67" s="38"/>
      <c r="AK67" s="38"/>
      <c r="AL67" s="38"/>
      <c r="AM67" s="38"/>
      <c r="AN67" s="38"/>
    </row>
    <row r="68">
      <c r="A68" s="38">
        <v>50.0</v>
      </c>
      <c r="B68" s="39" t="s">
        <v>107</v>
      </c>
      <c r="C68" s="38"/>
      <c r="D68" s="39" t="s">
        <v>55</v>
      </c>
      <c r="E68" s="38" t="s">
        <v>343</v>
      </c>
      <c r="F68" s="41" t="s">
        <v>344</v>
      </c>
      <c r="G68" s="43"/>
      <c r="H68" s="45"/>
      <c r="I68" s="38"/>
      <c r="J68" s="38">
        <f>1.7*1000</f>
        <v>1700</v>
      </c>
      <c r="K68" s="46">
        <v>0.010266203703703703</v>
      </c>
      <c r="L68" s="47" t="s">
        <v>60</v>
      </c>
      <c r="M68" s="60"/>
      <c r="N68" s="60"/>
      <c r="O68" s="38"/>
      <c r="P68" s="38"/>
      <c r="Q68" s="12" t="str">
        <f t="shared" si="1"/>
        <v/>
      </c>
      <c r="R68" s="42"/>
      <c r="S68" s="42"/>
      <c r="T68" s="42"/>
      <c r="U68" s="51"/>
      <c r="V68" s="52"/>
      <c r="W68" s="55"/>
      <c r="X68" s="57"/>
      <c r="Y68" s="38"/>
      <c r="Z68" s="38"/>
      <c r="AA68" s="38"/>
      <c r="AB68" s="38"/>
      <c r="AH68" s="38"/>
      <c r="AI68" s="38"/>
      <c r="AJ68" s="38"/>
      <c r="AK68" s="38"/>
      <c r="AL68" s="38"/>
      <c r="AM68" s="38"/>
      <c r="AN68" s="38"/>
    </row>
    <row r="69">
      <c r="A69" s="39">
        <v>50.01</v>
      </c>
      <c r="B69" s="39" t="s">
        <v>107</v>
      </c>
      <c r="C69" s="38"/>
      <c r="D69" s="39" t="s">
        <v>55</v>
      </c>
      <c r="E69" s="38"/>
      <c r="F69" s="41"/>
      <c r="G69" s="62" t="s">
        <v>446</v>
      </c>
      <c r="H69" s="58" t="s">
        <v>447</v>
      </c>
      <c r="I69" s="38"/>
      <c r="J69" s="38"/>
      <c r="K69" s="46"/>
      <c r="L69" s="47"/>
      <c r="M69" s="84">
        <v>0.0</v>
      </c>
      <c r="N69" s="84">
        <v>0.003981481481481482</v>
      </c>
      <c r="O69" s="60">
        <f t="shared" ref="O69:O72" si="15">N69-M69</f>
        <v>0.003981481481</v>
      </c>
      <c r="P69" s="88">
        <v>43014.0</v>
      </c>
      <c r="Q69" s="61" t="str">
        <f t="shared" si="1"/>
        <v>https://www.youtube.com/embed/8qjQH_-WzyE?start=0&amp;end=344&amp;autoplay=1</v>
      </c>
      <c r="R69" s="67" t="s">
        <v>61</v>
      </c>
      <c r="S69" s="67" t="s">
        <v>91</v>
      </c>
      <c r="T69" s="67" t="s">
        <v>61</v>
      </c>
      <c r="U69" s="53"/>
      <c r="V69" s="54"/>
      <c r="W69" s="81" t="s">
        <v>62</v>
      </c>
      <c r="X69" s="57"/>
      <c r="Y69" s="38"/>
      <c r="Z69" s="38"/>
      <c r="AH69" s="38"/>
      <c r="AI69" s="38"/>
      <c r="AJ69" s="38"/>
      <c r="AK69" s="38"/>
      <c r="AL69" s="38"/>
      <c r="AM69" s="38"/>
      <c r="AN69" s="38"/>
    </row>
    <row r="70">
      <c r="A70" s="39">
        <v>50.02</v>
      </c>
      <c r="B70" s="39" t="s">
        <v>107</v>
      </c>
      <c r="C70" s="38"/>
      <c r="D70" s="39" t="s">
        <v>71</v>
      </c>
      <c r="E70" s="38"/>
      <c r="F70" s="41"/>
      <c r="G70" s="62" t="s">
        <v>453</v>
      </c>
      <c r="H70" s="58" t="s">
        <v>454</v>
      </c>
      <c r="I70" s="38"/>
      <c r="J70" s="38"/>
      <c r="K70" s="46"/>
      <c r="L70" s="47"/>
      <c r="M70" s="84">
        <v>0.003993055555555555</v>
      </c>
      <c r="N70" s="84">
        <v>0.00474537037037037</v>
      </c>
      <c r="O70" s="60">
        <f t="shared" si="15"/>
        <v>0.0007523148148</v>
      </c>
      <c r="P70" s="88">
        <v>43014.0</v>
      </c>
      <c r="Q70" s="61" t="str">
        <f t="shared" si="1"/>
        <v>https://www.youtube.com/embed/8qjQH_-WzyE?start=345&amp;end=410&amp;autoplay=1</v>
      </c>
      <c r="R70" s="67" t="s">
        <v>61</v>
      </c>
      <c r="S70" s="67" t="s">
        <v>61</v>
      </c>
      <c r="T70" s="67" t="s">
        <v>61</v>
      </c>
      <c r="U70" s="53"/>
      <c r="V70" s="54"/>
      <c r="W70" s="81" t="s">
        <v>76</v>
      </c>
      <c r="X70" s="57"/>
      <c r="Y70" s="38"/>
      <c r="Z70" s="39" t="s">
        <v>456</v>
      </c>
      <c r="AH70" s="38"/>
      <c r="AI70" s="38"/>
      <c r="AJ70" s="38"/>
      <c r="AK70" s="38"/>
      <c r="AL70" s="38"/>
      <c r="AM70" s="38"/>
      <c r="AN70" s="38"/>
    </row>
    <row r="71">
      <c r="A71" s="39">
        <v>50.03</v>
      </c>
      <c r="B71" s="39" t="s">
        <v>107</v>
      </c>
      <c r="C71" s="38"/>
      <c r="D71" s="39" t="s">
        <v>55</v>
      </c>
      <c r="E71" s="38"/>
      <c r="F71" s="41"/>
      <c r="G71" s="62" t="s">
        <v>457</v>
      </c>
      <c r="H71" s="58" t="s">
        <v>458</v>
      </c>
      <c r="I71" s="38"/>
      <c r="J71" s="38"/>
      <c r="K71" s="46"/>
      <c r="L71" s="47"/>
      <c r="M71" s="84">
        <v>0.004756944444444445</v>
      </c>
      <c r="N71" s="84">
        <v>0.007175925925925926</v>
      </c>
      <c r="O71" s="60">
        <f t="shared" si="15"/>
        <v>0.002418981481</v>
      </c>
      <c r="P71" s="88">
        <v>43014.0</v>
      </c>
      <c r="Q71" s="61" t="str">
        <f t="shared" si="1"/>
        <v>https://www.youtube.com/embed/8qjQH_-WzyE?start=411&amp;end=620&amp;autoplay=1</v>
      </c>
      <c r="R71" s="67" t="s">
        <v>61</v>
      </c>
      <c r="S71" s="67" t="s">
        <v>61</v>
      </c>
      <c r="T71" s="67" t="s">
        <v>61</v>
      </c>
      <c r="U71" s="53"/>
      <c r="V71" s="54"/>
      <c r="W71" s="81" t="s">
        <v>62</v>
      </c>
      <c r="X71" s="57"/>
      <c r="Y71" s="38"/>
      <c r="Z71" s="38"/>
      <c r="AH71" s="38"/>
      <c r="AI71" s="38"/>
      <c r="AJ71" s="38"/>
      <c r="AK71" s="38"/>
      <c r="AL71" s="38"/>
      <c r="AM71" s="38"/>
      <c r="AN71" s="38"/>
    </row>
    <row r="72">
      <c r="A72" s="39">
        <v>50.04</v>
      </c>
      <c r="B72" s="39" t="s">
        <v>107</v>
      </c>
      <c r="C72" s="38"/>
      <c r="D72" s="39" t="s">
        <v>55</v>
      </c>
      <c r="E72" s="38"/>
      <c r="F72" s="41"/>
      <c r="G72" s="62" t="s">
        <v>462</v>
      </c>
      <c r="H72" s="58" t="s">
        <v>463</v>
      </c>
      <c r="I72" s="38"/>
      <c r="J72" s="38"/>
      <c r="K72" s="46"/>
      <c r="L72" s="47"/>
      <c r="M72" s="84">
        <v>0.0071875</v>
      </c>
      <c r="N72" s="84">
        <v>0.009421296296296296</v>
      </c>
      <c r="O72" s="60">
        <f t="shared" si="15"/>
        <v>0.002233796296</v>
      </c>
      <c r="P72" s="88">
        <v>43014.0</v>
      </c>
      <c r="Q72" s="61" t="str">
        <f t="shared" si="1"/>
        <v>https://www.youtube.com/embed/8qjQH_-WzyE?start=621&amp;end=814&amp;autoplay=1</v>
      </c>
      <c r="R72" s="67" t="s">
        <v>61</v>
      </c>
      <c r="S72" s="67" t="s">
        <v>61</v>
      </c>
      <c r="T72" s="67" t="s">
        <v>61</v>
      </c>
      <c r="U72" s="53"/>
      <c r="V72" s="54"/>
      <c r="W72" s="81" t="s">
        <v>62</v>
      </c>
      <c r="X72" s="57"/>
      <c r="Y72" s="38"/>
      <c r="Z72" s="38"/>
      <c r="AH72" s="38"/>
      <c r="AI72" s="38"/>
      <c r="AJ72" s="38"/>
      <c r="AK72" s="38"/>
      <c r="AL72" s="38"/>
      <c r="AM72" s="38"/>
      <c r="AN72" s="38"/>
    </row>
    <row r="73">
      <c r="A73" s="38">
        <v>51.0</v>
      </c>
      <c r="B73" s="39" t="s">
        <v>107</v>
      </c>
      <c r="C73" s="38"/>
      <c r="D73" s="39" t="s">
        <v>55</v>
      </c>
      <c r="E73" s="38" t="s">
        <v>347</v>
      </c>
      <c r="F73" s="41" t="s">
        <v>348</v>
      </c>
      <c r="G73" s="43"/>
      <c r="H73" s="45"/>
      <c r="I73" s="38"/>
      <c r="J73" s="38">
        <f>679</f>
        <v>679</v>
      </c>
      <c r="K73" s="46">
        <v>0.006087962962962964</v>
      </c>
      <c r="L73" s="47" t="s">
        <v>60</v>
      </c>
      <c r="M73" s="60"/>
      <c r="N73" s="60"/>
      <c r="O73" s="38"/>
      <c r="P73" s="82">
        <v>43015.0</v>
      </c>
      <c r="Q73" s="12" t="str">
        <f t="shared" si="1"/>
        <v/>
      </c>
      <c r="R73" s="42"/>
      <c r="S73" s="42"/>
      <c r="T73" s="42"/>
      <c r="U73" s="51"/>
      <c r="V73" s="52"/>
      <c r="W73" s="55"/>
      <c r="X73" s="57"/>
      <c r="Y73" s="38"/>
      <c r="Z73" s="38"/>
      <c r="AA73" s="38"/>
      <c r="AB73" s="38"/>
      <c r="AH73" s="38"/>
      <c r="AI73" s="38"/>
      <c r="AJ73" s="38"/>
      <c r="AK73" s="38"/>
      <c r="AL73" s="38"/>
      <c r="AM73" s="38"/>
      <c r="AN73" s="38"/>
    </row>
    <row r="74">
      <c r="A74" s="39">
        <v>51.01</v>
      </c>
      <c r="B74" s="39" t="s">
        <v>107</v>
      </c>
      <c r="C74" s="38"/>
      <c r="D74" s="39" t="s">
        <v>55</v>
      </c>
      <c r="E74" s="38"/>
      <c r="F74" s="41"/>
      <c r="G74" s="62" t="s">
        <v>470</v>
      </c>
      <c r="H74" s="58" t="s">
        <v>472</v>
      </c>
      <c r="I74" s="38"/>
      <c r="J74" s="38"/>
      <c r="K74" s="46"/>
      <c r="L74" s="47"/>
      <c r="M74" s="84">
        <v>0.0</v>
      </c>
      <c r="N74" s="84">
        <v>0.0046875</v>
      </c>
      <c r="O74" s="60">
        <f>N74-M74</f>
        <v>0.0046875</v>
      </c>
      <c r="P74" s="82">
        <v>43016.0</v>
      </c>
      <c r="Q74" s="61" t="str">
        <f t="shared" si="1"/>
        <v>https://www.youtube.com/embed/vHWsmGyjOk0?start=0&amp;end=405&amp;autoplay=1</v>
      </c>
      <c r="R74" s="67" t="s">
        <v>61</v>
      </c>
      <c r="S74" s="67" t="s">
        <v>61</v>
      </c>
      <c r="T74" s="67" t="s">
        <v>61</v>
      </c>
      <c r="U74" s="53"/>
      <c r="V74" s="54"/>
      <c r="W74" s="81" t="s">
        <v>62</v>
      </c>
      <c r="X74" s="57"/>
      <c r="Y74" s="38"/>
      <c r="Z74" s="39" t="s">
        <v>474</v>
      </c>
      <c r="AH74" s="38"/>
      <c r="AI74" s="38"/>
      <c r="AJ74" s="38"/>
      <c r="AK74" s="38"/>
      <c r="AL74" s="38"/>
      <c r="AM74" s="38"/>
      <c r="AN74" s="38"/>
    </row>
    <row r="75">
      <c r="A75" s="91">
        <v>52.0</v>
      </c>
      <c r="B75" s="92" t="s">
        <v>107</v>
      </c>
      <c r="C75" s="91"/>
      <c r="D75" s="92" t="s">
        <v>55</v>
      </c>
      <c r="E75" s="91" t="s">
        <v>353</v>
      </c>
      <c r="F75" s="93" t="s">
        <v>354</v>
      </c>
      <c r="G75" s="94"/>
      <c r="H75" s="95"/>
      <c r="I75" s="91"/>
      <c r="J75" s="91">
        <f>928</f>
        <v>928</v>
      </c>
      <c r="K75" s="96">
        <v>0.01</v>
      </c>
      <c r="L75" s="97" t="s">
        <v>60</v>
      </c>
      <c r="M75" s="99"/>
      <c r="N75" s="99"/>
      <c r="O75" s="91"/>
      <c r="P75" s="101"/>
      <c r="Q75" s="102" t="str">
        <f t="shared" si="1"/>
        <v/>
      </c>
      <c r="R75" s="91"/>
      <c r="S75" s="91"/>
      <c r="T75" s="91"/>
      <c r="U75" s="91"/>
      <c r="V75" s="91"/>
      <c r="W75" s="91"/>
      <c r="X75" s="91"/>
      <c r="Y75" s="91"/>
      <c r="Z75" s="91"/>
      <c r="AA75" s="91"/>
      <c r="AB75" s="91"/>
      <c r="AC75" s="103"/>
      <c r="AD75" s="103"/>
      <c r="AE75" s="103"/>
      <c r="AF75" s="103"/>
      <c r="AG75" s="103"/>
      <c r="AH75" s="91"/>
      <c r="AI75" s="91"/>
      <c r="AJ75" s="91"/>
      <c r="AK75" s="91"/>
      <c r="AL75" s="91"/>
      <c r="AM75" s="91"/>
      <c r="AN75" s="91"/>
    </row>
    <row r="76">
      <c r="A76" s="39">
        <v>52.01</v>
      </c>
      <c r="B76" s="39" t="s">
        <v>107</v>
      </c>
      <c r="C76" s="38"/>
      <c r="D76" s="92" t="s">
        <v>55</v>
      </c>
      <c r="E76" s="38"/>
      <c r="F76" s="41"/>
      <c r="G76" s="62" t="s">
        <v>487</v>
      </c>
      <c r="H76" s="58" t="s">
        <v>488</v>
      </c>
      <c r="I76" s="38"/>
      <c r="J76" s="38"/>
      <c r="K76" s="46"/>
      <c r="L76" s="47"/>
      <c r="M76" s="84">
        <v>0.0</v>
      </c>
      <c r="N76" s="84">
        <v>0.003171296296296296</v>
      </c>
      <c r="O76" s="60">
        <f t="shared" ref="O76:O77" si="16">N76-M76</f>
        <v>0.003171296296</v>
      </c>
      <c r="P76" s="82">
        <v>43016.0</v>
      </c>
      <c r="Q76" s="61" t="str">
        <f t="shared" si="1"/>
        <v>https://www.youtube.com/embed/-udb2VYB5uo?start=0&amp;end=274&amp;autoplay=1</v>
      </c>
      <c r="R76" s="67" t="s">
        <v>61</v>
      </c>
      <c r="S76" s="67" t="s">
        <v>61</v>
      </c>
      <c r="T76" s="67" t="s">
        <v>61</v>
      </c>
      <c r="U76" s="53"/>
      <c r="V76" s="54"/>
      <c r="W76" s="81" t="s">
        <v>62</v>
      </c>
      <c r="X76" s="57"/>
      <c r="Y76" s="38"/>
      <c r="Z76" s="38"/>
      <c r="AH76" s="38"/>
      <c r="AI76" s="38"/>
      <c r="AJ76" s="38"/>
      <c r="AK76" s="38"/>
      <c r="AL76" s="38"/>
      <c r="AM76" s="38"/>
      <c r="AN76" s="38"/>
    </row>
    <row r="77">
      <c r="A77" s="39">
        <v>52.02</v>
      </c>
      <c r="B77" s="39" t="s">
        <v>107</v>
      </c>
      <c r="C77" s="38"/>
      <c r="D77" s="92" t="s">
        <v>55</v>
      </c>
      <c r="E77" s="38"/>
      <c r="F77" s="41"/>
      <c r="G77" s="62" t="s">
        <v>491</v>
      </c>
      <c r="H77" s="58" t="s">
        <v>492</v>
      </c>
      <c r="I77" s="38"/>
      <c r="J77" s="38"/>
      <c r="K77" s="46"/>
      <c r="L77" s="47"/>
      <c r="M77" s="84">
        <v>0.00318287037037037</v>
      </c>
      <c r="N77" s="84">
        <v>0.009988425925925927</v>
      </c>
      <c r="O77" s="60">
        <f t="shared" si="16"/>
        <v>0.006805555556</v>
      </c>
      <c r="P77" s="82">
        <v>43016.0</v>
      </c>
      <c r="Q77" s="61" t="str">
        <f t="shared" si="1"/>
        <v>https://www.youtube.com/embed/-udb2VYB5uo?start=275&amp;end=863&amp;autoplay=1</v>
      </c>
      <c r="R77" s="67" t="s">
        <v>61</v>
      </c>
      <c r="S77" s="67" t="s">
        <v>61</v>
      </c>
      <c r="T77" s="67" t="s">
        <v>61</v>
      </c>
      <c r="U77" s="53"/>
      <c r="V77" s="54"/>
      <c r="W77" s="81" t="s">
        <v>62</v>
      </c>
      <c r="X77" s="57"/>
      <c r="Y77" s="38"/>
      <c r="Z77" s="38"/>
      <c r="AH77" s="38"/>
      <c r="AI77" s="38"/>
      <c r="AJ77" s="38"/>
      <c r="AK77" s="38"/>
      <c r="AL77" s="38"/>
      <c r="AM77" s="38"/>
      <c r="AN77" s="38"/>
    </row>
    <row r="78">
      <c r="A78" s="38">
        <v>53.0</v>
      </c>
      <c r="B78" s="63" t="s">
        <v>107</v>
      </c>
      <c r="C78" s="51"/>
      <c r="D78" s="39" t="s">
        <v>55</v>
      </c>
      <c r="E78" s="38" t="s">
        <v>357</v>
      </c>
      <c r="F78" s="41" t="s">
        <v>358</v>
      </c>
      <c r="G78" s="43"/>
      <c r="H78" s="45"/>
      <c r="I78" s="38"/>
      <c r="J78" s="38">
        <f>961</f>
        <v>961</v>
      </c>
      <c r="K78" s="46">
        <v>0.008981481481481481</v>
      </c>
      <c r="L78" s="47" t="s">
        <v>60</v>
      </c>
      <c r="M78" s="60"/>
      <c r="N78" s="60"/>
      <c r="O78" s="38"/>
      <c r="P78" s="38"/>
      <c r="Q78" s="12" t="str">
        <f t="shared" si="1"/>
        <v/>
      </c>
      <c r="R78" s="42"/>
      <c r="S78" s="42"/>
      <c r="T78" s="42"/>
      <c r="U78" s="51"/>
      <c r="V78" s="52"/>
      <c r="W78" s="55"/>
      <c r="X78" s="57"/>
      <c r="Y78" s="38"/>
      <c r="Z78" s="38"/>
      <c r="AA78" s="38"/>
      <c r="AB78" s="38"/>
      <c r="AH78" s="38"/>
      <c r="AI78" s="38"/>
      <c r="AJ78" s="38"/>
      <c r="AK78" s="38"/>
      <c r="AL78" s="38"/>
      <c r="AM78" s="38"/>
      <c r="AN78" s="38"/>
    </row>
    <row r="79">
      <c r="A79" s="39">
        <v>53.01</v>
      </c>
      <c r="B79" s="39" t="s">
        <v>107</v>
      </c>
      <c r="C79" s="39"/>
      <c r="D79" s="39" t="s">
        <v>55</v>
      </c>
      <c r="E79" s="38"/>
      <c r="F79" s="41"/>
      <c r="G79" s="62" t="s">
        <v>373</v>
      </c>
      <c r="H79" s="58" t="s">
        <v>496</v>
      </c>
      <c r="I79" s="38"/>
      <c r="J79" s="38"/>
      <c r="K79" s="46"/>
      <c r="L79" s="47"/>
      <c r="M79" s="105">
        <v>0.0</v>
      </c>
      <c r="N79" s="84">
        <v>0.002199074074074074</v>
      </c>
      <c r="O79" s="60">
        <f t="shared" ref="O79:O82" si="17">N79-M79</f>
        <v>0.002199074074</v>
      </c>
      <c r="P79" s="82">
        <v>43017.0</v>
      </c>
      <c r="Q79" s="61" t="str">
        <f t="shared" si="1"/>
        <v>https://www.youtube.com/embed/f-MLHIb4dFU?start=0&amp;end=190&amp;autoplay=1</v>
      </c>
      <c r="R79" s="67" t="s">
        <v>61</v>
      </c>
      <c r="S79" s="67" t="s">
        <v>61</v>
      </c>
      <c r="T79" s="67" t="s">
        <v>61</v>
      </c>
      <c r="U79" s="53"/>
      <c r="V79" s="54"/>
      <c r="W79" s="85" t="s">
        <v>62</v>
      </c>
      <c r="X79" s="57"/>
      <c r="Y79" s="38"/>
      <c r="Z79" s="39" t="s">
        <v>501</v>
      </c>
      <c r="AH79" s="38"/>
      <c r="AI79" s="38"/>
      <c r="AJ79" s="38"/>
      <c r="AK79" s="38"/>
      <c r="AL79" s="38"/>
      <c r="AM79" s="38"/>
      <c r="AN79" s="38"/>
    </row>
    <row r="80">
      <c r="A80" s="39">
        <v>53.02</v>
      </c>
      <c r="B80" s="39" t="s">
        <v>107</v>
      </c>
      <c r="C80" s="38"/>
      <c r="D80" s="39" t="s">
        <v>55</v>
      </c>
      <c r="E80" s="38"/>
      <c r="F80" s="41"/>
      <c r="G80" s="62" t="s">
        <v>502</v>
      </c>
      <c r="H80" s="45" t="s">
        <v>171</v>
      </c>
      <c r="I80" s="38"/>
      <c r="J80" s="38"/>
      <c r="K80" s="46"/>
      <c r="L80" s="47"/>
      <c r="M80" s="84">
        <v>0.003171296296296296</v>
      </c>
      <c r="N80" s="84">
        <v>0.004814814814814815</v>
      </c>
      <c r="O80" s="60">
        <f t="shared" si="17"/>
        <v>0.001643518519</v>
      </c>
      <c r="P80" s="82">
        <v>43017.0</v>
      </c>
      <c r="Q80" s="61" t="str">
        <f t="shared" si="1"/>
        <v>https://www.youtube.com/embed/f-MLHIb4dFU?start=274&amp;end=416&amp;autoplay=1</v>
      </c>
      <c r="R80" s="67" t="s">
        <v>61</v>
      </c>
      <c r="S80" s="67" t="s">
        <v>61</v>
      </c>
      <c r="T80" s="67" t="s">
        <v>61</v>
      </c>
      <c r="U80" s="53"/>
      <c r="V80" s="54"/>
      <c r="W80" s="85" t="s">
        <v>62</v>
      </c>
      <c r="X80" s="57"/>
      <c r="Y80" s="38"/>
      <c r="Z80" s="39" t="s">
        <v>506</v>
      </c>
      <c r="AH80" s="38"/>
      <c r="AI80" s="38"/>
      <c r="AJ80" s="38"/>
      <c r="AK80" s="38"/>
      <c r="AL80" s="38"/>
      <c r="AM80" s="38"/>
      <c r="AN80" s="38"/>
    </row>
    <row r="81">
      <c r="A81" s="39">
        <v>53.03</v>
      </c>
      <c r="B81" s="39" t="s">
        <v>107</v>
      </c>
      <c r="C81" s="38"/>
      <c r="D81" s="39" t="s">
        <v>55</v>
      </c>
      <c r="E81" s="38"/>
      <c r="F81" s="41"/>
      <c r="G81" s="62" t="s">
        <v>507</v>
      </c>
      <c r="H81" s="58" t="s">
        <v>508</v>
      </c>
      <c r="I81" s="38"/>
      <c r="J81" s="38"/>
      <c r="K81" s="46"/>
      <c r="L81" s="47"/>
      <c r="M81" s="84">
        <v>0.006527777777777778</v>
      </c>
      <c r="N81" s="84">
        <v>0.007060185185185185</v>
      </c>
      <c r="O81" s="60">
        <f t="shared" si="17"/>
        <v>0.0005324074074</v>
      </c>
      <c r="P81" s="82">
        <v>43017.0</v>
      </c>
      <c r="Q81" s="61" t="str">
        <f t="shared" si="1"/>
        <v>https://www.youtube.com/embed/f-MLHIb4dFU?start=564&amp;end=610&amp;autoplay=1</v>
      </c>
      <c r="R81" s="67" t="s">
        <v>61</v>
      </c>
      <c r="S81" s="67" t="s">
        <v>61</v>
      </c>
      <c r="T81" s="67" t="s">
        <v>61</v>
      </c>
      <c r="U81" s="53"/>
      <c r="V81" s="54"/>
      <c r="W81" s="85" t="s">
        <v>62</v>
      </c>
      <c r="X81" s="57"/>
      <c r="Y81" s="38"/>
      <c r="Z81" s="38"/>
      <c r="AH81" s="38"/>
      <c r="AI81" s="38"/>
      <c r="AJ81" s="38"/>
      <c r="AK81" s="38"/>
      <c r="AL81" s="38"/>
      <c r="AM81" s="38"/>
      <c r="AN81" s="38"/>
    </row>
    <row r="82">
      <c r="A82" s="39">
        <v>53.04</v>
      </c>
      <c r="B82" s="39" t="s">
        <v>107</v>
      </c>
      <c r="C82" s="38"/>
      <c r="D82" s="39" t="s">
        <v>55</v>
      </c>
      <c r="E82" s="38"/>
      <c r="F82" s="41"/>
      <c r="G82" s="43" t="s">
        <v>269</v>
      </c>
      <c r="H82" s="58" t="s">
        <v>270</v>
      </c>
      <c r="I82" s="38"/>
      <c r="J82" s="38"/>
      <c r="K82" s="46"/>
      <c r="L82" s="47"/>
      <c r="M82" s="84">
        <v>0.007233796296296296</v>
      </c>
      <c r="N82" s="84">
        <v>0.008275462962962964</v>
      </c>
      <c r="O82" s="60">
        <f t="shared" si="17"/>
        <v>0.001041666667</v>
      </c>
      <c r="P82" s="82">
        <v>43017.0</v>
      </c>
      <c r="Q82" s="61" t="str">
        <f t="shared" si="1"/>
        <v>https://www.youtube.com/embed/f-MLHIb4dFU?start=625&amp;end=715&amp;autoplay=1</v>
      </c>
      <c r="R82" s="67" t="s">
        <v>61</v>
      </c>
      <c r="S82" s="67" t="s">
        <v>61</v>
      </c>
      <c r="T82" s="67" t="s">
        <v>61</v>
      </c>
      <c r="U82" s="53"/>
      <c r="V82" s="54"/>
      <c r="W82" s="85" t="s">
        <v>62</v>
      </c>
      <c r="X82" s="57"/>
      <c r="Y82" s="38"/>
      <c r="Z82" s="39" t="s">
        <v>512</v>
      </c>
      <c r="AH82" s="38"/>
      <c r="AI82" s="38"/>
      <c r="AJ82" s="38"/>
      <c r="AK82" s="38"/>
      <c r="AL82" s="38"/>
      <c r="AM82" s="38"/>
      <c r="AN82" s="38"/>
    </row>
    <row r="83">
      <c r="A83" s="38">
        <v>92.0</v>
      </c>
      <c r="B83" s="63" t="s">
        <v>107</v>
      </c>
      <c r="C83" s="51"/>
      <c r="D83" s="39" t="s">
        <v>55</v>
      </c>
      <c r="E83" s="38" t="s">
        <v>514</v>
      </c>
      <c r="F83" s="41" t="s">
        <v>515</v>
      </c>
      <c r="G83" s="43"/>
      <c r="H83" s="45"/>
      <c r="I83" s="38"/>
      <c r="J83" s="38">
        <f>6.3*1000</f>
        <v>6300</v>
      </c>
      <c r="K83" s="46">
        <v>0.026006944444444447</v>
      </c>
      <c r="L83" s="47" t="s">
        <v>211</v>
      </c>
      <c r="M83" s="38"/>
      <c r="N83" s="38"/>
      <c r="O83" s="38"/>
      <c r="P83" s="38"/>
      <c r="Q83" s="12" t="str">
        <f t="shared" si="1"/>
        <v/>
      </c>
      <c r="R83" s="42"/>
      <c r="S83" s="42"/>
      <c r="T83" s="42"/>
      <c r="U83" s="51"/>
      <c r="V83" s="52"/>
      <c r="W83" s="55"/>
      <c r="X83" s="57"/>
      <c r="Y83" s="106"/>
      <c r="Z83" s="106"/>
      <c r="AA83" s="106"/>
      <c r="AB83" s="106"/>
      <c r="AH83" s="38"/>
      <c r="AI83" s="38"/>
      <c r="AJ83" s="38"/>
      <c r="AK83" s="38"/>
      <c r="AL83" s="38"/>
      <c r="AM83" s="38"/>
      <c r="AN83" s="38"/>
    </row>
    <row r="84">
      <c r="A84" s="39">
        <v>92.01</v>
      </c>
      <c r="B84" s="39" t="s">
        <v>107</v>
      </c>
      <c r="C84" s="39"/>
      <c r="D84" s="39" t="s">
        <v>55</v>
      </c>
      <c r="E84" s="38"/>
      <c r="F84" s="41"/>
      <c r="G84" s="62" t="s">
        <v>521</v>
      </c>
      <c r="H84" s="58" t="s">
        <v>522</v>
      </c>
      <c r="I84" s="38"/>
      <c r="J84" s="38"/>
      <c r="K84" s="46"/>
      <c r="L84" s="47"/>
      <c r="M84" s="84">
        <v>7.87037037037037E-4</v>
      </c>
      <c r="N84" s="84">
        <v>0.002476851851851852</v>
      </c>
      <c r="O84" s="60">
        <f t="shared" ref="O84:O92" si="18">N84-M84</f>
        <v>0.001689814815</v>
      </c>
      <c r="P84" s="82">
        <v>43019.0</v>
      </c>
      <c r="Q84" s="61" t="str">
        <f t="shared" si="1"/>
        <v>https://www.youtube.com/embed/VP5gPVW3XDM?start=68&amp;end=214&amp;autoplay=1</v>
      </c>
      <c r="R84" s="67" t="s">
        <v>61</v>
      </c>
      <c r="S84" s="67" t="s">
        <v>61</v>
      </c>
      <c r="T84" s="67" t="s">
        <v>61</v>
      </c>
      <c r="U84" s="53"/>
      <c r="V84" s="54"/>
      <c r="W84" s="85" t="s">
        <v>62</v>
      </c>
      <c r="X84" s="57"/>
      <c r="Y84" s="38"/>
      <c r="Z84" s="38"/>
      <c r="AH84" s="38"/>
      <c r="AI84" s="38"/>
      <c r="AJ84" s="38"/>
      <c r="AK84" s="38"/>
      <c r="AL84" s="38"/>
      <c r="AM84" s="38"/>
      <c r="AN84" s="38"/>
    </row>
    <row r="85">
      <c r="A85" s="39">
        <v>92.02</v>
      </c>
      <c r="B85" s="39" t="s">
        <v>107</v>
      </c>
      <c r="C85" s="38"/>
      <c r="D85" s="39" t="s">
        <v>55</v>
      </c>
      <c r="E85" s="38"/>
      <c r="F85" s="41"/>
      <c r="G85" s="62" t="s">
        <v>524</v>
      </c>
      <c r="H85" s="58" t="s">
        <v>526</v>
      </c>
      <c r="I85" s="38"/>
      <c r="J85" s="38"/>
      <c r="K85" s="46"/>
      <c r="L85" s="47"/>
      <c r="M85" s="84">
        <v>0.002476851851851852</v>
      </c>
      <c r="N85" s="84">
        <v>0.0060879629629629626</v>
      </c>
      <c r="O85" s="60">
        <f t="shared" si="18"/>
        <v>0.003611111111</v>
      </c>
      <c r="P85" s="82">
        <v>43019.0</v>
      </c>
      <c r="Q85" s="61" t="str">
        <f t="shared" si="1"/>
        <v>https://www.youtube.com/embed/VP5gPVW3XDM?start=214&amp;end=526&amp;autoplay=1</v>
      </c>
      <c r="R85" s="67" t="s">
        <v>61</v>
      </c>
      <c r="S85" s="67" t="s">
        <v>61</v>
      </c>
      <c r="T85" s="67" t="s">
        <v>61</v>
      </c>
      <c r="U85" s="53"/>
      <c r="V85" s="54"/>
      <c r="W85" s="85" t="s">
        <v>62</v>
      </c>
      <c r="X85" s="57"/>
      <c r="Y85" s="38"/>
      <c r="Z85" s="38"/>
      <c r="AH85" s="38"/>
      <c r="AI85" s="38"/>
      <c r="AJ85" s="38"/>
      <c r="AK85" s="38"/>
      <c r="AL85" s="38"/>
      <c r="AM85" s="38"/>
      <c r="AN85" s="38"/>
    </row>
    <row r="86">
      <c r="A86" s="39">
        <v>92.03</v>
      </c>
      <c r="B86" s="39" t="s">
        <v>107</v>
      </c>
      <c r="C86" s="38"/>
      <c r="D86" s="39" t="s">
        <v>55</v>
      </c>
      <c r="E86" s="38"/>
      <c r="F86" s="41"/>
      <c r="G86" s="62" t="s">
        <v>530</v>
      </c>
      <c r="H86" s="58" t="s">
        <v>531</v>
      </c>
      <c r="I86" s="38"/>
      <c r="J86" s="38"/>
      <c r="K86" s="46"/>
      <c r="L86" s="47"/>
      <c r="M86" s="84">
        <v>0.0061805555555555555</v>
      </c>
      <c r="N86" s="84">
        <v>0.009375</v>
      </c>
      <c r="O86" s="60">
        <f t="shared" si="18"/>
        <v>0.003194444444</v>
      </c>
      <c r="P86" s="82">
        <v>43019.0</v>
      </c>
      <c r="Q86" s="61" t="str">
        <f t="shared" si="1"/>
        <v>https://www.youtube.com/embed/VP5gPVW3XDM?start=534&amp;end=810&amp;autoplay=1</v>
      </c>
      <c r="R86" s="67" t="s">
        <v>61</v>
      </c>
      <c r="S86" s="67" t="s">
        <v>61</v>
      </c>
      <c r="T86" s="67" t="s">
        <v>61</v>
      </c>
      <c r="U86" s="53"/>
      <c r="V86" s="54"/>
      <c r="W86" s="85" t="s">
        <v>62</v>
      </c>
      <c r="X86" s="57"/>
      <c r="Y86" s="38"/>
      <c r="Z86" s="38"/>
      <c r="AH86" s="38"/>
      <c r="AI86" s="38"/>
      <c r="AJ86" s="38"/>
      <c r="AK86" s="38"/>
      <c r="AL86" s="38"/>
      <c r="AM86" s="38"/>
      <c r="AN86" s="38"/>
    </row>
    <row r="87">
      <c r="A87" s="39">
        <v>92.04</v>
      </c>
      <c r="B87" s="39" t="s">
        <v>107</v>
      </c>
      <c r="C87" s="51"/>
      <c r="D87" s="39" t="s">
        <v>55</v>
      </c>
      <c r="E87" s="38"/>
      <c r="F87" s="41"/>
      <c r="G87" s="62" t="s">
        <v>532</v>
      </c>
      <c r="H87" s="58" t="s">
        <v>534</v>
      </c>
      <c r="I87" s="38"/>
      <c r="J87" s="38"/>
      <c r="K87" s="46"/>
      <c r="L87" s="47"/>
      <c r="M87" s="105">
        <v>0.009641203703703704</v>
      </c>
      <c r="N87" s="105">
        <v>0.011574074074074073</v>
      </c>
      <c r="O87" s="60">
        <f t="shared" si="18"/>
        <v>0.00193287037</v>
      </c>
      <c r="P87" s="82">
        <v>43020.0</v>
      </c>
      <c r="Q87" s="61" t="str">
        <f t="shared" si="1"/>
        <v>https://www.youtube.com/embed/VP5gPVW3XDM?start=833&amp;end=1000&amp;autoplay=1</v>
      </c>
      <c r="R87" s="67" t="s">
        <v>61</v>
      </c>
      <c r="S87" s="67" t="s">
        <v>61</v>
      </c>
      <c r="T87" s="67" t="s">
        <v>61</v>
      </c>
      <c r="U87" s="51"/>
      <c r="V87" s="52"/>
      <c r="W87" s="81" t="s">
        <v>62</v>
      </c>
      <c r="X87" s="57"/>
      <c r="Y87" s="106"/>
      <c r="Z87" s="106"/>
      <c r="AA87" s="106"/>
      <c r="AB87" s="106"/>
      <c r="AH87" s="38"/>
      <c r="AI87" s="38"/>
      <c r="AJ87" s="38"/>
      <c r="AK87" s="38"/>
      <c r="AL87" s="38"/>
      <c r="AM87" s="38"/>
      <c r="AN87" s="38"/>
    </row>
    <row r="88">
      <c r="A88" s="39">
        <v>92.05</v>
      </c>
      <c r="B88" s="39" t="s">
        <v>107</v>
      </c>
      <c r="C88" s="51"/>
      <c r="D88" s="39" t="s">
        <v>55</v>
      </c>
      <c r="E88" s="38"/>
      <c r="F88" s="41"/>
      <c r="G88" s="62" t="s">
        <v>537</v>
      </c>
      <c r="H88" s="58" t="s">
        <v>538</v>
      </c>
      <c r="I88" s="38"/>
      <c r="J88" s="38"/>
      <c r="K88" s="46"/>
      <c r="L88" s="47"/>
      <c r="M88" s="105">
        <v>0.011574074074074073</v>
      </c>
      <c r="N88" s="105">
        <v>0.01361111111111111</v>
      </c>
      <c r="O88" s="60">
        <f t="shared" si="18"/>
        <v>0.002037037037</v>
      </c>
      <c r="P88" s="82">
        <v>43020.0</v>
      </c>
      <c r="Q88" s="61" t="str">
        <f t="shared" si="1"/>
        <v>https://www.youtube.com/embed/VP5gPVW3XDM?start=1000&amp;end=1176&amp;autoplay=1</v>
      </c>
      <c r="R88" s="67" t="s">
        <v>61</v>
      </c>
      <c r="S88" s="67" t="s">
        <v>61</v>
      </c>
      <c r="T88" s="67" t="s">
        <v>61</v>
      </c>
      <c r="U88" s="51"/>
      <c r="V88" s="52"/>
      <c r="W88" s="81" t="s">
        <v>62</v>
      </c>
      <c r="X88" s="57"/>
      <c r="Y88" s="106"/>
      <c r="Z88" s="106"/>
      <c r="AA88" s="106"/>
      <c r="AB88" s="106"/>
      <c r="AH88" s="38"/>
      <c r="AI88" s="38"/>
      <c r="AJ88" s="38"/>
      <c r="AK88" s="38"/>
      <c r="AL88" s="38"/>
      <c r="AM88" s="38"/>
      <c r="AN88" s="38"/>
    </row>
    <row r="89">
      <c r="A89" s="39">
        <v>92.06</v>
      </c>
      <c r="B89" s="39" t="s">
        <v>107</v>
      </c>
      <c r="C89" s="51"/>
      <c r="D89" s="39" t="s">
        <v>55</v>
      </c>
      <c r="E89" s="38"/>
      <c r="F89" s="41"/>
      <c r="G89" s="62" t="s">
        <v>540</v>
      </c>
      <c r="H89" s="58" t="s">
        <v>541</v>
      </c>
      <c r="I89" s="38"/>
      <c r="J89" s="38"/>
      <c r="K89" s="46"/>
      <c r="L89" s="47"/>
      <c r="M89" s="105">
        <v>0.015162037037037036</v>
      </c>
      <c r="N89" s="105">
        <v>0.01636574074074074</v>
      </c>
      <c r="O89" s="60">
        <f t="shared" si="18"/>
        <v>0.001203703704</v>
      </c>
      <c r="P89" s="82">
        <v>43020.0</v>
      </c>
      <c r="Q89" s="61" t="str">
        <f t="shared" si="1"/>
        <v>https://www.youtube.com/embed/VP5gPVW3XDM?start=1310&amp;end=1414&amp;autoplay=1</v>
      </c>
      <c r="R89" s="67" t="s">
        <v>61</v>
      </c>
      <c r="S89" s="67" t="s">
        <v>61</v>
      </c>
      <c r="T89" s="67" t="s">
        <v>61</v>
      </c>
      <c r="U89" s="51"/>
      <c r="V89" s="52"/>
      <c r="W89" s="81" t="s">
        <v>62</v>
      </c>
      <c r="X89" s="57"/>
      <c r="Y89" s="106"/>
      <c r="Z89" s="106"/>
      <c r="AA89" s="106"/>
      <c r="AB89" s="106"/>
      <c r="AH89" s="38"/>
      <c r="AI89" s="38"/>
      <c r="AJ89" s="38"/>
      <c r="AK89" s="38"/>
      <c r="AL89" s="38"/>
      <c r="AM89" s="38"/>
      <c r="AN89" s="38"/>
    </row>
    <row r="90">
      <c r="A90" s="39">
        <v>92.07</v>
      </c>
      <c r="B90" s="39" t="s">
        <v>107</v>
      </c>
      <c r="C90" s="51"/>
      <c r="D90" s="39" t="s">
        <v>55</v>
      </c>
      <c r="E90" s="38"/>
      <c r="F90" s="41"/>
      <c r="G90" s="62" t="s">
        <v>544</v>
      </c>
      <c r="H90" s="58" t="s">
        <v>545</v>
      </c>
      <c r="I90" s="38"/>
      <c r="J90" s="38"/>
      <c r="K90" s="46"/>
      <c r="L90" s="47"/>
      <c r="M90" s="105">
        <v>0.016585648148148148</v>
      </c>
      <c r="N90" s="105">
        <v>0.01792824074074074</v>
      </c>
      <c r="O90" s="60">
        <f t="shared" si="18"/>
        <v>0.001342592593</v>
      </c>
      <c r="P90" s="82">
        <v>43020.0</v>
      </c>
      <c r="Q90" s="61" t="str">
        <f t="shared" si="1"/>
        <v>https://www.youtube.com/embed/VP5gPVW3XDM?start=1433&amp;end=1549&amp;autoplay=1</v>
      </c>
      <c r="R90" s="67" t="s">
        <v>61</v>
      </c>
      <c r="S90" s="67" t="s">
        <v>61</v>
      </c>
      <c r="T90" s="67" t="s">
        <v>61</v>
      </c>
      <c r="U90" s="51"/>
      <c r="V90" s="52"/>
      <c r="W90" s="81" t="s">
        <v>62</v>
      </c>
      <c r="X90" s="57"/>
      <c r="Y90" s="106"/>
      <c r="Z90" s="106"/>
      <c r="AA90" s="106"/>
      <c r="AB90" s="106"/>
      <c r="AH90" s="38"/>
      <c r="AI90" s="38"/>
      <c r="AJ90" s="38"/>
      <c r="AK90" s="38"/>
      <c r="AL90" s="38"/>
      <c r="AM90" s="38"/>
      <c r="AN90" s="38"/>
    </row>
    <row r="91">
      <c r="A91" s="39">
        <v>92.08</v>
      </c>
      <c r="B91" s="39" t="s">
        <v>107</v>
      </c>
      <c r="C91" s="51"/>
      <c r="D91" s="39" t="s">
        <v>55</v>
      </c>
      <c r="E91" s="38"/>
      <c r="F91" s="41"/>
      <c r="G91" s="62" t="s">
        <v>548</v>
      </c>
      <c r="H91" s="45"/>
      <c r="I91" s="38"/>
      <c r="J91" s="38"/>
      <c r="K91" s="46"/>
      <c r="L91" s="47"/>
      <c r="M91" s="105">
        <v>0.01792824074074074</v>
      </c>
      <c r="N91" s="105">
        <v>0.02060185185185185</v>
      </c>
      <c r="O91" s="60">
        <f t="shared" si="18"/>
        <v>0.002673611111</v>
      </c>
      <c r="P91" s="82">
        <v>43020.0</v>
      </c>
      <c r="Q91" s="61" t="str">
        <f t="shared" si="1"/>
        <v>https://www.youtube.com/embed/VP5gPVW3XDM?start=1549&amp;end=1780&amp;autoplay=1</v>
      </c>
      <c r="R91" s="67" t="s">
        <v>61</v>
      </c>
      <c r="S91" s="67" t="s">
        <v>61</v>
      </c>
      <c r="T91" s="67" t="s">
        <v>61</v>
      </c>
      <c r="U91" s="51"/>
      <c r="V91" s="52"/>
      <c r="W91" s="81" t="s">
        <v>62</v>
      </c>
      <c r="X91" s="57"/>
      <c r="Y91" s="106"/>
      <c r="Z91" s="106"/>
      <c r="AA91" s="106"/>
      <c r="AB91" s="106"/>
      <c r="AH91" s="38"/>
      <c r="AI91" s="38"/>
      <c r="AJ91" s="38"/>
      <c r="AK91" s="38"/>
      <c r="AL91" s="38"/>
      <c r="AM91" s="38"/>
      <c r="AN91" s="38"/>
    </row>
    <row r="92">
      <c r="A92" s="39">
        <v>92.09</v>
      </c>
      <c r="B92" s="39" t="s">
        <v>107</v>
      </c>
      <c r="C92" s="51"/>
      <c r="D92" s="39" t="s">
        <v>55</v>
      </c>
      <c r="E92" s="38"/>
      <c r="F92" s="41"/>
      <c r="G92" s="62" t="s">
        <v>552</v>
      </c>
      <c r="H92" s="58" t="s">
        <v>553</v>
      </c>
      <c r="I92" s="38"/>
      <c r="J92" s="38"/>
      <c r="K92" s="46"/>
      <c r="L92" s="47"/>
      <c r="M92" s="105">
        <v>0.020752314814814814</v>
      </c>
      <c r="N92" s="105">
        <v>0.025011574074074075</v>
      </c>
      <c r="O92" s="60">
        <f t="shared" si="18"/>
        <v>0.004259259259</v>
      </c>
      <c r="P92" s="82">
        <v>43020.0</v>
      </c>
      <c r="Q92" s="61" t="str">
        <f t="shared" si="1"/>
        <v>https://www.youtube.com/embed/VP5gPVW3XDM?start=1793&amp;end=2161&amp;autoplay=1</v>
      </c>
      <c r="R92" s="67" t="s">
        <v>61</v>
      </c>
      <c r="S92" s="67" t="s">
        <v>61</v>
      </c>
      <c r="T92" s="67" t="s">
        <v>61</v>
      </c>
      <c r="U92" s="51"/>
      <c r="V92" s="52"/>
      <c r="W92" s="81" t="s">
        <v>62</v>
      </c>
      <c r="X92" s="57"/>
      <c r="Y92" s="106"/>
      <c r="Z92" s="106"/>
      <c r="AA92" s="106"/>
      <c r="AB92" s="106"/>
      <c r="AH92" s="38"/>
      <c r="AI92" s="38"/>
      <c r="AJ92" s="38"/>
      <c r="AK92" s="38"/>
      <c r="AL92" s="38"/>
      <c r="AM92" s="38"/>
      <c r="AN92" s="38"/>
    </row>
    <row r="93">
      <c r="A93" s="38">
        <v>93.0</v>
      </c>
      <c r="B93" s="39" t="s">
        <v>107</v>
      </c>
      <c r="C93" s="51"/>
      <c r="D93" s="39" t="s">
        <v>55</v>
      </c>
      <c r="E93" s="38" t="s">
        <v>556</v>
      </c>
      <c r="F93" s="41" t="s">
        <v>557</v>
      </c>
      <c r="G93" s="43"/>
      <c r="H93" s="45"/>
      <c r="I93" s="38"/>
      <c r="J93" s="38">
        <f>986</f>
        <v>986</v>
      </c>
      <c r="K93" s="46">
        <v>0.03568287037037037</v>
      </c>
      <c r="L93" s="47" t="s">
        <v>211</v>
      </c>
      <c r="M93" s="39"/>
      <c r="N93" s="38"/>
      <c r="O93" s="38"/>
      <c r="P93" s="38"/>
      <c r="Q93" s="12" t="str">
        <f t="shared" si="1"/>
        <v/>
      </c>
      <c r="R93" s="42"/>
      <c r="S93" s="42"/>
      <c r="T93" s="42"/>
      <c r="U93" s="51"/>
      <c r="V93" s="52"/>
      <c r="W93" s="55"/>
      <c r="X93" s="57"/>
      <c r="Y93" s="106"/>
      <c r="Z93" s="106"/>
      <c r="AA93" s="106"/>
      <c r="AB93" s="106"/>
      <c r="AH93" s="38"/>
      <c r="AI93" s="38"/>
      <c r="AJ93" s="38"/>
      <c r="AK93" s="38"/>
      <c r="AL93" s="38"/>
      <c r="AM93" s="38"/>
      <c r="AN93" s="38"/>
    </row>
    <row r="94">
      <c r="A94" s="39">
        <v>93.01</v>
      </c>
      <c r="B94" s="39" t="s">
        <v>107</v>
      </c>
      <c r="C94" s="38"/>
      <c r="D94" s="39" t="s">
        <v>55</v>
      </c>
      <c r="E94" s="38"/>
      <c r="F94" s="41"/>
      <c r="G94" s="62" t="s">
        <v>521</v>
      </c>
      <c r="H94" s="58" t="s">
        <v>563</v>
      </c>
      <c r="I94" s="38"/>
      <c r="J94" s="38"/>
      <c r="K94" s="46"/>
      <c r="L94" s="47"/>
      <c r="M94" s="84">
        <v>6.134259259259259E-4</v>
      </c>
      <c r="N94" s="84">
        <v>0.0036689814814814814</v>
      </c>
      <c r="O94" s="60">
        <f t="shared" ref="O94:O98" si="19">N94-M94</f>
        <v>0.003055555556</v>
      </c>
      <c r="P94" s="82">
        <v>43027.0</v>
      </c>
      <c r="Q94" s="61" t="str">
        <f t="shared" si="1"/>
        <v>https://www.youtube.com/embed/0uPW7Jf9y7o?start=53&amp;end=317&amp;autoplay=1</v>
      </c>
      <c r="R94" s="67" t="s">
        <v>61</v>
      </c>
      <c r="S94" s="67" t="s">
        <v>61</v>
      </c>
      <c r="T94" s="67" t="s">
        <v>61</v>
      </c>
      <c r="U94" s="53"/>
      <c r="V94" s="54"/>
      <c r="W94" s="85" t="s">
        <v>62</v>
      </c>
      <c r="X94" s="57"/>
      <c r="Y94" s="38"/>
      <c r="Z94" s="39" t="s">
        <v>565</v>
      </c>
      <c r="AH94" s="38"/>
      <c r="AI94" s="38"/>
      <c r="AJ94" s="38"/>
      <c r="AK94" s="38"/>
      <c r="AL94" s="38"/>
      <c r="AM94" s="38"/>
      <c r="AN94" s="38"/>
    </row>
    <row r="95">
      <c r="A95" s="39">
        <v>93.02</v>
      </c>
      <c r="B95" s="39" t="s">
        <v>107</v>
      </c>
      <c r="C95" s="38"/>
      <c r="D95" s="39" t="s">
        <v>55</v>
      </c>
      <c r="E95" s="38"/>
      <c r="F95" s="41"/>
      <c r="G95" s="62" t="s">
        <v>524</v>
      </c>
      <c r="H95" s="58" t="s">
        <v>567</v>
      </c>
      <c r="I95" s="38"/>
      <c r="J95" s="38"/>
      <c r="K95" s="46"/>
      <c r="L95" s="47"/>
      <c r="M95" s="84">
        <v>0.0036689814814814814</v>
      </c>
      <c r="N95" s="84">
        <v>0.006481481481481481</v>
      </c>
      <c r="O95" s="60">
        <f t="shared" si="19"/>
        <v>0.0028125</v>
      </c>
      <c r="P95" s="82">
        <v>43027.0</v>
      </c>
      <c r="Q95" s="61" t="str">
        <f t="shared" si="1"/>
        <v>https://www.youtube.com/embed/0uPW7Jf9y7o?start=317&amp;end=560&amp;autoplay=1</v>
      </c>
      <c r="R95" s="67" t="s">
        <v>61</v>
      </c>
      <c r="S95" s="67" t="s">
        <v>61</v>
      </c>
      <c r="T95" s="67" t="s">
        <v>61</v>
      </c>
      <c r="U95" s="53"/>
      <c r="V95" s="54"/>
      <c r="W95" s="85" t="s">
        <v>62</v>
      </c>
      <c r="X95" s="57"/>
      <c r="Y95" s="38"/>
      <c r="Z95" s="39" t="s">
        <v>568</v>
      </c>
      <c r="AH95" s="38"/>
      <c r="AI95" s="38"/>
      <c r="AJ95" s="38"/>
      <c r="AK95" s="38"/>
      <c r="AL95" s="38"/>
      <c r="AM95" s="38"/>
      <c r="AN95" s="38"/>
    </row>
    <row r="96">
      <c r="A96" s="39">
        <v>93.03</v>
      </c>
      <c r="B96" s="39" t="s">
        <v>107</v>
      </c>
      <c r="C96" s="38"/>
      <c r="D96" s="39" t="s">
        <v>55</v>
      </c>
      <c r="E96" s="38"/>
      <c r="F96" s="109"/>
      <c r="G96" s="62" t="s">
        <v>569</v>
      </c>
      <c r="H96" s="58" t="s">
        <v>570</v>
      </c>
      <c r="I96" s="38"/>
      <c r="J96" s="38"/>
      <c r="K96" s="46"/>
      <c r="L96" s="47"/>
      <c r="M96" s="84">
        <v>0.006493055555555556</v>
      </c>
      <c r="N96" s="84">
        <v>0.023842592592592592</v>
      </c>
      <c r="O96" s="60">
        <f t="shared" si="19"/>
        <v>0.01734953704</v>
      </c>
      <c r="P96" s="82">
        <v>43027.0</v>
      </c>
      <c r="Q96" s="61" t="str">
        <f t="shared" si="1"/>
        <v>https://www.youtube.com/embed/0uPW7Jf9y7o?start=561&amp;end=2060&amp;autoplay=1</v>
      </c>
      <c r="R96" s="67" t="s">
        <v>61</v>
      </c>
      <c r="S96" s="67" t="s">
        <v>61</v>
      </c>
      <c r="T96" s="67" t="s">
        <v>61</v>
      </c>
      <c r="U96" s="53"/>
      <c r="V96" s="54"/>
      <c r="W96" s="85" t="s">
        <v>62</v>
      </c>
      <c r="X96" s="57"/>
      <c r="Y96" s="38"/>
      <c r="Z96" s="39" t="s">
        <v>571</v>
      </c>
      <c r="AH96" s="38"/>
      <c r="AI96" s="38"/>
      <c r="AJ96" s="38"/>
      <c r="AK96" s="38"/>
      <c r="AL96" s="38"/>
      <c r="AM96" s="38"/>
      <c r="AN96" s="38"/>
    </row>
    <row r="97">
      <c r="A97" s="39">
        <v>93.04</v>
      </c>
      <c r="B97" s="39" t="s">
        <v>107</v>
      </c>
      <c r="C97" s="38"/>
      <c r="D97" s="39" t="s">
        <v>55</v>
      </c>
      <c r="E97" s="38"/>
      <c r="F97" s="109"/>
      <c r="G97" s="62" t="s">
        <v>572</v>
      </c>
      <c r="H97" s="58" t="s">
        <v>573</v>
      </c>
      <c r="I97" s="38"/>
      <c r="J97" s="38"/>
      <c r="K97" s="46"/>
      <c r="L97" s="47"/>
      <c r="M97" s="84">
        <v>0.024189814814814813</v>
      </c>
      <c r="N97" s="84">
        <v>0.029618055555555557</v>
      </c>
      <c r="O97" s="60">
        <f t="shared" si="19"/>
        <v>0.005428240741</v>
      </c>
      <c r="P97" s="82">
        <v>43027.0</v>
      </c>
      <c r="Q97" s="61" t="str">
        <f t="shared" si="1"/>
        <v>https://www.youtube.com/embed/0uPW7Jf9y7o?start=2090&amp;end=2559&amp;autoplay=1</v>
      </c>
      <c r="R97" s="67" t="s">
        <v>61</v>
      </c>
      <c r="S97" s="67" t="s">
        <v>91</v>
      </c>
      <c r="T97" s="67" t="s">
        <v>61</v>
      </c>
      <c r="U97" s="53"/>
      <c r="V97" s="54"/>
      <c r="W97" s="56"/>
      <c r="X97" s="57"/>
      <c r="Y97" s="38"/>
      <c r="Z97" s="38"/>
      <c r="AH97" s="38"/>
      <c r="AI97" s="38"/>
      <c r="AJ97" s="38"/>
      <c r="AK97" s="38"/>
      <c r="AL97" s="38"/>
      <c r="AM97" s="38"/>
      <c r="AN97" s="38"/>
    </row>
    <row r="98">
      <c r="A98" s="39">
        <v>93.05</v>
      </c>
      <c r="B98" s="39" t="s">
        <v>107</v>
      </c>
      <c r="C98" s="38"/>
      <c r="D98" s="39" t="s">
        <v>55</v>
      </c>
      <c r="E98" s="38"/>
      <c r="F98" s="109"/>
      <c r="G98" s="62" t="s">
        <v>576</v>
      </c>
      <c r="H98" s="58" t="s">
        <v>577</v>
      </c>
      <c r="I98" s="38"/>
      <c r="J98" s="38"/>
      <c r="K98" s="46"/>
      <c r="L98" s="47"/>
      <c r="M98" s="84">
        <v>0.029618055555555557</v>
      </c>
      <c r="N98" s="84">
        <v>0.03377314814814815</v>
      </c>
      <c r="O98" s="60">
        <f t="shared" si="19"/>
        <v>0.004155092593</v>
      </c>
      <c r="P98" s="82">
        <v>43027.0</v>
      </c>
      <c r="Q98" s="61" t="str">
        <f t="shared" si="1"/>
        <v>https://www.youtube.com/embed/0uPW7Jf9y7o?start=2559&amp;end=2918&amp;autoplay=1</v>
      </c>
      <c r="R98" s="67" t="s">
        <v>61</v>
      </c>
      <c r="S98" s="67" t="s">
        <v>61</v>
      </c>
      <c r="T98" s="67" t="s">
        <v>61</v>
      </c>
      <c r="U98" s="53"/>
      <c r="V98" s="54"/>
      <c r="W98" s="85" t="s">
        <v>62</v>
      </c>
      <c r="X98" s="57"/>
      <c r="Y98" s="38"/>
      <c r="Z98" s="38"/>
      <c r="AH98" s="38"/>
      <c r="AI98" s="38"/>
      <c r="AJ98" s="38"/>
      <c r="AK98" s="38"/>
      <c r="AL98" s="38"/>
      <c r="AM98" s="38"/>
      <c r="AN98" s="38"/>
    </row>
    <row r="99">
      <c r="A99" s="38">
        <v>104.0</v>
      </c>
      <c r="B99" s="63" t="s">
        <v>107</v>
      </c>
      <c r="C99" s="51"/>
      <c r="D99" s="39" t="s">
        <v>55</v>
      </c>
      <c r="E99" s="38" t="s">
        <v>579</v>
      </c>
      <c r="F99" s="41" t="s">
        <v>580</v>
      </c>
      <c r="G99" s="43"/>
      <c r="H99" s="45"/>
      <c r="I99" s="38"/>
      <c r="J99" s="38">
        <f>4*1000</f>
        <v>4000</v>
      </c>
      <c r="K99" s="46">
        <v>0.023530092592592592</v>
      </c>
      <c r="L99" s="47" t="s">
        <v>211</v>
      </c>
      <c r="M99" s="48"/>
      <c r="N99" s="48"/>
      <c r="O99" s="46"/>
      <c r="P99" s="38"/>
      <c r="Q99" s="12" t="str">
        <f t="shared" si="1"/>
        <v/>
      </c>
      <c r="R99" s="42"/>
      <c r="S99" s="42"/>
      <c r="T99" s="42"/>
      <c r="U99" s="51"/>
      <c r="V99" s="52"/>
      <c r="W99" s="55"/>
      <c r="X99" s="57"/>
      <c r="Y99" s="106"/>
      <c r="Z99" s="106"/>
      <c r="AA99" s="106"/>
      <c r="AB99" s="106"/>
      <c r="AH99" s="38"/>
      <c r="AI99" s="38"/>
      <c r="AJ99" s="38"/>
      <c r="AK99" s="38"/>
      <c r="AL99" s="38"/>
      <c r="AM99" s="38"/>
      <c r="AN99" s="38"/>
    </row>
    <row r="100">
      <c r="A100" s="39">
        <v>104.01</v>
      </c>
      <c r="B100" s="63" t="s">
        <v>107</v>
      </c>
      <c r="C100" s="38"/>
      <c r="D100" s="39" t="s">
        <v>55</v>
      </c>
      <c r="E100" s="38"/>
      <c r="F100" s="109"/>
      <c r="G100" s="62" t="s">
        <v>584</v>
      </c>
      <c r="H100" s="58" t="s">
        <v>585</v>
      </c>
      <c r="I100" s="38"/>
      <c r="J100" s="38"/>
      <c r="K100" s="46"/>
      <c r="L100" s="47"/>
      <c r="M100" s="84">
        <v>0.0012152777777777778</v>
      </c>
      <c r="N100" s="84">
        <v>0.010671296296296297</v>
      </c>
      <c r="O100" s="60">
        <f t="shared" ref="O100:O104" si="20">N100-M100</f>
        <v>0.009456018519</v>
      </c>
      <c r="P100" s="82">
        <v>43028.0</v>
      </c>
      <c r="Q100" s="61" t="str">
        <f t="shared" si="1"/>
        <v>https://www.youtube.com/embed/MOkWSa69NKA?start=105&amp;end=922&amp;autoplay=1</v>
      </c>
      <c r="R100" s="67" t="s">
        <v>61</v>
      </c>
      <c r="S100" s="67" t="s">
        <v>91</v>
      </c>
      <c r="T100" s="67" t="s">
        <v>61</v>
      </c>
      <c r="U100" s="53"/>
      <c r="V100" s="54"/>
      <c r="W100" s="85" t="s">
        <v>62</v>
      </c>
      <c r="X100" s="57"/>
      <c r="Y100" s="38"/>
      <c r="Z100" s="39" t="s">
        <v>587</v>
      </c>
      <c r="AH100" s="38"/>
      <c r="AI100" s="38"/>
      <c r="AJ100" s="38"/>
      <c r="AK100" s="38"/>
      <c r="AL100" s="38"/>
      <c r="AM100" s="38"/>
      <c r="AN100" s="38"/>
    </row>
    <row r="101">
      <c r="A101" s="39">
        <v>104.02</v>
      </c>
      <c r="B101" s="63" t="s">
        <v>107</v>
      </c>
      <c r="C101" s="38"/>
      <c r="D101" s="39" t="s">
        <v>55</v>
      </c>
      <c r="E101" s="38"/>
      <c r="F101" s="109"/>
      <c r="G101" s="62" t="s">
        <v>588</v>
      </c>
      <c r="H101" s="58" t="s">
        <v>591</v>
      </c>
      <c r="I101" s="38"/>
      <c r="J101" s="38"/>
      <c r="K101" s="46"/>
      <c r="L101" s="47"/>
      <c r="M101" s="84">
        <v>0.01068287037037037</v>
      </c>
      <c r="N101" s="84">
        <v>0.011597222222222222</v>
      </c>
      <c r="O101" s="60">
        <f t="shared" si="20"/>
        <v>0.0009143518519</v>
      </c>
      <c r="P101" s="82">
        <v>43028.0</v>
      </c>
      <c r="Q101" s="61" t="str">
        <f t="shared" si="1"/>
        <v>https://www.youtube.com/embed/MOkWSa69NKA?start=923&amp;end=1002&amp;autoplay=1</v>
      </c>
      <c r="R101" s="67" t="s">
        <v>61</v>
      </c>
      <c r="S101" s="67" t="s">
        <v>91</v>
      </c>
      <c r="T101" s="67" t="s">
        <v>61</v>
      </c>
      <c r="U101" s="53"/>
      <c r="V101" s="54"/>
      <c r="W101" s="85" t="s">
        <v>62</v>
      </c>
      <c r="X101" s="57"/>
      <c r="Y101" s="38"/>
      <c r="Z101" s="39" t="s">
        <v>593</v>
      </c>
      <c r="AH101" s="38"/>
      <c r="AI101" s="38"/>
      <c r="AJ101" s="38"/>
      <c r="AK101" s="38"/>
      <c r="AL101" s="38"/>
      <c r="AM101" s="38"/>
      <c r="AN101" s="38"/>
    </row>
    <row r="102">
      <c r="A102" s="39">
        <v>104.03</v>
      </c>
      <c r="B102" s="63" t="s">
        <v>107</v>
      </c>
      <c r="C102" s="38"/>
      <c r="D102" s="39" t="s">
        <v>55</v>
      </c>
      <c r="E102" s="38"/>
      <c r="F102" s="109"/>
      <c r="G102" s="58" t="s">
        <v>594</v>
      </c>
      <c r="H102" s="58" t="s">
        <v>595</v>
      </c>
      <c r="I102" s="38"/>
      <c r="J102" s="38"/>
      <c r="K102" s="46"/>
      <c r="L102" s="47"/>
      <c r="M102" s="84">
        <v>0.011608796296296296</v>
      </c>
      <c r="N102" s="84">
        <v>0.01476851851851852</v>
      </c>
      <c r="O102" s="60">
        <f t="shared" si="20"/>
        <v>0.003159722222</v>
      </c>
      <c r="P102" s="82">
        <v>43028.0</v>
      </c>
      <c r="Q102" s="61" t="str">
        <f t="shared" si="1"/>
        <v>https://www.youtube.com/embed/MOkWSa69NKA?start=1003&amp;end=1276&amp;autoplay=1</v>
      </c>
      <c r="R102" s="67" t="s">
        <v>61</v>
      </c>
      <c r="S102" s="67" t="s">
        <v>91</v>
      </c>
      <c r="T102" s="67" t="s">
        <v>61</v>
      </c>
      <c r="U102" s="53"/>
      <c r="V102" s="54"/>
      <c r="W102" s="85" t="s">
        <v>62</v>
      </c>
      <c r="X102" s="57"/>
      <c r="Y102" s="38"/>
      <c r="Z102" s="39" t="s">
        <v>593</v>
      </c>
      <c r="AH102" s="38"/>
      <c r="AI102" s="38"/>
      <c r="AJ102" s="38"/>
      <c r="AK102" s="38"/>
      <c r="AL102" s="38"/>
      <c r="AM102" s="38"/>
      <c r="AN102" s="38"/>
    </row>
    <row r="103">
      <c r="A103" s="39">
        <v>104.04</v>
      </c>
      <c r="B103" s="63" t="s">
        <v>107</v>
      </c>
      <c r="C103" s="38"/>
      <c r="D103" s="39" t="s">
        <v>55</v>
      </c>
      <c r="E103" s="38"/>
      <c r="F103" s="41"/>
      <c r="G103" s="62" t="s">
        <v>599</v>
      </c>
      <c r="H103" s="58" t="s">
        <v>600</v>
      </c>
      <c r="I103" s="38"/>
      <c r="J103" s="38"/>
      <c r="K103" s="46"/>
      <c r="L103" s="47"/>
      <c r="M103" s="84">
        <v>0.014780092592592593</v>
      </c>
      <c r="N103" s="84">
        <v>0.019710648148148147</v>
      </c>
      <c r="O103" s="60">
        <f t="shared" si="20"/>
        <v>0.004930555556</v>
      </c>
      <c r="P103" s="82">
        <v>43028.0</v>
      </c>
      <c r="Q103" s="61" t="str">
        <f t="shared" si="1"/>
        <v>https://www.youtube.com/embed/MOkWSa69NKA?start=1277&amp;end=1703&amp;autoplay=1</v>
      </c>
      <c r="R103" s="67" t="s">
        <v>61</v>
      </c>
      <c r="S103" s="67" t="s">
        <v>91</v>
      </c>
      <c r="T103" s="67" t="s">
        <v>61</v>
      </c>
      <c r="U103" s="53"/>
      <c r="V103" s="54"/>
      <c r="W103" s="85" t="s">
        <v>62</v>
      </c>
      <c r="X103" s="57"/>
      <c r="Y103" s="38"/>
      <c r="Z103" s="39" t="s">
        <v>601</v>
      </c>
      <c r="AH103" s="38"/>
      <c r="AI103" s="38"/>
      <c r="AJ103" s="38"/>
      <c r="AK103" s="38"/>
      <c r="AL103" s="38"/>
      <c r="AM103" s="38"/>
      <c r="AN103" s="38"/>
    </row>
    <row r="104">
      <c r="A104" s="38">
        <v>105.0</v>
      </c>
      <c r="B104" s="63" t="s">
        <v>107</v>
      </c>
      <c r="C104" s="51"/>
      <c r="D104" s="39" t="s">
        <v>145</v>
      </c>
      <c r="E104" s="38" t="s">
        <v>605</v>
      </c>
      <c r="F104" s="41" t="s">
        <v>606</v>
      </c>
      <c r="G104" s="43"/>
      <c r="H104" s="45"/>
      <c r="I104" s="38"/>
      <c r="J104" s="38">
        <f>3.6*1000</f>
        <v>3600</v>
      </c>
      <c r="K104" s="46">
        <v>0.08958333333333333</v>
      </c>
      <c r="L104" s="47" t="s">
        <v>211</v>
      </c>
      <c r="M104" s="48"/>
      <c r="N104" s="48"/>
      <c r="O104" s="48">
        <f t="shared" si="20"/>
        <v>0</v>
      </c>
      <c r="P104" s="38"/>
      <c r="Q104" s="12" t="str">
        <f t="shared" si="1"/>
        <v/>
      </c>
      <c r="R104" s="42"/>
      <c r="S104" s="42"/>
      <c r="T104" s="42"/>
      <c r="U104" s="51"/>
      <c r="V104" s="52"/>
      <c r="W104" s="55"/>
      <c r="X104" s="57"/>
      <c r="Y104" s="106"/>
      <c r="Z104" s="106"/>
      <c r="AA104" s="106"/>
      <c r="AB104" s="106"/>
      <c r="AH104" s="38"/>
      <c r="AI104" s="38"/>
      <c r="AJ104" s="38"/>
      <c r="AK104" s="38"/>
      <c r="AL104" s="38"/>
      <c r="AM104" s="38"/>
      <c r="AN104" s="38"/>
    </row>
    <row r="105">
      <c r="A105" s="38"/>
      <c r="B105" s="38"/>
      <c r="C105" s="38"/>
      <c r="D105" s="38"/>
      <c r="E105" s="38"/>
      <c r="F105" s="41"/>
      <c r="G105" s="43"/>
      <c r="H105" s="45"/>
      <c r="I105" s="38"/>
      <c r="J105" s="38"/>
      <c r="K105" s="46"/>
      <c r="L105" s="47"/>
      <c r="M105" s="46"/>
      <c r="N105" s="46"/>
      <c r="O105" s="38"/>
      <c r="P105" s="82"/>
      <c r="Q105" s="12"/>
      <c r="R105" s="50"/>
      <c r="S105" s="50"/>
      <c r="T105" s="50"/>
      <c r="U105" s="53"/>
      <c r="V105" s="54"/>
      <c r="W105" s="56"/>
      <c r="X105" s="57"/>
      <c r="Y105" s="38"/>
      <c r="Z105" s="38"/>
      <c r="AH105" s="38"/>
      <c r="AI105" s="38"/>
      <c r="AJ105" s="38"/>
      <c r="AK105" s="38"/>
      <c r="AL105" s="38"/>
      <c r="AM105" s="38"/>
      <c r="AN105" s="38"/>
    </row>
    <row r="106">
      <c r="A106" s="38"/>
      <c r="B106" s="38"/>
      <c r="C106" s="38"/>
      <c r="D106" s="38"/>
      <c r="E106" s="38"/>
      <c r="F106" s="41"/>
      <c r="G106" s="43"/>
      <c r="H106" s="45"/>
      <c r="I106" s="38"/>
      <c r="J106" s="38"/>
      <c r="K106" s="46"/>
      <c r="L106" s="47"/>
      <c r="M106" s="46"/>
      <c r="N106" s="46"/>
      <c r="O106" s="38"/>
      <c r="P106" s="82"/>
      <c r="Q106" s="12"/>
      <c r="R106" s="50"/>
      <c r="S106" s="50"/>
      <c r="T106" s="50"/>
      <c r="U106" s="53"/>
      <c r="V106" s="54"/>
      <c r="W106" s="56"/>
      <c r="X106" s="57"/>
      <c r="Y106" s="38"/>
      <c r="Z106" s="38"/>
      <c r="AH106" s="38"/>
      <c r="AI106" s="38"/>
      <c r="AJ106" s="38"/>
      <c r="AK106" s="38"/>
      <c r="AL106" s="38"/>
      <c r="AM106" s="38"/>
      <c r="AN106" s="38"/>
    </row>
    <row r="107">
      <c r="A107" s="38"/>
      <c r="B107" s="38"/>
      <c r="C107" s="38"/>
      <c r="D107" s="38"/>
      <c r="E107" s="38"/>
      <c r="F107" s="41"/>
      <c r="G107" s="43"/>
      <c r="H107" s="45"/>
      <c r="I107" s="38"/>
      <c r="J107" s="38"/>
      <c r="K107" s="46"/>
      <c r="L107" s="47"/>
      <c r="M107" s="46"/>
      <c r="N107" s="46"/>
      <c r="O107" s="38"/>
      <c r="P107" s="82"/>
      <c r="Q107" s="12"/>
      <c r="R107" s="50"/>
      <c r="S107" s="50"/>
      <c r="T107" s="50"/>
      <c r="U107" s="53"/>
      <c r="V107" s="54"/>
      <c r="W107" s="56"/>
      <c r="X107" s="57"/>
      <c r="Y107" s="38"/>
      <c r="Z107" s="38"/>
      <c r="AH107" s="106"/>
      <c r="AI107" s="106"/>
      <c r="AJ107" s="106"/>
      <c r="AK107" s="106"/>
      <c r="AL107" s="106"/>
      <c r="AM107" s="106"/>
      <c r="AN107" s="106"/>
    </row>
    <row r="108">
      <c r="A108" s="38"/>
      <c r="B108" s="38"/>
      <c r="C108" s="38"/>
      <c r="D108" s="38"/>
      <c r="E108" s="38"/>
      <c r="F108" s="41"/>
      <c r="G108" s="43"/>
      <c r="H108" s="45"/>
      <c r="I108" s="38"/>
      <c r="J108" s="38"/>
      <c r="K108" s="46"/>
      <c r="L108" s="47"/>
      <c r="M108" s="46"/>
      <c r="N108" s="46"/>
      <c r="O108" s="38"/>
      <c r="P108" s="82"/>
      <c r="Q108" s="12"/>
      <c r="R108" s="98"/>
      <c r="S108" s="50"/>
      <c r="T108" s="50"/>
      <c r="U108" s="53"/>
      <c r="V108" s="54"/>
      <c r="W108" s="56"/>
      <c r="X108" s="57"/>
      <c r="Y108" s="38"/>
      <c r="Z108" s="38"/>
      <c r="AH108" s="106"/>
      <c r="AI108" s="106"/>
      <c r="AJ108" s="106"/>
      <c r="AK108" s="106"/>
      <c r="AL108" s="106"/>
      <c r="AM108" s="106"/>
      <c r="AN108" s="106"/>
    </row>
    <row r="109">
      <c r="A109" s="100"/>
      <c r="B109" s="38"/>
      <c r="C109" s="39"/>
      <c r="D109" s="38"/>
      <c r="E109" s="38"/>
      <c r="F109" s="38"/>
      <c r="G109" s="38"/>
      <c r="H109" s="58"/>
      <c r="I109" s="38"/>
      <c r="J109" s="38"/>
      <c r="K109" s="46"/>
      <c r="L109" s="47"/>
      <c r="M109" s="46"/>
      <c r="N109" s="46"/>
      <c r="O109" s="60"/>
      <c r="P109" s="82"/>
      <c r="Q109" s="12"/>
      <c r="R109" s="98"/>
      <c r="S109" s="50"/>
      <c r="T109" s="50"/>
      <c r="U109" s="53"/>
      <c r="V109" s="54"/>
      <c r="W109" s="56"/>
      <c r="X109" s="57"/>
      <c r="Y109" s="38"/>
      <c r="Z109" s="38"/>
      <c r="AH109" s="106"/>
      <c r="AI109" s="106"/>
      <c r="AJ109" s="106"/>
      <c r="AK109" s="106"/>
      <c r="AL109" s="106"/>
      <c r="AM109" s="106"/>
      <c r="AN109" s="106"/>
    </row>
    <row r="110">
      <c r="A110" s="100"/>
      <c r="B110" s="38"/>
      <c r="C110" s="38"/>
      <c r="D110" s="38"/>
      <c r="E110" s="38"/>
      <c r="F110" s="38"/>
      <c r="G110" s="38"/>
      <c r="H110" s="45"/>
      <c r="I110" s="38"/>
      <c r="J110" s="38"/>
      <c r="K110" s="46"/>
      <c r="L110" s="47"/>
      <c r="M110" s="46"/>
      <c r="N110" s="46"/>
      <c r="O110" s="60"/>
      <c r="P110" s="82"/>
      <c r="Q110" s="12"/>
      <c r="R110" s="98"/>
      <c r="S110" s="50"/>
      <c r="T110" s="50"/>
      <c r="U110" s="53"/>
      <c r="V110" s="54"/>
      <c r="W110" s="56"/>
      <c r="X110" s="57"/>
      <c r="Y110" s="38"/>
      <c r="Z110" s="38"/>
      <c r="AH110" s="106"/>
      <c r="AI110" s="106"/>
      <c r="AJ110" s="106"/>
      <c r="AK110" s="106"/>
      <c r="AL110" s="106"/>
      <c r="AM110" s="106"/>
      <c r="AN110" s="106"/>
    </row>
    <row r="111">
      <c r="A111" s="100"/>
      <c r="B111" s="38"/>
      <c r="C111" s="38"/>
      <c r="D111" s="38"/>
      <c r="E111" s="38"/>
      <c r="F111" s="38"/>
      <c r="G111" s="38"/>
      <c r="H111" s="12"/>
      <c r="I111" s="38"/>
      <c r="J111" s="38"/>
      <c r="K111" s="46"/>
      <c r="L111" s="47"/>
      <c r="M111" s="46"/>
      <c r="N111" s="46"/>
      <c r="O111" s="60"/>
      <c r="P111" s="82"/>
      <c r="Q111" s="12"/>
      <c r="R111" s="98"/>
      <c r="S111" s="50"/>
      <c r="T111" s="50"/>
      <c r="U111" s="53"/>
      <c r="V111" s="54"/>
      <c r="W111" s="56"/>
      <c r="X111" s="57"/>
      <c r="Y111" s="38"/>
      <c r="Z111" s="38"/>
      <c r="AH111" s="106"/>
      <c r="AI111" s="106"/>
      <c r="AJ111" s="106"/>
      <c r="AK111" s="106"/>
      <c r="AL111" s="106"/>
      <c r="AM111" s="106"/>
      <c r="AN111" s="106"/>
    </row>
    <row r="112">
      <c r="A112" s="100"/>
      <c r="B112" s="38"/>
      <c r="C112" s="39"/>
      <c r="D112" s="38"/>
      <c r="E112" s="38"/>
      <c r="F112" s="38"/>
      <c r="G112" s="38"/>
      <c r="H112" s="45"/>
      <c r="I112" s="38"/>
      <c r="J112" s="38"/>
      <c r="K112" s="46"/>
      <c r="L112" s="47"/>
      <c r="M112" s="46"/>
      <c r="N112" s="46"/>
      <c r="O112" s="60"/>
      <c r="P112" s="82"/>
      <c r="Q112" s="12"/>
      <c r="R112" s="98"/>
      <c r="S112" s="50"/>
      <c r="T112" s="50"/>
      <c r="U112" s="53"/>
      <c r="V112" s="54"/>
      <c r="W112" s="56"/>
      <c r="X112" s="57"/>
      <c r="Y112" s="38"/>
      <c r="Z112" s="38"/>
      <c r="AH112" s="106"/>
      <c r="AI112" s="106"/>
      <c r="AJ112" s="106"/>
      <c r="AK112" s="106"/>
      <c r="AL112" s="106"/>
      <c r="AM112" s="106"/>
      <c r="AN112" s="106"/>
    </row>
    <row r="113">
      <c r="A113" s="100"/>
      <c r="B113" s="38"/>
      <c r="C113" s="38"/>
      <c r="D113" s="38"/>
      <c r="E113" s="38"/>
      <c r="F113" s="38"/>
      <c r="G113" s="38"/>
      <c r="H113" s="12"/>
      <c r="I113" s="38"/>
      <c r="J113" s="38"/>
      <c r="K113" s="46"/>
      <c r="L113" s="47"/>
      <c r="M113" s="46"/>
      <c r="N113" s="46"/>
      <c r="O113" s="60"/>
      <c r="P113" s="82"/>
      <c r="Q113" s="12"/>
      <c r="R113" s="98"/>
      <c r="S113" s="50"/>
      <c r="T113" s="50"/>
      <c r="U113" s="53"/>
      <c r="V113" s="54"/>
      <c r="W113" s="56"/>
      <c r="X113" s="57"/>
      <c r="Y113" s="38"/>
      <c r="Z113" s="38"/>
      <c r="AH113" s="106"/>
      <c r="AI113" s="106"/>
      <c r="AJ113" s="106"/>
      <c r="AK113" s="106"/>
      <c r="AL113" s="106"/>
      <c r="AM113" s="106"/>
      <c r="AN113" s="106"/>
    </row>
    <row r="114">
      <c r="A114" s="100"/>
      <c r="B114" s="38"/>
      <c r="C114" s="38"/>
      <c r="D114" s="38"/>
      <c r="E114" s="38"/>
      <c r="F114" s="38"/>
      <c r="G114" s="38"/>
      <c r="H114" s="12"/>
      <c r="I114" s="38"/>
      <c r="J114" s="38"/>
      <c r="K114" s="46"/>
      <c r="L114" s="47"/>
      <c r="M114" s="46"/>
      <c r="N114" s="46"/>
      <c r="O114" s="60"/>
      <c r="P114" s="49"/>
      <c r="Q114" s="12"/>
      <c r="R114" s="98"/>
      <c r="S114" s="50"/>
      <c r="T114" s="50"/>
      <c r="U114" s="53"/>
      <c r="V114" s="54"/>
      <c r="W114" s="56"/>
      <c r="X114" s="57"/>
      <c r="Y114" s="38"/>
      <c r="Z114" s="38"/>
      <c r="AH114" s="106"/>
      <c r="AI114" s="106"/>
      <c r="AJ114" s="106"/>
      <c r="AK114" s="106"/>
      <c r="AL114" s="106"/>
      <c r="AM114" s="106"/>
      <c r="AN114" s="106"/>
    </row>
    <row r="115">
      <c r="A115" s="100"/>
      <c r="B115" s="38"/>
      <c r="C115" s="38"/>
      <c r="D115" s="38"/>
      <c r="E115" s="38"/>
      <c r="F115" s="38"/>
      <c r="G115" s="38"/>
      <c r="H115" s="45"/>
      <c r="I115" s="38"/>
      <c r="J115" s="38"/>
      <c r="K115" s="46"/>
      <c r="L115" s="47"/>
      <c r="M115" s="46"/>
      <c r="N115" s="46"/>
      <c r="O115" s="60"/>
      <c r="P115" s="49"/>
      <c r="Q115" s="12"/>
      <c r="R115" s="98"/>
      <c r="S115" s="50"/>
      <c r="T115" s="50"/>
      <c r="U115" s="53"/>
      <c r="V115" s="54"/>
      <c r="W115" s="56"/>
      <c r="X115" s="57"/>
      <c r="Y115" s="38"/>
      <c r="Z115" s="38"/>
      <c r="AH115" s="106"/>
      <c r="AI115" s="106"/>
      <c r="AJ115" s="106"/>
      <c r="AK115" s="106"/>
      <c r="AL115" s="106"/>
      <c r="AM115" s="106"/>
      <c r="AN115" s="106"/>
    </row>
    <row r="116">
      <c r="A116" s="100"/>
      <c r="B116" s="38"/>
      <c r="C116" s="38"/>
      <c r="D116" s="38"/>
      <c r="E116" s="38"/>
      <c r="F116" s="38"/>
      <c r="G116" s="38"/>
      <c r="H116" s="58"/>
      <c r="I116" s="38"/>
      <c r="J116" s="38"/>
      <c r="K116" s="46"/>
      <c r="L116" s="47"/>
      <c r="M116" s="46"/>
      <c r="N116" s="46"/>
      <c r="O116" s="60"/>
      <c r="P116" s="49"/>
      <c r="Q116" s="12"/>
      <c r="R116" s="98"/>
      <c r="S116" s="50"/>
      <c r="T116" s="50"/>
      <c r="U116" s="53"/>
      <c r="V116" s="54"/>
      <c r="W116" s="56"/>
      <c r="X116" s="57"/>
      <c r="Y116" s="38"/>
      <c r="Z116" s="38"/>
      <c r="AH116" s="106"/>
      <c r="AI116" s="106"/>
      <c r="AJ116" s="106"/>
      <c r="AK116" s="106"/>
      <c r="AL116" s="106"/>
      <c r="AM116" s="106"/>
      <c r="AN116" s="106"/>
    </row>
    <row r="117">
      <c r="A117" s="100"/>
      <c r="B117" s="38"/>
      <c r="C117" s="38"/>
      <c r="D117" s="38"/>
      <c r="E117" s="38"/>
      <c r="F117" s="38"/>
      <c r="G117" s="39"/>
      <c r="H117" s="45"/>
      <c r="I117" s="38"/>
      <c r="J117" s="38"/>
      <c r="K117" s="46"/>
      <c r="L117" s="47"/>
      <c r="M117" s="46"/>
      <c r="N117" s="46"/>
      <c r="O117" s="60"/>
      <c r="P117" s="49"/>
      <c r="Q117" s="12"/>
      <c r="R117" s="98"/>
      <c r="S117" s="50"/>
      <c r="T117" s="50"/>
      <c r="U117" s="53"/>
      <c r="V117" s="54"/>
      <c r="W117" s="56"/>
      <c r="X117" s="57"/>
      <c r="Y117" s="38"/>
      <c r="Z117" s="38"/>
      <c r="AH117" s="106"/>
      <c r="AI117" s="106"/>
      <c r="AJ117" s="106"/>
      <c r="AK117" s="106"/>
      <c r="AL117" s="106"/>
      <c r="AM117" s="106"/>
      <c r="AN117" s="106"/>
    </row>
    <row r="118">
      <c r="A118" s="100"/>
      <c r="B118" s="38"/>
      <c r="C118" s="38"/>
      <c r="D118" s="38"/>
      <c r="E118" s="38"/>
      <c r="F118" s="38"/>
      <c r="G118" s="38"/>
      <c r="H118" s="45"/>
      <c r="I118" s="38"/>
      <c r="J118" s="38"/>
      <c r="K118" s="46"/>
      <c r="L118" s="47"/>
      <c r="M118" s="46"/>
      <c r="N118" s="46"/>
      <c r="O118" s="60"/>
      <c r="P118" s="49"/>
      <c r="Q118" s="12"/>
      <c r="R118" s="98"/>
      <c r="S118" s="50"/>
      <c r="T118" s="50"/>
      <c r="U118" s="53"/>
      <c r="V118" s="54"/>
      <c r="W118" s="56"/>
      <c r="X118" s="57"/>
      <c r="Y118" s="38"/>
      <c r="Z118" s="38"/>
      <c r="AH118" s="106"/>
      <c r="AI118" s="106"/>
      <c r="AJ118" s="106"/>
      <c r="AK118" s="106"/>
      <c r="AL118" s="106"/>
      <c r="AM118" s="106"/>
      <c r="AN118" s="106"/>
    </row>
    <row r="119">
      <c r="A119" s="100"/>
      <c r="B119" s="38"/>
      <c r="C119" s="38"/>
      <c r="D119" s="38"/>
      <c r="E119" s="38"/>
      <c r="F119" s="38"/>
      <c r="G119" s="38"/>
      <c r="H119" s="45"/>
      <c r="I119" s="38"/>
      <c r="J119" s="38"/>
      <c r="K119" s="46"/>
      <c r="L119" s="47"/>
      <c r="M119" s="46"/>
      <c r="N119" s="46"/>
      <c r="O119" s="60"/>
      <c r="P119" s="49"/>
      <c r="Q119" s="12"/>
      <c r="R119" s="98"/>
      <c r="S119" s="50"/>
      <c r="T119" s="50"/>
      <c r="U119" s="53"/>
      <c r="V119" s="54"/>
      <c r="W119" s="56"/>
      <c r="X119" s="57"/>
      <c r="Y119" s="38"/>
      <c r="Z119" s="38"/>
      <c r="AH119" s="106"/>
      <c r="AI119" s="106"/>
      <c r="AJ119" s="106"/>
      <c r="AK119" s="106"/>
      <c r="AL119" s="106"/>
      <c r="AM119" s="106"/>
      <c r="AN119" s="106"/>
    </row>
    <row r="120">
      <c r="A120" s="100"/>
      <c r="B120" s="38"/>
      <c r="C120" s="38"/>
      <c r="D120" s="38"/>
      <c r="E120" s="38"/>
      <c r="F120" s="38"/>
      <c r="G120" s="38"/>
      <c r="H120" s="45"/>
      <c r="I120" s="38"/>
      <c r="J120" s="38"/>
      <c r="K120" s="46"/>
      <c r="L120" s="47"/>
      <c r="M120" s="46"/>
      <c r="N120" s="46"/>
      <c r="O120" s="60"/>
      <c r="P120" s="49"/>
      <c r="Q120" s="12"/>
      <c r="R120" s="98"/>
      <c r="S120" s="50"/>
      <c r="T120" s="50"/>
      <c r="U120" s="53"/>
      <c r="V120" s="54"/>
      <c r="W120" s="56"/>
      <c r="X120" s="57"/>
      <c r="Y120" s="38"/>
      <c r="Z120" s="38"/>
      <c r="AH120" s="106"/>
      <c r="AI120" s="106"/>
      <c r="AJ120" s="106"/>
      <c r="AK120" s="106"/>
      <c r="AL120" s="106"/>
      <c r="AM120" s="106"/>
      <c r="AN120" s="106"/>
    </row>
    <row r="121">
      <c r="A121" s="100"/>
      <c r="B121" s="38"/>
      <c r="C121" s="38"/>
      <c r="D121" s="38"/>
      <c r="E121" s="38"/>
      <c r="F121" s="38"/>
      <c r="G121" s="38"/>
      <c r="H121" s="45"/>
      <c r="I121" s="38"/>
      <c r="J121" s="38"/>
      <c r="K121" s="46"/>
      <c r="L121" s="47"/>
      <c r="M121" s="46"/>
      <c r="N121" s="46"/>
      <c r="O121" s="60"/>
      <c r="P121" s="49"/>
      <c r="Q121" s="12"/>
      <c r="R121" s="98"/>
      <c r="S121" s="50"/>
      <c r="T121" s="50"/>
      <c r="U121" s="53"/>
      <c r="V121" s="54"/>
      <c r="W121" s="56"/>
      <c r="X121" s="57"/>
      <c r="Y121" s="38"/>
      <c r="Z121" s="38"/>
      <c r="AH121" s="106"/>
      <c r="AI121" s="106"/>
      <c r="AJ121" s="106"/>
      <c r="AK121" s="106"/>
      <c r="AL121" s="106"/>
      <c r="AM121" s="106"/>
      <c r="AN121" s="106"/>
    </row>
    <row r="122">
      <c r="A122" s="100"/>
      <c r="B122" s="38"/>
      <c r="C122" s="38"/>
      <c r="D122" s="38"/>
      <c r="E122" s="38"/>
      <c r="F122" s="38"/>
      <c r="G122" s="38"/>
      <c r="H122" s="45"/>
      <c r="I122" s="38"/>
      <c r="J122" s="38"/>
      <c r="K122" s="46"/>
      <c r="L122" s="47"/>
      <c r="M122" s="46"/>
      <c r="N122" s="46"/>
      <c r="O122" s="60"/>
      <c r="P122" s="49"/>
      <c r="Q122" s="12"/>
      <c r="R122" s="98"/>
      <c r="S122" s="50"/>
      <c r="T122" s="50"/>
      <c r="U122" s="53"/>
      <c r="V122" s="54"/>
      <c r="W122" s="56"/>
      <c r="X122" s="57"/>
      <c r="Y122" s="38"/>
      <c r="Z122" s="38"/>
      <c r="AH122" s="106"/>
      <c r="AI122" s="106"/>
      <c r="AJ122" s="106"/>
      <c r="AK122" s="106"/>
      <c r="AL122" s="106"/>
      <c r="AM122" s="106"/>
      <c r="AN122" s="106"/>
    </row>
    <row r="123">
      <c r="A123" s="38"/>
      <c r="B123" s="38"/>
      <c r="C123" s="38"/>
      <c r="D123" s="38"/>
      <c r="E123" s="38"/>
      <c r="F123" s="41"/>
      <c r="G123" s="43"/>
      <c r="H123" s="45"/>
      <c r="I123" s="38"/>
      <c r="J123" s="38"/>
      <c r="K123" s="46"/>
      <c r="L123" s="47"/>
      <c r="M123" s="46"/>
      <c r="N123" s="46"/>
      <c r="O123" s="38"/>
      <c r="P123" s="38"/>
      <c r="Q123" s="12"/>
      <c r="R123" s="50"/>
      <c r="S123" s="50"/>
      <c r="T123" s="50"/>
      <c r="U123" s="53"/>
      <c r="V123" s="54"/>
      <c r="W123" s="56"/>
      <c r="X123" s="57"/>
      <c r="Y123" s="38"/>
      <c r="Z123" s="38"/>
      <c r="AH123" s="106"/>
      <c r="AI123" s="106"/>
      <c r="AJ123" s="106"/>
      <c r="AK123" s="106"/>
      <c r="AL123" s="106"/>
      <c r="AM123" s="106"/>
      <c r="AN123" s="106"/>
    </row>
    <row r="124">
      <c r="A124" s="38"/>
      <c r="B124" s="38"/>
      <c r="C124" s="38"/>
      <c r="D124" s="38"/>
      <c r="E124" s="38"/>
      <c r="F124" s="41"/>
      <c r="G124" s="43"/>
      <c r="H124" s="45"/>
      <c r="I124" s="38"/>
      <c r="J124" s="38"/>
      <c r="K124" s="46"/>
      <c r="L124" s="47"/>
      <c r="M124" s="46"/>
      <c r="N124" s="46"/>
      <c r="O124" s="38"/>
      <c r="P124" s="38"/>
      <c r="Q124" s="12"/>
      <c r="R124" s="50"/>
      <c r="S124" s="50"/>
      <c r="T124" s="50"/>
      <c r="U124" s="53"/>
      <c r="V124" s="54"/>
      <c r="W124" s="56"/>
      <c r="X124" s="57"/>
      <c r="Y124" s="38"/>
      <c r="Z124" s="38"/>
      <c r="AH124" s="106"/>
      <c r="AI124" s="106"/>
      <c r="AJ124" s="106"/>
      <c r="AK124" s="106"/>
      <c r="AL124" s="106"/>
      <c r="AM124" s="106"/>
      <c r="AN124" s="106"/>
    </row>
    <row r="125">
      <c r="A125" s="38"/>
      <c r="B125" s="38"/>
      <c r="C125" s="39"/>
      <c r="D125" s="38"/>
      <c r="E125" s="38"/>
      <c r="F125" s="41"/>
      <c r="G125" s="43"/>
      <c r="H125" s="45"/>
      <c r="I125" s="38"/>
      <c r="J125" s="38"/>
      <c r="K125" s="46"/>
      <c r="L125" s="47"/>
      <c r="M125" s="46"/>
      <c r="N125" s="46"/>
      <c r="O125" s="38"/>
      <c r="P125" s="49"/>
      <c r="Q125" s="12"/>
      <c r="R125" s="50"/>
      <c r="S125" s="50"/>
      <c r="T125" s="50"/>
      <c r="U125" s="53"/>
      <c r="V125" s="54"/>
      <c r="W125" s="56"/>
      <c r="X125" s="57"/>
      <c r="Y125" s="38"/>
      <c r="Z125" s="38"/>
      <c r="AH125" s="106"/>
      <c r="AI125" s="106"/>
      <c r="AJ125" s="106"/>
      <c r="AK125" s="106"/>
      <c r="AL125" s="106"/>
      <c r="AM125" s="106"/>
      <c r="AN125" s="106"/>
    </row>
    <row r="126">
      <c r="A126" s="38"/>
      <c r="B126" s="38"/>
      <c r="C126" s="38"/>
      <c r="D126" s="38"/>
      <c r="E126" s="38"/>
      <c r="F126" s="41"/>
      <c r="G126" s="43"/>
      <c r="H126" s="45"/>
      <c r="I126" s="38"/>
      <c r="J126" s="38"/>
      <c r="K126" s="46"/>
      <c r="L126" s="47"/>
      <c r="M126" s="46"/>
      <c r="N126" s="46"/>
      <c r="O126" s="60"/>
      <c r="P126" s="49"/>
      <c r="Q126" s="12"/>
      <c r="R126" s="50"/>
      <c r="S126" s="50"/>
      <c r="T126" s="50"/>
      <c r="U126" s="53"/>
      <c r="V126" s="54"/>
      <c r="W126" s="56"/>
      <c r="X126" s="57"/>
      <c r="Y126" s="38"/>
      <c r="Z126" s="38"/>
      <c r="AH126" s="106"/>
      <c r="AI126" s="106"/>
      <c r="AJ126" s="106"/>
      <c r="AK126" s="106"/>
      <c r="AL126" s="106"/>
      <c r="AM126" s="106"/>
      <c r="AN126" s="106"/>
    </row>
    <row r="127">
      <c r="A127" s="38"/>
      <c r="B127" s="38"/>
      <c r="C127" s="38"/>
      <c r="D127" s="38"/>
      <c r="E127" s="38"/>
      <c r="F127" s="41"/>
      <c r="G127" s="43"/>
      <c r="H127" s="45"/>
      <c r="I127" s="38"/>
      <c r="J127" s="38"/>
      <c r="K127" s="46"/>
      <c r="L127" s="47"/>
      <c r="M127" s="46"/>
      <c r="N127" s="46"/>
      <c r="O127" s="60"/>
      <c r="P127" s="49"/>
      <c r="Q127" s="12"/>
      <c r="R127" s="50"/>
      <c r="S127" s="50"/>
      <c r="T127" s="50"/>
      <c r="U127" s="53"/>
      <c r="V127" s="54"/>
      <c r="W127" s="56"/>
      <c r="X127" s="57"/>
      <c r="Y127" s="38"/>
      <c r="Z127" s="38"/>
      <c r="AH127" s="106"/>
      <c r="AI127" s="106"/>
      <c r="AJ127" s="106"/>
      <c r="AK127" s="106"/>
      <c r="AL127" s="106"/>
      <c r="AM127" s="106"/>
      <c r="AN127" s="106"/>
    </row>
    <row r="128">
      <c r="A128" s="38"/>
      <c r="B128" s="38"/>
      <c r="C128" s="38"/>
      <c r="D128" s="38"/>
      <c r="E128" s="38"/>
      <c r="F128" s="41"/>
      <c r="G128" s="43"/>
      <c r="H128" s="45"/>
      <c r="I128" s="38"/>
      <c r="J128" s="38"/>
      <c r="K128" s="46"/>
      <c r="L128" s="47"/>
      <c r="M128" s="46"/>
      <c r="N128" s="46"/>
      <c r="O128" s="60"/>
      <c r="P128" s="49"/>
      <c r="Q128" s="12"/>
      <c r="R128" s="50"/>
      <c r="S128" s="50"/>
      <c r="T128" s="50"/>
      <c r="U128" s="53"/>
      <c r="V128" s="54"/>
      <c r="W128" s="56"/>
      <c r="X128" s="57"/>
      <c r="Y128" s="38"/>
      <c r="Z128" s="38"/>
      <c r="AH128" s="106"/>
      <c r="AI128" s="106"/>
      <c r="AJ128" s="106"/>
      <c r="AK128" s="106"/>
      <c r="AL128" s="106"/>
      <c r="AM128" s="106"/>
      <c r="AN128" s="106"/>
    </row>
    <row r="129">
      <c r="A129" s="38"/>
      <c r="B129" s="38"/>
      <c r="C129" s="38"/>
      <c r="D129" s="38"/>
      <c r="E129" s="38"/>
      <c r="F129" s="41"/>
      <c r="G129" s="43"/>
      <c r="H129" s="45"/>
      <c r="I129" s="38"/>
      <c r="J129" s="38"/>
      <c r="K129" s="46"/>
      <c r="L129" s="47"/>
      <c r="M129" s="46"/>
      <c r="N129" s="46"/>
      <c r="O129" s="60"/>
      <c r="P129" s="49"/>
      <c r="Q129" s="12"/>
      <c r="R129" s="50"/>
      <c r="S129" s="50"/>
      <c r="T129" s="50"/>
      <c r="U129" s="53"/>
      <c r="V129" s="54"/>
      <c r="W129" s="56"/>
      <c r="X129" s="57"/>
      <c r="Y129" s="38"/>
      <c r="Z129" s="38"/>
      <c r="AH129" s="106"/>
      <c r="AI129" s="106"/>
      <c r="AJ129" s="106"/>
      <c r="AK129" s="106"/>
      <c r="AL129" s="106"/>
      <c r="AM129" s="106"/>
      <c r="AN129" s="106"/>
    </row>
    <row r="130">
      <c r="A130" s="38"/>
      <c r="B130" s="38"/>
      <c r="C130" s="38"/>
      <c r="D130" s="38"/>
      <c r="E130" s="38"/>
      <c r="F130" s="41"/>
      <c r="G130" s="43"/>
      <c r="H130" s="45"/>
      <c r="I130" s="38"/>
      <c r="J130" s="38"/>
      <c r="K130" s="46"/>
      <c r="L130" s="47"/>
      <c r="M130" s="46"/>
      <c r="N130" s="46"/>
      <c r="O130" s="60"/>
      <c r="P130" s="49"/>
      <c r="Q130" s="12"/>
      <c r="R130" s="50"/>
      <c r="S130" s="50"/>
      <c r="T130" s="50"/>
      <c r="U130" s="53"/>
      <c r="V130" s="54"/>
      <c r="W130" s="56"/>
      <c r="X130" s="57"/>
      <c r="Y130" s="38"/>
      <c r="Z130" s="38"/>
      <c r="AH130" s="106"/>
      <c r="AI130" s="106"/>
      <c r="AJ130" s="106"/>
      <c r="AK130" s="106"/>
      <c r="AL130" s="106"/>
      <c r="AM130" s="106"/>
      <c r="AN130" s="106"/>
    </row>
    <row r="131">
      <c r="A131" s="38"/>
      <c r="B131" s="38"/>
      <c r="C131" s="38"/>
      <c r="D131" s="38"/>
      <c r="E131" s="38"/>
      <c r="F131" s="41"/>
      <c r="G131" s="43"/>
      <c r="H131" s="45"/>
      <c r="I131" s="38"/>
      <c r="J131" s="38"/>
      <c r="K131" s="46"/>
      <c r="L131" s="47"/>
      <c r="M131" s="46"/>
      <c r="N131" s="46"/>
      <c r="O131" s="60"/>
      <c r="P131" s="49"/>
      <c r="Q131" s="12"/>
      <c r="R131" s="50"/>
      <c r="S131" s="50"/>
      <c r="T131" s="50"/>
      <c r="U131" s="53"/>
      <c r="V131" s="54"/>
      <c r="W131" s="56"/>
      <c r="X131" s="57"/>
      <c r="Y131" s="38"/>
      <c r="Z131" s="38"/>
      <c r="AH131" s="106"/>
      <c r="AI131" s="106"/>
      <c r="AJ131" s="106"/>
      <c r="AK131" s="106"/>
      <c r="AL131" s="106"/>
      <c r="AM131" s="106"/>
      <c r="AN131" s="106"/>
    </row>
    <row r="132">
      <c r="A132" s="38"/>
      <c r="B132" s="38"/>
      <c r="C132" s="38"/>
      <c r="D132" s="38"/>
      <c r="E132" s="38"/>
      <c r="F132" s="41"/>
      <c r="G132" s="43"/>
      <c r="H132" s="45"/>
      <c r="I132" s="38"/>
      <c r="J132" s="38"/>
      <c r="K132" s="46"/>
      <c r="L132" s="47"/>
      <c r="M132" s="46"/>
      <c r="N132" s="46"/>
      <c r="O132" s="60"/>
      <c r="P132" s="49"/>
      <c r="Q132" s="12"/>
      <c r="R132" s="50"/>
      <c r="S132" s="50"/>
      <c r="T132" s="50"/>
      <c r="U132" s="53"/>
      <c r="V132" s="54"/>
      <c r="W132" s="56"/>
      <c r="X132" s="57"/>
      <c r="Y132" s="38"/>
      <c r="Z132" s="38"/>
      <c r="AH132" s="106"/>
      <c r="AI132" s="106"/>
      <c r="AJ132" s="106"/>
      <c r="AK132" s="106"/>
      <c r="AL132" s="106"/>
      <c r="AM132" s="106"/>
      <c r="AN132" s="106"/>
    </row>
    <row r="133">
      <c r="A133" s="38"/>
      <c r="B133" s="38"/>
      <c r="C133" s="38"/>
      <c r="D133" s="38"/>
      <c r="E133" s="38"/>
      <c r="F133" s="41"/>
      <c r="G133" s="43"/>
      <c r="H133" s="45"/>
      <c r="I133" s="38"/>
      <c r="J133" s="38"/>
      <c r="K133" s="46"/>
      <c r="L133" s="47"/>
      <c r="M133" s="46"/>
      <c r="N133" s="46"/>
      <c r="O133" s="38"/>
      <c r="P133" s="38"/>
      <c r="Q133" s="12"/>
      <c r="R133" s="50"/>
      <c r="S133" s="50"/>
      <c r="T133" s="50"/>
      <c r="U133" s="53"/>
      <c r="V133" s="54"/>
      <c r="W133" s="56"/>
      <c r="X133" s="57"/>
      <c r="Y133" s="38"/>
      <c r="Z133" s="38"/>
      <c r="AH133" s="106"/>
      <c r="AI133" s="106"/>
      <c r="AJ133" s="106"/>
      <c r="AK133" s="106"/>
      <c r="AL133" s="106"/>
      <c r="AM133" s="106"/>
      <c r="AN133" s="106"/>
    </row>
    <row r="134">
      <c r="A134" s="38"/>
      <c r="B134" s="38"/>
      <c r="C134" s="38"/>
      <c r="D134" s="38"/>
      <c r="E134" s="38"/>
      <c r="F134" s="41"/>
      <c r="G134" s="43"/>
      <c r="H134" s="45"/>
      <c r="I134" s="38"/>
      <c r="J134" s="38"/>
      <c r="K134" s="46"/>
      <c r="L134" s="47"/>
      <c r="M134" s="46"/>
      <c r="N134" s="46"/>
      <c r="O134" s="38"/>
      <c r="P134" s="38"/>
      <c r="Q134" s="12"/>
      <c r="R134" s="50"/>
      <c r="S134" s="50"/>
      <c r="T134" s="50"/>
      <c r="U134" s="53"/>
      <c r="V134" s="54"/>
      <c r="W134" s="56"/>
      <c r="X134" s="57"/>
      <c r="Y134" s="38"/>
      <c r="Z134" s="38"/>
      <c r="AH134" s="106"/>
      <c r="AI134" s="106"/>
      <c r="AJ134" s="106"/>
      <c r="AK134" s="106"/>
      <c r="AL134" s="106"/>
      <c r="AM134" s="106"/>
      <c r="AN134" s="106"/>
    </row>
    <row r="135">
      <c r="A135" s="38"/>
      <c r="B135" s="38"/>
      <c r="C135" s="38"/>
      <c r="D135" s="38"/>
      <c r="E135" s="38"/>
      <c r="F135" s="41"/>
      <c r="G135" s="43"/>
      <c r="H135" s="45"/>
      <c r="I135" s="38"/>
      <c r="J135" s="38"/>
      <c r="K135" s="46"/>
      <c r="L135" s="47"/>
      <c r="M135" s="46"/>
      <c r="N135" s="46"/>
      <c r="O135" s="38"/>
      <c r="P135" s="38"/>
      <c r="Q135" s="12"/>
      <c r="R135" s="50"/>
      <c r="S135" s="50"/>
      <c r="T135" s="50"/>
      <c r="U135" s="53"/>
      <c r="V135" s="54"/>
      <c r="W135" s="56"/>
      <c r="X135" s="57"/>
      <c r="Y135" s="38"/>
      <c r="Z135" s="38"/>
      <c r="AH135" s="106"/>
      <c r="AI135" s="106"/>
      <c r="AJ135" s="106"/>
      <c r="AK135" s="106"/>
      <c r="AL135" s="106"/>
      <c r="AM135" s="106"/>
      <c r="AN135" s="106"/>
    </row>
    <row r="136">
      <c r="A136" s="38"/>
      <c r="B136" s="38"/>
      <c r="C136" s="38"/>
      <c r="D136" s="38"/>
      <c r="E136" s="38"/>
      <c r="F136" s="41"/>
      <c r="G136" s="43"/>
      <c r="H136" s="45"/>
      <c r="I136" s="38"/>
      <c r="J136" s="38"/>
      <c r="K136" s="46"/>
      <c r="L136" s="47"/>
      <c r="M136" s="46"/>
      <c r="N136" s="46"/>
      <c r="O136" s="38"/>
      <c r="P136" s="38"/>
      <c r="Q136" s="12"/>
      <c r="R136" s="50"/>
      <c r="S136" s="50"/>
      <c r="T136" s="50"/>
      <c r="U136" s="53"/>
      <c r="V136" s="54"/>
      <c r="W136" s="56"/>
      <c r="X136" s="57"/>
      <c r="Y136" s="38"/>
      <c r="Z136" s="38"/>
      <c r="AH136" s="106"/>
      <c r="AI136" s="106"/>
      <c r="AJ136" s="106"/>
      <c r="AK136" s="106"/>
      <c r="AL136" s="106"/>
      <c r="AM136" s="106"/>
      <c r="AN136" s="106"/>
    </row>
    <row r="137">
      <c r="A137" s="38"/>
      <c r="B137" s="38"/>
      <c r="C137" s="38"/>
      <c r="D137" s="38"/>
      <c r="E137" s="38"/>
      <c r="F137" s="41"/>
      <c r="G137" s="43"/>
      <c r="H137" s="45"/>
      <c r="I137" s="38"/>
      <c r="J137" s="38"/>
      <c r="K137" s="46"/>
      <c r="L137" s="47"/>
      <c r="M137" s="46"/>
      <c r="N137" s="46"/>
      <c r="O137" s="38"/>
      <c r="P137" s="38"/>
      <c r="Q137" s="12"/>
      <c r="R137" s="50"/>
      <c r="S137" s="50"/>
      <c r="T137" s="50"/>
      <c r="U137" s="53"/>
      <c r="V137" s="54"/>
      <c r="W137" s="56"/>
      <c r="X137" s="57"/>
      <c r="Y137" s="38"/>
      <c r="Z137" s="38"/>
      <c r="AH137" s="106"/>
      <c r="AI137" s="106"/>
      <c r="AJ137" s="106"/>
      <c r="AK137" s="106"/>
      <c r="AL137" s="106"/>
      <c r="AM137" s="106"/>
      <c r="AN137" s="106"/>
    </row>
    <row r="138">
      <c r="A138" s="38"/>
      <c r="B138" s="38"/>
      <c r="C138" s="38"/>
      <c r="D138" s="38"/>
      <c r="E138" s="38"/>
      <c r="F138" s="41"/>
      <c r="G138" s="43"/>
      <c r="H138" s="45"/>
      <c r="I138" s="38"/>
      <c r="J138" s="38"/>
      <c r="K138" s="46"/>
      <c r="L138" s="47"/>
      <c r="M138" s="46"/>
      <c r="N138" s="46"/>
      <c r="O138" s="38"/>
      <c r="P138" s="38"/>
      <c r="Q138" s="12"/>
      <c r="R138" s="50"/>
      <c r="S138" s="50"/>
      <c r="T138" s="50"/>
      <c r="U138" s="53"/>
      <c r="V138" s="54"/>
      <c r="W138" s="56"/>
      <c r="X138" s="57"/>
      <c r="Y138" s="38"/>
      <c r="Z138" s="38"/>
      <c r="AH138" s="106"/>
      <c r="AI138" s="106"/>
      <c r="AJ138" s="106"/>
      <c r="AK138" s="106"/>
      <c r="AL138" s="106"/>
      <c r="AM138" s="106"/>
      <c r="AN138" s="106"/>
    </row>
    <row r="139">
      <c r="A139" s="38"/>
      <c r="B139" s="38"/>
      <c r="C139" s="38"/>
      <c r="D139" s="38"/>
      <c r="E139" s="38"/>
      <c r="F139" s="41"/>
      <c r="G139" s="43"/>
      <c r="H139" s="45"/>
      <c r="I139" s="38"/>
      <c r="J139" s="38"/>
      <c r="K139" s="46"/>
      <c r="L139" s="47"/>
      <c r="M139" s="46"/>
      <c r="N139" s="46"/>
      <c r="O139" s="38"/>
      <c r="P139" s="38"/>
      <c r="Q139" s="12"/>
      <c r="R139" s="50"/>
      <c r="S139" s="50"/>
      <c r="T139" s="50"/>
      <c r="U139" s="53"/>
      <c r="V139" s="54"/>
      <c r="W139" s="56"/>
      <c r="X139" s="57"/>
      <c r="Y139" s="38"/>
      <c r="Z139" s="38"/>
      <c r="AH139" s="106"/>
      <c r="AI139" s="106"/>
      <c r="AJ139" s="106"/>
      <c r="AK139" s="106"/>
      <c r="AL139" s="106"/>
      <c r="AM139" s="106"/>
      <c r="AN139" s="106"/>
    </row>
    <row r="140">
      <c r="A140" s="38"/>
      <c r="B140" s="38"/>
      <c r="C140" s="38"/>
      <c r="D140" s="38"/>
      <c r="E140" s="38"/>
      <c r="F140" s="41"/>
      <c r="G140" s="43"/>
      <c r="H140" s="45"/>
      <c r="I140" s="38"/>
      <c r="J140" s="38"/>
      <c r="K140" s="46"/>
      <c r="L140" s="47"/>
      <c r="M140" s="46"/>
      <c r="N140" s="46"/>
      <c r="O140" s="38"/>
      <c r="P140" s="38"/>
      <c r="Q140" s="12"/>
      <c r="R140" s="50"/>
      <c r="S140" s="50"/>
      <c r="T140" s="50"/>
      <c r="U140" s="53"/>
      <c r="V140" s="54"/>
      <c r="W140" s="56"/>
      <c r="X140" s="57"/>
      <c r="Y140" s="38"/>
      <c r="Z140" s="38"/>
      <c r="AH140" s="106"/>
      <c r="AI140" s="106"/>
      <c r="AJ140" s="106"/>
      <c r="AK140" s="106"/>
      <c r="AL140" s="106"/>
      <c r="AM140" s="106"/>
      <c r="AN140" s="106"/>
    </row>
    <row r="141">
      <c r="A141" s="38"/>
      <c r="B141" s="38"/>
      <c r="C141" s="38"/>
      <c r="D141" s="38"/>
      <c r="E141" s="38"/>
      <c r="F141" s="41"/>
      <c r="G141" s="43"/>
      <c r="H141" s="45"/>
      <c r="I141" s="38"/>
      <c r="J141" s="38"/>
      <c r="K141" s="46"/>
      <c r="L141" s="47"/>
      <c r="M141" s="46"/>
      <c r="N141" s="46"/>
      <c r="O141" s="38"/>
      <c r="P141" s="38"/>
      <c r="Q141" s="12"/>
      <c r="R141" s="50"/>
      <c r="S141" s="50"/>
      <c r="T141" s="50"/>
      <c r="U141" s="53"/>
      <c r="V141" s="54"/>
      <c r="W141" s="56"/>
      <c r="X141" s="57"/>
      <c r="Y141" s="38"/>
      <c r="Z141" s="38"/>
      <c r="AH141" s="106"/>
      <c r="AI141" s="106"/>
      <c r="AJ141" s="106"/>
      <c r="AK141" s="106"/>
      <c r="AL141" s="106"/>
      <c r="AM141" s="106"/>
      <c r="AN141" s="106"/>
    </row>
    <row r="142">
      <c r="A142" s="38"/>
      <c r="B142" s="38"/>
      <c r="C142" s="38"/>
      <c r="D142" s="38"/>
      <c r="E142" s="38"/>
      <c r="F142" s="41"/>
      <c r="G142" s="43"/>
      <c r="H142" s="45"/>
      <c r="I142" s="38"/>
      <c r="J142" s="38"/>
      <c r="K142" s="46"/>
      <c r="L142" s="47"/>
      <c r="M142" s="46"/>
      <c r="N142" s="46"/>
      <c r="O142" s="38"/>
      <c r="P142" s="38"/>
      <c r="Q142" s="12"/>
      <c r="R142" s="50"/>
      <c r="S142" s="50"/>
      <c r="T142" s="50"/>
      <c r="U142" s="53"/>
      <c r="V142" s="54"/>
      <c r="W142" s="56"/>
      <c r="X142" s="57"/>
      <c r="Y142" s="38"/>
      <c r="Z142" s="38"/>
      <c r="AH142" s="106"/>
      <c r="AI142" s="106"/>
      <c r="AJ142" s="106"/>
      <c r="AK142" s="106"/>
      <c r="AL142" s="106"/>
      <c r="AM142" s="106"/>
      <c r="AN142" s="106"/>
    </row>
    <row r="143">
      <c r="A143" s="38"/>
      <c r="B143" s="38"/>
      <c r="C143" s="38"/>
      <c r="D143" s="38"/>
      <c r="E143" s="38"/>
      <c r="F143" s="41"/>
      <c r="G143" s="43"/>
      <c r="H143" s="45"/>
      <c r="I143" s="38"/>
      <c r="J143" s="38"/>
      <c r="K143" s="46"/>
      <c r="L143" s="47"/>
      <c r="M143" s="46"/>
      <c r="N143" s="46"/>
      <c r="O143" s="38"/>
      <c r="P143" s="38"/>
      <c r="Q143" s="12"/>
      <c r="R143" s="50"/>
      <c r="S143" s="50"/>
      <c r="T143" s="50"/>
      <c r="U143" s="53"/>
      <c r="V143" s="54"/>
      <c r="W143" s="56"/>
      <c r="X143" s="57"/>
      <c r="Y143" s="38"/>
      <c r="Z143" s="38"/>
      <c r="AH143" s="106"/>
      <c r="AI143" s="106"/>
      <c r="AJ143" s="106"/>
      <c r="AK143" s="106"/>
      <c r="AL143" s="106"/>
      <c r="AM143" s="106"/>
      <c r="AN143" s="106"/>
    </row>
    <row r="144">
      <c r="A144" s="38"/>
      <c r="B144" s="38"/>
      <c r="C144" s="38"/>
      <c r="D144" s="38"/>
      <c r="E144" s="38"/>
      <c r="F144" s="41"/>
      <c r="G144" s="43"/>
      <c r="H144" s="45"/>
      <c r="I144" s="38"/>
      <c r="J144" s="38"/>
      <c r="K144" s="46"/>
      <c r="L144" s="47"/>
      <c r="M144" s="46"/>
      <c r="N144" s="46"/>
      <c r="O144" s="38"/>
      <c r="P144" s="38"/>
      <c r="Q144" s="12"/>
      <c r="R144" s="50"/>
      <c r="S144" s="50"/>
      <c r="T144" s="50"/>
      <c r="U144" s="53"/>
      <c r="V144" s="54"/>
      <c r="W144" s="56"/>
      <c r="X144" s="57"/>
      <c r="Y144" s="38"/>
      <c r="Z144" s="38"/>
      <c r="AH144" s="106"/>
      <c r="AI144" s="106"/>
      <c r="AJ144" s="106"/>
      <c r="AK144" s="106"/>
      <c r="AL144" s="106"/>
      <c r="AM144" s="106"/>
      <c r="AN144" s="106"/>
    </row>
    <row r="145">
      <c r="A145" s="100"/>
      <c r="B145" s="38"/>
      <c r="C145" s="38"/>
      <c r="D145" s="38"/>
      <c r="E145" s="38"/>
      <c r="F145" s="41"/>
      <c r="G145" s="62"/>
      <c r="H145" s="45"/>
      <c r="I145" s="38"/>
      <c r="J145" s="38"/>
      <c r="K145" s="46"/>
      <c r="L145" s="47"/>
      <c r="M145" s="46"/>
      <c r="N145" s="46"/>
      <c r="O145" s="60"/>
      <c r="P145" s="49"/>
      <c r="Q145" s="12"/>
      <c r="R145" s="50"/>
      <c r="S145" s="50"/>
      <c r="T145" s="50"/>
      <c r="U145" s="53"/>
      <c r="V145" s="54"/>
      <c r="W145" s="56"/>
      <c r="X145" s="57"/>
      <c r="Y145" s="38"/>
      <c r="Z145" s="38"/>
      <c r="AH145" s="106"/>
      <c r="AI145" s="106"/>
      <c r="AJ145" s="106"/>
      <c r="AK145" s="106"/>
      <c r="AL145" s="106"/>
      <c r="AM145" s="106"/>
      <c r="AN145" s="106"/>
    </row>
    <row r="146">
      <c r="A146" s="100"/>
      <c r="B146" s="38"/>
      <c r="C146" s="38"/>
      <c r="D146" s="38"/>
      <c r="E146" s="38"/>
      <c r="F146" s="41"/>
      <c r="G146" s="43"/>
      <c r="H146" s="45"/>
      <c r="I146" s="38"/>
      <c r="J146" s="38"/>
      <c r="K146" s="46"/>
      <c r="L146" s="47"/>
      <c r="M146" s="46"/>
      <c r="N146" s="46"/>
      <c r="O146" s="60"/>
      <c r="P146" s="49"/>
      <c r="Q146" s="12"/>
      <c r="R146" s="50"/>
      <c r="S146" s="50"/>
      <c r="T146" s="50"/>
      <c r="U146" s="53"/>
      <c r="V146" s="54"/>
      <c r="W146" s="56"/>
      <c r="X146" s="57"/>
      <c r="Y146" s="38"/>
      <c r="Z146" s="38"/>
      <c r="AH146" s="106"/>
      <c r="AI146" s="106"/>
      <c r="AJ146" s="106"/>
      <c r="AK146" s="106"/>
      <c r="AL146" s="106"/>
      <c r="AM146" s="106"/>
      <c r="AN146" s="106"/>
    </row>
    <row r="147">
      <c r="A147" s="100"/>
      <c r="B147" s="38"/>
      <c r="C147" s="38"/>
      <c r="D147" s="38"/>
      <c r="E147" s="38"/>
      <c r="F147" s="41"/>
      <c r="G147" s="43"/>
      <c r="H147" s="45"/>
      <c r="I147" s="38"/>
      <c r="J147" s="38"/>
      <c r="K147" s="46"/>
      <c r="L147" s="47"/>
      <c r="M147" s="46"/>
      <c r="N147" s="46"/>
      <c r="O147" s="60"/>
      <c r="P147" s="49"/>
      <c r="Q147" s="12"/>
      <c r="R147" s="50"/>
      <c r="S147" s="50"/>
      <c r="T147" s="50"/>
      <c r="U147" s="53"/>
      <c r="V147" s="54"/>
      <c r="W147" s="56"/>
      <c r="X147" s="57"/>
      <c r="Y147" s="38"/>
      <c r="Z147" s="38"/>
      <c r="AH147" s="106"/>
      <c r="AI147" s="106"/>
      <c r="AJ147" s="106"/>
      <c r="AK147" s="106"/>
      <c r="AL147" s="106"/>
      <c r="AM147" s="106"/>
      <c r="AN147" s="106"/>
    </row>
    <row r="148">
      <c r="A148" s="100"/>
      <c r="B148" s="38"/>
      <c r="C148" s="38"/>
      <c r="D148" s="38"/>
      <c r="E148" s="38"/>
      <c r="F148" s="41"/>
      <c r="G148" s="43"/>
      <c r="H148" s="45"/>
      <c r="I148" s="38"/>
      <c r="J148" s="38"/>
      <c r="K148" s="46"/>
      <c r="L148" s="47"/>
      <c r="M148" s="46"/>
      <c r="N148" s="46"/>
      <c r="O148" s="60"/>
      <c r="P148" s="49"/>
      <c r="Q148" s="12"/>
      <c r="R148" s="50"/>
      <c r="S148" s="50"/>
      <c r="T148" s="50"/>
      <c r="U148" s="53"/>
      <c r="V148" s="54"/>
      <c r="W148" s="56"/>
      <c r="X148" s="57"/>
      <c r="Y148" s="38"/>
      <c r="Z148" s="38"/>
      <c r="AH148" s="106"/>
      <c r="AI148" s="106"/>
      <c r="AJ148" s="106"/>
      <c r="AK148" s="106"/>
      <c r="AL148" s="106"/>
      <c r="AM148" s="106"/>
      <c r="AN148" s="106"/>
    </row>
    <row r="149">
      <c r="A149" s="100"/>
      <c r="B149" s="38"/>
      <c r="C149" s="38"/>
      <c r="D149" s="38"/>
      <c r="E149" s="38"/>
      <c r="F149" s="41"/>
      <c r="G149" s="43"/>
      <c r="H149" s="45"/>
      <c r="I149" s="38"/>
      <c r="J149" s="38"/>
      <c r="K149" s="46"/>
      <c r="L149" s="47"/>
      <c r="M149" s="46"/>
      <c r="N149" s="46"/>
      <c r="O149" s="60"/>
      <c r="P149" s="49"/>
      <c r="Q149" s="12"/>
      <c r="R149" s="50"/>
      <c r="S149" s="50"/>
      <c r="T149" s="50"/>
      <c r="U149" s="53"/>
      <c r="V149" s="54"/>
      <c r="W149" s="56"/>
      <c r="X149" s="57"/>
      <c r="Y149" s="38"/>
      <c r="Z149" s="38"/>
      <c r="AH149" s="106"/>
      <c r="AI149" s="106"/>
      <c r="AJ149" s="106"/>
      <c r="AK149" s="106"/>
      <c r="AL149" s="106"/>
      <c r="AM149" s="106"/>
      <c r="AN149" s="106"/>
    </row>
    <row r="150">
      <c r="A150" s="100"/>
      <c r="B150" s="38"/>
      <c r="C150" s="38"/>
      <c r="D150" s="38"/>
      <c r="E150" s="38"/>
      <c r="F150" s="41"/>
      <c r="G150" s="43"/>
      <c r="H150" s="45"/>
      <c r="I150" s="38"/>
      <c r="J150" s="38"/>
      <c r="K150" s="46"/>
      <c r="L150" s="47"/>
      <c r="M150" s="46"/>
      <c r="N150" s="46"/>
      <c r="O150" s="60"/>
      <c r="P150" s="49"/>
      <c r="Q150" s="12"/>
      <c r="R150" s="50"/>
      <c r="S150" s="50"/>
      <c r="T150" s="50"/>
      <c r="U150" s="53"/>
      <c r="V150" s="54"/>
      <c r="W150" s="56"/>
      <c r="X150" s="57"/>
      <c r="Y150" s="38"/>
      <c r="Z150" s="38"/>
      <c r="AH150" s="106"/>
      <c r="AI150" s="106"/>
      <c r="AJ150" s="106"/>
      <c r="AK150" s="106"/>
      <c r="AL150" s="106"/>
      <c r="AM150" s="106"/>
      <c r="AN150" s="106"/>
    </row>
    <row r="151">
      <c r="A151" s="100"/>
      <c r="B151" s="38"/>
      <c r="C151" s="38"/>
      <c r="D151" s="38"/>
      <c r="E151" s="38"/>
      <c r="F151" s="41"/>
      <c r="G151" s="43"/>
      <c r="H151" s="45"/>
      <c r="I151" s="38"/>
      <c r="J151" s="38"/>
      <c r="K151" s="46"/>
      <c r="L151" s="47"/>
      <c r="M151" s="46"/>
      <c r="N151" s="46"/>
      <c r="O151" s="60"/>
      <c r="P151" s="49"/>
      <c r="Q151" s="12"/>
      <c r="R151" s="50"/>
      <c r="S151" s="50"/>
      <c r="T151" s="50"/>
      <c r="U151" s="53"/>
      <c r="V151" s="54"/>
      <c r="W151" s="56"/>
      <c r="X151" s="57"/>
      <c r="Y151" s="38"/>
      <c r="Z151" s="38"/>
      <c r="AH151" s="106"/>
      <c r="AI151" s="106"/>
      <c r="AJ151" s="106"/>
      <c r="AK151" s="106"/>
      <c r="AL151" s="106"/>
      <c r="AM151" s="106"/>
      <c r="AN151" s="106"/>
    </row>
    <row r="152">
      <c r="A152" s="100"/>
      <c r="B152" s="38"/>
      <c r="C152" s="38"/>
      <c r="D152" s="38"/>
      <c r="E152" s="38"/>
      <c r="F152" s="41"/>
      <c r="G152" s="43"/>
      <c r="H152" s="45"/>
      <c r="I152" s="38"/>
      <c r="J152" s="38"/>
      <c r="K152" s="46"/>
      <c r="L152" s="47"/>
      <c r="M152" s="46"/>
      <c r="N152" s="46"/>
      <c r="O152" s="60"/>
      <c r="P152" s="49"/>
      <c r="Q152" s="12"/>
      <c r="R152" s="50"/>
      <c r="S152" s="50"/>
      <c r="T152" s="50"/>
      <c r="U152" s="53"/>
      <c r="V152" s="54"/>
      <c r="W152" s="56"/>
      <c r="X152" s="57"/>
      <c r="Y152" s="38"/>
      <c r="Z152" s="38"/>
      <c r="AH152" s="106"/>
      <c r="AI152" s="106"/>
      <c r="AJ152" s="106"/>
      <c r="AK152" s="106"/>
      <c r="AL152" s="106"/>
      <c r="AM152" s="106"/>
      <c r="AN152" s="106"/>
    </row>
    <row r="153">
      <c r="A153" s="100"/>
      <c r="B153" s="38"/>
      <c r="C153" s="38"/>
      <c r="D153" s="38"/>
      <c r="E153" s="38"/>
      <c r="F153" s="41"/>
      <c r="G153" s="43"/>
      <c r="H153" s="45"/>
      <c r="I153" s="38"/>
      <c r="J153" s="38"/>
      <c r="K153" s="46"/>
      <c r="L153" s="47"/>
      <c r="M153" s="46"/>
      <c r="N153" s="46"/>
      <c r="O153" s="60"/>
      <c r="P153" s="49"/>
      <c r="Q153" s="12"/>
      <c r="R153" s="50"/>
      <c r="S153" s="50"/>
      <c r="T153" s="50"/>
      <c r="U153" s="53"/>
      <c r="V153" s="54"/>
      <c r="W153" s="56"/>
      <c r="X153" s="57"/>
      <c r="Y153" s="38"/>
      <c r="Z153" s="38"/>
      <c r="AH153" s="106"/>
      <c r="AI153" s="106"/>
      <c r="AJ153" s="106"/>
      <c r="AK153" s="106"/>
      <c r="AL153" s="106"/>
      <c r="AM153" s="106"/>
      <c r="AN153" s="106"/>
    </row>
    <row r="154">
      <c r="A154" s="100"/>
      <c r="B154" s="38"/>
      <c r="C154" s="38"/>
      <c r="D154" s="38"/>
      <c r="E154" s="38"/>
      <c r="F154" s="41"/>
      <c r="G154" s="43"/>
      <c r="H154" s="45"/>
      <c r="I154" s="38"/>
      <c r="J154" s="38"/>
      <c r="K154" s="46"/>
      <c r="L154" s="47"/>
      <c r="M154" s="46"/>
      <c r="N154" s="46"/>
      <c r="O154" s="60"/>
      <c r="P154" s="49"/>
      <c r="Q154" s="12"/>
      <c r="R154" s="50"/>
      <c r="S154" s="50"/>
      <c r="T154" s="50"/>
      <c r="U154" s="53"/>
      <c r="V154" s="54"/>
      <c r="W154" s="56"/>
      <c r="X154" s="57"/>
      <c r="Y154" s="38"/>
      <c r="Z154" s="38"/>
      <c r="AH154" s="106"/>
      <c r="AI154" s="106"/>
      <c r="AJ154" s="106"/>
      <c r="AK154" s="106"/>
      <c r="AL154" s="106"/>
      <c r="AM154" s="106"/>
      <c r="AN154" s="106"/>
    </row>
    <row r="155">
      <c r="A155" s="100"/>
      <c r="B155" s="38"/>
      <c r="C155" s="38"/>
      <c r="D155" s="38"/>
      <c r="E155" s="38"/>
      <c r="F155" s="38"/>
      <c r="G155" s="38"/>
      <c r="H155" s="12"/>
      <c r="I155" s="38"/>
      <c r="J155" s="38"/>
      <c r="K155" s="46"/>
      <c r="L155" s="47"/>
      <c r="M155" s="46"/>
      <c r="N155" s="46"/>
      <c r="O155" s="60"/>
      <c r="P155" s="49"/>
      <c r="Q155" s="12"/>
      <c r="R155" s="50"/>
      <c r="S155" s="50"/>
      <c r="T155" s="50"/>
      <c r="U155" s="53"/>
      <c r="V155" s="54"/>
      <c r="W155" s="56"/>
      <c r="X155" s="57"/>
      <c r="Y155" s="38"/>
      <c r="Z155" s="38"/>
      <c r="AH155" s="106"/>
      <c r="AI155" s="106"/>
      <c r="AJ155" s="106"/>
      <c r="AK155" s="106"/>
      <c r="AL155" s="106"/>
      <c r="AM155" s="106"/>
      <c r="AN155" s="106"/>
    </row>
    <row r="156">
      <c r="A156" s="38"/>
      <c r="B156" s="38"/>
      <c r="C156" s="38"/>
      <c r="D156" s="38"/>
      <c r="E156" s="38"/>
      <c r="F156" s="41"/>
      <c r="G156" s="43"/>
      <c r="H156" s="45"/>
      <c r="I156" s="38"/>
      <c r="J156" s="38"/>
      <c r="K156" s="46"/>
      <c r="L156" s="47"/>
      <c r="M156" s="46"/>
      <c r="N156" s="46"/>
      <c r="O156" s="38"/>
      <c r="P156" s="38"/>
      <c r="Q156" s="12"/>
      <c r="R156" s="50"/>
      <c r="S156" s="50"/>
      <c r="T156" s="50"/>
      <c r="U156" s="53"/>
      <c r="V156" s="54"/>
      <c r="W156" s="56"/>
      <c r="X156" s="57"/>
      <c r="Y156" s="38"/>
      <c r="Z156" s="38"/>
      <c r="AH156" s="106"/>
      <c r="AI156" s="106"/>
      <c r="AJ156" s="106"/>
      <c r="AK156" s="106"/>
      <c r="AL156" s="106"/>
      <c r="AM156" s="106"/>
      <c r="AN156" s="106"/>
    </row>
    <row r="157">
      <c r="A157" s="38"/>
      <c r="B157" s="38"/>
      <c r="C157" s="38"/>
      <c r="D157" s="38"/>
      <c r="E157" s="38"/>
      <c r="F157" s="41"/>
      <c r="G157" s="43"/>
      <c r="H157" s="45"/>
      <c r="I157" s="38"/>
      <c r="J157" s="38"/>
      <c r="K157" s="46"/>
      <c r="L157" s="47"/>
      <c r="M157" s="46"/>
      <c r="N157" s="46"/>
      <c r="O157" s="38"/>
      <c r="P157" s="38"/>
      <c r="Q157" s="12"/>
      <c r="R157" s="50"/>
      <c r="S157" s="50"/>
      <c r="T157" s="50"/>
      <c r="U157" s="53"/>
      <c r="V157" s="54"/>
      <c r="W157" s="56"/>
      <c r="X157" s="57"/>
      <c r="Y157" s="38"/>
      <c r="Z157" s="38"/>
      <c r="AH157" s="106"/>
      <c r="AI157" s="106"/>
      <c r="AJ157" s="106"/>
      <c r="AK157" s="106"/>
      <c r="AL157" s="106"/>
      <c r="AM157" s="106"/>
      <c r="AN157" s="106"/>
    </row>
    <row r="158">
      <c r="A158" s="38"/>
      <c r="B158" s="38"/>
      <c r="C158" s="38"/>
      <c r="D158" s="38"/>
      <c r="E158" s="38"/>
      <c r="F158" s="41"/>
      <c r="G158" s="43"/>
      <c r="H158" s="45"/>
      <c r="I158" s="38"/>
      <c r="J158" s="38"/>
      <c r="K158" s="46"/>
      <c r="L158" s="47"/>
      <c r="M158" s="46"/>
      <c r="N158" s="46"/>
      <c r="O158" s="38"/>
      <c r="P158" s="38"/>
      <c r="Q158" s="12"/>
      <c r="R158" s="50"/>
      <c r="S158" s="50"/>
      <c r="T158" s="50"/>
      <c r="U158" s="53"/>
      <c r="V158" s="54"/>
      <c r="W158" s="56"/>
      <c r="X158" s="57"/>
      <c r="Y158" s="38"/>
      <c r="Z158" s="38"/>
      <c r="AH158" s="106"/>
      <c r="AI158" s="106"/>
      <c r="AJ158" s="106"/>
      <c r="AK158" s="106"/>
      <c r="AL158" s="106"/>
      <c r="AM158" s="106"/>
      <c r="AN158" s="106"/>
    </row>
    <row r="159">
      <c r="A159" s="38"/>
      <c r="B159" s="38"/>
      <c r="C159" s="38"/>
      <c r="D159" s="38"/>
      <c r="E159" s="38"/>
      <c r="F159" s="41"/>
      <c r="G159" s="43"/>
      <c r="H159" s="45"/>
      <c r="I159" s="38"/>
      <c r="J159" s="38"/>
      <c r="K159" s="46"/>
      <c r="L159" s="47"/>
      <c r="M159" s="46"/>
      <c r="N159" s="46"/>
      <c r="O159" s="38"/>
      <c r="P159" s="38"/>
      <c r="Q159" s="12"/>
      <c r="R159" s="50"/>
      <c r="S159" s="50"/>
      <c r="T159" s="50"/>
      <c r="U159" s="53"/>
      <c r="V159" s="54"/>
      <c r="W159" s="56"/>
      <c r="X159" s="57"/>
      <c r="Y159" s="38"/>
      <c r="Z159" s="38"/>
      <c r="AH159" s="106"/>
      <c r="AI159" s="106"/>
      <c r="AJ159" s="106"/>
      <c r="AK159" s="106"/>
      <c r="AL159" s="106"/>
      <c r="AM159" s="106"/>
      <c r="AN159" s="106"/>
    </row>
    <row r="160">
      <c r="A160" s="38"/>
      <c r="B160" s="39"/>
      <c r="C160" s="38"/>
      <c r="D160" s="39"/>
      <c r="E160" s="38"/>
      <c r="F160" s="41"/>
      <c r="G160" s="43"/>
      <c r="H160" s="45"/>
      <c r="I160" s="38"/>
      <c r="J160" s="38"/>
      <c r="K160" s="46"/>
      <c r="L160" s="47"/>
      <c r="M160" s="46"/>
      <c r="N160" s="46"/>
      <c r="O160" s="38"/>
      <c r="P160" s="38"/>
      <c r="Q160" s="12"/>
      <c r="R160" s="50"/>
      <c r="S160" s="50"/>
      <c r="T160" s="50"/>
      <c r="U160" s="53"/>
      <c r="V160" s="54"/>
      <c r="W160" s="56"/>
      <c r="X160" s="57"/>
      <c r="Y160" s="38"/>
      <c r="Z160" s="38"/>
      <c r="AH160" s="106"/>
      <c r="AI160" s="106"/>
      <c r="AJ160" s="106"/>
      <c r="AK160" s="106"/>
      <c r="AL160" s="106"/>
      <c r="AM160" s="106"/>
      <c r="AN160" s="106"/>
    </row>
    <row r="161">
      <c r="A161" s="112"/>
      <c r="B161" s="39"/>
      <c r="C161" s="38"/>
      <c r="D161" s="39"/>
      <c r="E161" s="113"/>
      <c r="F161" s="113"/>
      <c r="G161" s="112"/>
      <c r="H161" s="113"/>
      <c r="I161" s="113"/>
      <c r="J161" s="113"/>
      <c r="K161" s="46"/>
      <c r="L161" s="113"/>
      <c r="M161" s="46"/>
      <c r="N161" s="46"/>
      <c r="O161" s="60"/>
      <c r="P161" s="114"/>
      <c r="Q161" s="12"/>
      <c r="R161" s="115"/>
      <c r="S161" s="115"/>
      <c r="T161" s="115"/>
      <c r="U161" s="116"/>
      <c r="V161" s="117"/>
      <c r="W161" s="118"/>
      <c r="X161" s="119"/>
      <c r="Y161" s="113"/>
      <c r="Z161" s="113"/>
      <c r="AH161" s="106"/>
      <c r="AI161" s="106"/>
      <c r="AJ161" s="106"/>
      <c r="AK161" s="106"/>
      <c r="AL161" s="106"/>
      <c r="AM161" s="106"/>
      <c r="AN161" s="106"/>
    </row>
    <row r="162">
      <c r="A162" s="38"/>
      <c r="B162" s="38"/>
      <c r="C162" s="38"/>
      <c r="D162" s="38"/>
      <c r="E162" s="38"/>
      <c r="F162" s="41"/>
      <c r="G162" s="43"/>
      <c r="H162" s="45"/>
      <c r="I162" s="38"/>
      <c r="J162" s="38"/>
      <c r="K162" s="46"/>
      <c r="L162" s="47"/>
      <c r="M162" s="46"/>
      <c r="N162" s="46"/>
      <c r="O162" s="38"/>
      <c r="P162" s="38"/>
      <c r="Q162" s="12"/>
      <c r="R162" s="50"/>
      <c r="S162" s="50"/>
      <c r="T162" s="50"/>
      <c r="U162" s="53"/>
      <c r="V162" s="54"/>
      <c r="W162" s="56"/>
      <c r="X162" s="57"/>
      <c r="Y162" s="38"/>
      <c r="Z162" s="38"/>
      <c r="AH162" s="106"/>
      <c r="AI162" s="106"/>
      <c r="AJ162" s="106"/>
      <c r="AK162" s="106"/>
      <c r="AL162" s="106"/>
      <c r="AM162" s="106"/>
      <c r="AN162" s="106"/>
    </row>
    <row r="163">
      <c r="A163" s="38"/>
      <c r="B163" s="38"/>
      <c r="C163" s="38"/>
      <c r="D163" s="38"/>
      <c r="E163" s="38"/>
      <c r="F163" s="41"/>
      <c r="G163" s="43"/>
      <c r="H163" s="45"/>
      <c r="I163" s="38"/>
      <c r="J163" s="38"/>
      <c r="K163" s="46"/>
      <c r="L163" s="47"/>
      <c r="M163" s="46"/>
      <c r="N163" s="46"/>
      <c r="O163" s="38"/>
      <c r="P163" s="38"/>
      <c r="Q163" s="12"/>
      <c r="R163" s="50"/>
      <c r="S163" s="50"/>
      <c r="T163" s="50"/>
      <c r="U163" s="53"/>
      <c r="V163" s="54"/>
      <c r="W163" s="56"/>
      <c r="X163" s="57"/>
      <c r="Y163" s="38"/>
      <c r="Z163" s="38"/>
      <c r="AH163" s="106"/>
      <c r="AI163" s="106"/>
      <c r="AJ163" s="106"/>
      <c r="AK163" s="106"/>
      <c r="AL163" s="106"/>
      <c r="AM163" s="106"/>
      <c r="AN163" s="106"/>
    </row>
    <row r="164">
      <c r="A164" s="38"/>
      <c r="B164" s="38"/>
      <c r="C164" s="38"/>
      <c r="D164" s="38"/>
      <c r="E164" s="38"/>
      <c r="F164" s="41"/>
      <c r="G164" s="43"/>
      <c r="H164" s="45"/>
      <c r="I164" s="38"/>
      <c r="J164" s="38"/>
      <c r="K164" s="46"/>
      <c r="L164" s="47"/>
      <c r="M164" s="46"/>
      <c r="N164" s="46"/>
      <c r="O164" s="38"/>
      <c r="P164" s="38"/>
      <c r="Q164" s="12"/>
      <c r="R164" s="50"/>
      <c r="S164" s="50"/>
      <c r="T164" s="50"/>
      <c r="U164" s="53"/>
      <c r="V164" s="54"/>
      <c r="W164" s="56"/>
      <c r="X164" s="57"/>
      <c r="Y164" s="38"/>
      <c r="Z164" s="38"/>
      <c r="AH164" s="106"/>
      <c r="AI164" s="106"/>
      <c r="AJ164" s="106"/>
      <c r="AK164" s="106"/>
      <c r="AL164" s="106"/>
      <c r="AM164" s="106"/>
      <c r="AN164" s="106"/>
    </row>
    <row r="165">
      <c r="A165" s="38"/>
      <c r="B165" s="38"/>
      <c r="C165" s="38"/>
      <c r="D165" s="38"/>
      <c r="E165" s="38"/>
      <c r="F165" s="41"/>
      <c r="G165" s="43"/>
      <c r="H165" s="45"/>
      <c r="I165" s="38"/>
      <c r="J165" s="38"/>
      <c r="K165" s="46"/>
      <c r="L165" s="47"/>
      <c r="M165" s="46"/>
      <c r="N165" s="46"/>
      <c r="O165" s="38"/>
      <c r="P165" s="38"/>
      <c r="Q165" s="12"/>
      <c r="R165" s="50"/>
      <c r="S165" s="50"/>
      <c r="T165" s="50"/>
      <c r="U165" s="53"/>
      <c r="V165" s="54"/>
      <c r="W165" s="56"/>
      <c r="X165" s="57"/>
      <c r="Y165" s="38"/>
      <c r="Z165" s="38"/>
      <c r="AH165" s="106"/>
      <c r="AI165" s="106"/>
      <c r="AJ165" s="106"/>
      <c r="AK165" s="106"/>
      <c r="AL165" s="106"/>
      <c r="AM165" s="106"/>
      <c r="AN165" s="106"/>
    </row>
    <row r="166">
      <c r="A166" s="38"/>
      <c r="B166" s="38"/>
      <c r="C166" s="38"/>
      <c r="D166" s="38"/>
      <c r="E166" s="38"/>
      <c r="F166" s="41"/>
      <c r="G166" s="43"/>
      <c r="H166" s="45"/>
      <c r="I166" s="38"/>
      <c r="J166" s="38"/>
      <c r="K166" s="46"/>
      <c r="L166" s="47"/>
      <c r="M166" s="46"/>
      <c r="N166" s="46"/>
      <c r="O166" s="38"/>
      <c r="P166" s="38"/>
      <c r="Q166" s="12"/>
      <c r="R166" s="50"/>
      <c r="S166" s="50"/>
      <c r="T166" s="50"/>
      <c r="U166" s="53"/>
      <c r="V166" s="54"/>
      <c r="W166" s="56"/>
      <c r="X166" s="57"/>
      <c r="Y166" s="38"/>
      <c r="Z166" s="38"/>
      <c r="AH166" s="106"/>
      <c r="AI166" s="106"/>
      <c r="AJ166" s="106"/>
      <c r="AK166" s="106"/>
      <c r="AL166" s="106"/>
      <c r="AM166" s="106"/>
      <c r="AN166" s="106"/>
    </row>
    <row r="167">
      <c r="A167" s="38"/>
      <c r="B167" s="38"/>
      <c r="C167" s="38"/>
      <c r="D167" s="38"/>
      <c r="E167" s="38"/>
      <c r="F167" s="41"/>
      <c r="G167" s="43"/>
      <c r="H167" s="45"/>
      <c r="I167" s="38"/>
      <c r="J167" s="38"/>
      <c r="K167" s="46"/>
      <c r="L167" s="47"/>
      <c r="M167" s="46"/>
      <c r="N167" s="46"/>
      <c r="O167" s="38"/>
      <c r="P167" s="38"/>
      <c r="Q167" s="12"/>
      <c r="R167" s="50"/>
      <c r="S167" s="50"/>
      <c r="T167" s="50"/>
      <c r="U167" s="53"/>
      <c r="V167" s="54"/>
      <c r="W167" s="56"/>
      <c r="X167" s="57"/>
      <c r="Y167" s="38"/>
      <c r="Z167" s="38"/>
      <c r="AH167" s="106"/>
      <c r="AI167" s="106"/>
      <c r="AJ167" s="106"/>
      <c r="AK167" s="106"/>
      <c r="AL167" s="106"/>
      <c r="AM167" s="106"/>
      <c r="AN167" s="106"/>
    </row>
    <row r="168">
      <c r="A168" s="38"/>
      <c r="B168" s="38"/>
      <c r="C168" s="38"/>
      <c r="D168" s="38"/>
      <c r="E168" s="38"/>
      <c r="F168" s="41"/>
      <c r="G168" s="43"/>
      <c r="H168" s="45"/>
      <c r="I168" s="38"/>
      <c r="J168" s="38"/>
      <c r="K168" s="46"/>
      <c r="L168" s="47"/>
      <c r="M168" s="46"/>
      <c r="N168" s="46"/>
      <c r="O168" s="38"/>
      <c r="P168" s="38"/>
      <c r="Q168" s="12"/>
      <c r="R168" s="50"/>
      <c r="S168" s="50"/>
      <c r="T168" s="50"/>
      <c r="U168" s="53"/>
      <c r="V168" s="54"/>
      <c r="W168" s="56"/>
      <c r="X168" s="57"/>
      <c r="Y168" s="38"/>
      <c r="Z168" s="38"/>
      <c r="AH168" s="106"/>
      <c r="AI168" s="106"/>
      <c r="AJ168" s="106"/>
      <c r="AK168" s="106"/>
      <c r="AL168" s="106"/>
      <c r="AM168" s="106"/>
      <c r="AN168" s="106"/>
    </row>
    <row r="169">
      <c r="A169" s="38"/>
      <c r="B169" s="38"/>
      <c r="C169" s="38"/>
      <c r="D169" s="38"/>
      <c r="E169" s="38"/>
      <c r="F169" s="41"/>
      <c r="G169" s="43"/>
      <c r="H169" s="45"/>
      <c r="I169" s="38"/>
      <c r="J169" s="38"/>
      <c r="K169" s="46"/>
      <c r="L169" s="47"/>
      <c r="M169" s="46"/>
      <c r="N169" s="46"/>
      <c r="O169" s="38"/>
      <c r="P169" s="38"/>
      <c r="Q169" s="12"/>
      <c r="R169" s="50"/>
      <c r="S169" s="50"/>
      <c r="T169" s="50"/>
      <c r="U169" s="53"/>
      <c r="V169" s="54"/>
      <c r="W169" s="56"/>
      <c r="X169" s="57"/>
      <c r="Y169" s="38"/>
      <c r="Z169" s="38"/>
      <c r="AH169" s="106"/>
      <c r="AI169" s="106"/>
      <c r="AJ169" s="106"/>
      <c r="AK169" s="106"/>
      <c r="AL169" s="106"/>
      <c r="AM169" s="106"/>
      <c r="AN169" s="106"/>
    </row>
    <row r="170">
      <c r="A170" s="38"/>
      <c r="B170" s="38"/>
      <c r="C170" s="38"/>
      <c r="D170" s="38"/>
      <c r="E170" s="38"/>
      <c r="F170" s="41"/>
      <c r="G170" s="43"/>
      <c r="H170" s="45"/>
      <c r="I170" s="38"/>
      <c r="J170" s="38"/>
      <c r="K170" s="46"/>
      <c r="L170" s="47"/>
      <c r="M170" s="46"/>
      <c r="N170" s="46"/>
      <c r="O170" s="38"/>
      <c r="P170" s="38"/>
      <c r="Q170" s="12"/>
      <c r="R170" s="50"/>
      <c r="S170" s="50"/>
      <c r="T170" s="50"/>
      <c r="U170" s="53"/>
      <c r="V170" s="54"/>
      <c r="W170" s="56"/>
      <c r="X170" s="57"/>
      <c r="Y170" s="38"/>
      <c r="Z170" s="38"/>
      <c r="AH170" s="106"/>
      <c r="AI170" s="106"/>
      <c r="AJ170" s="106"/>
      <c r="AK170" s="106"/>
      <c r="AL170" s="106"/>
      <c r="AM170" s="106"/>
      <c r="AN170" s="106"/>
    </row>
    <row r="171">
      <c r="A171" s="38"/>
      <c r="B171" s="38"/>
      <c r="C171" s="38"/>
      <c r="D171" s="38"/>
      <c r="E171" s="38"/>
      <c r="F171" s="41"/>
      <c r="G171" s="43"/>
      <c r="H171" s="45"/>
      <c r="I171" s="38"/>
      <c r="J171" s="38"/>
      <c r="K171" s="46"/>
      <c r="L171" s="47"/>
      <c r="M171" s="46"/>
      <c r="N171" s="46"/>
      <c r="O171" s="38"/>
      <c r="P171" s="38"/>
      <c r="Q171" s="12"/>
      <c r="R171" s="50"/>
      <c r="S171" s="50"/>
      <c r="T171" s="50"/>
      <c r="U171" s="53"/>
      <c r="V171" s="54"/>
      <c r="W171" s="56"/>
      <c r="X171" s="57"/>
      <c r="Y171" s="38"/>
      <c r="Z171" s="38"/>
      <c r="AH171" s="106"/>
      <c r="AI171" s="106"/>
      <c r="AJ171" s="106"/>
      <c r="AK171" s="106"/>
      <c r="AL171" s="106"/>
      <c r="AM171" s="106"/>
      <c r="AN171" s="106"/>
    </row>
    <row r="172">
      <c r="A172" s="38"/>
      <c r="B172" s="38"/>
      <c r="C172" s="38"/>
      <c r="D172" s="38"/>
      <c r="E172" s="38"/>
      <c r="F172" s="41"/>
      <c r="G172" s="43"/>
      <c r="H172" s="45"/>
      <c r="I172" s="38"/>
      <c r="J172" s="38"/>
      <c r="K172" s="46"/>
      <c r="L172" s="47"/>
      <c r="M172" s="46"/>
      <c r="N172" s="46"/>
      <c r="O172" s="38"/>
      <c r="P172" s="38"/>
      <c r="Q172" s="12"/>
      <c r="R172" s="50"/>
      <c r="S172" s="50"/>
      <c r="T172" s="50"/>
      <c r="U172" s="53"/>
      <c r="V172" s="54"/>
      <c r="W172" s="56"/>
      <c r="X172" s="119"/>
      <c r="Y172" s="113"/>
      <c r="Z172" s="113"/>
      <c r="AH172" s="106"/>
      <c r="AI172" s="106"/>
      <c r="AJ172" s="106"/>
      <c r="AK172" s="106"/>
      <c r="AL172" s="106"/>
      <c r="AM172" s="106"/>
      <c r="AN172" s="106"/>
    </row>
    <row r="173">
      <c r="A173" s="39"/>
      <c r="B173" s="39"/>
      <c r="C173" s="38"/>
      <c r="D173" s="38"/>
      <c r="E173" s="38"/>
      <c r="F173" s="41"/>
      <c r="G173" s="43"/>
      <c r="H173" s="45"/>
      <c r="I173" s="38"/>
      <c r="J173" s="38"/>
      <c r="K173" s="46"/>
      <c r="L173" s="47"/>
      <c r="M173" s="46"/>
      <c r="N173" s="46"/>
      <c r="O173" s="38"/>
      <c r="P173" s="88"/>
      <c r="Q173" s="12"/>
      <c r="R173" s="38"/>
      <c r="S173" s="38"/>
      <c r="T173" s="38"/>
      <c r="U173" s="38"/>
      <c r="V173" s="38"/>
      <c r="W173" s="38"/>
      <c r="X173" s="57"/>
      <c r="Y173" s="38"/>
      <c r="Z173" s="38"/>
      <c r="AA173" s="38"/>
      <c r="AB173" s="38"/>
      <c r="AC173" s="79"/>
      <c r="AD173" s="79"/>
      <c r="AE173" s="79"/>
      <c r="AF173" s="79"/>
      <c r="AG173" s="79"/>
      <c r="AH173" s="106"/>
      <c r="AI173" s="106"/>
      <c r="AJ173" s="106"/>
      <c r="AK173" s="106"/>
      <c r="AL173" s="106"/>
      <c r="AM173" s="106"/>
      <c r="AN173" s="106"/>
    </row>
    <row r="174">
      <c r="A174" s="39"/>
      <c r="B174" s="39"/>
      <c r="C174" s="38"/>
      <c r="D174" s="38"/>
      <c r="E174" s="38"/>
      <c r="F174" s="43"/>
      <c r="G174" s="39"/>
      <c r="H174" s="71"/>
      <c r="I174" s="38"/>
      <c r="J174" s="38"/>
      <c r="K174" s="46"/>
      <c r="L174" s="47"/>
      <c r="M174" s="46"/>
      <c r="N174" s="46"/>
      <c r="O174" s="60"/>
      <c r="P174" s="64"/>
      <c r="Q174" s="12"/>
      <c r="R174" s="67"/>
      <c r="S174" s="67"/>
      <c r="T174" s="67"/>
      <c r="U174" s="53"/>
      <c r="V174" s="54"/>
      <c r="W174" s="56"/>
      <c r="X174" s="57"/>
      <c r="Y174" s="38"/>
      <c r="Z174" s="38"/>
      <c r="AA174" s="65"/>
      <c r="AB174" s="65"/>
      <c r="AC174" s="65"/>
      <c r="AD174" s="65"/>
      <c r="AE174" s="65"/>
      <c r="AF174" s="65"/>
      <c r="AG174" s="65"/>
      <c r="AH174" s="106"/>
      <c r="AI174" s="106"/>
      <c r="AJ174" s="106"/>
      <c r="AK174" s="106"/>
      <c r="AL174" s="106"/>
      <c r="AM174" s="106"/>
      <c r="AN174" s="106"/>
    </row>
    <row r="175">
      <c r="A175" s="39"/>
      <c r="B175" s="39"/>
      <c r="C175" s="38"/>
      <c r="D175" s="38"/>
      <c r="E175" s="38"/>
      <c r="F175" s="43"/>
      <c r="G175" s="39"/>
      <c r="H175" s="71"/>
      <c r="I175" s="38"/>
      <c r="J175" s="38"/>
      <c r="K175" s="46"/>
      <c r="L175" s="47"/>
      <c r="M175" s="46"/>
      <c r="N175" s="46"/>
      <c r="O175" s="60"/>
      <c r="P175" s="64"/>
      <c r="Q175" s="12"/>
      <c r="R175" s="67"/>
      <c r="S175" s="67"/>
      <c r="T175" s="67"/>
      <c r="U175" s="53"/>
      <c r="V175" s="54"/>
      <c r="W175" s="56"/>
      <c r="X175" s="57"/>
      <c r="Y175" s="38"/>
      <c r="Z175" s="38"/>
      <c r="AA175" s="65"/>
      <c r="AB175" s="65"/>
      <c r="AC175" s="65"/>
      <c r="AD175" s="65"/>
      <c r="AE175" s="65"/>
      <c r="AF175" s="65"/>
      <c r="AG175" s="65"/>
      <c r="AH175" s="106"/>
      <c r="AI175" s="106"/>
      <c r="AJ175" s="106"/>
      <c r="AK175" s="106"/>
      <c r="AL175" s="106"/>
      <c r="AM175" s="106"/>
      <c r="AN175" s="106"/>
    </row>
    <row r="176">
      <c r="A176" s="39"/>
      <c r="B176" s="39"/>
      <c r="C176" s="38"/>
      <c r="D176" s="38"/>
      <c r="E176" s="38"/>
      <c r="F176" s="43"/>
      <c r="G176" s="39"/>
      <c r="H176" s="71"/>
      <c r="I176" s="38"/>
      <c r="J176" s="38"/>
      <c r="K176" s="46"/>
      <c r="L176" s="47"/>
      <c r="M176" s="46"/>
      <c r="N176" s="46"/>
      <c r="O176" s="60"/>
      <c r="P176" s="64"/>
      <c r="Q176" s="12"/>
      <c r="R176" s="67"/>
      <c r="S176" s="67"/>
      <c r="T176" s="67"/>
      <c r="U176" s="53"/>
      <c r="V176" s="54"/>
      <c r="W176" s="56"/>
      <c r="X176" s="69"/>
      <c r="Y176" s="39"/>
      <c r="Z176" s="39"/>
      <c r="AA176" s="65"/>
      <c r="AB176" s="65"/>
      <c r="AC176" s="65"/>
      <c r="AD176" s="65"/>
      <c r="AE176" s="65"/>
      <c r="AF176" s="65"/>
      <c r="AG176" s="65"/>
      <c r="AH176" s="106"/>
      <c r="AI176" s="106"/>
      <c r="AJ176" s="106"/>
      <c r="AK176" s="106"/>
      <c r="AL176" s="106"/>
      <c r="AM176" s="106"/>
      <c r="AN176" s="106"/>
    </row>
    <row r="177">
      <c r="A177" s="39"/>
      <c r="B177" s="39"/>
      <c r="C177" s="38"/>
      <c r="D177" s="38"/>
      <c r="E177" s="38"/>
      <c r="F177" s="43"/>
      <c r="G177" s="39"/>
      <c r="H177" s="71"/>
      <c r="I177" s="38"/>
      <c r="J177" s="38"/>
      <c r="K177" s="46"/>
      <c r="L177" s="47"/>
      <c r="M177" s="46"/>
      <c r="N177" s="46"/>
      <c r="O177" s="60"/>
      <c r="P177" s="64"/>
      <c r="Q177" s="12"/>
      <c r="R177" s="67"/>
      <c r="S177" s="67"/>
      <c r="T177" s="67"/>
      <c r="U177" s="53"/>
      <c r="V177" s="54"/>
      <c r="W177" s="56"/>
      <c r="X177" s="57"/>
      <c r="Y177" s="38"/>
      <c r="Z177" s="38"/>
      <c r="AA177" s="65"/>
      <c r="AB177" s="65"/>
      <c r="AC177" s="65"/>
      <c r="AD177" s="65"/>
      <c r="AE177" s="65"/>
      <c r="AF177" s="65"/>
      <c r="AG177" s="65"/>
      <c r="AH177" s="106"/>
      <c r="AI177" s="106"/>
      <c r="AJ177" s="106"/>
      <c r="AK177" s="106"/>
      <c r="AL177" s="106"/>
      <c r="AM177" s="106"/>
      <c r="AN177" s="106"/>
    </row>
    <row r="178">
      <c r="A178" s="39"/>
      <c r="B178" s="39"/>
      <c r="C178" s="38"/>
      <c r="D178" s="38"/>
      <c r="E178" s="38"/>
      <c r="F178" s="43"/>
      <c r="G178" s="39"/>
      <c r="H178" s="71"/>
      <c r="I178" s="38"/>
      <c r="J178" s="38"/>
      <c r="K178" s="46"/>
      <c r="L178" s="47"/>
      <c r="M178" s="46"/>
      <c r="N178" s="46"/>
      <c r="O178" s="60"/>
      <c r="P178" s="64"/>
      <c r="Q178" s="12"/>
      <c r="R178" s="67"/>
      <c r="S178" s="67"/>
      <c r="T178" s="67"/>
      <c r="U178" s="53"/>
      <c r="V178" s="54"/>
      <c r="W178" s="56"/>
      <c r="X178" s="57"/>
      <c r="Y178" s="38"/>
      <c r="Z178" s="38"/>
      <c r="AA178" s="65"/>
      <c r="AB178" s="65"/>
      <c r="AC178" s="65"/>
      <c r="AD178" s="65"/>
      <c r="AE178" s="65"/>
      <c r="AF178" s="65"/>
      <c r="AG178" s="65"/>
      <c r="AH178" s="106"/>
      <c r="AI178" s="106"/>
      <c r="AJ178" s="106"/>
      <c r="AK178" s="106"/>
      <c r="AL178" s="106"/>
      <c r="AM178" s="106"/>
      <c r="AN178" s="106"/>
    </row>
    <row r="179">
      <c r="A179" s="39"/>
      <c r="B179" s="39"/>
      <c r="C179" s="38"/>
      <c r="D179" s="38"/>
      <c r="E179" s="38"/>
      <c r="F179" s="43"/>
      <c r="G179" s="39"/>
      <c r="H179" s="71"/>
      <c r="I179" s="38"/>
      <c r="J179" s="38"/>
      <c r="K179" s="46"/>
      <c r="L179" s="47"/>
      <c r="M179" s="46"/>
      <c r="N179" s="46"/>
      <c r="O179" s="60"/>
      <c r="P179" s="64"/>
      <c r="Q179" s="12"/>
      <c r="R179" s="67"/>
      <c r="S179" s="67"/>
      <c r="T179" s="67"/>
      <c r="U179" s="53"/>
      <c r="V179" s="54"/>
      <c r="W179" s="56"/>
      <c r="X179" s="57"/>
      <c r="Y179" s="38"/>
      <c r="Z179" s="38"/>
      <c r="AA179" s="65"/>
      <c r="AB179" s="65"/>
      <c r="AC179" s="65"/>
      <c r="AD179" s="65"/>
      <c r="AE179" s="65"/>
      <c r="AF179" s="65"/>
      <c r="AG179" s="65"/>
      <c r="AH179" s="106"/>
      <c r="AI179" s="106"/>
      <c r="AJ179" s="106"/>
      <c r="AK179" s="106"/>
      <c r="AL179" s="106"/>
      <c r="AM179" s="106"/>
      <c r="AN179" s="106"/>
    </row>
    <row r="180">
      <c r="A180" s="39"/>
      <c r="B180" s="39"/>
      <c r="C180" s="38"/>
      <c r="D180" s="38"/>
      <c r="E180" s="38"/>
      <c r="F180" s="43"/>
      <c r="G180" s="39"/>
      <c r="H180" s="71"/>
      <c r="I180" s="38"/>
      <c r="J180" s="38"/>
      <c r="K180" s="46"/>
      <c r="L180" s="47"/>
      <c r="M180" s="46"/>
      <c r="N180" s="46"/>
      <c r="O180" s="60"/>
      <c r="P180" s="64"/>
      <c r="Q180" s="12"/>
      <c r="R180" s="67"/>
      <c r="S180" s="67"/>
      <c r="T180" s="67"/>
      <c r="U180" s="53"/>
      <c r="V180" s="54"/>
      <c r="W180" s="56"/>
      <c r="X180" s="57"/>
      <c r="Y180" s="38"/>
      <c r="Z180" s="38"/>
      <c r="AA180" s="65"/>
      <c r="AB180" s="65"/>
      <c r="AC180" s="65"/>
      <c r="AD180" s="65"/>
      <c r="AE180" s="65"/>
      <c r="AF180" s="65"/>
      <c r="AG180" s="65"/>
      <c r="AH180" s="106"/>
      <c r="AI180" s="106"/>
      <c r="AJ180" s="106"/>
      <c r="AK180" s="106"/>
      <c r="AL180" s="106"/>
      <c r="AM180" s="106"/>
      <c r="AN180" s="106"/>
    </row>
    <row r="181">
      <c r="A181" s="38"/>
      <c r="B181" s="38"/>
      <c r="C181" s="38"/>
      <c r="D181" s="38"/>
      <c r="E181" s="38"/>
      <c r="F181" s="41"/>
      <c r="G181" s="43"/>
      <c r="H181" s="45"/>
      <c r="I181" s="38"/>
      <c r="J181" s="38"/>
      <c r="K181" s="46"/>
      <c r="L181" s="47"/>
      <c r="M181" s="46"/>
      <c r="N181" s="46"/>
      <c r="O181" s="38"/>
      <c r="P181" s="38"/>
      <c r="Q181" s="12"/>
      <c r="R181" s="50"/>
      <c r="S181" s="50"/>
      <c r="T181" s="50"/>
      <c r="U181" s="53"/>
      <c r="V181" s="54"/>
      <c r="W181" s="56"/>
      <c r="X181" s="119"/>
      <c r="Y181" s="113"/>
      <c r="Z181" s="113"/>
      <c r="AH181" s="106"/>
      <c r="AI181" s="106"/>
      <c r="AJ181" s="106"/>
      <c r="AK181" s="106"/>
      <c r="AL181" s="106"/>
      <c r="AM181" s="106"/>
      <c r="AN181" s="106"/>
    </row>
    <row r="182">
      <c r="A182" s="38"/>
      <c r="B182" s="38"/>
      <c r="C182" s="38"/>
      <c r="D182" s="38"/>
      <c r="E182" s="38"/>
      <c r="F182" s="41"/>
      <c r="G182" s="43"/>
      <c r="H182" s="45"/>
      <c r="I182" s="38"/>
      <c r="J182" s="38"/>
      <c r="K182" s="46"/>
      <c r="L182" s="47"/>
      <c r="M182" s="46"/>
      <c r="N182" s="46"/>
      <c r="O182" s="38"/>
      <c r="P182" s="38"/>
      <c r="Q182" s="12"/>
      <c r="R182" s="50"/>
      <c r="S182" s="50"/>
      <c r="T182" s="50"/>
      <c r="U182" s="53"/>
      <c r="V182" s="54"/>
      <c r="W182" s="56"/>
      <c r="X182" s="119"/>
      <c r="Y182" s="113"/>
      <c r="Z182" s="113"/>
      <c r="AH182" s="106"/>
      <c r="AI182" s="106"/>
      <c r="AJ182" s="106"/>
      <c r="AK182" s="106"/>
      <c r="AL182" s="106"/>
      <c r="AM182" s="106"/>
      <c r="AN182" s="106"/>
    </row>
    <row r="183">
      <c r="A183" s="38"/>
      <c r="B183" s="39"/>
      <c r="C183" s="38"/>
      <c r="D183" s="39"/>
      <c r="E183" s="38"/>
      <c r="F183" s="41"/>
      <c r="G183" s="43"/>
      <c r="H183" s="45"/>
      <c r="I183" s="38"/>
      <c r="J183" s="38"/>
      <c r="K183" s="46"/>
      <c r="L183" s="47"/>
      <c r="M183" s="46"/>
      <c r="N183" s="46"/>
      <c r="O183" s="38"/>
      <c r="P183" s="89"/>
      <c r="Q183" s="12"/>
      <c r="R183" s="50"/>
      <c r="S183" s="50"/>
      <c r="T183" s="50"/>
      <c r="U183" s="53"/>
      <c r="V183" s="54"/>
      <c r="W183" s="56"/>
      <c r="X183" s="119"/>
      <c r="Y183" s="113"/>
      <c r="Z183" s="113"/>
      <c r="AH183" s="106"/>
      <c r="AI183" s="106"/>
      <c r="AJ183" s="106"/>
      <c r="AK183" s="106"/>
      <c r="AL183" s="106"/>
      <c r="AM183" s="106"/>
      <c r="AN183" s="106"/>
    </row>
    <row r="184">
      <c r="A184" s="120"/>
      <c r="B184" s="39"/>
      <c r="C184" s="38"/>
      <c r="D184" s="39"/>
      <c r="E184" s="113"/>
      <c r="F184" s="113"/>
      <c r="G184" s="112"/>
      <c r="H184" s="113"/>
      <c r="I184" s="113"/>
      <c r="J184" s="113"/>
      <c r="K184" s="46"/>
      <c r="L184" s="113"/>
      <c r="M184" s="46"/>
      <c r="N184" s="46"/>
      <c r="O184" s="60"/>
      <c r="P184" s="114"/>
      <c r="Q184" s="12"/>
      <c r="R184" s="115"/>
      <c r="S184" s="115"/>
      <c r="T184" s="115"/>
      <c r="U184" s="116"/>
      <c r="V184" s="117"/>
      <c r="W184" s="118"/>
      <c r="X184" s="119"/>
      <c r="Y184" s="113"/>
      <c r="Z184" s="113"/>
      <c r="AH184" s="106"/>
      <c r="AI184" s="106"/>
      <c r="AJ184" s="106"/>
      <c r="AK184" s="106"/>
      <c r="AL184" s="106"/>
      <c r="AM184" s="106"/>
      <c r="AN184" s="106"/>
    </row>
    <row r="185">
      <c r="A185" s="120"/>
      <c r="B185" s="39"/>
      <c r="C185" s="38"/>
      <c r="D185" s="39"/>
      <c r="E185" s="113"/>
      <c r="F185" s="113"/>
      <c r="G185" s="112"/>
      <c r="H185" s="112"/>
      <c r="I185" s="113"/>
      <c r="J185" s="113"/>
      <c r="K185" s="46"/>
      <c r="L185" s="113"/>
      <c r="M185" s="46"/>
      <c r="N185" s="46"/>
      <c r="O185" s="60"/>
      <c r="P185" s="114"/>
      <c r="Q185" s="12"/>
      <c r="R185" s="115"/>
      <c r="S185" s="115"/>
      <c r="T185" s="115"/>
      <c r="U185" s="116"/>
      <c r="V185" s="117"/>
      <c r="W185" s="118"/>
      <c r="X185" s="119"/>
      <c r="Y185" s="113"/>
      <c r="Z185" s="113"/>
      <c r="AH185" s="106"/>
      <c r="AI185" s="106"/>
      <c r="AJ185" s="106"/>
      <c r="AK185" s="106"/>
      <c r="AL185" s="106"/>
      <c r="AM185" s="106"/>
      <c r="AN185" s="106"/>
    </row>
    <row r="186">
      <c r="A186" s="120"/>
      <c r="B186" s="39"/>
      <c r="C186" s="38"/>
      <c r="D186" s="39"/>
      <c r="E186" s="113"/>
      <c r="F186" s="113"/>
      <c r="G186" s="112"/>
      <c r="H186" s="113"/>
      <c r="I186" s="113"/>
      <c r="J186" s="113"/>
      <c r="K186" s="46"/>
      <c r="L186" s="113"/>
      <c r="M186" s="46"/>
      <c r="N186" s="46"/>
      <c r="O186" s="60"/>
      <c r="P186" s="114"/>
      <c r="Q186" s="12"/>
      <c r="R186" s="115"/>
      <c r="S186" s="115"/>
      <c r="T186" s="115"/>
      <c r="U186" s="116"/>
      <c r="V186" s="117"/>
      <c r="W186" s="118"/>
      <c r="X186" s="119"/>
      <c r="Y186" s="113"/>
      <c r="Z186" s="113"/>
      <c r="AH186" s="106"/>
      <c r="AI186" s="106"/>
      <c r="AJ186" s="106"/>
      <c r="AK186" s="106"/>
      <c r="AL186" s="106"/>
      <c r="AM186" s="106"/>
      <c r="AN186" s="106"/>
    </row>
    <row r="187">
      <c r="A187" s="120"/>
      <c r="B187" s="39"/>
      <c r="C187" s="38"/>
      <c r="D187" s="39"/>
      <c r="E187" s="113"/>
      <c r="F187" s="113"/>
      <c r="G187" s="112"/>
      <c r="H187" s="113"/>
      <c r="I187" s="113"/>
      <c r="J187" s="113"/>
      <c r="K187" s="46"/>
      <c r="L187" s="113"/>
      <c r="M187" s="46"/>
      <c r="N187" s="46"/>
      <c r="O187" s="60"/>
      <c r="P187" s="114"/>
      <c r="Q187" s="12"/>
      <c r="R187" s="115"/>
      <c r="S187" s="115"/>
      <c r="T187" s="115"/>
      <c r="U187" s="116"/>
      <c r="V187" s="117"/>
      <c r="W187" s="118"/>
      <c r="X187" s="119"/>
      <c r="Y187" s="113"/>
      <c r="Z187" s="113"/>
      <c r="AH187" s="106"/>
      <c r="AI187" s="106"/>
      <c r="AJ187" s="106"/>
      <c r="AK187" s="106"/>
      <c r="AL187" s="106"/>
      <c r="AM187" s="106"/>
      <c r="AN187" s="106"/>
    </row>
    <row r="188">
      <c r="A188" s="120"/>
      <c r="B188" s="121"/>
      <c r="C188" s="38"/>
      <c r="D188" s="121"/>
      <c r="E188" s="113"/>
      <c r="F188" s="113"/>
      <c r="G188" s="112"/>
      <c r="H188" s="113"/>
      <c r="I188" s="113"/>
      <c r="J188" s="113"/>
      <c r="K188" s="46"/>
      <c r="L188" s="113"/>
      <c r="M188" s="46"/>
      <c r="N188" s="46"/>
      <c r="O188" s="60"/>
      <c r="P188" s="114"/>
      <c r="Q188" s="12"/>
      <c r="R188" s="115"/>
      <c r="S188" s="115"/>
      <c r="T188" s="115"/>
      <c r="U188" s="116"/>
      <c r="V188" s="117"/>
      <c r="W188" s="118"/>
      <c r="X188" s="119"/>
      <c r="Y188" s="113"/>
      <c r="Z188" s="113"/>
      <c r="AH188" s="106"/>
      <c r="AI188" s="106"/>
      <c r="AJ188" s="106"/>
      <c r="AK188" s="106"/>
      <c r="AL188" s="106"/>
      <c r="AM188" s="106"/>
      <c r="AN188" s="106"/>
    </row>
    <row r="189">
      <c r="A189" s="120"/>
      <c r="B189" s="121"/>
      <c r="C189" s="38"/>
      <c r="D189" s="121"/>
      <c r="E189" s="113"/>
      <c r="F189" s="113"/>
      <c r="G189" s="112"/>
      <c r="H189" s="112"/>
      <c r="I189" s="113"/>
      <c r="J189" s="113"/>
      <c r="K189" s="46"/>
      <c r="L189" s="113"/>
      <c r="M189" s="46"/>
      <c r="N189" s="46"/>
      <c r="O189" s="60"/>
      <c r="P189" s="114"/>
      <c r="Q189" s="12"/>
      <c r="R189" s="115"/>
      <c r="S189" s="115"/>
      <c r="T189" s="115"/>
      <c r="U189" s="116"/>
      <c r="V189" s="117"/>
      <c r="W189" s="118"/>
      <c r="X189" s="119"/>
      <c r="Y189" s="113"/>
      <c r="Z189" s="113"/>
      <c r="AH189" s="106"/>
      <c r="AI189" s="106"/>
      <c r="AJ189" s="106"/>
      <c r="AK189" s="106"/>
      <c r="AL189" s="106"/>
      <c r="AM189" s="106"/>
      <c r="AN189" s="106"/>
    </row>
    <row r="190">
      <c r="A190" s="120"/>
      <c r="B190" s="121"/>
      <c r="C190" s="38"/>
      <c r="D190" s="121"/>
      <c r="E190" s="113"/>
      <c r="F190" s="113"/>
      <c r="G190" s="112"/>
      <c r="H190" s="113"/>
      <c r="I190" s="113"/>
      <c r="J190" s="113"/>
      <c r="K190" s="46"/>
      <c r="L190" s="113"/>
      <c r="M190" s="46"/>
      <c r="N190" s="46"/>
      <c r="O190" s="60"/>
      <c r="P190" s="114"/>
      <c r="Q190" s="12"/>
      <c r="R190" s="115"/>
      <c r="S190" s="115"/>
      <c r="T190" s="115"/>
      <c r="U190" s="116"/>
      <c r="V190" s="117"/>
      <c r="W190" s="118"/>
      <c r="X190" s="119"/>
      <c r="Y190" s="113"/>
      <c r="Z190" s="113"/>
      <c r="AH190" s="106"/>
      <c r="AI190" s="106"/>
      <c r="AJ190" s="106"/>
      <c r="AK190" s="106"/>
      <c r="AL190" s="106"/>
      <c r="AM190" s="106"/>
      <c r="AN190" s="106"/>
    </row>
    <row r="191">
      <c r="A191" s="120"/>
      <c r="B191" s="121"/>
      <c r="C191" s="38"/>
      <c r="D191" s="121"/>
      <c r="E191" s="113"/>
      <c r="F191" s="113"/>
      <c r="G191" s="112"/>
      <c r="H191" s="112"/>
      <c r="I191" s="113"/>
      <c r="J191" s="113"/>
      <c r="K191" s="46"/>
      <c r="L191" s="113"/>
      <c r="M191" s="46"/>
      <c r="N191" s="46"/>
      <c r="O191" s="60"/>
      <c r="P191" s="114"/>
      <c r="Q191" s="12"/>
      <c r="R191" s="115"/>
      <c r="S191" s="115"/>
      <c r="T191" s="115"/>
      <c r="U191" s="116"/>
      <c r="V191" s="117"/>
      <c r="W191" s="118"/>
      <c r="X191" s="119"/>
      <c r="Y191" s="113"/>
      <c r="Z191" s="113"/>
      <c r="AH191" s="106"/>
      <c r="AI191" s="106"/>
      <c r="AJ191" s="106"/>
      <c r="AK191" s="106"/>
      <c r="AL191" s="106"/>
      <c r="AM191" s="106"/>
      <c r="AN191" s="106"/>
    </row>
    <row r="192">
      <c r="A192" s="120"/>
      <c r="B192" s="121"/>
      <c r="C192" s="38"/>
      <c r="D192" s="121"/>
      <c r="E192" s="113"/>
      <c r="F192" s="113"/>
      <c r="G192" s="112"/>
      <c r="H192" s="113"/>
      <c r="I192" s="113"/>
      <c r="J192" s="113"/>
      <c r="K192" s="46"/>
      <c r="L192" s="113"/>
      <c r="M192" s="46"/>
      <c r="N192" s="46"/>
      <c r="O192" s="60"/>
      <c r="P192" s="114"/>
      <c r="Q192" s="12"/>
      <c r="R192" s="115"/>
      <c r="S192" s="115"/>
      <c r="T192" s="115"/>
      <c r="U192" s="116"/>
      <c r="V192" s="117"/>
      <c r="W192" s="118"/>
      <c r="X192" s="119"/>
      <c r="Y192" s="113"/>
      <c r="Z192" s="113"/>
      <c r="AH192" s="106"/>
      <c r="AI192" s="106"/>
      <c r="AJ192" s="106"/>
      <c r="AK192" s="106"/>
      <c r="AL192" s="106"/>
      <c r="AM192" s="106"/>
      <c r="AN192" s="106"/>
    </row>
    <row r="193">
      <c r="A193" s="120"/>
      <c r="B193" s="121"/>
      <c r="C193" s="38"/>
      <c r="D193" s="121"/>
      <c r="E193" s="113"/>
      <c r="F193" s="113"/>
      <c r="G193" s="112"/>
      <c r="H193" s="113"/>
      <c r="I193" s="113"/>
      <c r="J193" s="113"/>
      <c r="K193" s="46"/>
      <c r="L193" s="113"/>
      <c r="M193" s="46"/>
      <c r="N193" s="46"/>
      <c r="O193" s="60"/>
      <c r="P193" s="114"/>
      <c r="Q193" s="12"/>
      <c r="R193" s="115"/>
      <c r="S193" s="115"/>
      <c r="T193" s="115"/>
      <c r="U193" s="116"/>
      <c r="V193" s="117"/>
      <c r="W193" s="118"/>
      <c r="X193" s="119"/>
      <c r="Y193" s="113"/>
      <c r="Z193" s="113"/>
      <c r="AH193" s="106"/>
      <c r="AI193" s="106"/>
      <c r="AJ193" s="106"/>
      <c r="AK193" s="106"/>
      <c r="AL193" s="106"/>
      <c r="AM193" s="106"/>
      <c r="AN193" s="106"/>
    </row>
    <row r="194">
      <c r="A194" s="38"/>
      <c r="B194" s="38"/>
      <c r="C194" s="38"/>
      <c r="D194" s="38"/>
      <c r="E194" s="38"/>
      <c r="F194" s="41"/>
      <c r="G194" s="43"/>
      <c r="H194" s="45"/>
      <c r="I194" s="38"/>
      <c r="J194" s="38"/>
      <c r="K194" s="46"/>
      <c r="L194" s="47"/>
      <c r="M194" s="46"/>
      <c r="N194" s="46"/>
      <c r="O194" s="38"/>
      <c r="P194" s="38"/>
      <c r="Q194" s="12"/>
      <c r="R194" s="50"/>
      <c r="S194" s="50"/>
      <c r="T194" s="50"/>
      <c r="U194" s="53"/>
      <c r="V194" s="54"/>
      <c r="W194" s="56"/>
      <c r="X194" s="119"/>
      <c r="Y194" s="113"/>
      <c r="Z194" s="113"/>
      <c r="AH194" s="106"/>
      <c r="AI194" s="106"/>
      <c r="AJ194" s="106"/>
      <c r="AK194" s="106"/>
      <c r="AL194" s="106"/>
      <c r="AM194" s="106"/>
      <c r="AN194" s="106"/>
    </row>
    <row r="195">
      <c r="A195" s="38"/>
      <c r="B195" s="38"/>
      <c r="C195" s="38"/>
      <c r="D195" s="38"/>
      <c r="E195" s="38"/>
      <c r="F195" s="41"/>
      <c r="G195" s="43"/>
      <c r="H195" s="45"/>
      <c r="I195" s="38"/>
      <c r="J195" s="38"/>
      <c r="K195" s="46"/>
      <c r="L195" s="47"/>
      <c r="M195" s="46"/>
      <c r="N195" s="46"/>
      <c r="O195" s="38"/>
      <c r="P195" s="38"/>
      <c r="Q195" s="12"/>
      <c r="R195" s="50"/>
      <c r="S195" s="50"/>
      <c r="T195" s="50"/>
      <c r="U195" s="53"/>
      <c r="V195" s="54"/>
      <c r="W195" s="56"/>
      <c r="X195" s="119"/>
      <c r="Y195" s="113"/>
      <c r="Z195" s="113"/>
      <c r="AH195" s="106"/>
      <c r="AI195" s="106"/>
      <c r="AJ195" s="106"/>
      <c r="AK195" s="106"/>
      <c r="AL195" s="106"/>
      <c r="AM195" s="106"/>
      <c r="AN195" s="106"/>
    </row>
    <row r="196">
      <c r="A196" s="38"/>
      <c r="B196" s="38"/>
      <c r="C196" s="38"/>
      <c r="D196" s="38"/>
      <c r="E196" s="38"/>
      <c r="F196" s="41"/>
      <c r="G196" s="43"/>
      <c r="H196" s="45"/>
      <c r="I196" s="38"/>
      <c r="J196" s="38"/>
      <c r="K196" s="46"/>
      <c r="L196" s="47"/>
      <c r="M196" s="46"/>
      <c r="N196" s="46"/>
      <c r="O196" s="38"/>
      <c r="P196" s="38"/>
      <c r="Q196" s="12"/>
      <c r="R196" s="50"/>
      <c r="S196" s="50"/>
      <c r="T196" s="50"/>
      <c r="U196" s="53"/>
      <c r="V196" s="54"/>
      <c r="W196" s="56"/>
      <c r="X196" s="119"/>
      <c r="Y196" s="113"/>
      <c r="Z196" s="113"/>
      <c r="AH196" s="106"/>
      <c r="AI196" s="106"/>
      <c r="AJ196" s="106"/>
      <c r="AK196" s="106"/>
      <c r="AL196" s="106"/>
      <c r="AM196" s="106"/>
      <c r="AN196" s="106"/>
    </row>
    <row r="197">
      <c r="A197" s="38"/>
      <c r="B197" s="38"/>
      <c r="C197" s="38"/>
      <c r="D197" s="38"/>
      <c r="E197" s="38"/>
      <c r="F197" s="41"/>
      <c r="G197" s="43"/>
      <c r="H197" s="45"/>
      <c r="I197" s="38"/>
      <c r="J197" s="38"/>
      <c r="K197" s="46"/>
      <c r="L197" s="47"/>
      <c r="M197" s="46"/>
      <c r="N197" s="46"/>
      <c r="O197" s="38"/>
      <c r="P197" s="38"/>
      <c r="Q197" s="12"/>
      <c r="R197" s="50"/>
      <c r="S197" s="50"/>
      <c r="T197" s="50"/>
      <c r="U197" s="53"/>
      <c r="V197" s="54"/>
      <c r="W197" s="56"/>
      <c r="X197" s="119"/>
      <c r="Y197" s="113"/>
      <c r="Z197" s="113"/>
      <c r="AH197" s="106"/>
      <c r="AI197" s="106"/>
      <c r="AJ197" s="106"/>
      <c r="AK197" s="106"/>
      <c r="AL197" s="106"/>
      <c r="AM197" s="106"/>
      <c r="AN197" s="106"/>
    </row>
    <row r="198">
      <c r="A198" s="38"/>
      <c r="B198" s="38"/>
      <c r="C198" s="38"/>
      <c r="D198" s="38"/>
      <c r="E198" s="38"/>
      <c r="F198" s="41"/>
      <c r="G198" s="43"/>
      <c r="H198" s="45"/>
      <c r="I198" s="38"/>
      <c r="J198" s="38"/>
      <c r="K198" s="46"/>
      <c r="L198" s="47"/>
      <c r="M198" s="46"/>
      <c r="N198" s="46"/>
      <c r="O198" s="38"/>
      <c r="P198" s="38"/>
      <c r="Q198" s="12"/>
      <c r="R198" s="50"/>
      <c r="S198" s="50"/>
      <c r="T198" s="50"/>
      <c r="U198" s="53"/>
      <c r="V198" s="54"/>
      <c r="W198" s="56"/>
      <c r="X198" s="119"/>
      <c r="Y198" s="113"/>
      <c r="Z198" s="113"/>
      <c r="AH198" s="106"/>
      <c r="AI198" s="106"/>
      <c r="AJ198" s="106"/>
      <c r="AK198" s="106"/>
      <c r="AL198" s="106"/>
      <c r="AM198" s="106"/>
      <c r="AN198" s="106"/>
    </row>
    <row r="199">
      <c r="A199" s="38"/>
      <c r="B199" s="38"/>
      <c r="C199" s="38"/>
      <c r="D199" s="38"/>
      <c r="E199" s="38"/>
      <c r="F199" s="41"/>
      <c r="G199" s="43"/>
      <c r="H199" s="45"/>
      <c r="I199" s="38"/>
      <c r="J199" s="38"/>
      <c r="K199" s="46"/>
      <c r="L199" s="47"/>
      <c r="M199" s="46"/>
      <c r="N199" s="46"/>
      <c r="O199" s="38"/>
      <c r="P199" s="38"/>
      <c r="Q199" s="12"/>
      <c r="R199" s="50"/>
      <c r="S199" s="50"/>
      <c r="T199" s="50"/>
      <c r="U199" s="53"/>
      <c r="V199" s="54"/>
      <c r="W199" s="56"/>
      <c r="X199" s="119"/>
      <c r="Y199" s="113"/>
      <c r="Z199" s="113"/>
      <c r="AH199" s="106"/>
      <c r="AI199" s="106"/>
      <c r="AJ199" s="106"/>
      <c r="AK199" s="106"/>
      <c r="AL199" s="106"/>
      <c r="AM199" s="106"/>
      <c r="AN199" s="106"/>
    </row>
    <row r="200">
      <c r="A200" s="38"/>
      <c r="B200" s="38"/>
      <c r="C200" s="38"/>
      <c r="D200" s="38"/>
      <c r="E200" s="38"/>
      <c r="F200" s="41"/>
      <c r="G200" s="43"/>
      <c r="H200" s="45"/>
      <c r="I200" s="38"/>
      <c r="J200" s="38"/>
      <c r="K200" s="46"/>
      <c r="L200" s="47"/>
      <c r="M200" s="46"/>
      <c r="N200" s="46"/>
      <c r="O200" s="38"/>
      <c r="P200" s="38"/>
      <c r="Q200" s="12"/>
      <c r="R200" s="50"/>
      <c r="S200" s="50"/>
      <c r="T200" s="50"/>
      <c r="U200" s="53"/>
      <c r="V200" s="54"/>
      <c r="W200" s="56"/>
      <c r="X200" s="119"/>
      <c r="Y200" s="113"/>
      <c r="Z200" s="113"/>
      <c r="AH200" s="106"/>
      <c r="AI200" s="106"/>
      <c r="AJ200" s="106"/>
      <c r="AK200" s="106"/>
      <c r="AL200" s="106"/>
      <c r="AM200" s="106"/>
      <c r="AN200" s="106"/>
    </row>
    <row r="201" ht="20.25" customHeight="1">
      <c r="A201" s="38"/>
      <c r="B201" s="39"/>
      <c r="C201" s="38"/>
      <c r="D201" s="39"/>
      <c r="E201" s="38"/>
      <c r="F201" s="41"/>
      <c r="G201" s="62"/>
      <c r="H201" s="58"/>
      <c r="I201" s="38"/>
      <c r="J201" s="38"/>
      <c r="K201" s="46"/>
      <c r="L201" s="47"/>
      <c r="M201" s="46"/>
      <c r="N201" s="46"/>
      <c r="O201" s="38"/>
      <c r="P201" s="38"/>
      <c r="Q201" s="12"/>
      <c r="R201" s="50"/>
      <c r="S201" s="50"/>
      <c r="T201" s="50"/>
      <c r="U201" s="53"/>
      <c r="V201" s="54"/>
      <c r="W201" s="56"/>
      <c r="X201" s="122"/>
      <c r="Y201" s="112"/>
      <c r="Z201" s="112"/>
      <c r="AH201" s="106"/>
      <c r="AI201" s="106"/>
      <c r="AJ201" s="106"/>
      <c r="AK201" s="106"/>
      <c r="AL201" s="106"/>
      <c r="AM201" s="106"/>
      <c r="AN201" s="106"/>
    </row>
    <row r="202">
      <c r="A202" s="38"/>
      <c r="B202" s="39"/>
      <c r="C202" s="38"/>
      <c r="D202" s="39"/>
      <c r="E202" s="38"/>
      <c r="F202" s="41"/>
      <c r="G202" s="43"/>
      <c r="H202" s="45"/>
      <c r="I202" s="38"/>
      <c r="J202" s="38"/>
      <c r="K202" s="46"/>
      <c r="L202" s="47"/>
      <c r="M202" s="46"/>
      <c r="N202" s="46"/>
      <c r="O202" s="38"/>
      <c r="P202" s="38"/>
      <c r="Q202" s="12"/>
      <c r="R202" s="67"/>
      <c r="S202" s="67"/>
      <c r="T202" s="67"/>
      <c r="U202" s="53"/>
      <c r="V202" s="54"/>
      <c r="W202" s="85"/>
      <c r="X202" s="119"/>
      <c r="Y202" s="113"/>
      <c r="Z202" s="113"/>
      <c r="AH202" s="106"/>
      <c r="AI202" s="106"/>
      <c r="AJ202" s="106"/>
      <c r="AK202" s="106"/>
      <c r="AL202" s="106"/>
      <c r="AM202" s="106"/>
      <c r="AN202" s="106"/>
    </row>
    <row r="203">
      <c r="A203" s="39"/>
      <c r="B203" s="39"/>
      <c r="C203" s="38"/>
      <c r="D203" s="39"/>
      <c r="E203" s="38"/>
      <c r="F203" s="43"/>
      <c r="G203" s="39"/>
      <c r="H203" s="71"/>
      <c r="I203" s="38"/>
      <c r="J203" s="38"/>
      <c r="K203" s="46"/>
      <c r="L203" s="47"/>
      <c r="M203" s="46"/>
      <c r="N203" s="46"/>
      <c r="O203" s="60"/>
      <c r="P203" s="114"/>
      <c r="Q203" s="12"/>
      <c r="R203" s="67"/>
      <c r="S203" s="67"/>
      <c r="T203" s="67"/>
      <c r="U203" s="116"/>
      <c r="V203" s="117"/>
      <c r="W203" s="118"/>
      <c r="X203" s="119"/>
      <c r="Y203" s="113"/>
      <c r="Z203" s="113"/>
      <c r="AH203" s="106"/>
      <c r="AI203" s="106"/>
      <c r="AJ203" s="106"/>
      <c r="AK203" s="106"/>
      <c r="AL203" s="106"/>
      <c r="AM203" s="106"/>
      <c r="AN203" s="106"/>
    </row>
    <row r="204">
      <c r="A204" s="39"/>
      <c r="B204" s="39"/>
      <c r="C204" s="38"/>
      <c r="D204" s="39"/>
      <c r="E204" s="38"/>
      <c r="F204" s="43"/>
      <c r="G204" s="39"/>
      <c r="H204" s="71"/>
      <c r="I204" s="38"/>
      <c r="J204" s="38"/>
      <c r="K204" s="46"/>
      <c r="L204" s="47"/>
      <c r="M204" s="46"/>
      <c r="N204" s="46"/>
      <c r="O204" s="60"/>
      <c r="P204" s="114"/>
      <c r="Q204" s="12"/>
      <c r="R204" s="67"/>
      <c r="S204" s="67"/>
      <c r="T204" s="67"/>
      <c r="U204" s="116"/>
      <c r="V204" s="117"/>
      <c r="W204" s="118"/>
      <c r="X204" s="119"/>
      <c r="Y204" s="113"/>
      <c r="Z204" s="113"/>
      <c r="AH204" s="106"/>
      <c r="AI204" s="106"/>
      <c r="AJ204" s="106"/>
      <c r="AK204" s="106"/>
      <c r="AL204" s="106"/>
      <c r="AM204" s="106"/>
      <c r="AN204" s="106"/>
    </row>
    <row r="205">
      <c r="A205" s="39"/>
      <c r="B205" s="39"/>
      <c r="C205" s="38"/>
      <c r="D205" s="39"/>
      <c r="E205" s="38"/>
      <c r="F205" s="43"/>
      <c r="G205" s="39"/>
      <c r="H205" s="71"/>
      <c r="I205" s="38"/>
      <c r="J205" s="38"/>
      <c r="K205" s="46"/>
      <c r="L205" s="47"/>
      <c r="M205" s="46"/>
      <c r="N205" s="46"/>
      <c r="O205" s="60"/>
      <c r="P205" s="114"/>
      <c r="Q205" s="12"/>
      <c r="R205" s="67"/>
      <c r="S205" s="67"/>
      <c r="T205" s="67"/>
      <c r="U205" s="116"/>
      <c r="V205" s="117"/>
      <c r="W205" s="118"/>
      <c r="X205" s="119"/>
      <c r="Y205" s="113"/>
      <c r="Z205" s="113"/>
      <c r="AH205" s="106"/>
      <c r="AI205" s="106"/>
      <c r="AJ205" s="106"/>
      <c r="AK205" s="106"/>
      <c r="AL205" s="106"/>
      <c r="AM205" s="106"/>
      <c r="AN205" s="106"/>
    </row>
    <row r="206">
      <c r="A206" s="39"/>
      <c r="B206" s="39"/>
      <c r="C206" s="38"/>
      <c r="D206" s="39"/>
      <c r="E206" s="38"/>
      <c r="F206" s="43"/>
      <c r="G206" s="39"/>
      <c r="H206" s="71"/>
      <c r="I206" s="38"/>
      <c r="J206" s="38"/>
      <c r="K206" s="46"/>
      <c r="L206" s="47"/>
      <c r="M206" s="46"/>
      <c r="N206" s="46"/>
      <c r="O206" s="60"/>
      <c r="P206" s="114"/>
      <c r="Q206" s="12"/>
      <c r="R206" s="67"/>
      <c r="S206" s="67"/>
      <c r="T206" s="67"/>
      <c r="U206" s="116"/>
      <c r="V206" s="117"/>
      <c r="W206" s="118"/>
      <c r="X206" s="119"/>
      <c r="Y206" s="113"/>
      <c r="Z206" s="113"/>
      <c r="AH206" s="106"/>
      <c r="AI206" s="106"/>
      <c r="AJ206" s="106"/>
      <c r="AK206" s="106"/>
      <c r="AL206" s="106"/>
      <c r="AM206" s="106"/>
      <c r="AN206" s="106"/>
    </row>
    <row r="207">
      <c r="A207" s="39"/>
      <c r="B207" s="39"/>
      <c r="C207" s="38"/>
      <c r="D207" s="39"/>
      <c r="E207" s="38"/>
      <c r="F207" s="43"/>
      <c r="G207" s="39"/>
      <c r="H207" s="71"/>
      <c r="I207" s="38"/>
      <c r="J207" s="38"/>
      <c r="K207" s="46"/>
      <c r="L207" s="47"/>
      <c r="M207" s="46"/>
      <c r="N207" s="46"/>
      <c r="O207" s="60"/>
      <c r="P207" s="114"/>
      <c r="Q207" s="12"/>
      <c r="R207" s="67"/>
      <c r="S207" s="67"/>
      <c r="T207" s="67"/>
      <c r="U207" s="116"/>
      <c r="V207" s="117"/>
      <c r="W207" s="118"/>
      <c r="X207" s="119"/>
      <c r="Y207" s="113"/>
      <c r="Z207" s="113"/>
      <c r="AH207" s="106"/>
      <c r="AI207" s="106"/>
      <c r="AJ207" s="106"/>
      <c r="AK207" s="106"/>
      <c r="AL207" s="106"/>
      <c r="AM207" s="106"/>
      <c r="AN207" s="106"/>
    </row>
    <row r="208">
      <c r="A208" s="39"/>
      <c r="B208" s="39"/>
      <c r="C208" s="38"/>
      <c r="D208" s="39"/>
      <c r="E208" s="38"/>
      <c r="F208" s="43"/>
      <c r="G208" s="39"/>
      <c r="H208" s="71"/>
      <c r="I208" s="38"/>
      <c r="J208" s="38"/>
      <c r="K208" s="46"/>
      <c r="L208" s="47"/>
      <c r="M208" s="46"/>
      <c r="N208" s="46"/>
      <c r="O208" s="60"/>
      <c r="P208" s="114"/>
      <c r="Q208" s="12"/>
      <c r="R208" s="67"/>
      <c r="S208" s="67"/>
      <c r="T208" s="67"/>
      <c r="U208" s="116"/>
      <c r="V208" s="117"/>
      <c r="W208" s="118"/>
      <c r="X208" s="119"/>
      <c r="Y208" s="113"/>
      <c r="Z208" s="113"/>
      <c r="AH208" s="106"/>
      <c r="AI208" s="106"/>
      <c r="AJ208" s="106"/>
      <c r="AK208" s="106"/>
      <c r="AL208" s="106"/>
      <c r="AM208" s="106"/>
      <c r="AN208" s="106"/>
    </row>
    <row r="209">
      <c r="A209" s="39"/>
      <c r="B209" s="39"/>
      <c r="C209" s="38"/>
      <c r="D209" s="39"/>
      <c r="E209" s="38"/>
      <c r="F209" s="43"/>
      <c r="G209" s="39"/>
      <c r="H209" s="71"/>
      <c r="I209" s="38"/>
      <c r="J209" s="38"/>
      <c r="K209" s="46"/>
      <c r="L209" s="47"/>
      <c r="M209" s="46"/>
      <c r="N209" s="46"/>
      <c r="O209" s="60"/>
      <c r="P209" s="114"/>
      <c r="Q209" s="12"/>
      <c r="R209" s="67"/>
      <c r="S209" s="67"/>
      <c r="T209" s="67"/>
      <c r="U209" s="116"/>
      <c r="V209" s="117"/>
      <c r="W209" s="118"/>
      <c r="X209" s="119"/>
      <c r="Y209" s="113"/>
      <c r="Z209" s="113"/>
      <c r="AH209" s="106"/>
      <c r="AI209" s="106"/>
      <c r="AJ209" s="106"/>
      <c r="AK209" s="106"/>
      <c r="AL209" s="106"/>
      <c r="AM209" s="106"/>
      <c r="AN209" s="106"/>
    </row>
    <row r="210">
      <c r="A210" s="39"/>
      <c r="B210" s="39"/>
      <c r="C210" s="38"/>
      <c r="D210" s="39"/>
      <c r="E210" s="38"/>
      <c r="F210" s="43"/>
      <c r="G210" s="39"/>
      <c r="H210" s="71"/>
      <c r="I210" s="38"/>
      <c r="J210" s="38"/>
      <c r="K210" s="46"/>
      <c r="L210" s="47"/>
      <c r="M210" s="46"/>
      <c r="N210" s="46"/>
      <c r="O210" s="60"/>
      <c r="P210" s="114"/>
      <c r="Q210" s="12"/>
      <c r="R210" s="67"/>
      <c r="S210" s="67"/>
      <c r="T210" s="67"/>
      <c r="U210" s="116"/>
      <c r="V210" s="117"/>
      <c r="W210" s="118"/>
      <c r="X210" s="119"/>
      <c r="Y210" s="113"/>
      <c r="Z210" s="113"/>
      <c r="AH210" s="106"/>
      <c r="AI210" s="106"/>
      <c r="AJ210" s="106"/>
      <c r="AK210" s="106"/>
      <c r="AL210" s="106"/>
      <c r="AM210" s="106"/>
      <c r="AN210" s="106"/>
    </row>
    <row r="211">
      <c r="A211" s="39"/>
      <c r="B211" s="39"/>
      <c r="C211" s="38"/>
      <c r="D211" s="39"/>
      <c r="E211" s="38"/>
      <c r="F211" s="43"/>
      <c r="G211" s="39"/>
      <c r="H211" s="71"/>
      <c r="I211" s="38"/>
      <c r="J211" s="38"/>
      <c r="K211" s="46"/>
      <c r="L211" s="47"/>
      <c r="M211" s="46"/>
      <c r="N211" s="46"/>
      <c r="O211" s="60"/>
      <c r="P211" s="114"/>
      <c r="Q211" s="12"/>
      <c r="R211" s="67"/>
      <c r="S211" s="67"/>
      <c r="T211" s="67"/>
      <c r="U211" s="116"/>
      <c r="V211" s="117"/>
      <c r="W211" s="118"/>
      <c r="X211" s="119"/>
      <c r="Y211" s="113"/>
      <c r="Z211" s="113"/>
      <c r="AH211" s="106"/>
      <c r="AI211" s="106"/>
      <c r="AJ211" s="106"/>
      <c r="AK211" s="106"/>
      <c r="AL211" s="106"/>
      <c r="AM211" s="106"/>
      <c r="AN211" s="106"/>
    </row>
    <row r="212">
      <c r="A212" s="39"/>
      <c r="B212" s="39"/>
      <c r="C212" s="38"/>
      <c r="D212" s="39"/>
      <c r="E212" s="38"/>
      <c r="F212" s="43"/>
      <c r="G212" s="39"/>
      <c r="H212" s="71"/>
      <c r="I212" s="38"/>
      <c r="J212" s="38"/>
      <c r="K212" s="46"/>
      <c r="L212" s="47"/>
      <c r="M212" s="46"/>
      <c r="N212" s="46"/>
      <c r="O212" s="60"/>
      <c r="P212" s="114"/>
      <c r="Q212" s="12"/>
      <c r="R212" s="67"/>
      <c r="S212" s="67"/>
      <c r="T212" s="67"/>
      <c r="U212" s="116"/>
      <c r="V212" s="117"/>
      <c r="W212" s="118"/>
      <c r="X212" s="119"/>
      <c r="Y212" s="113"/>
      <c r="Z212" s="113"/>
      <c r="AH212" s="106"/>
      <c r="AI212" s="106"/>
      <c r="AJ212" s="106"/>
      <c r="AK212" s="106"/>
      <c r="AL212" s="106"/>
      <c r="AM212" s="106"/>
      <c r="AN212" s="106"/>
    </row>
    <row r="213">
      <c r="A213" s="39"/>
      <c r="B213" s="39"/>
      <c r="C213" s="38"/>
      <c r="D213" s="39"/>
      <c r="E213" s="38"/>
      <c r="F213" s="43"/>
      <c r="G213" s="39"/>
      <c r="H213" s="12"/>
      <c r="I213" s="38"/>
      <c r="J213" s="38"/>
      <c r="K213" s="46"/>
      <c r="L213" s="47"/>
      <c r="M213" s="46"/>
      <c r="N213" s="46"/>
      <c r="O213" s="60"/>
      <c r="P213" s="114"/>
      <c r="Q213" s="12"/>
      <c r="R213" s="67"/>
      <c r="S213" s="67"/>
      <c r="T213" s="67"/>
      <c r="U213" s="116"/>
      <c r="V213" s="117"/>
      <c r="W213" s="118"/>
      <c r="X213" s="119"/>
      <c r="Y213" s="113"/>
      <c r="Z213" s="113"/>
      <c r="AH213" s="106"/>
      <c r="AI213" s="106"/>
      <c r="AJ213" s="106"/>
      <c r="AK213" s="106"/>
      <c r="AL213" s="106"/>
      <c r="AM213" s="106"/>
      <c r="AN213" s="106"/>
    </row>
    <row r="214">
      <c r="A214" s="39"/>
      <c r="B214" s="39"/>
      <c r="C214" s="38"/>
      <c r="D214" s="39"/>
      <c r="E214" s="38"/>
      <c r="F214" s="43"/>
      <c r="G214" s="39"/>
      <c r="H214" s="12"/>
      <c r="I214" s="38"/>
      <c r="J214" s="38"/>
      <c r="K214" s="46"/>
      <c r="L214" s="47"/>
      <c r="M214" s="46"/>
      <c r="N214" s="46"/>
      <c r="O214" s="60"/>
      <c r="P214" s="114"/>
      <c r="Q214" s="12"/>
      <c r="R214" s="67"/>
      <c r="S214" s="67"/>
      <c r="T214" s="67"/>
      <c r="U214" s="116"/>
      <c r="V214" s="117"/>
      <c r="W214" s="118"/>
      <c r="X214" s="119"/>
      <c r="Y214" s="113"/>
      <c r="Z214" s="113"/>
      <c r="AH214" s="106"/>
      <c r="AI214" s="106"/>
      <c r="AJ214" s="106"/>
      <c r="AK214" s="106"/>
      <c r="AL214" s="106"/>
      <c r="AM214" s="106"/>
      <c r="AN214" s="106"/>
    </row>
    <row r="215">
      <c r="A215" s="39"/>
      <c r="B215" s="39"/>
      <c r="C215" s="38"/>
      <c r="D215" s="39"/>
      <c r="E215" s="38"/>
      <c r="F215" s="43"/>
      <c r="G215" s="39"/>
      <c r="H215" s="12"/>
      <c r="I215" s="38"/>
      <c r="J215" s="38"/>
      <c r="K215" s="46"/>
      <c r="L215" s="47"/>
      <c r="M215" s="46"/>
      <c r="N215" s="46"/>
      <c r="O215" s="60"/>
      <c r="P215" s="114"/>
      <c r="Q215" s="12"/>
      <c r="R215" s="67"/>
      <c r="S215" s="67"/>
      <c r="T215" s="67"/>
      <c r="U215" s="116"/>
      <c r="V215" s="117"/>
      <c r="W215" s="118"/>
      <c r="X215" s="119"/>
      <c r="Y215" s="113"/>
      <c r="Z215" s="113"/>
      <c r="AH215" s="106"/>
      <c r="AI215" s="106"/>
      <c r="AJ215" s="106"/>
      <c r="AK215" s="106"/>
      <c r="AL215" s="106"/>
      <c r="AM215" s="106"/>
      <c r="AN215" s="106"/>
    </row>
    <row r="216">
      <c r="A216" s="39"/>
      <c r="B216" s="39"/>
      <c r="C216" s="38"/>
      <c r="D216" s="39"/>
      <c r="E216" s="38"/>
      <c r="F216" s="43"/>
      <c r="G216" s="39"/>
      <c r="H216" s="71"/>
      <c r="I216" s="38"/>
      <c r="J216" s="38"/>
      <c r="K216" s="46"/>
      <c r="L216" s="47"/>
      <c r="M216" s="46"/>
      <c r="N216" s="46"/>
      <c r="O216" s="60"/>
      <c r="P216" s="114"/>
      <c r="Q216" s="12"/>
      <c r="R216" s="67"/>
      <c r="S216" s="67"/>
      <c r="T216" s="67"/>
      <c r="U216" s="116"/>
      <c r="V216" s="117"/>
      <c r="W216" s="118"/>
      <c r="X216" s="119"/>
      <c r="Y216" s="113"/>
      <c r="Z216" s="113"/>
      <c r="AH216" s="106"/>
      <c r="AI216" s="106"/>
      <c r="AJ216" s="106"/>
      <c r="AK216" s="106"/>
      <c r="AL216" s="106"/>
      <c r="AM216" s="106"/>
      <c r="AN216" s="106"/>
    </row>
    <row r="217">
      <c r="A217" s="39"/>
      <c r="B217" s="39"/>
      <c r="C217" s="38"/>
      <c r="D217" s="39"/>
      <c r="E217" s="38"/>
      <c r="F217" s="43"/>
      <c r="G217" s="39"/>
      <c r="H217" s="12"/>
      <c r="I217" s="38"/>
      <c r="J217" s="38"/>
      <c r="K217" s="46"/>
      <c r="L217" s="47"/>
      <c r="M217" s="46"/>
      <c r="N217" s="46"/>
      <c r="O217" s="60"/>
      <c r="P217" s="114"/>
      <c r="Q217" s="12"/>
      <c r="R217" s="67"/>
      <c r="S217" s="67"/>
      <c r="T217" s="67"/>
      <c r="U217" s="116"/>
      <c r="V217" s="117"/>
      <c r="W217" s="118"/>
      <c r="X217" s="119"/>
      <c r="Y217" s="113"/>
      <c r="Z217" s="113"/>
      <c r="AH217" s="106"/>
      <c r="AI217" s="106"/>
      <c r="AJ217" s="106"/>
      <c r="AK217" s="106"/>
      <c r="AL217" s="106"/>
      <c r="AM217" s="106"/>
      <c r="AN217" s="106"/>
    </row>
    <row r="218">
      <c r="A218" s="39"/>
      <c r="B218" s="39"/>
      <c r="C218" s="38"/>
      <c r="D218" s="39"/>
      <c r="E218" s="38"/>
      <c r="F218" s="38"/>
      <c r="G218" s="39"/>
      <c r="H218" s="71"/>
      <c r="I218" s="38"/>
      <c r="J218" s="38"/>
      <c r="K218" s="46"/>
      <c r="L218" s="47"/>
      <c r="M218" s="46"/>
      <c r="N218" s="46"/>
      <c r="O218" s="60"/>
      <c r="P218" s="114"/>
      <c r="Q218" s="12"/>
      <c r="R218" s="67"/>
      <c r="S218" s="67"/>
      <c r="T218" s="67"/>
      <c r="U218" s="116"/>
      <c r="V218" s="117"/>
      <c r="W218" s="118"/>
      <c r="X218" s="119"/>
      <c r="Y218" s="113"/>
      <c r="Z218" s="113"/>
      <c r="AH218" s="106"/>
      <c r="AI218" s="106"/>
      <c r="AJ218" s="106"/>
      <c r="AK218" s="106"/>
      <c r="AL218" s="106"/>
      <c r="AM218" s="106"/>
      <c r="AN218" s="106"/>
    </row>
    <row r="219">
      <c r="A219" s="39"/>
      <c r="B219" s="39"/>
      <c r="C219" s="38"/>
      <c r="D219" s="39"/>
      <c r="E219" s="113"/>
      <c r="F219" s="113"/>
      <c r="G219" s="112"/>
      <c r="H219" s="113"/>
      <c r="I219" s="113"/>
      <c r="J219" s="113"/>
      <c r="K219" s="46"/>
      <c r="L219" s="113"/>
      <c r="M219" s="46"/>
      <c r="N219" s="46"/>
      <c r="O219" s="60"/>
      <c r="P219" s="114"/>
      <c r="Q219" s="12"/>
      <c r="R219" s="67"/>
      <c r="S219" s="67"/>
      <c r="T219" s="67"/>
      <c r="U219" s="116"/>
      <c r="V219" s="117"/>
      <c r="W219" s="118"/>
      <c r="X219" s="119"/>
      <c r="Y219" s="113"/>
      <c r="Z219" s="113"/>
      <c r="AH219" s="106"/>
      <c r="AI219" s="106"/>
      <c r="AJ219" s="106"/>
      <c r="AK219" s="106"/>
      <c r="AL219" s="106"/>
      <c r="AM219" s="106"/>
      <c r="AN219" s="106"/>
    </row>
    <row r="220">
      <c r="A220" s="39"/>
      <c r="B220" s="39"/>
      <c r="C220" s="38"/>
      <c r="D220" s="39"/>
      <c r="E220" s="113"/>
      <c r="F220" s="113"/>
      <c r="G220" s="112"/>
      <c r="H220" s="113"/>
      <c r="I220" s="113"/>
      <c r="J220" s="113"/>
      <c r="K220" s="46"/>
      <c r="L220" s="113"/>
      <c r="M220" s="46"/>
      <c r="N220" s="46"/>
      <c r="O220" s="60"/>
      <c r="P220" s="114"/>
      <c r="Q220" s="12"/>
      <c r="R220" s="67"/>
      <c r="S220" s="67"/>
      <c r="T220" s="67"/>
      <c r="U220" s="116"/>
      <c r="V220" s="117"/>
      <c r="W220" s="118"/>
      <c r="X220" s="119"/>
      <c r="Y220" s="113"/>
      <c r="Z220" s="113"/>
      <c r="AH220" s="106"/>
      <c r="AI220" s="106"/>
      <c r="AJ220" s="106"/>
      <c r="AK220" s="106"/>
      <c r="AL220" s="106"/>
      <c r="AM220" s="106"/>
      <c r="AN220" s="106"/>
    </row>
    <row r="221">
      <c r="A221" s="39"/>
      <c r="B221" s="39"/>
      <c r="C221" s="38"/>
      <c r="D221" s="39"/>
      <c r="E221" s="113"/>
      <c r="F221" s="113"/>
      <c r="G221" s="112"/>
      <c r="H221" s="113"/>
      <c r="I221" s="113"/>
      <c r="J221" s="113"/>
      <c r="K221" s="46"/>
      <c r="L221" s="113"/>
      <c r="M221" s="46"/>
      <c r="N221" s="46"/>
      <c r="O221" s="60"/>
      <c r="P221" s="114"/>
      <c r="Q221" s="12"/>
      <c r="R221" s="67"/>
      <c r="S221" s="67"/>
      <c r="T221" s="67"/>
      <c r="U221" s="116"/>
      <c r="V221" s="117"/>
      <c r="W221" s="118"/>
      <c r="X221" s="119"/>
      <c r="Y221" s="113"/>
      <c r="Z221" s="113"/>
      <c r="AH221" s="106"/>
      <c r="AI221" s="106"/>
      <c r="AJ221" s="106"/>
      <c r="AK221" s="106"/>
      <c r="AL221" s="106"/>
      <c r="AM221" s="106"/>
      <c r="AN221" s="106"/>
    </row>
    <row r="222">
      <c r="A222" s="38"/>
      <c r="B222" s="38"/>
      <c r="C222" s="38"/>
      <c r="D222" s="38"/>
      <c r="E222" s="38"/>
      <c r="F222" s="41"/>
      <c r="G222" s="43"/>
      <c r="H222" s="45"/>
      <c r="I222" s="38"/>
      <c r="J222" s="38"/>
      <c r="K222" s="46"/>
      <c r="L222" s="47"/>
      <c r="M222" s="46"/>
      <c r="N222" s="46"/>
      <c r="O222" s="38"/>
      <c r="P222" s="38"/>
      <c r="Q222" s="12"/>
      <c r="R222" s="50"/>
      <c r="S222" s="50"/>
      <c r="T222" s="50"/>
      <c r="U222" s="53"/>
      <c r="V222" s="54"/>
      <c r="W222" s="56"/>
      <c r="X222" s="119"/>
      <c r="Y222" s="113"/>
      <c r="Z222" s="113"/>
      <c r="AH222" s="106"/>
      <c r="AI222" s="106"/>
      <c r="AJ222" s="106"/>
      <c r="AK222" s="106"/>
      <c r="AL222" s="106"/>
      <c r="AM222" s="106"/>
      <c r="AN222" s="106"/>
    </row>
    <row r="223">
      <c r="A223" s="38"/>
      <c r="B223" s="38"/>
      <c r="C223" s="38"/>
      <c r="D223" s="38"/>
      <c r="E223" s="38"/>
      <c r="F223" s="41"/>
      <c r="G223" s="43"/>
      <c r="H223" s="45"/>
      <c r="I223" s="38"/>
      <c r="J223" s="38"/>
      <c r="K223" s="46"/>
      <c r="L223" s="47"/>
      <c r="M223" s="46"/>
      <c r="N223" s="46"/>
      <c r="O223" s="38"/>
      <c r="P223" s="38"/>
      <c r="Q223" s="12"/>
      <c r="R223" s="50"/>
      <c r="S223" s="50"/>
      <c r="T223" s="50"/>
      <c r="U223" s="53"/>
      <c r="V223" s="54"/>
      <c r="W223" s="56"/>
      <c r="X223" s="119"/>
      <c r="Y223" s="113"/>
      <c r="Z223" s="113"/>
      <c r="AH223" s="106"/>
      <c r="AI223" s="106"/>
      <c r="AJ223" s="106"/>
      <c r="AK223" s="106"/>
      <c r="AL223" s="106"/>
      <c r="AM223" s="106"/>
      <c r="AN223" s="106"/>
    </row>
    <row r="224">
      <c r="A224" s="38"/>
      <c r="B224" s="38"/>
      <c r="C224" s="38"/>
      <c r="D224" s="38"/>
      <c r="E224" s="38"/>
      <c r="F224" s="41"/>
      <c r="G224" s="43"/>
      <c r="H224" s="45"/>
      <c r="I224" s="38"/>
      <c r="J224" s="38"/>
      <c r="K224" s="46"/>
      <c r="L224" s="47"/>
      <c r="M224" s="46"/>
      <c r="N224" s="46"/>
      <c r="O224" s="38"/>
      <c r="P224" s="38"/>
      <c r="Q224" s="12"/>
      <c r="R224" s="50"/>
      <c r="S224" s="50"/>
      <c r="T224" s="50"/>
      <c r="U224" s="53"/>
      <c r="V224" s="54"/>
      <c r="W224" s="56"/>
      <c r="X224" s="119"/>
      <c r="Y224" s="113"/>
      <c r="Z224" s="113"/>
      <c r="AH224" s="106"/>
      <c r="AI224" s="106"/>
      <c r="AJ224" s="106"/>
      <c r="AK224" s="106"/>
      <c r="AL224" s="106"/>
      <c r="AM224" s="106"/>
      <c r="AN224" s="106"/>
    </row>
    <row r="225">
      <c r="A225" s="38"/>
      <c r="B225" s="39"/>
      <c r="C225" s="38"/>
      <c r="D225" s="39"/>
      <c r="E225" s="38"/>
      <c r="F225" s="41"/>
      <c r="G225" s="43"/>
      <c r="H225" s="45"/>
      <c r="I225" s="38"/>
      <c r="J225" s="38"/>
      <c r="K225" s="46"/>
      <c r="L225" s="47"/>
      <c r="M225" s="46"/>
      <c r="N225" s="46"/>
      <c r="O225" s="38"/>
      <c r="P225" s="38"/>
      <c r="Q225" s="12"/>
      <c r="R225" s="50"/>
      <c r="S225" s="50"/>
      <c r="T225" s="50"/>
      <c r="U225" s="53"/>
      <c r="V225" s="54"/>
      <c r="W225" s="56"/>
      <c r="X225" s="119"/>
      <c r="Y225" s="113"/>
      <c r="Z225" s="113"/>
      <c r="AH225" s="106"/>
      <c r="AI225" s="106"/>
      <c r="AJ225" s="106"/>
      <c r="AK225" s="106"/>
      <c r="AL225" s="106"/>
      <c r="AM225" s="106"/>
      <c r="AN225" s="106"/>
    </row>
    <row r="226">
      <c r="A226" s="112"/>
      <c r="B226" s="39"/>
      <c r="C226" s="38"/>
      <c r="D226" s="39"/>
      <c r="E226" s="113"/>
      <c r="F226" s="113"/>
      <c r="G226" s="112"/>
      <c r="H226" s="113"/>
      <c r="I226" s="113"/>
      <c r="J226" s="113"/>
      <c r="K226" s="46"/>
      <c r="L226" s="113"/>
      <c r="M226" s="46"/>
      <c r="N226" s="46"/>
      <c r="O226" s="60"/>
      <c r="P226" s="114"/>
      <c r="Q226" s="12"/>
      <c r="R226" s="115"/>
      <c r="S226" s="115"/>
      <c r="T226" s="115"/>
      <c r="U226" s="116"/>
      <c r="V226" s="117"/>
      <c r="W226" s="118"/>
      <c r="X226" s="119"/>
      <c r="Y226" s="113"/>
      <c r="Z226" s="113"/>
      <c r="AH226" s="106"/>
      <c r="AI226" s="106"/>
      <c r="AJ226" s="106"/>
      <c r="AK226" s="106"/>
      <c r="AL226" s="106"/>
      <c r="AM226" s="106"/>
      <c r="AN226" s="106"/>
    </row>
    <row r="227">
      <c r="A227" s="112"/>
      <c r="B227" s="39"/>
      <c r="C227" s="38"/>
      <c r="D227" s="39"/>
      <c r="E227" s="113"/>
      <c r="F227" s="113"/>
      <c r="G227" s="112"/>
      <c r="H227" s="113"/>
      <c r="I227" s="113"/>
      <c r="J227" s="113"/>
      <c r="K227" s="46"/>
      <c r="L227" s="113"/>
      <c r="M227" s="46"/>
      <c r="N227" s="46"/>
      <c r="O227" s="60"/>
      <c r="P227" s="114"/>
      <c r="Q227" s="12"/>
      <c r="R227" s="115"/>
      <c r="S227" s="115"/>
      <c r="T227" s="115"/>
      <c r="U227" s="116"/>
      <c r="V227" s="117"/>
      <c r="W227" s="118"/>
      <c r="X227" s="119"/>
      <c r="Y227" s="113"/>
      <c r="Z227" s="113"/>
      <c r="AH227" s="106"/>
      <c r="AI227" s="106"/>
      <c r="AJ227" s="106"/>
      <c r="AK227" s="106"/>
      <c r="AL227" s="106"/>
      <c r="AM227" s="106"/>
      <c r="AN227" s="106"/>
    </row>
    <row r="228">
      <c r="A228" s="112"/>
      <c r="B228" s="39"/>
      <c r="C228" s="38"/>
      <c r="D228" s="39"/>
      <c r="E228" s="113"/>
      <c r="F228" s="113"/>
      <c r="G228" s="112"/>
      <c r="H228" s="113"/>
      <c r="I228" s="113"/>
      <c r="J228" s="113"/>
      <c r="K228" s="46"/>
      <c r="L228" s="113"/>
      <c r="M228" s="46"/>
      <c r="N228" s="46"/>
      <c r="O228" s="60"/>
      <c r="P228" s="114"/>
      <c r="Q228" s="12"/>
      <c r="R228" s="115"/>
      <c r="S228" s="115"/>
      <c r="T228" s="115"/>
      <c r="U228" s="116"/>
      <c r="V228" s="117"/>
      <c r="W228" s="118"/>
      <c r="X228" s="119"/>
      <c r="Y228" s="113"/>
      <c r="Z228" s="113"/>
      <c r="AH228" s="106"/>
      <c r="AI228" s="106"/>
      <c r="AJ228" s="106"/>
      <c r="AK228" s="106"/>
      <c r="AL228" s="106"/>
      <c r="AM228" s="106"/>
      <c r="AN228" s="106"/>
    </row>
    <row r="229">
      <c r="A229" s="112"/>
      <c r="B229" s="39"/>
      <c r="C229" s="38"/>
      <c r="D229" s="39"/>
      <c r="E229" s="113"/>
      <c r="F229" s="113"/>
      <c r="G229" s="112"/>
      <c r="H229" s="113"/>
      <c r="I229" s="113"/>
      <c r="J229" s="113"/>
      <c r="K229" s="46"/>
      <c r="L229" s="113"/>
      <c r="M229" s="46"/>
      <c r="N229" s="46"/>
      <c r="O229" s="60"/>
      <c r="P229" s="114"/>
      <c r="Q229" s="12"/>
      <c r="R229" s="115"/>
      <c r="S229" s="115"/>
      <c r="T229" s="115"/>
      <c r="U229" s="116"/>
      <c r="V229" s="117"/>
      <c r="W229" s="118"/>
      <c r="X229" s="119"/>
      <c r="Y229" s="113"/>
      <c r="Z229" s="113"/>
      <c r="AH229" s="106"/>
      <c r="AI229" s="106"/>
      <c r="AJ229" s="106"/>
      <c r="AK229" s="106"/>
      <c r="AL229" s="106"/>
      <c r="AM229" s="106"/>
      <c r="AN229" s="106"/>
    </row>
    <row r="230">
      <c r="A230" s="120"/>
      <c r="B230" s="39"/>
      <c r="C230" s="38"/>
      <c r="D230" s="39"/>
      <c r="E230" s="113"/>
      <c r="F230" s="113"/>
      <c r="G230" s="112"/>
      <c r="H230" s="113"/>
      <c r="I230" s="113"/>
      <c r="J230" s="113"/>
      <c r="K230" s="46"/>
      <c r="L230" s="113"/>
      <c r="M230" s="46"/>
      <c r="N230" s="46"/>
      <c r="O230" s="60"/>
      <c r="P230" s="114"/>
      <c r="Q230" s="12"/>
      <c r="R230" s="115"/>
      <c r="S230" s="115"/>
      <c r="T230" s="115"/>
      <c r="U230" s="116"/>
      <c r="V230" s="117"/>
      <c r="W230" s="118"/>
      <c r="X230" s="119"/>
      <c r="Y230" s="113"/>
      <c r="Z230" s="113"/>
      <c r="AH230" s="106"/>
      <c r="AI230" s="106"/>
      <c r="AJ230" s="106"/>
      <c r="AK230" s="106"/>
      <c r="AL230" s="106"/>
      <c r="AM230" s="106"/>
      <c r="AN230" s="106"/>
    </row>
    <row r="231">
      <c r="A231" s="120"/>
      <c r="B231" s="39"/>
      <c r="C231" s="38"/>
      <c r="D231" s="39"/>
      <c r="E231" s="113"/>
      <c r="F231" s="113"/>
      <c r="G231" s="112"/>
      <c r="H231" s="113"/>
      <c r="I231" s="113"/>
      <c r="J231" s="113"/>
      <c r="K231" s="46"/>
      <c r="L231" s="113"/>
      <c r="M231" s="46"/>
      <c r="N231" s="46"/>
      <c r="O231" s="60"/>
      <c r="P231" s="114"/>
      <c r="Q231" s="12"/>
      <c r="R231" s="115"/>
      <c r="S231" s="115"/>
      <c r="T231" s="115"/>
      <c r="U231" s="116"/>
      <c r="V231" s="117"/>
      <c r="W231" s="118"/>
      <c r="X231" s="119"/>
      <c r="Y231" s="113"/>
      <c r="Z231" s="113"/>
      <c r="AH231" s="106"/>
      <c r="AI231" s="106"/>
      <c r="AJ231" s="106"/>
      <c r="AK231" s="106"/>
      <c r="AL231" s="106"/>
      <c r="AM231" s="106"/>
      <c r="AN231" s="106"/>
    </row>
    <row r="232">
      <c r="A232" s="120"/>
      <c r="B232" s="39"/>
      <c r="C232" s="38"/>
      <c r="D232" s="39"/>
      <c r="E232" s="113"/>
      <c r="F232" s="113"/>
      <c r="G232" s="112"/>
      <c r="H232" s="113"/>
      <c r="I232" s="113"/>
      <c r="J232" s="113"/>
      <c r="K232" s="46"/>
      <c r="L232" s="113"/>
      <c r="M232" s="46"/>
      <c r="N232" s="46"/>
      <c r="O232" s="60"/>
      <c r="P232" s="114"/>
      <c r="Q232" s="12"/>
      <c r="R232" s="115"/>
      <c r="S232" s="115"/>
      <c r="T232" s="115"/>
      <c r="U232" s="116"/>
      <c r="V232" s="117"/>
      <c r="W232" s="118"/>
      <c r="X232" s="119"/>
      <c r="Y232" s="113"/>
      <c r="Z232" s="113"/>
      <c r="AH232" s="106"/>
      <c r="AI232" s="106"/>
      <c r="AJ232" s="106"/>
      <c r="AK232" s="106"/>
      <c r="AL232" s="106"/>
      <c r="AM232" s="106"/>
      <c r="AN232" s="106"/>
    </row>
    <row r="233">
      <c r="A233" s="120"/>
      <c r="B233" s="39"/>
      <c r="C233" s="38"/>
      <c r="D233" s="39"/>
      <c r="E233" s="113"/>
      <c r="F233" s="113"/>
      <c r="G233" s="112"/>
      <c r="H233" s="113"/>
      <c r="I233" s="113"/>
      <c r="J233" s="113"/>
      <c r="K233" s="46"/>
      <c r="L233" s="113"/>
      <c r="M233" s="46"/>
      <c r="N233" s="46"/>
      <c r="O233" s="60"/>
      <c r="P233" s="114"/>
      <c r="Q233" s="12"/>
      <c r="R233" s="115"/>
      <c r="S233" s="115"/>
      <c r="T233" s="115"/>
      <c r="U233" s="116"/>
      <c r="V233" s="117"/>
      <c r="W233" s="118"/>
      <c r="X233" s="119"/>
      <c r="Y233" s="113"/>
      <c r="Z233" s="113"/>
      <c r="AH233" s="106"/>
      <c r="AI233" s="106"/>
      <c r="AJ233" s="106"/>
      <c r="AK233" s="106"/>
      <c r="AL233" s="106"/>
      <c r="AM233" s="106"/>
      <c r="AN233" s="106"/>
    </row>
    <row r="234">
      <c r="A234" s="120"/>
      <c r="B234" s="39"/>
      <c r="C234" s="38"/>
      <c r="D234" s="39"/>
      <c r="E234" s="113"/>
      <c r="F234" s="113"/>
      <c r="G234" s="112"/>
      <c r="H234" s="113"/>
      <c r="I234" s="113"/>
      <c r="J234" s="113"/>
      <c r="K234" s="46"/>
      <c r="L234" s="113"/>
      <c r="M234" s="46"/>
      <c r="N234" s="46"/>
      <c r="O234" s="60"/>
      <c r="P234" s="114"/>
      <c r="Q234" s="12"/>
      <c r="R234" s="115"/>
      <c r="S234" s="115"/>
      <c r="T234" s="115"/>
      <c r="U234" s="116"/>
      <c r="V234" s="117"/>
      <c r="W234" s="118"/>
      <c r="X234" s="119"/>
      <c r="Y234" s="113"/>
      <c r="Z234" s="113"/>
      <c r="AH234" s="106"/>
      <c r="AI234" s="106"/>
      <c r="AJ234" s="106"/>
      <c r="AK234" s="106"/>
      <c r="AL234" s="106"/>
      <c r="AM234" s="106"/>
      <c r="AN234" s="106"/>
    </row>
    <row r="235">
      <c r="A235" s="120"/>
      <c r="B235" s="39"/>
      <c r="C235" s="38"/>
      <c r="D235" s="39"/>
      <c r="E235" s="113"/>
      <c r="F235" s="113"/>
      <c r="G235" s="112"/>
      <c r="H235" s="113"/>
      <c r="I235" s="113"/>
      <c r="J235" s="113"/>
      <c r="K235" s="46"/>
      <c r="L235" s="113"/>
      <c r="M235" s="46"/>
      <c r="N235" s="46"/>
      <c r="O235" s="60"/>
      <c r="P235" s="114"/>
      <c r="Q235" s="12"/>
      <c r="R235" s="115"/>
      <c r="S235" s="115"/>
      <c r="T235" s="115"/>
      <c r="U235" s="116"/>
      <c r="V235" s="117"/>
      <c r="W235" s="118"/>
      <c r="X235" s="119"/>
      <c r="Y235" s="113"/>
      <c r="Z235" s="113"/>
      <c r="AH235" s="106"/>
      <c r="AI235" s="106"/>
      <c r="AJ235" s="106"/>
      <c r="AK235" s="106"/>
      <c r="AL235" s="106"/>
      <c r="AM235" s="106"/>
      <c r="AN235" s="106"/>
    </row>
    <row r="236">
      <c r="A236" s="120"/>
      <c r="B236" s="39"/>
      <c r="C236" s="38"/>
      <c r="D236" s="39"/>
      <c r="E236" s="113"/>
      <c r="F236" s="113"/>
      <c r="G236" s="112"/>
      <c r="H236" s="112"/>
      <c r="I236" s="113"/>
      <c r="J236" s="113"/>
      <c r="K236" s="46"/>
      <c r="L236" s="113"/>
      <c r="M236" s="46"/>
      <c r="N236" s="46"/>
      <c r="O236" s="60"/>
      <c r="P236" s="114"/>
      <c r="Q236" s="12"/>
      <c r="R236" s="115"/>
      <c r="S236" s="115"/>
      <c r="T236" s="115"/>
      <c r="U236" s="116"/>
      <c r="V236" s="117"/>
      <c r="W236" s="118"/>
      <c r="X236" s="119"/>
      <c r="Y236" s="113"/>
      <c r="Z236" s="113"/>
      <c r="AH236" s="106"/>
      <c r="AI236" s="106"/>
      <c r="AJ236" s="106"/>
      <c r="AK236" s="106"/>
      <c r="AL236" s="106"/>
      <c r="AM236" s="106"/>
      <c r="AN236" s="106"/>
    </row>
    <row r="237">
      <c r="A237" s="120"/>
      <c r="B237" s="39"/>
      <c r="C237" s="38"/>
      <c r="D237" s="39"/>
      <c r="E237" s="113"/>
      <c r="F237" s="113"/>
      <c r="G237" s="112"/>
      <c r="H237" s="113"/>
      <c r="I237" s="113"/>
      <c r="J237" s="113"/>
      <c r="K237" s="46"/>
      <c r="L237" s="113"/>
      <c r="M237" s="46"/>
      <c r="N237" s="46"/>
      <c r="O237" s="60"/>
      <c r="P237" s="114"/>
      <c r="Q237" s="12"/>
      <c r="R237" s="115"/>
      <c r="S237" s="115"/>
      <c r="T237" s="115"/>
      <c r="U237" s="116"/>
      <c r="V237" s="117"/>
      <c r="W237" s="118"/>
      <c r="X237" s="119"/>
      <c r="Y237" s="113"/>
      <c r="Z237" s="113"/>
      <c r="AH237" s="106"/>
      <c r="AI237" s="106"/>
      <c r="AJ237" s="106"/>
      <c r="AK237" s="106"/>
      <c r="AL237" s="106"/>
      <c r="AM237" s="106"/>
      <c r="AN237" s="106"/>
    </row>
    <row r="238">
      <c r="A238" s="120"/>
      <c r="B238" s="39"/>
      <c r="C238" s="38"/>
      <c r="D238" s="39"/>
      <c r="E238" s="113"/>
      <c r="F238" s="113"/>
      <c r="G238" s="112"/>
      <c r="H238" s="113"/>
      <c r="I238" s="113"/>
      <c r="J238" s="113"/>
      <c r="K238" s="46"/>
      <c r="L238" s="113"/>
      <c r="M238" s="46"/>
      <c r="N238" s="46"/>
      <c r="O238" s="60"/>
      <c r="P238" s="114"/>
      <c r="Q238" s="12"/>
      <c r="R238" s="115"/>
      <c r="S238" s="115"/>
      <c r="T238" s="115"/>
      <c r="U238" s="116"/>
      <c r="V238" s="117"/>
      <c r="W238" s="118"/>
      <c r="X238" s="119"/>
      <c r="Y238" s="113"/>
      <c r="Z238" s="113"/>
      <c r="AH238" s="106"/>
      <c r="AI238" s="106"/>
      <c r="AJ238" s="106"/>
      <c r="AK238" s="106"/>
      <c r="AL238" s="106"/>
      <c r="AM238" s="106"/>
      <c r="AN238" s="106"/>
    </row>
    <row r="239">
      <c r="A239" s="120"/>
      <c r="B239" s="39"/>
      <c r="C239" s="38"/>
      <c r="D239" s="39"/>
      <c r="E239" s="113"/>
      <c r="F239" s="113"/>
      <c r="G239" s="112"/>
      <c r="H239" s="113"/>
      <c r="I239" s="113"/>
      <c r="J239" s="113"/>
      <c r="K239" s="46"/>
      <c r="L239" s="113"/>
      <c r="M239" s="46"/>
      <c r="N239" s="46"/>
      <c r="O239" s="60"/>
      <c r="P239" s="114"/>
      <c r="Q239" s="12"/>
      <c r="R239" s="115"/>
      <c r="S239" s="115"/>
      <c r="T239" s="115"/>
      <c r="U239" s="116"/>
      <c r="V239" s="117"/>
      <c r="W239" s="118"/>
      <c r="X239" s="119"/>
      <c r="Y239" s="113"/>
      <c r="Z239" s="113"/>
      <c r="AH239" s="106"/>
      <c r="AI239" s="106"/>
      <c r="AJ239" s="106"/>
      <c r="AK239" s="106"/>
      <c r="AL239" s="106"/>
      <c r="AM239" s="106"/>
      <c r="AN239" s="106"/>
    </row>
    <row r="240">
      <c r="A240" s="38"/>
      <c r="B240" s="38"/>
      <c r="C240" s="38"/>
      <c r="D240" s="38"/>
      <c r="E240" s="38"/>
      <c r="F240" s="41"/>
      <c r="G240" s="43"/>
      <c r="H240" s="45"/>
      <c r="I240" s="38"/>
      <c r="J240" s="38"/>
      <c r="K240" s="46"/>
      <c r="L240" s="47"/>
      <c r="M240" s="46"/>
      <c r="N240" s="46"/>
      <c r="O240" s="38"/>
      <c r="P240" s="38"/>
      <c r="Q240" s="12"/>
      <c r="R240" s="50"/>
      <c r="S240" s="50"/>
      <c r="T240" s="50"/>
      <c r="U240" s="53"/>
      <c r="V240" s="54"/>
      <c r="W240" s="56"/>
      <c r="X240" s="119"/>
      <c r="Y240" s="113"/>
      <c r="Z240" s="113"/>
      <c r="AH240" s="106"/>
      <c r="AI240" s="106"/>
      <c r="AJ240" s="106"/>
      <c r="AK240" s="106"/>
      <c r="AL240" s="106"/>
      <c r="AM240" s="106"/>
      <c r="AN240" s="106"/>
    </row>
    <row r="241">
      <c r="A241" s="38"/>
      <c r="B241" s="38"/>
      <c r="C241" s="38"/>
      <c r="D241" s="38"/>
      <c r="E241" s="38"/>
      <c r="F241" s="41"/>
      <c r="G241" s="43"/>
      <c r="H241" s="45"/>
      <c r="I241" s="38"/>
      <c r="J241" s="38"/>
      <c r="K241" s="46"/>
      <c r="L241" s="47"/>
      <c r="M241" s="46"/>
      <c r="N241" s="46"/>
      <c r="O241" s="38"/>
      <c r="P241" s="38"/>
      <c r="Q241" s="12"/>
      <c r="R241" s="50"/>
      <c r="S241" s="50"/>
      <c r="T241" s="50"/>
      <c r="U241" s="53"/>
      <c r="V241" s="54"/>
      <c r="W241" s="56"/>
      <c r="X241" s="119"/>
      <c r="Y241" s="113"/>
      <c r="Z241" s="113"/>
      <c r="AH241" s="106"/>
      <c r="AI241" s="106"/>
      <c r="AJ241" s="106"/>
      <c r="AK241" s="106"/>
      <c r="AL241" s="106"/>
      <c r="AM241" s="106"/>
      <c r="AN241" s="106"/>
    </row>
    <row r="242">
      <c r="A242" s="38"/>
      <c r="B242" s="38"/>
      <c r="C242" s="38"/>
      <c r="D242" s="38"/>
      <c r="E242" s="38"/>
      <c r="F242" s="41"/>
      <c r="G242" s="43"/>
      <c r="H242" s="45"/>
      <c r="I242" s="38"/>
      <c r="J242" s="38"/>
      <c r="K242" s="46"/>
      <c r="L242" s="47"/>
      <c r="M242" s="46"/>
      <c r="N242" s="46"/>
      <c r="O242" s="38"/>
      <c r="P242" s="38"/>
      <c r="Q242" s="12"/>
      <c r="R242" s="50"/>
      <c r="S242" s="50"/>
      <c r="T242" s="50"/>
      <c r="U242" s="53"/>
      <c r="V242" s="54"/>
      <c r="W242" s="56"/>
      <c r="X242" s="119"/>
      <c r="Y242" s="113"/>
      <c r="Z242" s="113"/>
      <c r="AH242" s="106"/>
      <c r="AI242" s="106"/>
      <c r="AJ242" s="106"/>
      <c r="AK242" s="106"/>
      <c r="AL242" s="106"/>
      <c r="AM242" s="106"/>
      <c r="AN242" s="106"/>
    </row>
    <row r="243">
      <c r="A243" s="38"/>
      <c r="B243" s="38"/>
      <c r="C243" s="38"/>
      <c r="D243" s="38"/>
      <c r="E243" s="38"/>
      <c r="F243" s="41"/>
      <c r="G243" s="43"/>
      <c r="H243" s="45"/>
      <c r="I243" s="38"/>
      <c r="J243" s="38"/>
      <c r="K243" s="46"/>
      <c r="L243" s="47"/>
      <c r="M243" s="46"/>
      <c r="N243" s="46"/>
      <c r="O243" s="38"/>
      <c r="P243" s="38"/>
      <c r="Q243" s="12"/>
      <c r="R243" s="50"/>
      <c r="S243" s="50"/>
      <c r="T243" s="50"/>
      <c r="U243" s="53"/>
      <c r="V243" s="54"/>
      <c r="W243" s="56"/>
      <c r="X243" s="119"/>
      <c r="Y243" s="113"/>
      <c r="Z243" s="113"/>
      <c r="AH243" s="106"/>
      <c r="AI243" s="106"/>
      <c r="AJ243" s="106"/>
      <c r="AK243" s="106"/>
      <c r="AL243" s="106"/>
      <c r="AM243" s="106"/>
      <c r="AN243" s="106"/>
    </row>
    <row r="244">
      <c r="A244" s="38"/>
      <c r="B244" s="38"/>
      <c r="C244" s="38"/>
      <c r="D244" s="38"/>
      <c r="E244" s="38"/>
      <c r="F244" s="41"/>
      <c r="G244" s="43"/>
      <c r="H244" s="45"/>
      <c r="I244" s="38"/>
      <c r="J244" s="38"/>
      <c r="K244" s="46"/>
      <c r="L244" s="47"/>
      <c r="M244" s="46"/>
      <c r="N244" s="46"/>
      <c r="O244" s="38"/>
      <c r="P244" s="38"/>
      <c r="Q244" s="12"/>
      <c r="R244" s="50"/>
      <c r="S244" s="50"/>
      <c r="T244" s="50"/>
      <c r="U244" s="53"/>
      <c r="V244" s="54"/>
      <c r="W244" s="56"/>
      <c r="X244" s="119"/>
      <c r="Y244" s="113"/>
      <c r="Z244" s="113"/>
      <c r="AH244" s="106"/>
      <c r="AI244" s="106"/>
      <c r="AJ244" s="106"/>
      <c r="AK244" s="106"/>
      <c r="AL244" s="106"/>
      <c r="AM244" s="106"/>
      <c r="AN244" s="106"/>
    </row>
    <row r="245">
      <c r="A245" s="38"/>
      <c r="B245" s="38"/>
      <c r="C245" s="38"/>
      <c r="D245" s="38"/>
      <c r="E245" s="38"/>
      <c r="F245" s="41"/>
      <c r="G245" s="43"/>
      <c r="H245" s="45"/>
      <c r="I245" s="38"/>
      <c r="J245" s="38"/>
      <c r="K245" s="46"/>
      <c r="L245" s="47"/>
      <c r="M245" s="46"/>
      <c r="N245" s="46"/>
      <c r="O245" s="38"/>
      <c r="P245" s="38"/>
      <c r="Q245" s="12"/>
      <c r="R245" s="50"/>
      <c r="S245" s="50"/>
      <c r="T245" s="50"/>
      <c r="U245" s="53"/>
      <c r="V245" s="54"/>
      <c r="W245" s="56"/>
      <c r="X245" s="119"/>
      <c r="Y245" s="113"/>
      <c r="Z245" s="113"/>
      <c r="AH245" s="106"/>
      <c r="AI245" s="106"/>
      <c r="AJ245" s="106"/>
      <c r="AK245" s="106"/>
      <c r="AL245" s="106"/>
      <c r="AM245" s="106"/>
      <c r="AN245" s="106"/>
    </row>
    <row r="246">
      <c r="A246" s="38"/>
      <c r="B246" s="38"/>
      <c r="C246" s="38"/>
      <c r="D246" s="38"/>
      <c r="E246" s="38"/>
      <c r="F246" s="41"/>
      <c r="G246" s="43"/>
      <c r="H246" s="45"/>
      <c r="I246" s="38"/>
      <c r="J246" s="38"/>
      <c r="K246" s="46"/>
      <c r="L246" s="47"/>
      <c r="M246" s="46"/>
      <c r="N246" s="46"/>
      <c r="O246" s="38"/>
      <c r="P246" s="38"/>
      <c r="Q246" s="12"/>
      <c r="R246" s="50"/>
      <c r="S246" s="50"/>
      <c r="T246" s="50"/>
      <c r="U246" s="53"/>
      <c r="V246" s="54"/>
      <c r="W246" s="56"/>
      <c r="X246" s="119"/>
      <c r="Y246" s="113"/>
      <c r="Z246" s="113"/>
      <c r="AH246" s="106"/>
      <c r="AI246" s="106"/>
      <c r="AJ246" s="106"/>
      <c r="AK246" s="106"/>
      <c r="AL246" s="106"/>
      <c r="AM246" s="106"/>
      <c r="AN246" s="106"/>
    </row>
    <row r="247">
      <c r="A247" s="38"/>
      <c r="B247" s="38"/>
      <c r="C247" s="38"/>
      <c r="D247" s="38"/>
      <c r="E247" s="38"/>
      <c r="F247" s="41"/>
      <c r="G247" s="43"/>
      <c r="H247" s="45"/>
      <c r="I247" s="38"/>
      <c r="J247" s="38"/>
      <c r="K247" s="46"/>
      <c r="L247" s="47"/>
      <c r="M247" s="46"/>
      <c r="N247" s="46"/>
      <c r="O247" s="38"/>
      <c r="P247" s="38"/>
      <c r="Q247" s="12"/>
      <c r="R247" s="50"/>
      <c r="S247" s="50"/>
      <c r="T247" s="50"/>
      <c r="U247" s="53"/>
      <c r="V247" s="54"/>
      <c r="W247" s="56"/>
      <c r="X247" s="119"/>
      <c r="Y247" s="113"/>
      <c r="Z247" s="113"/>
      <c r="AH247" s="106"/>
      <c r="AI247" s="106"/>
      <c r="AJ247" s="106"/>
      <c r="AK247" s="106"/>
      <c r="AL247" s="106"/>
      <c r="AM247" s="106"/>
      <c r="AN247" s="106"/>
    </row>
    <row r="248">
      <c r="A248" s="38"/>
      <c r="B248" s="38"/>
      <c r="C248" s="38"/>
      <c r="D248" s="38"/>
      <c r="E248" s="38"/>
      <c r="F248" s="41"/>
      <c r="G248" s="43"/>
      <c r="H248" s="45"/>
      <c r="I248" s="38"/>
      <c r="J248" s="38"/>
      <c r="K248" s="46"/>
      <c r="L248" s="47"/>
      <c r="M248" s="46"/>
      <c r="N248" s="46"/>
      <c r="O248" s="38"/>
      <c r="P248" s="38"/>
      <c r="Q248" s="12"/>
      <c r="R248" s="50"/>
      <c r="S248" s="50"/>
      <c r="T248" s="50"/>
      <c r="U248" s="53"/>
      <c r="V248" s="54"/>
      <c r="W248" s="56"/>
      <c r="X248" s="119"/>
      <c r="Y248" s="113"/>
      <c r="Z248" s="113"/>
      <c r="AH248" s="106"/>
      <c r="AI248" s="106"/>
      <c r="AJ248" s="106"/>
      <c r="AK248" s="106"/>
      <c r="AL248" s="106"/>
      <c r="AM248" s="106"/>
      <c r="AN248" s="106"/>
    </row>
    <row r="249">
      <c r="A249" s="38"/>
      <c r="B249" s="38"/>
      <c r="C249" s="38"/>
      <c r="D249" s="38"/>
      <c r="E249" s="38"/>
      <c r="F249" s="41"/>
      <c r="G249" s="43"/>
      <c r="H249" s="45"/>
      <c r="I249" s="38"/>
      <c r="J249" s="38"/>
      <c r="K249" s="46"/>
      <c r="L249" s="47"/>
      <c r="M249" s="46"/>
      <c r="N249" s="46"/>
      <c r="O249" s="38"/>
      <c r="P249" s="38"/>
      <c r="Q249" s="12"/>
      <c r="R249" s="50"/>
      <c r="S249" s="50"/>
      <c r="T249" s="50"/>
      <c r="U249" s="53"/>
      <c r="V249" s="54"/>
      <c r="W249" s="56"/>
      <c r="X249" s="119"/>
      <c r="Y249" s="113"/>
      <c r="Z249" s="113"/>
      <c r="AH249" s="106"/>
      <c r="AI249" s="106"/>
      <c r="AJ249" s="106"/>
      <c r="AK249" s="106"/>
      <c r="AL249" s="106"/>
      <c r="AM249" s="106"/>
      <c r="AN249" s="106"/>
    </row>
    <row r="250">
      <c r="A250" s="38"/>
      <c r="B250" s="38"/>
      <c r="C250" s="38"/>
      <c r="D250" s="38"/>
      <c r="E250" s="38"/>
      <c r="F250" s="41"/>
      <c r="G250" s="43"/>
      <c r="H250" s="45"/>
      <c r="I250" s="38"/>
      <c r="J250" s="38"/>
      <c r="K250" s="46"/>
      <c r="L250" s="47"/>
      <c r="M250" s="46"/>
      <c r="N250" s="46"/>
      <c r="O250" s="38"/>
      <c r="P250" s="38"/>
      <c r="Q250" s="12"/>
      <c r="R250" s="50"/>
      <c r="S250" s="50"/>
      <c r="T250" s="50"/>
      <c r="U250" s="53"/>
      <c r="V250" s="54"/>
      <c r="W250" s="56"/>
      <c r="X250" s="119"/>
      <c r="Y250" s="113"/>
      <c r="Z250" s="113"/>
      <c r="AH250" s="106"/>
      <c r="AI250" s="106"/>
      <c r="AJ250" s="106"/>
      <c r="AK250" s="106"/>
      <c r="AL250" s="106"/>
      <c r="AM250" s="106"/>
      <c r="AN250" s="106"/>
    </row>
    <row r="251">
      <c r="A251" s="38"/>
      <c r="B251" s="38"/>
      <c r="C251" s="38"/>
      <c r="D251" s="38"/>
      <c r="E251" s="38"/>
      <c r="F251" s="41"/>
      <c r="G251" s="43"/>
      <c r="H251" s="45"/>
      <c r="I251" s="38"/>
      <c r="J251" s="38"/>
      <c r="K251" s="46"/>
      <c r="L251" s="47"/>
      <c r="M251" s="46"/>
      <c r="N251" s="46"/>
      <c r="O251" s="38"/>
      <c r="P251" s="38"/>
      <c r="Q251" s="12"/>
      <c r="R251" s="50"/>
      <c r="S251" s="50"/>
      <c r="T251" s="50"/>
      <c r="U251" s="53"/>
      <c r="V251" s="54"/>
      <c r="W251" s="56"/>
      <c r="X251" s="119"/>
      <c r="Y251" s="113"/>
      <c r="Z251" s="113"/>
      <c r="AH251" s="106"/>
      <c r="AI251" s="106"/>
      <c r="AJ251" s="106"/>
      <c r="AK251" s="106"/>
      <c r="AL251" s="106"/>
      <c r="AM251" s="106"/>
      <c r="AN251" s="106"/>
    </row>
    <row r="252">
      <c r="A252" s="38"/>
      <c r="B252" s="38"/>
      <c r="C252" s="38"/>
      <c r="D252" s="38"/>
      <c r="E252" s="38"/>
      <c r="F252" s="41"/>
      <c r="G252" s="43"/>
      <c r="H252" s="45"/>
      <c r="I252" s="38"/>
      <c r="J252" s="38"/>
      <c r="K252" s="46"/>
      <c r="L252" s="47"/>
      <c r="M252" s="46"/>
      <c r="N252" s="46"/>
      <c r="O252" s="38"/>
      <c r="P252" s="38"/>
      <c r="Q252" s="12"/>
      <c r="R252" s="50"/>
      <c r="S252" s="50"/>
      <c r="T252" s="50"/>
      <c r="U252" s="53"/>
      <c r="V252" s="54"/>
      <c r="W252" s="56"/>
      <c r="X252" s="119"/>
      <c r="Y252" s="113"/>
      <c r="Z252" s="113"/>
      <c r="AH252" s="106"/>
      <c r="AI252" s="106"/>
      <c r="AJ252" s="106"/>
      <c r="AK252" s="106"/>
      <c r="AL252" s="106"/>
      <c r="AM252" s="106"/>
      <c r="AN252" s="106"/>
    </row>
    <row r="253">
      <c r="A253" s="38"/>
      <c r="B253" s="38"/>
      <c r="C253" s="38"/>
      <c r="D253" s="38"/>
      <c r="E253" s="38"/>
      <c r="F253" s="41"/>
      <c r="G253" s="43"/>
      <c r="H253" s="45"/>
      <c r="I253" s="38"/>
      <c r="J253" s="38"/>
      <c r="K253" s="46"/>
      <c r="L253" s="47"/>
      <c r="M253" s="46"/>
      <c r="N253" s="46"/>
      <c r="O253" s="38"/>
      <c r="P253" s="38"/>
      <c r="Q253" s="12"/>
      <c r="R253" s="50"/>
      <c r="S253" s="50"/>
      <c r="T253" s="50"/>
      <c r="U253" s="53"/>
      <c r="V253" s="54"/>
      <c r="W253" s="56"/>
      <c r="X253" s="119"/>
      <c r="Y253" s="113"/>
      <c r="Z253" s="113"/>
      <c r="AH253" s="106"/>
      <c r="AI253" s="106"/>
      <c r="AJ253" s="106"/>
      <c r="AK253" s="106"/>
      <c r="AL253" s="106"/>
      <c r="AM253" s="106"/>
      <c r="AN253" s="106"/>
    </row>
    <row r="254">
      <c r="A254" s="38"/>
      <c r="B254" s="38"/>
      <c r="C254" s="38"/>
      <c r="D254" s="38"/>
      <c r="E254" s="38"/>
      <c r="F254" s="41"/>
      <c r="G254" s="43"/>
      <c r="H254" s="45"/>
      <c r="I254" s="38"/>
      <c r="J254" s="38"/>
      <c r="K254" s="46"/>
      <c r="L254" s="47"/>
      <c r="M254" s="46"/>
      <c r="N254" s="46"/>
      <c r="O254" s="38"/>
      <c r="P254" s="38"/>
      <c r="Q254" s="12"/>
      <c r="R254" s="50"/>
      <c r="S254" s="50"/>
      <c r="T254" s="50"/>
      <c r="U254" s="53"/>
      <c r="V254" s="54"/>
      <c r="W254" s="56"/>
      <c r="X254" s="119"/>
      <c r="Y254" s="113"/>
      <c r="Z254" s="113"/>
      <c r="AH254" s="106"/>
      <c r="AI254" s="106"/>
      <c r="AJ254" s="106"/>
      <c r="AK254" s="106"/>
      <c r="AL254" s="106"/>
      <c r="AM254" s="106"/>
      <c r="AN254" s="106"/>
    </row>
    <row r="255">
      <c r="A255" s="38"/>
      <c r="B255" s="38"/>
      <c r="C255" s="38"/>
      <c r="D255" s="38"/>
      <c r="E255" s="38"/>
      <c r="F255" s="41"/>
      <c r="G255" s="43"/>
      <c r="H255" s="45"/>
      <c r="I255" s="38"/>
      <c r="J255" s="38"/>
      <c r="K255" s="46"/>
      <c r="L255" s="47"/>
      <c r="M255" s="46"/>
      <c r="N255" s="46"/>
      <c r="O255" s="38"/>
      <c r="P255" s="38"/>
      <c r="Q255" s="12"/>
      <c r="R255" s="50"/>
      <c r="S255" s="50"/>
      <c r="T255" s="50"/>
      <c r="U255" s="53"/>
      <c r="V255" s="54"/>
      <c r="W255" s="56"/>
      <c r="X255" s="119"/>
      <c r="Y255" s="113"/>
      <c r="Z255" s="113"/>
      <c r="AH255" s="106"/>
      <c r="AI255" s="106"/>
      <c r="AJ255" s="106"/>
      <c r="AK255" s="106"/>
      <c r="AL255" s="106"/>
      <c r="AM255" s="106"/>
      <c r="AN255" s="106"/>
    </row>
    <row r="256">
      <c r="A256" s="38"/>
      <c r="B256" s="38"/>
      <c r="C256" s="38"/>
      <c r="D256" s="38"/>
      <c r="E256" s="38"/>
      <c r="F256" s="41"/>
      <c r="G256" s="43"/>
      <c r="H256" s="45"/>
      <c r="I256" s="38"/>
      <c r="J256" s="38"/>
      <c r="K256" s="46"/>
      <c r="L256" s="47"/>
      <c r="M256" s="46"/>
      <c r="N256" s="46"/>
      <c r="O256" s="38"/>
      <c r="P256" s="38"/>
      <c r="Q256" s="12"/>
      <c r="R256" s="50"/>
      <c r="S256" s="50"/>
      <c r="T256" s="50"/>
      <c r="U256" s="53"/>
      <c r="V256" s="54"/>
      <c r="W256" s="56"/>
      <c r="X256" s="119"/>
      <c r="Y256" s="113"/>
      <c r="Z256" s="113"/>
      <c r="AH256" s="106"/>
      <c r="AI256" s="106"/>
      <c r="AJ256" s="106"/>
      <c r="AK256" s="106"/>
      <c r="AL256" s="106"/>
      <c r="AM256" s="106"/>
      <c r="AN256" s="106"/>
    </row>
    <row r="257">
      <c r="A257" s="38"/>
      <c r="B257" s="38"/>
      <c r="C257" s="38"/>
      <c r="D257" s="38"/>
      <c r="E257" s="38"/>
      <c r="F257" s="41"/>
      <c r="G257" s="43"/>
      <c r="H257" s="45"/>
      <c r="I257" s="38"/>
      <c r="J257" s="38"/>
      <c r="K257" s="46"/>
      <c r="L257" s="47"/>
      <c r="M257" s="46"/>
      <c r="N257" s="46"/>
      <c r="O257" s="38"/>
      <c r="P257" s="38"/>
      <c r="Q257" s="12"/>
      <c r="R257" s="50"/>
      <c r="S257" s="50"/>
      <c r="T257" s="50"/>
      <c r="U257" s="53"/>
      <c r="V257" s="54"/>
      <c r="W257" s="56"/>
      <c r="X257" s="119"/>
      <c r="Y257" s="113"/>
      <c r="Z257" s="113"/>
      <c r="AH257" s="106"/>
      <c r="AI257" s="106"/>
      <c r="AJ257" s="106"/>
      <c r="AK257" s="106"/>
      <c r="AL257" s="106"/>
      <c r="AM257" s="106"/>
      <c r="AN257" s="106"/>
    </row>
    <row r="258">
      <c r="A258" s="38"/>
      <c r="B258" s="38"/>
      <c r="C258" s="38"/>
      <c r="D258" s="38"/>
      <c r="E258" s="38"/>
      <c r="F258" s="41"/>
      <c r="G258" s="43"/>
      <c r="H258" s="45"/>
      <c r="I258" s="38"/>
      <c r="J258" s="38"/>
      <c r="K258" s="46"/>
      <c r="L258" s="47"/>
      <c r="M258" s="46"/>
      <c r="N258" s="46"/>
      <c r="O258" s="38"/>
      <c r="P258" s="38"/>
      <c r="Q258" s="12"/>
      <c r="R258" s="50"/>
      <c r="S258" s="50"/>
      <c r="T258" s="50"/>
      <c r="U258" s="53"/>
      <c r="V258" s="54"/>
      <c r="W258" s="56"/>
      <c r="X258" s="119"/>
      <c r="Y258" s="113"/>
      <c r="Z258" s="113"/>
      <c r="AH258" s="106"/>
      <c r="AI258" s="106"/>
      <c r="AJ258" s="106"/>
      <c r="AK258" s="106"/>
      <c r="AL258" s="106"/>
      <c r="AM258" s="106"/>
      <c r="AN258" s="106"/>
    </row>
    <row r="259">
      <c r="A259" s="38"/>
      <c r="B259" s="38"/>
      <c r="C259" s="38"/>
      <c r="D259" s="38"/>
      <c r="E259" s="38"/>
      <c r="F259" s="41"/>
      <c r="G259" s="43"/>
      <c r="H259" s="45"/>
      <c r="I259" s="38"/>
      <c r="J259" s="38"/>
      <c r="K259" s="46"/>
      <c r="L259" s="47"/>
      <c r="M259" s="46"/>
      <c r="N259" s="46"/>
      <c r="O259" s="38"/>
      <c r="P259" s="38"/>
      <c r="Q259" s="12"/>
      <c r="R259" s="50"/>
      <c r="S259" s="50"/>
      <c r="T259" s="50"/>
      <c r="U259" s="53"/>
      <c r="V259" s="54"/>
      <c r="W259" s="56"/>
      <c r="X259" s="119"/>
      <c r="Y259" s="113"/>
      <c r="Z259" s="113"/>
      <c r="AH259" s="106"/>
      <c r="AI259" s="106"/>
      <c r="AJ259" s="106"/>
      <c r="AK259" s="106"/>
      <c r="AL259" s="106"/>
      <c r="AM259" s="106"/>
      <c r="AN259" s="106"/>
    </row>
    <row r="260">
      <c r="A260" s="38"/>
      <c r="B260" s="38"/>
      <c r="C260" s="38"/>
      <c r="D260" s="38"/>
      <c r="E260" s="38"/>
      <c r="F260" s="41"/>
      <c r="G260" s="43"/>
      <c r="H260" s="45"/>
      <c r="I260" s="38"/>
      <c r="J260" s="38"/>
      <c r="K260" s="46"/>
      <c r="L260" s="47"/>
      <c r="M260" s="46"/>
      <c r="N260" s="46"/>
      <c r="O260" s="38"/>
      <c r="P260" s="38"/>
      <c r="Q260" s="12"/>
      <c r="R260" s="50"/>
      <c r="S260" s="50"/>
      <c r="T260" s="50"/>
      <c r="U260" s="53"/>
      <c r="V260" s="54"/>
      <c r="W260" s="56"/>
      <c r="X260" s="119"/>
      <c r="Y260" s="113"/>
      <c r="Z260" s="113"/>
      <c r="AH260" s="106"/>
      <c r="AI260" s="106"/>
      <c r="AJ260" s="106"/>
      <c r="AK260" s="106"/>
      <c r="AL260" s="106"/>
      <c r="AM260" s="106"/>
      <c r="AN260" s="106"/>
    </row>
    <row r="261">
      <c r="A261" s="38"/>
      <c r="B261" s="38"/>
      <c r="C261" s="38"/>
      <c r="D261" s="38"/>
      <c r="E261" s="38"/>
      <c r="F261" s="41"/>
      <c r="G261" s="43"/>
      <c r="H261" s="45"/>
      <c r="I261" s="38"/>
      <c r="J261" s="38"/>
      <c r="K261" s="46"/>
      <c r="L261" s="47"/>
      <c r="M261" s="46"/>
      <c r="N261" s="46"/>
      <c r="O261" s="38"/>
      <c r="P261" s="38"/>
      <c r="Q261" s="12"/>
      <c r="R261" s="50"/>
      <c r="S261" s="50"/>
      <c r="T261" s="50"/>
      <c r="U261" s="53"/>
      <c r="V261" s="54"/>
      <c r="W261" s="56"/>
      <c r="X261" s="119"/>
      <c r="Y261" s="113"/>
      <c r="Z261" s="113"/>
      <c r="AH261" s="106"/>
      <c r="AI261" s="106"/>
      <c r="AJ261" s="106"/>
      <c r="AK261" s="106"/>
      <c r="AL261" s="106"/>
      <c r="AM261" s="106"/>
      <c r="AN261" s="106"/>
    </row>
    <row r="262">
      <c r="A262" s="38"/>
      <c r="B262" s="38"/>
      <c r="C262" s="38"/>
      <c r="D262" s="38"/>
      <c r="E262" s="38"/>
      <c r="F262" s="41"/>
      <c r="G262" s="43"/>
      <c r="H262" s="45"/>
      <c r="I262" s="38"/>
      <c r="J262" s="38"/>
      <c r="K262" s="46"/>
      <c r="L262" s="47"/>
      <c r="M262" s="46"/>
      <c r="N262" s="46"/>
      <c r="O262" s="38"/>
      <c r="P262" s="38"/>
      <c r="Q262" s="12"/>
      <c r="R262" s="50"/>
      <c r="S262" s="50"/>
      <c r="T262" s="50"/>
      <c r="U262" s="53"/>
      <c r="V262" s="54"/>
      <c r="W262" s="56"/>
      <c r="X262" s="119"/>
      <c r="Y262" s="113"/>
      <c r="Z262" s="113"/>
      <c r="AH262" s="106"/>
      <c r="AI262" s="106"/>
      <c r="AJ262" s="106"/>
      <c r="AK262" s="106"/>
      <c r="AL262" s="106"/>
      <c r="AM262" s="106"/>
      <c r="AN262" s="106"/>
    </row>
    <row r="263">
      <c r="A263" s="38"/>
      <c r="B263" s="38"/>
      <c r="C263" s="38"/>
      <c r="D263" s="38"/>
      <c r="E263" s="38"/>
      <c r="F263" s="41"/>
      <c r="G263" s="43"/>
      <c r="H263" s="45"/>
      <c r="I263" s="38"/>
      <c r="J263" s="38"/>
      <c r="K263" s="46"/>
      <c r="L263" s="47"/>
      <c r="M263" s="46"/>
      <c r="N263" s="46"/>
      <c r="O263" s="38"/>
      <c r="P263" s="38"/>
      <c r="Q263" s="12"/>
      <c r="R263" s="50"/>
      <c r="S263" s="50"/>
      <c r="T263" s="50"/>
      <c r="U263" s="53"/>
      <c r="V263" s="54"/>
      <c r="W263" s="56"/>
      <c r="X263" s="119"/>
      <c r="Y263" s="113"/>
      <c r="Z263" s="113"/>
      <c r="AH263" s="106"/>
      <c r="AI263" s="106"/>
      <c r="AJ263" s="106"/>
      <c r="AK263" s="106"/>
      <c r="AL263" s="106"/>
      <c r="AM263" s="106"/>
      <c r="AN263" s="106"/>
    </row>
    <row r="264">
      <c r="A264" s="38"/>
      <c r="B264" s="38"/>
      <c r="C264" s="38"/>
      <c r="D264" s="38"/>
      <c r="E264" s="38"/>
      <c r="F264" s="41"/>
      <c r="G264" s="43"/>
      <c r="H264" s="45"/>
      <c r="I264" s="38"/>
      <c r="J264" s="38"/>
      <c r="K264" s="46"/>
      <c r="L264" s="47"/>
      <c r="M264" s="46"/>
      <c r="N264" s="46"/>
      <c r="O264" s="38"/>
      <c r="P264" s="38"/>
      <c r="Q264" s="12"/>
      <c r="R264" s="50"/>
      <c r="S264" s="50"/>
      <c r="T264" s="50"/>
      <c r="U264" s="53"/>
      <c r="V264" s="54"/>
      <c r="W264" s="56"/>
      <c r="X264" s="119"/>
      <c r="Y264" s="113"/>
      <c r="Z264" s="113"/>
      <c r="AH264" s="106"/>
      <c r="AI264" s="106"/>
      <c r="AJ264" s="106"/>
      <c r="AK264" s="106"/>
      <c r="AL264" s="106"/>
      <c r="AM264" s="106"/>
      <c r="AN264" s="106"/>
    </row>
    <row r="265">
      <c r="A265" s="38"/>
      <c r="B265" s="38"/>
      <c r="C265" s="38"/>
      <c r="D265" s="38"/>
      <c r="E265" s="38"/>
      <c r="F265" s="41"/>
      <c r="G265" s="43"/>
      <c r="H265" s="45"/>
      <c r="I265" s="38"/>
      <c r="J265" s="38"/>
      <c r="K265" s="46"/>
      <c r="L265" s="47"/>
      <c r="M265" s="46"/>
      <c r="N265" s="46"/>
      <c r="O265" s="38"/>
      <c r="P265" s="38"/>
      <c r="Q265" s="12"/>
      <c r="R265" s="50"/>
      <c r="S265" s="50"/>
      <c r="T265" s="50"/>
      <c r="U265" s="53"/>
      <c r="V265" s="54"/>
      <c r="W265" s="56"/>
      <c r="X265" s="119"/>
      <c r="Y265" s="113"/>
      <c r="Z265" s="113"/>
      <c r="AH265" s="106"/>
      <c r="AI265" s="106"/>
      <c r="AJ265" s="106"/>
      <c r="AK265" s="106"/>
      <c r="AL265" s="106"/>
      <c r="AM265" s="106"/>
      <c r="AN265" s="106"/>
    </row>
    <row r="266">
      <c r="A266" s="38"/>
      <c r="B266" s="38"/>
      <c r="C266" s="38"/>
      <c r="D266" s="38"/>
      <c r="E266" s="38"/>
      <c r="F266" s="41"/>
      <c r="G266" s="43"/>
      <c r="H266" s="45"/>
      <c r="I266" s="38"/>
      <c r="J266" s="38"/>
      <c r="K266" s="46"/>
      <c r="L266" s="47"/>
      <c r="M266" s="46"/>
      <c r="N266" s="46"/>
      <c r="O266" s="38"/>
      <c r="P266" s="38"/>
      <c r="Q266" s="12"/>
      <c r="R266" s="50"/>
      <c r="S266" s="50"/>
      <c r="T266" s="50"/>
      <c r="U266" s="53"/>
      <c r="V266" s="54"/>
      <c r="W266" s="56"/>
      <c r="X266" s="119"/>
      <c r="Y266" s="113"/>
      <c r="Z266" s="113"/>
      <c r="AH266" s="106"/>
      <c r="AI266" s="106"/>
      <c r="AJ266" s="106"/>
      <c r="AK266" s="106"/>
      <c r="AL266" s="106"/>
      <c r="AM266" s="106"/>
      <c r="AN266" s="106"/>
    </row>
    <row r="267">
      <c r="A267" s="38"/>
      <c r="B267" s="38"/>
      <c r="C267" s="38"/>
      <c r="D267" s="38"/>
      <c r="E267" s="38"/>
      <c r="F267" s="41"/>
      <c r="G267" s="43"/>
      <c r="H267" s="45"/>
      <c r="I267" s="38"/>
      <c r="J267" s="38"/>
      <c r="K267" s="46"/>
      <c r="L267" s="47"/>
      <c r="M267" s="46"/>
      <c r="N267" s="46"/>
      <c r="O267" s="38"/>
      <c r="P267" s="38"/>
      <c r="Q267" s="12"/>
      <c r="R267" s="50"/>
      <c r="S267" s="50"/>
      <c r="T267" s="50"/>
      <c r="U267" s="53"/>
      <c r="V267" s="54"/>
      <c r="W267" s="56"/>
      <c r="X267" s="119"/>
      <c r="Y267" s="113"/>
      <c r="Z267" s="113"/>
      <c r="AH267" s="106"/>
      <c r="AI267" s="106"/>
      <c r="AJ267" s="106"/>
      <c r="AK267" s="106"/>
      <c r="AL267" s="106"/>
      <c r="AM267" s="106"/>
      <c r="AN267" s="106"/>
    </row>
    <row r="268">
      <c r="A268" s="38"/>
      <c r="B268" s="38"/>
      <c r="C268" s="38"/>
      <c r="D268" s="38"/>
      <c r="E268" s="38"/>
      <c r="F268" s="41"/>
      <c r="G268" s="43"/>
      <c r="H268" s="45"/>
      <c r="I268" s="38"/>
      <c r="J268" s="38"/>
      <c r="K268" s="46"/>
      <c r="L268" s="47"/>
      <c r="M268" s="46"/>
      <c r="N268" s="46"/>
      <c r="O268" s="38"/>
      <c r="P268" s="38"/>
      <c r="Q268" s="12"/>
      <c r="R268" s="50"/>
      <c r="S268" s="50"/>
      <c r="T268" s="50"/>
      <c r="U268" s="53"/>
      <c r="V268" s="54"/>
      <c r="W268" s="56"/>
      <c r="X268" s="119"/>
      <c r="Y268" s="113"/>
      <c r="Z268" s="113"/>
      <c r="AH268" s="106"/>
      <c r="AI268" s="106"/>
      <c r="AJ268" s="106"/>
      <c r="AK268" s="106"/>
      <c r="AL268" s="106"/>
      <c r="AM268" s="106"/>
      <c r="AN268" s="106"/>
    </row>
    <row r="269">
      <c r="A269" s="38"/>
      <c r="B269" s="38"/>
      <c r="C269" s="38"/>
      <c r="D269" s="38"/>
      <c r="E269" s="38"/>
      <c r="F269" s="41"/>
      <c r="G269" s="43"/>
      <c r="H269" s="45"/>
      <c r="I269" s="38"/>
      <c r="J269" s="38"/>
      <c r="K269" s="46"/>
      <c r="L269" s="47"/>
      <c r="M269" s="46"/>
      <c r="N269" s="46"/>
      <c r="O269" s="38"/>
      <c r="P269" s="38"/>
      <c r="Q269" s="12"/>
      <c r="R269" s="50"/>
      <c r="S269" s="50"/>
      <c r="T269" s="50"/>
      <c r="U269" s="53"/>
      <c r="V269" s="54"/>
      <c r="W269" s="56"/>
      <c r="X269" s="119"/>
      <c r="Y269" s="113"/>
      <c r="Z269" s="113"/>
      <c r="AH269" s="106"/>
      <c r="AI269" s="106"/>
      <c r="AJ269" s="106"/>
      <c r="AK269" s="106"/>
      <c r="AL269" s="106"/>
      <c r="AM269" s="106"/>
      <c r="AN269" s="106"/>
    </row>
    <row r="270">
      <c r="A270" s="38"/>
      <c r="B270" s="38"/>
      <c r="C270" s="38"/>
      <c r="D270" s="38"/>
      <c r="E270" s="38"/>
      <c r="F270" s="41"/>
      <c r="G270" s="43"/>
      <c r="H270" s="45"/>
      <c r="I270" s="38"/>
      <c r="J270" s="38"/>
      <c r="K270" s="46"/>
      <c r="L270" s="47"/>
      <c r="M270" s="46"/>
      <c r="N270" s="46"/>
      <c r="O270" s="38"/>
      <c r="P270" s="38"/>
      <c r="Q270" s="12"/>
      <c r="R270" s="50"/>
      <c r="S270" s="50"/>
      <c r="T270" s="50"/>
      <c r="U270" s="53"/>
      <c r="V270" s="54"/>
      <c r="W270" s="56"/>
      <c r="X270" s="119"/>
      <c r="Y270" s="113"/>
      <c r="Z270" s="113"/>
      <c r="AH270" s="106"/>
      <c r="AI270" s="106"/>
      <c r="AJ270" s="106"/>
      <c r="AK270" s="106"/>
      <c r="AL270" s="106"/>
      <c r="AM270" s="106"/>
      <c r="AN270" s="106"/>
    </row>
    <row r="271">
      <c r="A271" s="38"/>
      <c r="B271" s="38"/>
      <c r="C271" s="38"/>
      <c r="D271" s="38"/>
      <c r="E271" s="38"/>
      <c r="F271" s="41"/>
      <c r="G271" s="43"/>
      <c r="H271" s="45"/>
      <c r="I271" s="38"/>
      <c r="J271" s="38"/>
      <c r="K271" s="46"/>
      <c r="L271" s="47"/>
      <c r="M271" s="46"/>
      <c r="N271" s="46"/>
      <c r="O271" s="38"/>
      <c r="P271" s="38"/>
      <c r="Q271" s="12"/>
      <c r="R271" s="50"/>
      <c r="S271" s="50"/>
      <c r="T271" s="50"/>
      <c r="U271" s="53"/>
      <c r="V271" s="54"/>
      <c r="W271" s="56"/>
      <c r="X271" s="119"/>
      <c r="Y271" s="113"/>
      <c r="Z271" s="113"/>
      <c r="AH271" s="106"/>
      <c r="AI271" s="106"/>
      <c r="AJ271" s="106"/>
      <c r="AK271" s="106"/>
      <c r="AL271" s="106"/>
      <c r="AM271" s="106"/>
      <c r="AN271" s="106"/>
    </row>
    <row r="272">
      <c r="A272" s="38"/>
      <c r="B272" s="38"/>
      <c r="C272" s="38"/>
      <c r="D272" s="38"/>
      <c r="E272" s="38"/>
      <c r="F272" s="41"/>
      <c r="G272" s="43"/>
      <c r="H272" s="45"/>
      <c r="I272" s="38"/>
      <c r="J272" s="38"/>
      <c r="K272" s="46"/>
      <c r="L272" s="47"/>
      <c r="M272" s="46"/>
      <c r="N272" s="46"/>
      <c r="O272" s="38"/>
      <c r="P272" s="38"/>
      <c r="Q272" s="12"/>
      <c r="R272" s="50"/>
      <c r="S272" s="50"/>
      <c r="T272" s="50"/>
      <c r="U272" s="53"/>
      <c r="V272" s="54"/>
      <c r="W272" s="56"/>
      <c r="X272" s="119"/>
      <c r="Y272" s="113"/>
      <c r="Z272" s="113"/>
      <c r="AH272" s="106"/>
      <c r="AI272" s="106"/>
      <c r="AJ272" s="106"/>
      <c r="AK272" s="106"/>
      <c r="AL272" s="106"/>
      <c r="AM272" s="106"/>
      <c r="AN272" s="106"/>
    </row>
    <row r="273">
      <c r="A273" s="38"/>
      <c r="B273" s="38"/>
      <c r="C273" s="38"/>
      <c r="D273" s="38"/>
      <c r="E273" s="38"/>
      <c r="F273" s="41"/>
      <c r="G273" s="43"/>
      <c r="H273" s="45"/>
      <c r="I273" s="38"/>
      <c r="J273" s="38"/>
      <c r="K273" s="46"/>
      <c r="L273" s="47"/>
      <c r="M273" s="46"/>
      <c r="N273" s="46"/>
      <c r="O273" s="38"/>
      <c r="P273" s="38"/>
      <c r="Q273" s="12"/>
      <c r="R273" s="50"/>
      <c r="S273" s="50"/>
      <c r="T273" s="50"/>
      <c r="U273" s="53"/>
      <c r="V273" s="54"/>
      <c r="W273" s="56"/>
      <c r="X273" s="119"/>
      <c r="Y273" s="113"/>
      <c r="Z273" s="113"/>
      <c r="AH273" s="106"/>
      <c r="AI273" s="106"/>
      <c r="AJ273" s="106"/>
      <c r="AK273" s="106"/>
      <c r="AL273" s="106"/>
      <c r="AM273" s="106"/>
      <c r="AN273" s="106"/>
    </row>
    <row r="274">
      <c r="A274" s="38"/>
      <c r="B274" s="38"/>
      <c r="C274" s="38"/>
      <c r="D274" s="38"/>
      <c r="E274" s="38"/>
      <c r="F274" s="41"/>
      <c r="G274" s="43"/>
      <c r="H274" s="45"/>
      <c r="I274" s="38"/>
      <c r="J274" s="38"/>
      <c r="K274" s="46"/>
      <c r="L274" s="47"/>
      <c r="M274" s="46"/>
      <c r="N274" s="46"/>
      <c r="O274" s="38"/>
      <c r="P274" s="38"/>
      <c r="Q274" s="12"/>
      <c r="R274" s="50"/>
      <c r="S274" s="50"/>
      <c r="T274" s="50"/>
      <c r="U274" s="53"/>
      <c r="V274" s="54"/>
      <c r="W274" s="56"/>
      <c r="X274" s="119"/>
      <c r="Y274" s="113"/>
      <c r="Z274" s="113"/>
      <c r="AH274" s="106"/>
      <c r="AI274" s="106"/>
      <c r="AJ274" s="106"/>
      <c r="AK274" s="106"/>
      <c r="AL274" s="106"/>
      <c r="AM274" s="106"/>
      <c r="AN274" s="106"/>
    </row>
    <row r="275">
      <c r="A275" s="38"/>
      <c r="B275" s="38"/>
      <c r="C275" s="38"/>
      <c r="D275" s="38"/>
      <c r="E275" s="38"/>
      <c r="F275" s="41"/>
      <c r="G275" s="43"/>
      <c r="H275" s="45"/>
      <c r="I275" s="38"/>
      <c r="J275" s="38"/>
      <c r="K275" s="46"/>
      <c r="L275" s="47"/>
      <c r="M275" s="46"/>
      <c r="N275" s="46"/>
      <c r="O275" s="38"/>
      <c r="P275" s="38"/>
      <c r="Q275" s="12"/>
      <c r="R275" s="50"/>
      <c r="S275" s="50"/>
      <c r="T275" s="50"/>
      <c r="U275" s="53"/>
      <c r="V275" s="54"/>
      <c r="W275" s="56"/>
      <c r="X275" s="119"/>
      <c r="Y275" s="113"/>
      <c r="Z275" s="113"/>
      <c r="AH275" s="106"/>
      <c r="AI275" s="106"/>
      <c r="AJ275" s="106"/>
      <c r="AK275" s="106"/>
      <c r="AL275" s="106"/>
      <c r="AM275" s="106"/>
      <c r="AN275" s="106"/>
    </row>
    <row r="276">
      <c r="A276" s="38"/>
      <c r="B276" s="38"/>
      <c r="C276" s="38"/>
      <c r="D276" s="38"/>
      <c r="E276" s="38"/>
      <c r="F276" s="41"/>
      <c r="G276" s="43"/>
      <c r="H276" s="45"/>
      <c r="I276" s="38"/>
      <c r="J276" s="38"/>
      <c r="K276" s="46"/>
      <c r="L276" s="47"/>
      <c r="M276" s="46"/>
      <c r="N276" s="46"/>
      <c r="O276" s="38"/>
      <c r="P276" s="38"/>
      <c r="Q276" s="12"/>
      <c r="R276" s="50"/>
      <c r="S276" s="50"/>
      <c r="T276" s="50"/>
      <c r="U276" s="53"/>
      <c r="V276" s="54"/>
      <c r="W276" s="56"/>
      <c r="X276" s="119"/>
      <c r="Y276" s="113"/>
      <c r="Z276" s="113"/>
      <c r="AH276" s="106"/>
      <c r="AI276" s="106"/>
      <c r="AJ276" s="106"/>
      <c r="AK276" s="106"/>
      <c r="AL276" s="106"/>
      <c r="AM276" s="106"/>
      <c r="AN276" s="106"/>
    </row>
    <row r="277">
      <c r="A277" s="38"/>
      <c r="B277" s="38"/>
      <c r="C277" s="38"/>
      <c r="D277" s="38"/>
      <c r="E277" s="38"/>
      <c r="F277" s="41"/>
      <c r="G277" s="43"/>
      <c r="H277" s="45"/>
      <c r="I277" s="38"/>
      <c r="J277" s="38"/>
      <c r="K277" s="46"/>
      <c r="L277" s="47"/>
      <c r="M277" s="46"/>
      <c r="N277" s="46"/>
      <c r="O277" s="38"/>
      <c r="P277" s="38"/>
      <c r="Q277" s="12"/>
      <c r="R277" s="50"/>
      <c r="S277" s="50"/>
      <c r="T277" s="50"/>
      <c r="U277" s="53"/>
      <c r="V277" s="54"/>
      <c r="W277" s="56"/>
      <c r="X277" s="119"/>
      <c r="Y277" s="113"/>
      <c r="Z277" s="113"/>
      <c r="AH277" s="106"/>
      <c r="AI277" s="106"/>
      <c r="AJ277" s="106"/>
      <c r="AK277" s="106"/>
      <c r="AL277" s="106"/>
      <c r="AM277" s="106"/>
      <c r="AN277" s="106"/>
    </row>
    <row r="278">
      <c r="A278" s="38"/>
      <c r="B278" s="38"/>
      <c r="C278" s="38"/>
      <c r="D278" s="38"/>
      <c r="E278" s="38"/>
      <c r="F278" s="41"/>
      <c r="G278" s="43"/>
      <c r="H278" s="45"/>
      <c r="I278" s="38"/>
      <c r="J278" s="38"/>
      <c r="K278" s="46"/>
      <c r="L278" s="47"/>
      <c r="M278" s="46"/>
      <c r="N278" s="46"/>
      <c r="O278" s="38"/>
      <c r="P278" s="38"/>
      <c r="Q278" s="12"/>
      <c r="R278" s="50"/>
      <c r="S278" s="50"/>
      <c r="T278" s="50"/>
      <c r="U278" s="53"/>
      <c r="V278" s="54"/>
      <c r="W278" s="56"/>
      <c r="X278" s="119"/>
      <c r="Y278" s="113"/>
      <c r="Z278" s="113"/>
      <c r="AH278" s="106"/>
      <c r="AI278" s="106"/>
      <c r="AJ278" s="106"/>
      <c r="AK278" s="106"/>
      <c r="AL278" s="106"/>
      <c r="AM278" s="106"/>
      <c r="AN278" s="106"/>
    </row>
    <row r="279">
      <c r="A279" s="38"/>
      <c r="B279" s="38"/>
      <c r="C279" s="38"/>
      <c r="D279" s="38"/>
      <c r="E279" s="38"/>
      <c r="F279" s="41"/>
      <c r="G279" s="43"/>
      <c r="H279" s="45"/>
      <c r="I279" s="38"/>
      <c r="J279" s="38"/>
      <c r="K279" s="46"/>
      <c r="L279" s="47"/>
      <c r="M279" s="46"/>
      <c r="N279" s="46"/>
      <c r="O279" s="38"/>
      <c r="P279" s="38"/>
      <c r="Q279" s="12"/>
      <c r="R279" s="50"/>
      <c r="S279" s="50"/>
      <c r="T279" s="50"/>
      <c r="U279" s="53"/>
      <c r="V279" s="54"/>
      <c r="W279" s="56"/>
      <c r="X279" s="119"/>
      <c r="Y279" s="113"/>
      <c r="Z279" s="113"/>
      <c r="AH279" s="106"/>
      <c r="AI279" s="106"/>
      <c r="AJ279" s="106"/>
      <c r="AK279" s="106"/>
      <c r="AL279" s="106"/>
      <c r="AM279" s="106"/>
      <c r="AN279" s="106"/>
    </row>
    <row r="280">
      <c r="A280" s="38"/>
      <c r="B280" s="38"/>
      <c r="C280" s="38"/>
      <c r="D280" s="38"/>
      <c r="E280" s="38"/>
      <c r="F280" s="41"/>
      <c r="G280" s="43"/>
      <c r="H280" s="45"/>
      <c r="I280" s="38"/>
      <c r="J280" s="38"/>
      <c r="K280" s="46"/>
      <c r="L280" s="47"/>
      <c r="M280" s="46"/>
      <c r="N280" s="46"/>
      <c r="O280" s="38"/>
      <c r="P280" s="38"/>
      <c r="Q280" s="12"/>
      <c r="R280" s="50"/>
      <c r="S280" s="50"/>
      <c r="T280" s="50"/>
      <c r="U280" s="53"/>
      <c r="V280" s="54"/>
      <c r="W280" s="56"/>
      <c r="X280" s="119"/>
      <c r="Y280" s="113"/>
      <c r="Z280" s="113"/>
      <c r="AH280" s="106"/>
      <c r="AI280" s="106"/>
      <c r="AJ280" s="106"/>
      <c r="AK280" s="106"/>
      <c r="AL280" s="106"/>
      <c r="AM280" s="106"/>
      <c r="AN280" s="106"/>
    </row>
    <row r="281">
      <c r="A281" s="38"/>
      <c r="B281" s="38"/>
      <c r="C281" s="38"/>
      <c r="D281" s="38"/>
      <c r="E281" s="38"/>
      <c r="F281" s="41"/>
      <c r="G281" s="43"/>
      <c r="H281" s="45"/>
      <c r="I281" s="38"/>
      <c r="J281" s="38"/>
      <c r="K281" s="46"/>
      <c r="L281" s="47"/>
      <c r="M281" s="46"/>
      <c r="N281" s="46"/>
      <c r="O281" s="38"/>
      <c r="P281" s="38"/>
      <c r="Q281" s="12"/>
      <c r="R281" s="50"/>
      <c r="S281" s="50"/>
      <c r="T281" s="50"/>
      <c r="U281" s="53"/>
      <c r="V281" s="54"/>
      <c r="W281" s="56"/>
      <c r="X281" s="119"/>
      <c r="Y281" s="113"/>
      <c r="Z281" s="113"/>
      <c r="AH281" s="106"/>
      <c r="AI281" s="106"/>
      <c r="AJ281" s="106"/>
      <c r="AK281" s="106"/>
      <c r="AL281" s="106"/>
      <c r="AM281" s="106"/>
      <c r="AN281" s="106"/>
    </row>
    <row r="282">
      <c r="A282" s="38"/>
      <c r="B282" s="38"/>
      <c r="C282" s="38"/>
      <c r="D282" s="38"/>
      <c r="E282" s="38"/>
      <c r="F282" s="41"/>
      <c r="G282" s="43"/>
      <c r="H282" s="45"/>
      <c r="I282" s="38"/>
      <c r="J282" s="38"/>
      <c r="K282" s="46"/>
      <c r="L282" s="47"/>
      <c r="M282" s="46"/>
      <c r="N282" s="46"/>
      <c r="O282" s="38"/>
      <c r="P282" s="38"/>
      <c r="Q282" s="12"/>
      <c r="R282" s="50"/>
      <c r="S282" s="50"/>
      <c r="T282" s="50"/>
      <c r="U282" s="53"/>
      <c r="V282" s="54"/>
      <c r="W282" s="56"/>
      <c r="X282" s="119"/>
      <c r="Y282" s="113"/>
      <c r="Z282" s="113"/>
      <c r="AH282" s="106"/>
      <c r="AI282" s="106"/>
      <c r="AJ282" s="106"/>
      <c r="AK282" s="106"/>
      <c r="AL282" s="106"/>
      <c r="AM282" s="106"/>
      <c r="AN282" s="106"/>
    </row>
    <row r="283">
      <c r="A283" s="38"/>
      <c r="B283" s="38"/>
      <c r="C283" s="38"/>
      <c r="D283" s="38"/>
      <c r="E283" s="38"/>
      <c r="F283" s="41"/>
      <c r="G283" s="43"/>
      <c r="H283" s="45"/>
      <c r="I283" s="38"/>
      <c r="J283" s="38"/>
      <c r="K283" s="46"/>
      <c r="L283" s="47"/>
      <c r="M283" s="46"/>
      <c r="N283" s="46"/>
      <c r="O283" s="38"/>
      <c r="P283" s="38"/>
      <c r="Q283" s="12"/>
      <c r="R283" s="50"/>
      <c r="S283" s="50"/>
      <c r="T283" s="50"/>
      <c r="U283" s="53"/>
      <c r="V283" s="54"/>
      <c r="W283" s="56"/>
      <c r="X283" s="119"/>
      <c r="Y283" s="113"/>
      <c r="Z283" s="113"/>
      <c r="AH283" s="106"/>
      <c r="AI283" s="106"/>
      <c r="AJ283" s="106"/>
      <c r="AK283" s="106"/>
      <c r="AL283" s="106"/>
      <c r="AM283" s="106"/>
      <c r="AN283" s="106"/>
    </row>
    <row r="284">
      <c r="A284" s="38"/>
      <c r="B284" s="38"/>
      <c r="C284" s="38"/>
      <c r="D284" s="38"/>
      <c r="E284" s="38"/>
      <c r="F284" s="41"/>
      <c r="G284" s="43"/>
      <c r="H284" s="45"/>
      <c r="I284" s="38"/>
      <c r="J284" s="38"/>
      <c r="K284" s="46"/>
      <c r="L284" s="47"/>
      <c r="M284" s="46"/>
      <c r="N284" s="46"/>
      <c r="O284" s="38"/>
      <c r="P284" s="38"/>
      <c r="Q284" s="12"/>
      <c r="R284" s="50"/>
      <c r="S284" s="50"/>
      <c r="T284" s="50"/>
      <c r="U284" s="53"/>
      <c r="V284" s="54"/>
      <c r="W284" s="56"/>
      <c r="X284" s="119"/>
      <c r="Y284" s="113"/>
      <c r="Z284" s="113"/>
      <c r="AH284" s="106"/>
      <c r="AI284" s="106"/>
      <c r="AJ284" s="106"/>
      <c r="AK284" s="106"/>
      <c r="AL284" s="106"/>
      <c r="AM284" s="106"/>
      <c r="AN284" s="106"/>
    </row>
    <row r="285">
      <c r="A285" s="38"/>
      <c r="B285" s="38"/>
      <c r="C285" s="38"/>
      <c r="D285" s="38"/>
      <c r="E285" s="38"/>
      <c r="F285" s="41"/>
      <c r="G285" s="43"/>
      <c r="H285" s="45"/>
      <c r="I285" s="38"/>
      <c r="J285" s="38"/>
      <c r="K285" s="46"/>
      <c r="L285" s="47"/>
      <c r="M285" s="46"/>
      <c r="N285" s="46"/>
      <c r="O285" s="38"/>
      <c r="P285" s="38"/>
      <c r="Q285" s="12"/>
      <c r="R285" s="50"/>
      <c r="S285" s="50"/>
      <c r="T285" s="50"/>
      <c r="U285" s="53"/>
      <c r="V285" s="54"/>
      <c r="W285" s="56"/>
      <c r="X285" s="119"/>
      <c r="Y285" s="113"/>
      <c r="Z285" s="113"/>
      <c r="AH285" s="106"/>
      <c r="AI285" s="106"/>
      <c r="AJ285" s="106"/>
      <c r="AK285" s="106"/>
      <c r="AL285" s="106"/>
      <c r="AM285" s="106"/>
      <c r="AN285" s="106"/>
    </row>
    <row r="286">
      <c r="A286" s="38"/>
      <c r="B286" s="38"/>
      <c r="C286" s="38"/>
      <c r="D286" s="38"/>
      <c r="E286" s="38"/>
      <c r="F286" s="41"/>
      <c r="G286" s="43"/>
      <c r="H286" s="45"/>
      <c r="I286" s="38"/>
      <c r="J286" s="38"/>
      <c r="K286" s="46"/>
      <c r="L286" s="47"/>
      <c r="M286" s="46"/>
      <c r="N286" s="46"/>
      <c r="O286" s="38"/>
      <c r="P286" s="38"/>
      <c r="Q286" s="12"/>
      <c r="R286" s="50"/>
      <c r="S286" s="50"/>
      <c r="T286" s="50"/>
      <c r="U286" s="53"/>
      <c r="V286" s="54"/>
      <c r="W286" s="56"/>
      <c r="X286" s="119"/>
      <c r="Y286" s="113"/>
      <c r="Z286" s="113"/>
      <c r="AH286" s="106"/>
      <c r="AI286" s="106"/>
      <c r="AJ286" s="106"/>
      <c r="AK286" s="106"/>
      <c r="AL286" s="106"/>
      <c r="AM286" s="106"/>
      <c r="AN286" s="106"/>
    </row>
    <row r="287">
      <c r="A287" s="38"/>
      <c r="B287" s="38"/>
      <c r="C287" s="38"/>
      <c r="D287" s="38"/>
      <c r="E287" s="38"/>
      <c r="F287" s="41"/>
      <c r="G287" s="43"/>
      <c r="H287" s="45"/>
      <c r="I287" s="38"/>
      <c r="J287" s="38"/>
      <c r="K287" s="46"/>
      <c r="L287" s="47"/>
      <c r="M287" s="46"/>
      <c r="N287" s="46"/>
      <c r="O287" s="38"/>
      <c r="P287" s="38"/>
      <c r="Q287" s="12"/>
      <c r="R287" s="50"/>
      <c r="S287" s="50"/>
      <c r="T287" s="50"/>
      <c r="U287" s="53"/>
      <c r="V287" s="54"/>
      <c r="W287" s="56"/>
      <c r="X287" s="119"/>
      <c r="Y287" s="113"/>
      <c r="Z287" s="113"/>
      <c r="AH287" s="106"/>
      <c r="AI287" s="106"/>
      <c r="AJ287" s="106"/>
      <c r="AK287" s="106"/>
      <c r="AL287" s="106"/>
      <c r="AM287" s="106"/>
      <c r="AN287" s="106"/>
    </row>
    <row r="288">
      <c r="A288" s="38"/>
      <c r="B288" s="38"/>
      <c r="C288" s="38"/>
      <c r="D288" s="38"/>
      <c r="E288" s="38"/>
      <c r="F288" s="41"/>
      <c r="G288" s="43"/>
      <c r="H288" s="45"/>
      <c r="I288" s="38"/>
      <c r="J288" s="38"/>
      <c r="K288" s="46"/>
      <c r="L288" s="47"/>
      <c r="M288" s="46"/>
      <c r="N288" s="46"/>
      <c r="O288" s="38"/>
      <c r="P288" s="38"/>
      <c r="Q288" s="12"/>
      <c r="R288" s="50"/>
      <c r="S288" s="50"/>
      <c r="T288" s="50"/>
      <c r="U288" s="53"/>
      <c r="V288" s="54"/>
      <c r="W288" s="56"/>
      <c r="X288" s="119"/>
      <c r="Y288" s="113"/>
      <c r="Z288" s="113"/>
      <c r="AH288" s="106"/>
      <c r="AI288" s="106"/>
      <c r="AJ288" s="106"/>
      <c r="AK288" s="106"/>
      <c r="AL288" s="106"/>
      <c r="AM288" s="106"/>
      <c r="AN288" s="106"/>
    </row>
    <row r="289">
      <c r="A289" s="38"/>
      <c r="B289" s="38"/>
      <c r="C289" s="38"/>
      <c r="D289" s="38"/>
      <c r="E289" s="38"/>
      <c r="F289" s="41"/>
      <c r="G289" s="43"/>
      <c r="H289" s="45"/>
      <c r="I289" s="38"/>
      <c r="J289" s="38"/>
      <c r="K289" s="46"/>
      <c r="L289" s="47"/>
      <c r="M289" s="46"/>
      <c r="N289" s="46"/>
      <c r="O289" s="38"/>
      <c r="P289" s="38"/>
      <c r="Q289" s="12"/>
      <c r="R289" s="50"/>
      <c r="S289" s="50"/>
      <c r="T289" s="50"/>
      <c r="U289" s="53"/>
      <c r="V289" s="54"/>
      <c r="W289" s="56"/>
      <c r="X289" s="119"/>
      <c r="Y289" s="113"/>
      <c r="Z289" s="113"/>
      <c r="AH289" s="106"/>
      <c r="AI289" s="106"/>
      <c r="AJ289" s="106"/>
      <c r="AK289" s="106"/>
      <c r="AL289" s="106"/>
      <c r="AM289" s="106"/>
      <c r="AN289" s="106"/>
    </row>
    <row r="290">
      <c r="A290" s="38"/>
      <c r="B290" s="38"/>
      <c r="C290" s="38"/>
      <c r="D290" s="38"/>
      <c r="E290" s="38"/>
      <c r="F290" s="41"/>
      <c r="G290" s="43"/>
      <c r="H290" s="45"/>
      <c r="I290" s="38"/>
      <c r="J290" s="38"/>
      <c r="K290" s="46"/>
      <c r="L290" s="47"/>
      <c r="M290" s="46"/>
      <c r="N290" s="46"/>
      <c r="O290" s="38"/>
      <c r="P290" s="38"/>
      <c r="Q290" s="12"/>
      <c r="R290" s="50"/>
      <c r="S290" s="50"/>
      <c r="T290" s="50"/>
      <c r="U290" s="53"/>
      <c r="V290" s="54"/>
      <c r="W290" s="56"/>
      <c r="X290" s="119"/>
      <c r="Y290" s="113"/>
      <c r="Z290" s="113"/>
      <c r="AH290" s="106"/>
      <c r="AI290" s="106"/>
      <c r="AJ290" s="106"/>
      <c r="AK290" s="106"/>
      <c r="AL290" s="106"/>
      <c r="AM290" s="106"/>
      <c r="AN290" s="106"/>
    </row>
    <row r="291">
      <c r="A291" s="38"/>
      <c r="B291" s="38"/>
      <c r="C291" s="38"/>
      <c r="D291" s="38"/>
      <c r="E291" s="38"/>
      <c r="F291" s="41"/>
      <c r="G291" s="43"/>
      <c r="H291" s="45"/>
      <c r="I291" s="38"/>
      <c r="J291" s="38"/>
      <c r="K291" s="46"/>
      <c r="L291" s="47"/>
      <c r="M291" s="46"/>
      <c r="N291" s="46"/>
      <c r="O291" s="38"/>
      <c r="P291" s="38"/>
      <c r="Q291" s="12"/>
      <c r="R291" s="50"/>
      <c r="S291" s="50"/>
      <c r="T291" s="50"/>
      <c r="U291" s="53"/>
      <c r="V291" s="54"/>
      <c r="W291" s="56"/>
      <c r="X291" s="119"/>
      <c r="Y291" s="113"/>
      <c r="Z291" s="113"/>
      <c r="AH291" s="106"/>
      <c r="AI291" s="106"/>
      <c r="AJ291" s="106"/>
      <c r="AK291" s="106"/>
      <c r="AL291" s="106"/>
      <c r="AM291" s="106"/>
      <c r="AN291" s="106"/>
    </row>
    <row r="292">
      <c r="A292" s="38"/>
      <c r="B292" s="38"/>
      <c r="C292" s="38"/>
      <c r="D292" s="38"/>
      <c r="E292" s="38"/>
      <c r="F292" s="41"/>
      <c r="G292" s="43"/>
      <c r="H292" s="45"/>
      <c r="I292" s="38"/>
      <c r="J292" s="38"/>
      <c r="K292" s="46"/>
      <c r="L292" s="47"/>
      <c r="M292" s="46"/>
      <c r="N292" s="46"/>
      <c r="O292" s="38"/>
      <c r="P292" s="38"/>
      <c r="Q292" s="12"/>
      <c r="R292" s="50"/>
      <c r="S292" s="50"/>
      <c r="T292" s="50"/>
      <c r="U292" s="53"/>
      <c r="V292" s="54"/>
      <c r="W292" s="56"/>
      <c r="X292" s="119"/>
      <c r="Y292" s="113"/>
      <c r="Z292" s="113"/>
      <c r="AH292" s="106"/>
      <c r="AI292" s="106"/>
      <c r="AJ292" s="106"/>
      <c r="AK292" s="106"/>
      <c r="AL292" s="106"/>
      <c r="AM292" s="106"/>
      <c r="AN292" s="106"/>
    </row>
    <row r="293">
      <c r="A293" s="38"/>
      <c r="B293" s="38"/>
      <c r="C293" s="38"/>
      <c r="D293" s="38"/>
      <c r="E293" s="38"/>
      <c r="F293" s="41"/>
      <c r="G293" s="43"/>
      <c r="H293" s="45"/>
      <c r="I293" s="38"/>
      <c r="J293" s="38"/>
      <c r="K293" s="46"/>
      <c r="L293" s="47"/>
      <c r="M293" s="46"/>
      <c r="N293" s="46"/>
      <c r="O293" s="38"/>
      <c r="P293" s="38"/>
      <c r="Q293" s="12"/>
      <c r="R293" s="50"/>
      <c r="S293" s="50"/>
      <c r="T293" s="50"/>
      <c r="U293" s="53"/>
      <c r="V293" s="54"/>
      <c r="W293" s="56"/>
      <c r="X293" s="119"/>
      <c r="Y293" s="113"/>
      <c r="Z293" s="113"/>
      <c r="AH293" s="106"/>
      <c r="AI293" s="106"/>
      <c r="AJ293" s="106"/>
      <c r="AK293" s="106"/>
      <c r="AL293" s="106"/>
      <c r="AM293" s="106"/>
      <c r="AN293" s="106"/>
    </row>
    <row r="294">
      <c r="A294" s="38"/>
      <c r="B294" s="38"/>
      <c r="C294" s="38"/>
      <c r="D294" s="38"/>
      <c r="E294" s="38"/>
      <c r="F294" s="41"/>
      <c r="G294" s="43"/>
      <c r="H294" s="45"/>
      <c r="I294" s="38"/>
      <c r="J294" s="38"/>
      <c r="K294" s="46"/>
      <c r="L294" s="47"/>
      <c r="M294" s="46"/>
      <c r="N294" s="46"/>
      <c r="O294" s="38"/>
      <c r="P294" s="38"/>
      <c r="Q294" s="12"/>
      <c r="R294" s="50"/>
      <c r="S294" s="50"/>
      <c r="T294" s="50"/>
      <c r="U294" s="53"/>
      <c r="V294" s="54"/>
      <c r="W294" s="56"/>
      <c r="X294" s="119"/>
      <c r="Y294" s="113"/>
      <c r="Z294" s="113"/>
      <c r="AH294" s="106"/>
      <c r="AI294" s="106"/>
      <c r="AJ294" s="106"/>
      <c r="AK294" s="106"/>
      <c r="AL294" s="106"/>
      <c r="AM294" s="106"/>
      <c r="AN294" s="106"/>
    </row>
    <row r="295">
      <c r="A295" s="38"/>
      <c r="B295" s="38"/>
      <c r="C295" s="38"/>
      <c r="D295" s="38"/>
      <c r="E295" s="38"/>
      <c r="F295" s="41"/>
      <c r="G295" s="43"/>
      <c r="H295" s="45"/>
      <c r="I295" s="38"/>
      <c r="J295" s="38"/>
      <c r="K295" s="46"/>
      <c r="L295" s="47"/>
      <c r="M295" s="46"/>
      <c r="N295" s="46"/>
      <c r="O295" s="38"/>
      <c r="P295" s="38"/>
      <c r="Q295" s="12"/>
      <c r="R295" s="50"/>
      <c r="S295" s="50"/>
      <c r="T295" s="50"/>
      <c r="U295" s="53"/>
      <c r="V295" s="54"/>
      <c r="W295" s="56"/>
      <c r="X295" s="119"/>
      <c r="Y295" s="113"/>
      <c r="Z295" s="113"/>
      <c r="AH295" s="106"/>
      <c r="AI295" s="106"/>
      <c r="AJ295" s="106"/>
      <c r="AK295" s="106"/>
      <c r="AL295" s="106"/>
      <c r="AM295" s="106"/>
      <c r="AN295" s="106"/>
    </row>
    <row r="296">
      <c r="A296" s="38"/>
      <c r="B296" s="38"/>
      <c r="C296" s="38"/>
      <c r="D296" s="38"/>
      <c r="E296" s="38"/>
      <c r="F296" s="41"/>
      <c r="G296" s="43"/>
      <c r="H296" s="45"/>
      <c r="I296" s="38"/>
      <c r="J296" s="38"/>
      <c r="K296" s="46"/>
      <c r="L296" s="47"/>
      <c r="M296" s="46"/>
      <c r="N296" s="46"/>
      <c r="O296" s="38"/>
      <c r="P296" s="38"/>
      <c r="Q296" s="12"/>
      <c r="R296" s="50"/>
      <c r="S296" s="50"/>
      <c r="T296" s="50"/>
      <c r="U296" s="53"/>
      <c r="V296" s="54"/>
      <c r="W296" s="56"/>
      <c r="X296" s="119"/>
      <c r="Y296" s="113"/>
      <c r="Z296" s="113"/>
      <c r="AH296" s="106"/>
      <c r="AI296" s="106"/>
      <c r="AJ296" s="106"/>
      <c r="AK296" s="106"/>
      <c r="AL296" s="106"/>
      <c r="AM296" s="106"/>
      <c r="AN296" s="106"/>
    </row>
    <row r="297">
      <c r="A297" s="38"/>
      <c r="B297" s="38"/>
      <c r="C297" s="38"/>
      <c r="D297" s="38"/>
      <c r="E297" s="38"/>
      <c r="F297" s="41"/>
      <c r="G297" s="43"/>
      <c r="H297" s="45"/>
      <c r="I297" s="38"/>
      <c r="J297" s="38"/>
      <c r="K297" s="46"/>
      <c r="L297" s="47"/>
      <c r="M297" s="46"/>
      <c r="N297" s="46"/>
      <c r="O297" s="38"/>
      <c r="P297" s="38"/>
      <c r="Q297" s="12"/>
      <c r="R297" s="50"/>
      <c r="S297" s="50"/>
      <c r="T297" s="50"/>
      <c r="U297" s="53"/>
      <c r="V297" s="54"/>
      <c r="W297" s="56"/>
      <c r="X297" s="119"/>
      <c r="Y297" s="113"/>
      <c r="Z297" s="113"/>
      <c r="AH297" s="106"/>
      <c r="AI297" s="106"/>
      <c r="AJ297" s="106"/>
      <c r="AK297" s="106"/>
      <c r="AL297" s="106"/>
      <c r="AM297" s="106"/>
      <c r="AN297" s="106"/>
    </row>
    <row r="298">
      <c r="A298" s="38"/>
      <c r="B298" s="38"/>
      <c r="C298" s="38"/>
      <c r="D298" s="38"/>
      <c r="E298" s="38"/>
      <c r="F298" s="41"/>
      <c r="G298" s="43"/>
      <c r="H298" s="45"/>
      <c r="I298" s="38"/>
      <c r="J298" s="38"/>
      <c r="K298" s="46"/>
      <c r="L298" s="47"/>
      <c r="M298" s="46"/>
      <c r="N298" s="46"/>
      <c r="O298" s="38"/>
      <c r="P298" s="38"/>
      <c r="Q298" s="12"/>
      <c r="R298" s="50"/>
      <c r="S298" s="50"/>
      <c r="T298" s="50"/>
      <c r="U298" s="53"/>
      <c r="V298" s="54"/>
      <c r="W298" s="56"/>
      <c r="X298" s="119"/>
      <c r="Y298" s="113"/>
      <c r="Z298" s="113"/>
      <c r="AH298" s="106"/>
      <c r="AI298" s="106"/>
      <c r="AJ298" s="106"/>
      <c r="AK298" s="106"/>
      <c r="AL298" s="106"/>
      <c r="AM298" s="106"/>
      <c r="AN298" s="106"/>
    </row>
    <row r="299">
      <c r="A299" s="38"/>
      <c r="B299" s="38"/>
      <c r="C299" s="38"/>
      <c r="D299" s="38"/>
      <c r="E299" s="38"/>
      <c r="F299" s="41"/>
      <c r="G299" s="43"/>
      <c r="H299" s="45"/>
      <c r="I299" s="38"/>
      <c r="J299" s="38"/>
      <c r="K299" s="46"/>
      <c r="L299" s="47"/>
      <c r="M299" s="46"/>
      <c r="N299" s="46"/>
      <c r="O299" s="38"/>
      <c r="P299" s="38"/>
      <c r="Q299" s="12"/>
      <c r="R299" s="50"/>
      <c r="S299" s="50"/>
      <c r="T299" s="50"/>
      <c r="U299" s="53"/>
      <c r="V299" s="54"/>
      <c r="W299" s="56"/>
      <c r="X299" s="119"/>
      <c r="Y299" s="113"/>
      <c r="Z299" s="113"/>
      <c r="AH299" s="106"/>
      <c r="AI299" s="106"/>
      <c r="AJ299" s="106"/>
      <c r="AK299" s="106"/>
      <c r="AL299" s="106"/>
      <c r="AM299" s="106"/>
      <c r="AN299" s="106"/>
    </row>
    <row r="300">
      <c r="A300" s="38"/>
      <c r="B300" s="38"/>
      <c r="C300" s="38"/>
      <c r="D300" s="38"/>
      <c r="E300" s="38"/>
      <c r="F300" s="41"/>
      <c r="G300" s="43"/>
      <c r="H300" s="45"/>
      <c r="I300" s="38"/>
      <c r="J300" s="38"/>
      <c r="K300" s="46"/>
      <c r="L300" s="47"/>
      <c r="M300" s="46"/>
      <c r="N300" s="46"/>
      <c r="O300" s="38"/>
      <c r="P300" s="38"/>
      <c r="Q300" s="12"/>
      <c r="R300" s="50"/>
      <c r="S300" s="50"/>
      <c r="T300" s="50"/>
      <c r="U300" s="53"/>
      <c r="V300" s="54"/>
      <c r="W300" s="56"/>
      <c r="X300" s="119"/>
      <c r="Y300" s="113"/>
      <c r="Z300" s="113"/>
      <c r="AH300" s="106"/>
      <c r="AI300" s="106"/>
      <c r="AJ300" s="106"/>
      <c r="AK300" s="106"/>
      <c r="AL300" s="106"/>
      <c r="AM300" s="106"/>
      <c r="AN300" s="106"/>
    </row>
    <row r="301">
      <c r="A301" s="38"/>
      <c r="B301" s="38"/>
      <c r="C301" s="38"/>
      <c r="D301" s="38"/>
      <c r="E301" s="38"/>
      <c r="F301" s="41"/>
      <c r="G301" s="43"/>
      <c r="H301" s="45"/>
      <c r="I301" s="38"/>
      <c r="J301" s="38"/>
      <c r="K301" s="46"/>
      <c r="L301" s="47"/>
      <c r="M301" s="46"/>
      <c r="N301" s="46"/>
      <c r="O301" s="38"/>
      <c r="P301" s="38"/>
      <c r="Q301" s="12"/>
      <c r="R301" s="50"/>
      <c r="S301" s="50"/>
      <c r="T301" s="50"/>
      <c r="U301" s="53"/>
      <c r="V301" s="54"/>
      <c r="W301" s="56"/>
      <c r="X301" s="119"/>
      <c r="Y301" s="113"/>
      <c r="Z301" s="113"/>
      <c r="AH301" s="106"/>
      <c r="AI301" s="106"/>
      <c r="AJ301" s="106"/>
      <c r="AK301" s="106"/>
      <c r="AL301" s="106"/>
      <c r="AM301" s="106"/>
      <c r="AN301" s="106"/>
    </row>
    <row r="302">
      <c r="A302" s="38"/>
      <c r="B302" s="38"/>
      <c r="C302" s="38"/>
      <c r="D302" s="38"/>
      <c r="E302" s="38"/>
      <c r="F302" s="41"/>
      <c r="G302" s="43"/>
      <c r="H302" s="45"/>
      <c r="I302" s="38"/>
      <c r="J302" s="38"/>
      <c r="K302" s="46"/>
      <c r="L302" s="47"/>
      <c r="M302" s="46"/>
      <c r="N302" s="46"/>
      <c r="O302" s="38"/>
      <c r="P302" s="38"/>
      <c r="Q302" s="12"/>
      <c r="R302" s="50"/>
      <c r="S302" s="50"/>
      <c r="T302" s="50"/>
      <c r="U302" s="53"/>
      <c r="V302" s="54"/>
      <c r="W302" s="56"/>
      <c r="X302" s="119"/>
      <c r="Y302" s="113"/>
      <c r="Z302" s="113"/>
      <c r="AH302" s="106"/>
      <c r="AI302" s="106"/>
      <c r="AJ302" s="106"/>
      <c r="AK302" s="106"/>
      <c r="AL302" s="106"/>
      <c r="AM302" s="106"/>
      <c r="AN302" s="106"/>
    </row>
    <row r="303">
      <c r="A303" s="38"/>
      <c r="B303" s="38"/>
      <c r="C303" s="38"/>
      <c r="D303" s="38"/>
      <c r="E303" s="38"/>
      <c r="F303" s="41"/>
      <c r="G303" s="43"/>
      <c r="H303" s="45"/>
      <c r="I303" s="38"/>
      <c r="J303" s="38"/>
      <c r="K303" s="46"/>
      <c r="L303" s="47"/>
      <c r="M303" s="46"/>
      <c r="N303" s="46"/>
      <c r="O303" s="38"/>
      <c r="P303" s="38"/>
      <c r="Q303" s="12"/>
      <c r="R303" s="50"/>
      <c r="S303" s="50"/>
      <c r="T303" s="50"/>
      <c r="U303" s="53"/>
      <c r="V303" s="54"/>
      <c r="W303" s="56"/>
      <c r="X303" s="119"/>
      <c r="Y303" s="113"/>
      <c r="Z303" s="113"/>
      <c r="AH303" s="106"/>
      <c r="AI303" s="106"/>
      <c r="AJ303" s="106"/>
      <c r="AK303" s="106"/>
      <c r="AL303" s="106"/>
      <c r="AM303" s="106"/>
      <c r="AN303" s="106"/>
    </row>
    <row r="304">
      <c r="A304" s="38"/>
      <c r="B304" s="38"/>
      <c r="C304" s="38"/>
      <c r="D304" s="38"/>
      <c r="E304" s="38"/>
      <c r="F304" s="41"/>
      <c r="G304" s="43"/>
      <c r="H304" s="45"/>
      <c r="I304" s="38"/>
      <c r="J304" s="38"/>
      <c r="K304" s="46"/>
      <c r="L304" s="47"/>
      <c r="M304" s="46"/>
      <c r="N304" s="46"/>
      <c r="O304" s="38"/>
      <c r="P304" s="38"/>
      <c r="Q304" s="12"/>
      <c r="R304" s="50"/>
      <c r="S304" s="50"/>
      <c r="T304" s="50"/>
      <c r="U304" s="53"/>
      <c r="V304" s="54"/>
      <c r="W304" s="56"/>
      <c r="X304" s="119"/>
      <c r="Y304" s="113"/>
      <c r="Z304" s="113"/>
      <c r="AH304" s="106"/>
      <c r="AI304" s="106"/>
      <c r="AJ304" s="106"/>
      <c r="AK304" s="106"/>
      <c r="AL304" s="106"/>
      <c r="AM304" s="106"/>
      <c r="AN304" s="106"/>
    </row>
    <row r="305">
      <c r="A305" s="38"/>
      <c r="B305" s="38"/>
      <c r="C305" s="38"/>
      <c r="D305" s="38"/>
      <c r="E305" s="38"/>
      <c r="F305" s="41"/>
      <c r="G305" s="43"/>
      <c r="H305" s="45"/>
      <c r="I305" s="38"/>
      <c r="J305" s="38"/>
      <c r="K305" s="46"/>
      <c r="L305" s="47"/>
      <c r="M305" s="46"/>
      <c r="N305" s="46"/>
      <c r="O305" s="38"/>
      <c r="P305" s="38"/>
      <c r="Q305" s="12"/>
      <c r="R305" s="50"/>
      <c r="S305" s="50"/>
      <c r="T305" s="50"/>
      <c r="U305" s="53"/>
      <c r="V305" s="54"/>
      <c r="W305" s="56"/>
      <c r="X305" s="119"/>
      <c r="Y305" s="113"/>
      <c r="Z305" s="113"/>
      <c r="AH305" s="106"/>
      <c r="AI305" s="106"/>
      <c r="AJ305" s="106"/>
      <c r="AK305" s="106"/>
      <c r="AL305" s="106"/>
      <c r="AM305" s="106"/>
      <c r="AN305" s="106"/>
    </row>
    <row r="306">
      <c r="A306" s="38"/>
      <c r="B306" s="38"/>
      <c r="C306" s="38"/>
      <c r="D306" s="38"/>
      <c r="E306" s="38"/>
      <c r="F306" s="41"/>
      <c r="G306" s="43"/>
      <c r="H306" s="45"/>
      <c r="I306" s="38"/>
      <c r="J306" s="38"/>
      <c r="K306" s="46"/>
      <c r="L306" s="47"/>
      <c r="M306" s="46"/>
      <c r="N306" s="46"/>
      <c r="O306" s="38"/>
      <c r="P306" s="38"/>
      <c r="Q306" s="12"/>
      <c r="R306" s="50"/>
      <c r="S306" s="50"/>
      <c r="T306" s="50"/>
      <c r="U306" s="53"/>
      <c r="V306" s="54"/>
      <c r="W306" s="56"/>
      <c r="X306" s="119"/>
      <c r="Y306" s="113"/>
      <c r="Z306" s="113"/>
      <c r="AH306" s="106"/>
      <c r="AI306" s="106"/>
      <c r="AJ306" s="106"/>
      <c r="AK306" s="106"/>
      <c r="AL306" s="106"/>
      <c r="AM306" s="106"/>
      <c r="AN306" s="106"/>
    </row>
    <row r="307">
      <c r="A307" s="38"/>
      <c r="B307" s="38"/>
      <c r="C307" s="38"/>
      <c r="D307" s="38"/>
      <c r="E307" s="38"/>
      <c r="F307" s="41"/>
      <c r="G307" s="43"/>
      <c r="H307" s="45"/>
      <c r="I307" s="38"/>
      <c r="J307" s="38"/>
      <c r="K307" s="46"/>
      <c r="L307" s="47"/>
      <c r="M307" s="46"/>
      <c r="N307" s="46"/>
      <c r="O307" s="38"/>
      <c r="P307" s="38"/>
      <c r="Q307" s="12"/>
      <c r="R307" s="50"/>
      <c r="S307" s="50"/>
      <c r="T307" s="50"/>
      <c r="U307" s="53"/>
      <c r="V307" s="54"/>
      <c r="W307" s="56"/>
      <c r="X307" s="119"/>
      <c r="Y307" s="113"/>
      <c r="Z307" s="113"/>
      <c r="AH307" s="106"/>
      <c r="AI307" s="106"/>
      <c r="AJ307" s="106"/>
      <c r="AK307" s="106"/>
      <c r="AL307" s="106"/>
      <c r="AM307" s="106"/>
      <c r="AN307" s="106"/>
    </row>
    <row r="308">
      <c r="A308" s="38"/>
      <c r="B308" s="38"/>
      <c r="C308" s="38"/>
      <c r="D308" s="38"/>
      <c r="E308" s="38"/>
      <c r="F308" s="41"/>
      <c r="G308" s="43"/>
      <c r="H308" s="45"/>
      <c r="I308" s="38"/>
      <c r="J308" s="38"/>
      <c r="K308" s="46"/>
      <c r="L308" s="47"/>
      <c r="M308" s="46"/>
      <c r="N308" s="46"/>
      <c r="O308" s="38"/>
      <c r="P308" s="38"/>
      <c r="Q308" s="12"/>
      <c r="R308" s="50"/>
      <c r="S308" s="50"/>
      <c r="T308" s="50"/>
      <c r="U308" s="53"/>
      <c r="V308" s="54"/>
      <c r="W308" s="56"/>
      <c r="X308" s="119"/>
      <c r="Y308" s="113"/>
      <c r="Z308" s="113"/>
      <c r="AH308" s="106"/>
      <c r="AI308" s="106"/>
      <c r="AJ308" s="106"/>
      <c r="AK308" s="106"/>
      <c r="AL308" s="106"/>
      <c r="AM308" s="106"/>
      <c r="AN308" s="106"/>
    </row>
    <row r="309">
      <c r="A309" s="38"/>
      <c r="B309" s="38"/>
      <c r="C309" s="38"/>
      <c r="D309" s="38"/>
      <c r="E309" s="38"/>
      <c r="F309" s="41"/>
      <c r="G309" s="43"/>
      <c r="H309" s="45"/>
      <c r="I309" s="38"/>
      <c r="J309" s="38"/>
      <c r="K309" s="46"/>
      <c r="L309" s="47"/>
      <c r="M309" s="46"/>
      <c r="N309" s="46"/>
      <c r="O309" s="38"/>
      <c r="P309" s="38"/>
      <c r="Q309" s="12"/>
      <c r="R309" s="50"/>
      <c r="S309" s="50"/>
      <c r="T309" s="50"/>
      <c r="U309" s="53"/>
      <c r="V309" s="54"/>
      <c r="W309" s="56"/>
      <c r="X309" s="119"/>
      <c r="Y309" s="113"/>
      <c r="Z309" s="113"/>
      <c r="AH309" s="106"/>
      <c r="AI309" s="106"/>
      <c r="AJ309" s="106"/>
      <c r="AK309" s="106"/>
      <c r="AL309" s="106"/>
      <c r="AM309" s="106"/>
      <c r="AN309" s="106"/>
    </row>
    <row r="310">
      <c r="A310" s="38"/>
      <c r="B310" s="38"/>
      <c r="C310" s="38"/>
      <c r="D310" s="38"/>
      <c r="E310" s="38"/>
      <c r="F310" s="41"/>
      <c r="G310" s="43"/>
      <c r="H310" s="45"/>
      <c r="I310" s="38"/>
      <c r="J310" s="38"/>
      <c r="K310" s="46"/>
      <c r="L310" s="47"/>
      <c r="M310" s="46"/>
      <c r="N310" s="46"/>
      <c r="O310" s="38"/>
      <c r="P310" s="38"/>
      <c r="Q310" s="12"/>
      <c r="R310" s="50"/>
      <c r="S310" s="50"/>
      <c r="T310" s="50"/>
      <c r="U310" s="53"/>
      <c r="V310" s="54"/>
      <c r="W310" s="56"/>
      <c r="X310" s="119"/>
      <c r="Y310" s="113"/>
      <c r="Z310" s="113"/>
      <c r="AH310" s="106"/>
      <c r="AI310" s="106"/>
      <c r="AJ310" s="106"/>
      <c r="AK310" s="106"/>
      <c r="AL310" s="106"/>
      <c r="AM310" s="106"/>
      <c r="AN310" s="106"/>
    </row>
    <row r="311">
      <c r="A311" s="38"/>
      <c r="B311" s="38"/>
      <c r="C311" s="38"/>
      <c r="D311" s="38"/>
      <c r="E311" s="38"/>
      <c r="F311" s="41"/>
      <c r="G311" s="43"/>
      <c r="H311" s="45"/>
      <c r="I311" s="38"/>
      <c r="J311" s="38"/>
      <c r="K311" s="46"/>
      <c r="L311" s="47"/>
      <c r="M311" s="46"/>
      <c r="N311" s="46"/>
      <c r="O311" s="38"/>
      <c r="P311" s="38"/>
      <c r="Q311" s="12"/>
      <c r="R311" s="50"/>
      <c r="S311" s="50"/>
      <c r="T311" s="50"/>
      <c r="U311" s="53"/>
      <c r="V311" s="54"/>
      <c r="W311" s="56"/>
      <c r="X311" s="119"/>
      <c r="Y311" s="113"/>
      <c r="Z311" s="113"/>
      <c r="AH311" s="106"/>
      <c r="AI311" s="106"/>
      <c r="AJ311" s="106"/>
      <c r="AK311" s="106"/>
      <c r="AL311" s="106"/>
      <c r="AM311" s="106"/>
      <c r="AN311" s="106"/>
    </row>
    <row r="312">
      <c r="A312" s="38"/>
      <c r="B312" s="38"/>
      <c r="C312" s="38"/>
      <c r="D312" s="38"/>
      <c r="E312" s="38"/>
      <c r="F312" s="41"/>
      <c r="G312" s="43"/>
      <c r="H312" s="45"/>
      <c r="I312" s="38"/>
      <c r="J312" s="38"/>
      <c r="K312" s="46"/>
      <c r="L312" s="47"/>
      <c r="M312" s="46"/>
      <c r="N312" s="46"/>
      <c r="O312" s="38"/>
      <c r="P312" s="38"/>
      <c r="Q312" s="12"/>
      <c r="R312" s="50"/>
      <c r="S312" s="50"/>
      <c r="T312" s="50"/>
      <c r="U312" s="53"/>
      <c r="V312" s="54"/>
      <c r="W312" s="56"/>
      <c r="X312" s="119"/>
      <c r="Y312" s="113"/>
      <c r="Z312" s="113"/>
      <c r="AH312" s="106"/>
      <c r="AI312" s="106"/>
      <c r="AJ312" s="106"/>
      <c r="AK312" s="106"/>
      <c r="AL312" s="106"/>
      <c r="AM312" s="106"/>
      <c r="AN312" s="106"/>
    </row>
    <row r="313">
      <c r="A313" s="38"/>
      <c r="B313" s="38"/>
      <c r="C313" s="38"/>
      <c r="D313" s="38"/>
      <c r="E313" s="38"/>
      <c r="F313" s="41"/>
      <c r="G313" s="43"/>
      <c r="H313" s="45"/>
      <c r="I313" s="38"/>
      <c r="J313" s="38"/>
      <c r="K313" s="46"/>
      <c r="L313" s="47"/>
      <c r="M313" s="46"/>
      <c r="N313" s="46"/>
      <c r="O313" s="38"/>
      <c r="P313" s="38"/>
      <c r="Q313" s="12"/>
      <c r="R313" s="50"/>
      <c r="S313" s="50"/>
      <c r="T313" s="50"/>
      <c r="U313" s="53"/>
      <c r="V313" s="54"/>
      <c r="W313" s="56"/>
      <c r="X313" s="119"/>
      <c r="Y313" s="113"/>
      <c r="Z313" s="113"/>
      <c r="AH313" s="106"/>
      <c r="AI313" s="106"/>
      <c r="AJ313" s="106"/>
      <c r="AK313" s="106"/>
      <c r="AL313" s="106"/>
      <c r="AM313" s="106"/>
      <c r="AN313" s="106"/>
    </row>
    <row r="314">
      <c r="A314" s="38"/>
      <c r="B314" s="38"/>
      <c r="C314" s="38"/>
      <c r="D314" s="38"/>
      <c r="E314" s="38"/>
      <c r="F314" s="41"/>
      <c r="G314" s="43"/>
      <c r="H314" s="45"/>
      <c r="I314" s="38"/>
      <c r="J314" s="38"/>
      <c r="K314" s="46"/>
      <c r="L314" s="47"/>
      <c r="M314" s="46"/>
      <c r="N314" s="46"/>
      <c r="O314" s="38"/>
      <c r="P314" s="38"/>
      <c r="Q314" s="12"/>
      <c r="R314" s="50"/>
      <c r="S314" s="50"/>
      <c r="T314" s="50"/>
      <c r="U314" s="53"/>
      <c r="V314" s="54"/>
      <c r="W314" s="56"/>
      <c r="X314" s="119"/>
      <c r="Y314" s="113"/>
      <c r="Z314" s="113"/>
      <c r="AH314" s="106"/>
      <c r="AI314" s="106"/>
      <c r="AJ314" s="106"/>
      <c r="AK314" s="106"/>
      <c r="AL314" s="106"/>
      <c r="AM314" s="106"/>
      <c r="AN314" s="106"/>
    </row>
    <row r="315">
      <c r="A315" s="38"/>
      <c r="B315" s="38"/>
      <c r="C315" s="38"/>
      <c r="D315" s="38"/>
      <c r="E315" s="38"/>
      <c r="F315" s="41"/>
      <c r="G315" s="43"/>
      <c r="H315" s="45"/>
      <c r="I315" s="38"/>
      <c r="J315" s="38"/>
      <c r="K315" s="46"/>
      <c r="L315" s="47"/>
      <c r="M315" s="46"/>
      <c r="N315" s="46"/>
      <c r="O315" s="38"/>
      <c r="P315" s="38"/>
      <c r="Q315" s="12"/>
      <c r="R315" s="50"/>
      <c r="S315" s="50"/>
      <c r="T315" s="50"/>
      <c r="U315" s="53"/>
      <c r="V315" s="54"/>
      <c r="W315" s="56"/>
      <c r="X315" s="119"/>
      <c r="Y315" s="113"/>
      <c r="Z315" s="113"/>
      <c r="AH315" s="106"/>
      <c r="AI315" s="106"/>
      <c r="AJ315" s="106"/>
      <c r="AK315" s="106"/>
      <c r="AL315" s="106"/>
      <c r="AM315" s="106"/>
      <c r="AN315" s="106"/>
    </row>
    <row r="316">
      <c r="A316" s="38"/>
      <c r="B316" s="38"/>
      <c r="C316" s="38"/>
      <c r="D316" s="38"/>
      <c r="E316" s="38"/>
      <c r="F316" s="41"/>
      <c r="G316" s="43"/>
      <c r="H316" s="45"/>
      <c r="I316" s="38"/>
      <c r="J316" s="38"/>
      <c r="K316" s="46"/>
      <c r="L316" s="47"/>
      <c r="M316" s="46"/>
      <c r="N316" s="46"/>
      <c r="O316" s="38"/>
      <c r="P316" s="38"/>
      <c r="Q316" s="12"/>
      <c r="R316" s="50"/>
      <c r="S316" s="50"/>
      <c r="T316" s="50"/>
      <c r="U316" s="53"/>
      <c r="V316" s="54"/>
      <c r="W316" s="56"/>
      <c r="X316" s="119"/>
      <c r="Y316" s="113"/>
      <c r="Z316" s="113"/>
      <c r="AH316" s="106"/>
      <c r="AI316" s="106"/>
      <c r="AJ316" s="106"/>
      <c r="AK316" s="106"/>
      <c r="AL316" s="106"/>
      <c r="AM316" s="106"/>
      <c r="AN316" s="106"/>
    </row>
    <row r="317">
      <c r="A317" s="38"/>
      <c r="B317" s="38"/>
      <c r="C317" s="38"/>
      <c r="D317" s="38"/>
      <c r="E317" s="38"/>
      <c r="F317" s="41"/>
      <c r="G317" s="43"/>
      <c r="H317" s="45"/>
      <c r="I317" s="38"/>
      <c r="J317" s="38"/>
      <c r="K317" s="46"/>
      <c r="L317" s="47"/>
      <c r="M317" s="46"/>
      <c r="N317" s="46"/>
      <c r="O317" s="38"/>
      <c r="P317" s="38"/>
      <c r="Q317" s="12"/>
      <c r="R317" s="50"/>
      <c r="S317" s="50"/>
      <c r="T317" s="50"/>
      <c r="U317" s="53"/>
      <c r="V317" s="54"/>
      <c r="W317" s="56"/>
      <c r="X317" s="119"/>
      <c r="Y317" s="113"/>
      <c r="Z317" s="113"/>
      <c r="AH317" s="106"/>
      <c r="AI317" s="106"/>
      <c r="AJ317" s="106"/>
      <c r="AK317" s="106"/>
      <c r="AL317" s="106"/>
      <c r="AM317" s="106"/>
      <c r="AN317" s="106"/>
    </row>
    <row r="318">
      <c r="A318" s="38"/>
      <c r="B318" s="38"/>
      <c r="C318" s="38"/>
      <c r="D318" s="38"/>
      <c r="E318" s="38"/>
      <c r="F318" s="41"/>
      <c r="G318" s="43"/>
      <c r="H318" s="45"/>
      <c r="I318" s="38"/>
      <c r="J318" s="38"/>
      <c r="K318" s="46"/>
      <c r="L318" s="47"/>
      <c r="M318" s="46"/>
      <c r="N318" s="46"/>
      <c r="O318" s="38"/>
      <c r="P318" s="38"/>
      <c r="Q318" s="12"/>
      <c r="R318" s="50"/>
      <c r="S318" s="50"/>
      <c r="T318" s="50"/>
      <c r="U318" s="53"/>
      <c r="V318" s="54"/>
      <c r="W318" s="56"/>
      <c r="X318" s="119"/>
      <c r="Y318" s="113"/>
      <c r="Z318" s="113"/>
      <c r="AH318" s="106"/>
      <c r="AI318" s="106"/>
      <c r="AJ318" s="106"/>
      <c r="AK318" s="106"/>
      <c r="AL318" s="106"/>
      <c r="AM318" s="106"/>
      <c r="AN318" s="106"/>
    </row>
    <row r="319">
      <c r="A319" s="38"/>
      <c r="B319" s="38"/>
      <c r="C319" s="38"/>
      <c r="D319" s="38"/>
      <c r="E319" s="38"/>
      <c r="F319" s="41"/>
      <c r="G319" s="43"/>
      <c r="H319" s="45"/>
      <c r="I319" s="38"/>
      <c r="J319" s="38"/>
      <c r="K319" s="46"/>
      <c r="L319" s="47"/>
      <c r="M319" s="46"/>
      <c r="N319" s="46"/>
      <c r="O319" s="38"/>
      <c r="P319" s="38"/>
      <c r="Q319" s="12"/>
      <c r="R319" s="50"/>
      <c r="S319" s="50"/>
      <c r="T319" s="50"/>
      <c r="U319" s="53"/>
      <c r="V319" s="54"/>
      <c r="W319" s="56"/>
      <c r="X319" s="119"/>
      <c r="Y319" s="113"/>
      <c r="Z319" s="113"/>
      <c r="AH319" s="106"/>
      <c r="AI319" s="106"/>
      <c r="AJ319" s="106"/>
      <c r="AK319" s="106"/>
      <c r="AL319" s="106"/>
      <c r="AM319" s="106"/>
      <c r="AN319" s="106"/>
    </row>
    <row r="320">
      <c r="A320" s="38"/>
      <c r="B320" s="38"/>
      <c r="C320" s="38"/>
      <c r="D320" s="38"/>
      <c r="E320" s="38"/>
      <c r="F320" s="41"/>
      <c r="G320" s="43"/>
      <c r="H320" s="45"/>
      <c r="I320" s="38"/>
      <c r="J320" s="38"/>
      <c r="K320" s="46"/>
      <c r="L320" s="47"/>
      <c r="M320" s="46"/>
      <c r="N320" s="46"/>
      <c r="O320" s="38"/>
      <c r="P320" s="38"/>
      <c r="Q320" s="12"/>
      <c r="R320" s="50"/>
      <c r="S320" s="50"/>
      <c r="T320" s="50"/>
      <c r="U320" s="53"/>
      <c r="V320" s="54"/>
      <c r="W320" s="56"/>
      <c r="X320" s="119"/>
      <c r="Y320" s="113"/>
      <c r="Z320" s="113"/>
      <c r="AH320" s="106"/>
      <c r="AI320" s="106"/>
      <c r="AJ320" s="106"/>
      <c r="AK320" s="106"/>
      <c r="AL320" s="106"/>
      <c r="AM320" s="106"/>
      <c r="AN320" s="106"/>
    </row>
    <row r="321">
      <c r="A321" s="38"/>
      <c r="B321" s="38"/>
      <c r="C321" s="38"/>
      <c r="D321" s="38"/>
      <c r="E321" s="38"/>
      <c r="F321" s="41"/>
      <c r="G321" s="43"/>
      <c r="H321" s="45"/>
      <c r="I321" s="38"/>
      <c r="J321" s="38"/>
      <c r="K321" s="46"/>
      <c r="L321" s="47"/>
      <c r="M321" s="46"/>
      <c r="N321" s="46"/>
      <c r="O321" s="38"/>
      <c r="P321" s="38"/>
      <c r="Q321" s="12"/>
      <c r="R321" s="50"/>
      <c r="S321" s="50"/>
      <c r="T321" s="50"/>
      <c r="U321" s="53"/>
      <c r="V321" s="54"/>
      <c r="W321" s="56"/>
      <c r="X321" s="119"/>
      <c r="Y321" s="113"/>
      <c r="Z321" s="113"/>
      <c r="AH321" s="106"/>
      <c r="AI321" s="106"/>
      <c r="AJ321" s="106"/>
      <c r="AK321" s="106"/>
      <c r="AL321" s="106"/>
      <c r="AM321" s="106"/>
      <c r="AN321" s="106"/>
    </row>
    <row r="322">
      <c r="A322" s="38"/>
      <c r="B322" s="38"/>
      <c r="C322" s="38"/>
      <c r="D322" s="38"/>
      <c r="E322" s="38"/>
      <c r="F322" s="41"/>
      <c r="G322" s="43"/>
      <c r="H322" s="45"/>
      <c r="I322" s="38"/>
      <c r="J322" s="38"/>
      <c r="K322" s="46"/>
      <c r="L322" s="47"/>
      <c r="M322" s="46"/>
      <c r="N322" s="46"/>
      <c r="O322" s="38"/>
      <c r="P322" s="38"/>
      <c r="Q322" s="12"/>
      <c r="R322" s="50"/>
      <c r="S322" s="50"/>
      <c r="T322" s="50"/>
      <c r="U322" s="53"/>
      <c r="V322" s="54"/>
      <c r="W322" s="56"/>
      <c r="X322" s="119"/>
      <c r="Y322" s="113"/>
      <c r="Z322" s="113"/>
      <c r="AH322" s="106"/>
      <c r="AI322" s="106"/>
      <c r="AJ322" s="106"/>
      <c r="AK322" s="106"/>
      <c r="AL322" s="106"/>
      <c r="AM322" s="106"/>
      <c r="AN322" s="106"/>
    </row>
    <row r="323">
      <c r="A323" s="38"/>
      <c r="B323" s="38"/>
      <c r="C323" s="38"/>
      <c r="D323" s="38"/>
      <c r="E323" s="38"/>
      <c r="F323" s="41"/>
      <c r="G323" s="43"/>
      <c r="H323" s="45"/>
      <c r="I323" s="38"/>
      <c r="J323" s="38"/>
      <c r="K323" s="46"/>
      <c r="L323" s="47"/>
      <c r="M323" s="46"/>
      <c r="N323" s="46"/>
      <c r="O323" s="38"/>
      <c r="P323" s="38"/>
      <c r="Q323" s="12"/>
      <c r="R323" s="50"/>
      <c r="S323" s="50"/>
      <c r="T323" s="50"/>
      <c r="U323" s="53"/>
      <c r="V323" s="54"/>
      <c r="W323" s="56"/>
      <c r="X323" s="119"/>
      <c r="Y323" s="113"/>
      <c r="Z323" s="113"/>
      <c r="AH323" s="106"/>
      <c r="AI323" s="106"/>
      <c r="AJ323" s="106"/>
      <c r="AK323" s="106"/>
      <c r="AL323" s="106"/>
      <c r="AM323" s="106"/>
      <c r="AN323" s="106"/>
    </row>
    <row r="324">
      <c r="A324" s="38"/>
      <c r="B324" s="38"/>
      <c r="C324" s="38"/>
      <c r="D324" s="38"/>
      <c r="E324" s="38"/>
      <c r="F324" s="41"/>
      <c r="G324" s="43"/>
      <c r="H324" s="45"/>
      <c r="I324" s="38"/>
      <c r="J324" s="38"/>
      <c r="K324" s="46"/>
      <c r="L324" s="47"/>
      <c r="M324" s="46"/>
      <c r="N324" s="46"/>
      <c r="O324" s="38"/>
      <c r="P324" s="38"/>
      <c r="Q324" s="12"/>
      <c r="R324" s="50"/>
      <c r="S324" s="50"/>
      <c r="T324" s="50"/>
      <c r="U324" s="53"/>
      <c r="V324" s="54"/>
      <c r="W324" s="56"/>
      <c r="X324" s="119"/>
      <c r="Y324" s="113"/>
      <c r="Z324" s="113"/>
      <c r="AH324" s="106"/>
      <c r="AI324" s="106"/>
      <c r="AJ324" s="106"/>
      <c r="AK324" s="106"/>
      <c r="AL324" s="106"/>
      <c r="AM324" s="106"/>
      <c r="AN324" s="106"/>
    </row>
    <row r="325">
      <c r="A325" s="38"/>
      <c r="B325" s="38"/>
      <c r="C325" s="38"/>
      <c r="D325" s="38"/>
      <c r="E325" s="38"/>
      <c r="F325" s="41"/>
      <c r="G325" s="43"/>
      <c r="H325" s="45"/>
      <c r="I325" s="38"/>
      <c r="J325" s="38"/>
      <c r="K325" s="46"/>
      <c r="L325" s="47"/>
      <c r="M325" s="46"/>
      <c r="N325" s="46"/>
      <c r="O325" s="38"/>
      <c r="P325" s="38"/>
      <c r="Q325" s="12"/>
      <c r="R325" s="50"/>
      <c r="S325" s="50"/>
      <c r="T325" s="50"/>
      <c r="U325" s="53"/>
      <c r="V325" s="54"/>
      <c r="W325" s="56"/>
      <c r="X325" s="119"/>
      <c r="Y325" s="113"/>
      <c r="Z325" s="113"/>
      <c r="AH325" s="106"/>
      <c r="AI325" s="106"/>
      <c r="AJ325" s="106"/>
      <c r="AK325" s="106"/>
      <c r="AL325" s="106"/>
      <c r="AM325" s="106"/>
      <c r="AN325" s="106"/>
    </row>
    <row r="326">
      <c r="A326" s="38"/>
      <c r="B326" s="38"/>
      <c r="C326" s="38"/>
      <c r="D326" s="38"/>
      <c r="E326" s="38"/>
      <c r="F326" s="41"/>
      <c r="G326" s="43"/>
      <c r="H326" s="45"/>
      <c r="I326" s="38"/>
      <c r="J326" s="38"/>
      <c r="K326" s="46"/>
      <c r="L326" s="47"/>
      <c r="M326" s="46"/>
      <c r="N326" s="46"/>
      <c r="O326" s="38"/>
      <c r="P326" s="38"/>
      <c r="Q326" s="12"/>
      <c r="R326" s="50"/>
      <c r="S326" s="50"/>
      <c r="T326" s="50"/>
      <c r="U326" s="53"/>
      <c r="V326" s="54"/>
      <c r="W326" s="56"/>
      <c r="X326" s="119"/>
      <c r="Y326" s="113"/>
      <c r="Z326" s="113"/>
      <c r="AH326" s="106"/>
      <c r="AI326" s="106"/>
      <c r="AJ326" s="106"/>
      <c r="AK326" s="106"/>
      <c r="AL326" s="106"/>
      <c r="AM326" s="106"/>
      <c r="AN326" s="106"/>
    </row>
    <row r="327">
      <c r="A327" s="38"/>
      <c r="B327" s="38"/>
      <c r="C327" s="38"/>
      <c r="D327" s="38"/>
      <c r="E327" s="38"/>
      <c r="F327" s="41"/>
      <c r="G327" s="43"/>
      <c r="H327" s="45"/>
      <c r="I327" s="38"/>
      <c r="J327" s="38"/>
      <c r="K327" s="46"/>
      <c r="L327" s="47"/>
      <c r="M327" s="46"/>
      <c r="N327" s="46"/>
      <c r="O327" s="38"/>
      <c r="P327" s="38"/>
      <c r="Q327" s="12"/>
      <c r="R327" s="50"/>
      <c r="S327" s="50"/>
      <c r="T327" s="50"/>
      <c r="U327" s="53"/>
      <c r="V327" s="54"/>
      <c r="W327" s="56"/>
      <c r="X327" s="119"/>
      <c r="Y327" s="113"/>
      <c r="Z327" s="113"/>
      <c r="AH327" s="106"/>
      <c r="AI327" s="106"/>
      <c r="AJ327" s="106"/>
      <c r="AK327" s="106"/>
      <c r="AL327" s="106"/>
      <c r="AM327" s="106"/>
      <c r="AN327" s="106"/>
    </row>
    <row r="328">
      <c r="A328" s="38"/>
      <c r="B328" s="38"/>
      <c r="C328" s="38"/>
      <c r="D328" s="38"/>
      <c r="E328" s="38"/>
      <c r="F328" s="41"/>
      <c r="G328" s="43"/>
      <c r="H328" s="45"/>
      <c r="I328" s="38"/>
      <c r="J328" s="38"/>
      <c r="K328" s="46"/>
      <c r="L328" s="47"/>
      <c r="M328" s="46"/>
      <c r="N328" s="46"/>
      <c r="O328" s="38"/>
      <c r="P328" s="38"/>
      <c r="Q328" s="12"/>
      <c r="R328" s="50"/>
      <c r="S328" s="50"/>
      <c r="T328" s="50"/>
      <c r="U328" s="53"/>
      <c r="V328" s="54"/>
      <c r="W328" s="56"/>
      <c r="X328" s="119"/>
      <c r="Y328" s="113"/>
      <c r="Z328" s="113"/>
      <c r="AH328" s="106"/>
      <c r="AI328" s="106"/>
      <c r="AJ328" s="106"/>
      <c r="AK328" s="106"/>
      <c r="AL328" s="106"/>
      <c r="AM328" s="106"/>
      <c r="AN328" s="106"/>
    </row>
    <row r="329">
      <c r="A329" s="38"/>
      <c r="B329" s="38"/>
      <c r="C329" s="38"/>
      <c r="D329" s="38"/>
      <c r="E329" s="38"/>
      <c r="F329" s="41"/>
      <c r="G329" s="43"/>
      <c r="H329" s="45"/>
      <c r="I329" s="38"/>
      <c r="J329" s="38"/>
      <c r="K329" s="46"/>
      <c r="L329" s="47"/>
      <c r="M329" s="46"/>
      <c r="N329" s="46"/>
      <c r="O329" s="38"/>
      <c r="P329" s="38"/>
      <c r="Q329" s="12"/>
      <c r="R329" s="50"/>
      <c r="S329" s="50"/>
      <c r="T329" s="50"/>
      <c r="U329" s="53"/>
      <c r="V329" s="54"/>
      <c r="W329" s="56"/>
      <c r="X329" s="119"/>
      <c r="Y329" s="113"/>
      <c r="Z329" s="113"/>
      <c r="AH329" s="106"/>
      <c r="AI329" s="106"/>
      <c r="AJ329" s="106"/>
      <c r="AK329" s="106"/>
      <c r="AL329" s="106"/>
      <c r="AM329" s="106"/>
      <c r="AN329" s="106"/>
    </row>
    <row r="330">
      <c r="A330" s="38"/>
      <c r="B330" s="38"/>
      <c r="C330" s="38"/>
      <c r="D330" s="38"/>
      <c r="E330" s="38"/>
      <c r="F330" s="41"/>
      <c r="G330" s="43"/>
      <c r="H330" s="45"/>
      <c r="I330" s="38"/>
      <c r="J330" s="38"/>
      <c r="K330" s="46"/>
      <c r="L330" s="47"/>
      <c r="M330" s="46"/>
      <c r="N330" s="46"/>
      <c r="O330" s="38"/>
      <c r="P330" s="38"/>
      <c r="Q330" s="12"/>
      <c r="R330" s="50"/>
      <c r="S330" s="50"/>
      <c r="T330" s="50"/>
      <c r="U330" s="53"/>
      <c r="V330" s="54"/>
      <c r="W330" s="56"/>
      <c r="X330" s="119"/>
      <c r="Y330" s="113"/>
      <c r="Z330" s="113"/>
      <c r="AH330" s="106"/>
      <c r="AI330" s="106"/>
      <c r="AJ330" s="106"/>
      <c r="AK330" s="106"/>
      <c r="AL330" s="106"/>
      <c r="AM330" s="106"/>
      <c r="AN330" s="106"/>
    </row>
    <row r="331">
      <c r="A331" s="38"/>
      <c r="B331" s="38"/>
      <c r="C331" s="38"/>
      <c r="D331" s="38"/>
      <c r="E331" s="38"/>
      <c r="F331" s="41"/>
      <c r="G331" s="43"/>
      <c r="H331" s="45"/>
      <c r="I331" s="38"/>
      <c r="J331" s="38"/>
      <c r="K331" s="46"/>
      <c r="L331" s="47"/>
      <c r="M331" s="46"/>
      <c r="N331" s="46"/>
      <c r="O331" s="38"/>
      <c r="P331" s="38"/>
      <c r="Q331" s="12"/>
      <c r="R331" s="50"/>
      <c r="S331" s="50"/>
      <c r="T331" s="50"/>
      <c r="U331" s="53"/>
      <c r="V331" s="54"/>
      <c r="W331" s="56"/>
      <c r="X331" s="119"/>
      <c r="Y331" s="113"/>
      <c r="Z331" s="113"/>
      <c r="AH331" s="106"/>
      <c r="AI331" s="106"/>
      <c r="AJ331" s="106"/>
      <c r="AK331" s="106"/>
      <c r="AL331" s="106"/>
      <c r="AM331" s="106"/>
      <c r="AN331" s="106"/>
    </row>
    <row r="332">
      <c r="A332" s="38"/>
      <c r="B332" s="38"/>
      <c r="C332" s="38"/>
      <c r="D332" s="38"/>
      <c r="E332" s="38"/>
      <c r="F332" s="41"/>
      <c r="G332" s="43"/>
      <c r="H332" s="45"/>
      <c r="I332" s="38"/>
      <c r="J332" s="38"/>
      <c r="K332" s="46"/>
      <c r="L332" s="47"/>
      <c r="M332" s="46"/>
      <c r="N332" s="46"/>
      <c r="O332" s="38"/>
      <c r="P332" s="38"/>
      <c r="Q332" s="12"/>
      <c r="R332" s="50"/>
      <c r="S332" s="50"/>
      <c r="T332" s="50"/>
      <c r="U332" s="53"/>
      <c r="V332" s="54"/>
      <c r="W332" s="56"/>
      <c r="X332" s="119"/>
      <c r="Y332" s="113"/>
      <c r="Z332" s="113"/>
      <c r="AH332" s="106"/>
      <c r="AI332" s="106"/>
      <c r="AJ332" s="106"/>
      <c r="AK332" s="106"/>
      <c r="AL332" s="106"/>
      <c r="AM332" s="106"/>
      <c r="AN332" s="106"/>
    </row>
    <row r="333">
      <c r="A333" s="38"/>
      <c r="B333" s="38"/>
      <c r="C333" s="38"/>
      <c r="D333" s="38"/>
      <c r="E333" s="38"/>
      <c r="F333" s="41"/>
      <c r="G333" s="43"/>
      <c r="H333" s="45"/>
      <c r="I333" s="38"/>
      <c r="J333" s="38"/>
      <c r="K333" s="46"/>
      <c r="L333" s="47"/>
      <c r="M333" s="46"/>
      <c r="N333" s="46"/>
      <c r="O333" s="38"/>
      <c r="P333" s="38"/>
      <c r="Q333" s="12"/>
      <c r="R333" s="50"/>
      <c r="S333" s="50"/>
      <c r="T333" s="50"/>
      <c r="U333" s="53"/>
      <c r="V333" s="54"/>
      <c r="W333" s="56"/>
      <c r="X333" s="119"/>
      <c r="Y333" s="113"/>
      <c r="Z333" s="113"/>
      <c r="AH333" s="106"/>
      <c r="AI333" s="106"/>
      <c r="AJ333" s="106"/>
      <c r="AK333" s="106"/>
      <c r="AL333" s="106"/>
      <c r="AM333" s="106"/>
      <c r="AN333" s="106"/>
    </row>
    <row r="334">
      <c r="A334" s="38"/>
      <c r="B334" s="38"/>
      <c r="C334" s="38"/>
      <c r="D334" s="38"/>
      <c r="E334" s="38"/>
      <c r="F334" s="41"/>
      <c r="G334" s="43"/>
      <c r="H334" s="45"/>
      <c r="I334" s="38"/>
      <c r="J334" s="38"/>
      <c r="K334" s="46"/>
      <c r="L334" s="47"/>
      <c r="M334" s="46"/>
      <c r="N334" s="46"/>
      <c r="O334" s="38"/>
      <c r="P334" s="38"/>
      <c r="Q334" s="12"/>
      <c r="R334" s="50"/>
      <c r="S334" s="50"/>
      <c r="T334" s="50"/>
      <c r="U334" s="53"/>
      <c r="V334" s="54"/>
      <c r="W334" s="56"/>
      <c r="X334" s="119"/>
      <c r="Y334" s="113"/>
      <c r="Z334" s="113"/>
      <c r="AH334" s="106"/>
      <c r="AI334" s="106"/>
      <c r="AJ334" s="106"/>
      <c r="AK334" s="106"/>
      <c r="AL334" s="106"/>
      <c r="AM334" s="106"/>
      <c r="AN334" s="106"/>
    </row>
    <row r="335">
      <c r="A335" s="38"/>
      <c r="B335" s="38"/>
      <c r="C335" s="38"/>
      <c r="D335" s="38"/>
      <c r="E335" s="38"/>
      <c r="F335" s="41"/>
      <c r="G335" s="43"/>
      <c r="H335" s="45"/>
      <c r="I335" s="38"/>
      <c r="J335" s="38"/>
      <c r="K335" s="46"/>
      <c r="L335" s="47"/>
      <c r="M335" s="46"/>
      <c r="N335" s="46"/>
      <c r="O335" s="38"/>
      <c r="P335" s="38"/>
      <c r="Q335" s="12"/>
      <c r="R335" s="50"/>
      <c r="S335" s="50"/>
      <c r="T335" s="50"/>
      <c r="U335" s="53"/>
      <c r="V335" s="54"/>
      <c r="W335" s="56"/>
      <c r="X335" s="119"/>
      <c r="Y335" s="113"/>
      <c r="Z335" s="113"/>
      <c r="AH335" s="106"/>
      <c r="AI335" s="106"/>
      <c r="AJ335" s="106"/>
      <c r="AK335" s="106"/>
      <c r="AL335" s="106"/>
      <c r="AM335" s="106"/>
      <c r="AN335" s="106"/>
    </row>
    <row r="336">
      <c r="A336" s="38"/>
      <c r="B336" s="38"/>
      <c r="C336" s="38"/>
      <c r="D336" s="38"/>
      <c r="E336" s="38"/>
      <c r="F336" s="41"/>
      <c r="G336" s="43"/>
      <c r="H336" s="45"/>
      <c r="I336" s="38"/>
      <c r="J336" s="38"/>
      <c r="K336" s="46"/>
      <c r="L336" s="47"/>
      <c r="M336" s="46"/>
      <c r="N336" s="46"/>
      <c r="O336" s="38"/>
      <c r="P336" s="38"/>
      <c r="Q336" s="12"/>
      <c r="R336" s="50"/>
      <c r="S336" s="50"/>
      <c r="T336" s="50"/>
      <c r="U336" s="53"/>
      <c r="V336" s="54"/>
      <c r="W336" s="56"/>
      <c r="X336" s="119"/>
      <c r="Y336" s="113"/>
      <c r="Z336" s="113"/>
      <c r="AH336" s="106"/>
      <c r="AI336" s="106"/>
      <c r="AJ336" s="106"/>
      <c r="AK336" s="106"/>
      <c r="AL336" s="106"/>
      <c r="AM336" s="106"/>
      <c r="AN336" s="106"/>
    </row>
    <row r="337">
      <c r="A337" s="38"/>
      <c r="B337" s="38"/>
      <c r="C337" s="38"/>
      <c r="D337" s="38"/>
      <c r="E337" s="38"/>
      <c r="F337" s="41"/>
      <c r="G337" s="43"/>
      <c r="H337" s="45"/>
      <c r="I337" s="38"/>
      <c r="J337" s="38"/>
      <c r="K337" s="46"/>
      <c r="L337" s="47"/>
      <c r="M337" s="46"/>
      <c r="N337" s="46"/>
      <c r="O337" s="38"/>
      <c r="P337" s="38"/>
      <c r="Q337" s="12"/>
      <c r="R337" s="50"/>
      <c r="S337" s="50"/>
      <c r="T337" s="50"/>
      <c r="U337" s="53"/>
      <c r="V337" s="54"/>
      <c r="W337" s="56"/>
      <c r="X337" s="119"/>
      <c r="Y337" s="113"/>
      <c r="Z337" s="113"/>
      <c r="AH337" s="106"/>
      <c r="AI337" s="106"/>
      <c r="AJ337" s="106"/>
      <c r="AK337" s="106"/>
      <c r="AL337" s="106"/>
      <c r="AM337" s="106"/>
      <c r="AN337" s="106"/>
    </row>
    <row r="338">
      <c r="A338" s="38"/>
      <c r="B338" s="38"/>
      <c r="C338" s="38"/>
      <c r="D338" s="38"/>
      <c r="E338" s="38"/>
      <c r="F338" s="41"/>
      <c r="G338" s="43"/>
      <c r="H338" s="45"/>
      <c r="I338" s="38"/>
      <c r="J338" s="38"/>
      <c r="K338" s="46"/>
      <c r="L338" s="47"/>
      <c r="M338" s="46"/>
      <c r="N338" s="46"/>
      <c r="O338" s="38"/>
      <c r="P338" s="38"/>
      <c r="Q338" s="12"/>
      <c r="R338" s="50"/>
      <c r="S338" s="50"/>
      <c r="T338" s="50"/>
      <c r="U338" s="53"/>
      <c r="V338" s="54"/>
      <c r="W338" s="56"/>
      <c r="X338" s="119"/>
      <c r="Y338" s="113"/>
      <c r="Z338" s="113"/>
      <c r="AH338" s="106"/>
      <c r="AI338" s="106"/>
      <c r="AJ338" s="106"/>
      <c r="AK338" s="106"/>
      <c r="AL338" s="106"/>
      <c r="AM338" s="106"/>
      <c r="AN338" s="106"/>
    </row>
    <row r="339">
      <c r="A339" s="38"/>
      <c r="B339" s="38"/>
      <c r="C339" s="38"/>
      <c r="D339" s="38"/>
      <c r="E339" s="38"/>
      <c r="F339" s="41"/>
      <c r="G339" s="43"/>
      <c r="H339" s="45"/>
      <c r="I339" s="38"/>
      <c r="J339" s="38"/>
      <c r="K339" s="46"/>
      <c r="L339" s="47"/>
      <c r="M339" s="46"/>
      <c r="N339" s="46"/>
      <c r="O339" s="38"/>
      <c r="P339" s="38"/>
      <c r="Q339" s="12"/>
      <c r="R339" s="50"/>
      <c r="S339" s="50"/>
      <c r="T339" s="50"/>
      <c r="U339" s="53"/>
      <c r="V339" s="54"/>
      <c r="W339" s="56"/>
      <c r="X339" s="119"/>
      <c r="Y339" s="113"/>
      <c r="Z339" s="113"/>
      <c r="AH339" s="106"/>
      <c r="AI339" s="106"/>
      <c r="AJ339" s="106"/>
      <c r="AK339" s="106"/>
      <c r="AL339" s="106"/>
      <c r="AM339" s="106"/>
      <c r="AN339" s="106"/>
    </row>
    <row r="340">
      <c r="A340" s="38"/>
      <c r="B340" s="38"/>
      <c r="C340" s="38"/>
      <c r="D340" s="38"/>
      <c r="E340" s="38"/>
      <c r="F340" s="41"/>
      <c r="G340" s="43"/>
      <c r="H340" s="45"/>
      <c r="I340" s="38"/>
      <c r="J340" s="38"/>
      <c r="K340" s="46"/>
      <c r="L340" s="47"/>
      <c r="M340" s="46"/>
      <c r="N340" s="46"/>
      <c r="O340" s="38"/>
      <c r="P340" s="38"/>
      <c r="Q340" s="12"/>
      <c r="R340" s="50"/>
      <c r="S340" s="50"/>
      <c r="T340" s="50"/>
      <c r="U340" s="53"/>
      <c r="V340" s="54"/>
      <c r="W340" s="56"/>
      <c r="X340" s="119"/>
      <c r="Y340" s="113"/>
      <c r="Z340" s="113"/>
      <c r="AH340" s="106"/>
      <c r="AI340" s="106"/>
      <c r="AJ340" s="106"/>
      <c r="AK340" s="106"/>
      <c r="AL340" s="106"/>
      <c r="AM340" s="106"/>
      <c r="AN340" s="106"/>
    </row>
    <row r="341">
      <c r="A341" s="38"/>
      <c r="B341" s="38"/>
      <c r="C341" s="38"/>
      <c r="D341" s="38"/>
      <c r="E341" s="38"/>
      <c r="F341" s="41"/>
      <c r="G341" s="43"/>
      <c r="H341" s="45"/>
      <c r="I341" s="38"/>
      <c r="J341" s="38"/>
      <c r="K341" s="46"/>
      <c r="L341" s="47"/>
      <c r="M341" s="46"/>
      <c r="N341" s="46"/>
      <c r="O341" s="38"/>
      <c r="P341" s="38"/>
      <c r="Q341" s="12"/>
      <c r="R341" s="50"/>
      <c r="S341" s="50"/>
      <c r="T341" s="50"/>
      <c r="U341" s="53"/>
      <c r="V341" s="54"/>
      <c r="W341" s="56"/>
      <c r="X341" s="119"/>
      <c r="Y341" s="113"/>
      <c r="Z341" s="113"/>
      <c r="AH341" s="106"/>
      <c r="AI341" s="106"/>
      <c r="AJ341" s="106"/>
      <c r="AK341" s="106"/>
      <c r="AL341" s="106"/>
      <c r="AM341" s="106"/>
      <c r="AN341" s="106"/>
    </row>
    <row r="342">
      <c r="A342" s="38"/>
      <c r="B342" s="38"/>
      <c r="C342" s="38"/>
      <c r="D342" s="38"/>
      <c r="E342" s="38"/>
      <c r="F342" s="41"/>
      <c r="G342" s="43"/>
      <c r="H342" s="45"/>
      <c r="I342" s="38"/>
      <c r="J342" s="38"/>
      <c r="K342" s="46"/>
      <c r="L342" s="47"/>
      <c r="M342" s="46"/>
      <c r="N342" s="46"/>
      <c r="O342" s="38"/>
      <c r="P342" s="38"/>
      <c r="Q342" s="12"/>
      <c r="R342" s="50"/>
      <c r="S342" s="50"/>
      <c r="T342" s="50"/>
      <c r="U342" s="53"/>
      <c r="V342" s="54"/>
      <c r="W342" s="56"/>
      <c r="X342" s="119"/>
      <c r="Y342" s="113"/>
      <c r="Z342" s="113"/>
      <c r="AH342" s="106"/>
      <c r="AI342" s="106"/>
      <c r="AJ342" s="106"/>
      <c r="AK342" s="106"/>
      <c r="AL342" s="106"/>
      <c r="AM342" s="106"/>
      <c r="AN342" s="106"/>
    </row>
    <row r="343">
      <c r="A343" s="38"/>
      <c r="B343" s="38"/>
      <c r="C343" s="38"/>
      <c r="D343" s="38"/>
      <c r="E343" s="38"/>
      <c r="F343" s="41"/>
      <c r="G343" s="43"/>
      <c r="H343" s="45"/>
      <c r="I343" s="38"/>
      <c r="J343" s="38"/>
      <c r="K343" s="46"/>
      <c r="L343" s="47"/>
      <c r="M343" s="46"/>
      <c r="N343" s="46"/>
      <c r="O343" s="38"/>
      <c r="P343" s="38"/>
      <c r="Q343" s="12"/>
      <c r="R343" s="50"/>
      <c r="S343" s="50"/>
      <c r="T343" s="50"/>
      <c r="U343" s="53"/>
      <c r="V343" s="54"/>
      <c r="W343" s="56"/>
      <c r="X343" s="119"/>
      <c r="Y343" s="113"/>
      <c r="Z343" s="113"/>
      <c r="AH343" s="106"/>
      <c r="AI343" s="106"/>
      <c r="AJ343" s="106"/>
      <c r="AK343" s="106"/>
      <c r="AL343" s="106"/>
      <c r="AM343" s="106"/>
      <c r="AN343" s="106"/>
    </row>
    <row r="344">
      <c r="A344" s="38"/>
      <c r="B344" s="38"/>
      <c r="C344" s="38"/>
      <c r="D344" s="38"/>
      <c r="E344" s="38"/>
      <c r="F344" s="41"/>
      <c r="G344" s="43"/>
      <c r="H344" s="45"/>
      <c r="I344" s="38"/>
      <c r="J344" s="38"/>
      <c r="K344" s="46"/>
      <c r="L344" s="47"/>
      <c r="M344" s="46"/>
      <c r="N344" s="46"/>
      <c r="O344" s="38"/>
      <c r="P344" s="38"/>
      <c r="Q344" s="12"/>
      <c r="R344" s="50"/>
      <c r="S344" s="50"/>
      <c r="T344" s="50"/>
      <c r="U344" s="53"/>
      <c r="V344" s="54"/>
      <c r="W344" s="56"/>
      <c r="X344" s="119"/>
      <c r="Y344" s="113"/>
      <c r="Z344" s="113"/>
      <c r="AH344" s="106"/>
      <c r="AI344" s="106"/>
      <c r="AJ344" s="106"/>
      <c r="AK344" s="106"/>
      <c r="AL344" s="106"/>
      <c r="AM344" s="106"/>
      <c r="AN344" s="106"/>
    </row>
    <row r="345">
      <c r="A345" s="38"/>
      <c r="B345" s="38"/>
      <c r="C345" s="38"/>
      <c r="D345" s="38"/>
      <c r="E345" s="38"/>
      <c r="F345" s="41"/>
      <c r="G345" s="43"/>
      <c r="H345" s="45"/>
      <c r="I345" s="38"/>
      <c r="J345" s="38"/>
      <c r="K345" s="46"/>
      <c r="L345" s="47"/>
      <c r="M345" s="46"/>
      <c r="N345" s="46"/>
      <c r="O345" s="38"/>
      <c r="P345" s="38"/>
      <c r="Q345" s="12"/>
      <c r="R345" s="50"/>
      <c r="S345" s="50"/>
      <c r="T345" s="50"/>
      <c r="U345" s="53"/>
      <c r="V345" s="54"/>
      <c r="W345" s="56"/>
      <c r="X345" s="119"/>
      <c r="Y345" s="113"/>
      <c r="Z345" s="113"/>
      <c r="AH345" s="106"/>
      <c r="AI345" s="106"/>
      <c r="AJ345" s="106"/>
      <c r="AK345" s="106"/>
      <c r="AL345" s="106"/>
      <c r="AM345" s="106"/>
      <c r="AN345" s="106"/>
    </row>
    <row r="346">
      <c r="A346" s="38"/>
      <c r="B346" s="38"/>
      <c r="C346" s="38"/>
      <c r="D346" s="38"/>
      <c r="E346" s="38"/>
      <c r="F346" s="41"/>
      <c r="G346" s="43"/>
      <c r="H346" s="45"/>
      <c r="I346" s="38"/>
      <c r="J346" s="38"/>
      <c r="K346" s="46"/>
      <c r="L346" s="47"/>
      <c r="M346" s="46"/>
      <c r="N346" s="46"/>
      <c r="O346" s="38"/>
      <c r="P346" s="38"/>
      <c r="Q346" s="12"/>
      <c r="R346" s="50"/>
      <c r="S346" s="50"/>
      <c r="T346" s="50"/>
      <c r="U346" s="53"/>
      <c r="V346" s="54"/>
      <c r="W346" s="56"/>
      <c r="X346" s="119"/>
      <c r="Y346" s="113"/>
      <c r="Z346" s="113"/>
      <c r="AH346" s="106"/>
      <c r="AI346" s="106"/>
      <c r="AJ346" s="106"/>
      <c r="AK346" s="106"/>
      <c r="AL346" s="106"/>
      <c r="AM346" s="106"/>
      <c r="AN346" s="106"/>
    </row>
    <row r="347">
      <c r="A347" s="38"/>
      <c r="B347" s="38"/>
      <c r="C347" s="38"/>
      <c r="D347" s="38"/>
      <c r="E347" s="38"/>
      <c r="F347" s="41"/>
      <c r="G347" s="43"/>
      <c r="H347" s="45"/>
      <c r="I347" s="38"/>
      <c r="J347" s="38"/>
      <c r="K347" s="46"/>
      <c r="L347" s="47"/>
      <c r="M347" s="46"/>
      <c r="N347" s="46"/>
      <c r="O347" s="38"/>
      <c r="P347" s="38"/>
      <c r="Q347" s="12"/>
      <c r="R347" s="50"/>
      <c r="S347" s="50"/>
      <c r="T347" s="50"/>
      <c r="U347" s="53"/>
      <c r="V347" s="54"/>
      <c r="W347" s="56"/>
      <c r="X347" s="119"/>
      <c r="Y347" s="113"/>
      <c r="Z347" s="113"/>
      <c r="AH347" s="106"/>
      <c r="AI347" s="106"/>
      <c r="AJ347" s="106"/>
      <c r="AK347" s="106"/>
      <c r="AL347" s="106"/>
      <c r="AM347" s="106"/>
      <c r="AN347" s="106"/>
    </row>
    <row r="348">
      <c r="A348" s="38"/>
      <c r="B348" s="38"/>
      <c r="C348" s="38"/>
      <c r="D348" s="38"/>
      <c r="E348" s="38"/>
      <c r="F348" s="41"/>
      <c r="G348" s="43"/>
      <c r="H348" s="45"/>
      <c r="I348" s="38"/>
      <c r="J348" s="38"/>
      <c r="K348" s="46"/>
      <c r="L348" s="47"/>
      <c r="M348" s="46"/>
      <c r="N348" s="46"/>
      <c r="O348" s="38"/>
      <c r="P348" s="38"/>
      <c r="Q348" s="12"/>
      <c r="R348" s="50"/>
      <c r="S348" s="50"/>
      <c r="T348" s="50"/>
      <c r="U348" s="53"/>
      <c r="V348" s="54"/>
      <c r="W348" s="56"/>
      <c r="X348" s="119"/>
      <c r="Y348" s="113"/>
      <c r="Z348" s="113"/>
      <c r="AH348" s="106"/>
      <c r="AI348" s="106"/>
      <c r="AJ348" s="106"/>
      <c r="AK348" s="106"/>
      <c r="AL348" s="106"/>
      <c r="AM348" s="106"/>
      <c r="AN348" s="106"/>
    </row>
    <row r="349">
      <c r="A349" s="38"/>
      <c r="B349" s="38"/>
      <c r="C349" s="38"/>
      <c r="D349" s="38"/>
      <c r="E349" s="38"/>
      <c r="F349" s="41"/>
      <c r="G349" s="43"/>
      <c r="H349" s="45"/>
      <c r="I349" s="38"/>
      <c r="J349" s="38"/>
      <c r="K349" s="46"/>
      <c r="L349" s="47"/>
      <c r="M349" s="46"/>
      <c r="N349" s="46"/>
      <c r="O349" s="38"/>
      <c r="P349" s="38"/>
      <c r="Q349" s="12"/>
      <c r="R349" s="50"/>
      <c r="S349" s="50"/>
      <c r="T349" s="50"/>
      <c r="U349" s="53"/>
      <c r="V349" s="54"/>
      <c r="W349" s="56"/>
      <c r="X349" s="119"/>
      <c r="Y349" s="113"/>
      <c r="Z349" s="113"/>
      <c r="AH349" s="106"/>
      <c r="AI349" s="106"/>
      <c r="AJ349" s="106"/>
      <c r="AK349" s="106"/>
      <c r="AL349" s="106"/>
      <c r="AM349" s="106"/>
      <c r="AN349" s="106"/>
    </row>
    <row r="350">
      <c r="A350" s="38"/>
      <c r="B350" s="38"/>
      <c r="C350" s="38"/>
      <c r="D350" s="38"/>
      <c r="E350" s="38"/>
      <c r="F350" s="41"/>
      <c r="G350" s="43"/>
      <c r="H350" s="45"/>
      <c r="I350" s="38"/>
      <c r="J350" s="38"/>
      <c r="K350" s="46"/>
      <c r="L350" s="47"/>
      <c r="M350" s="46"/>
      <c r="N350" s="46"/>
      <c r="O350" s="38"/>
      <c r="P350" s="38"/>
      <c r="Q350" s="12"/>
      <c r="R350" s="50"/>
      <c r="S350" s="50"/>
      <c r="T350" s="50"/>
      <c r="U350" s="53"/>
      <c r="V350" s="54"/>
      <c r="W350" s="56"/>
      <c r="X350" s="119"/>
      <c r="Y350" s="113"/>
      <c r="Z350" s="113"/>
      <c r="AH350" s="106"/>
      <c r="AI350" s="106"/>
      <c r="AJ350" s="106"/>
      <c r="AK350" s="106"/>
      <c r="AL350" s="106"/>
      <c r="AM350" s="106"/>
      <c r="AN350" s="106"/>
    </row>
    <row r="351">
      <c r="A351" s="38"/>
      <c r="B351" s="38"/>
      <c r="C351" s="38"/>
      <c r="D351" s="38"/>
      <c r="E351" s="38"/>
      <c r="F351" s="41"/>
      <c r="G351" s="43"/>
      <c r="H351" s="45"/>
      <c r="I351" s="38"/>
      <c r="J351" s="38"/>
      <c r="K351" s="46"/>
      <c r="L351" s="47"/>
      <c r="M351" s="46"/>
      <c r="N351" s="46"/>
      <c r="O351" s="38"/>
      <c r="P351" s="38"/>
      <c r="Q351" s="12"/>
      <c r="R351" s="50"/>
      <c r="S351" s="50"/>
      <c r="T351" s="50"/>
      <c r="U351" s="53"/>
      <c r="V351" s="54"/>
      <c r="W351" s="56"/>
      <c r="X351" s="119"/>
      <c r="Y351" s="113"/>
      <c r="Z351" s="113"/>
      <c r="AH351" s="106"/>
      <c r="AI351" s="106"/>
      <c r="AJ351" s="106"/>
      <c r="AK351" s="106"/>
      <c r="AL351" s="106"/>
      <c r="AM351" s="106"/>
      <c r="AN351" s="106"/>
    </row>
    <row r="352">
      <c r="A352" s="38"/>
      <c r="B352" s="38"/>
      <c r="C352" s="38"/>
      <c r="D352" s="38"/>
      <c r="E352" s="38"/>
      <c r="F352" s="41"/>
      <c r="G352" s="43"/>
      <c r="H352" s="45"/>
      <c r="I352" s="38"/>
      <c r="J352" s="38"/>
      <c r="K352" s="46"/>
      <c r="L352" s="47"/>
      <c r="M352" s="46"/>
      <c r="N352" s="46"/>
      <c r="O352" s="38"/>
      <c r="P352" s="38"/>
      <c r="Q352" s="12"/>
      <c r="R352" s="50"/>
      <c r="S352" s="50"/>
      <c r="T352" s="50"/>
      <c r="U352" s="53"/>
      <c r="V352" s="54"/>
      <c r="W352" s="56"/>
      <c r="X352" s="119"/>
      <c r="Y352" s="113"/>
      <c r="Z352" s="113"/>
      <c r="AH352" s="106"/>
      <c r="AI352" s="106"/>
      <c r="AJ352" s="106"/>
      <c r="AK352" s="106"/>
      <c r="AL352" s="106"/>
      <c r="AM352" s="106"/>
      <c r="AN352" s="106"/>
    </row>
    <row r="353">
      <c r="A353" s="38"/>
      <c r="B353" s="38"/>
      <c r="C353" s="38"/>
      <c r="D353" s="38"/>
      <c r="E353" s="38"/>
      <c r="F353" s="41"/>
      <c r="G353" s="43"/>
      <c r="H353" s="45"/>
      <c r="I353" s="38"/>
      <c r="J353" s="38"/>
      <c r="K353" s="46"/>
      <c r="L353" s="47"/>
      <c r="M353" s="46"/>
      <c r="N353" s="46"/>
      <c r="O353" s="38"/>
      <c r="P353" s="38"/>
      <c r="Q353" s="12"/>
      <c r="R353" s="50"/>
      <c r="S353" s="50"/>
      <c r="T353" s="50"/>
      <c r="U353" s="53"/>
      <c r="V353" s="54"/>
      <c r="W353" s="56"/>
      <c r="X353" s="119"/>
      <c r="Y353" s="113"/>
      <c r="Z353" s="113"/>
      <c r="AH353" s="106"/>
      <c r="AI353" s="106"/>
      <c r="AJ353" s="106"/>
      <c r="AK353" s="106"/>
      <c r="AL353" s="106"/>
      <c r="AM353" s="106"/>
      <c r="AN353" s="106"/>
    </row>
    <row r="354">
      <c r="A354" s="38"/>
      <c r="B354" s="38"/>
      <c r="C354" s="38"/>
      <c r="D354" s="38"/>
      <c r="E354" s="38"/>
      <c r="F354" s="41"/>
      <c r="G354" s="43"/>
      <c r="H354" s="45"/>
      <c r="I354" s="38"/>
      <c r="J354" s="38"/>
      <c r="K354" s="46"/>
      <c r="L354" s="47"/>
      <c r="M354" s="46"/>
      <c r="N354" s="46"/>
      <c r="O354" s="38"/>
      <c r="P354" s="38"/>
      <c r="Q354" s="12"/>
      <c r="R354" s="50"/>
      <c r="S354" s="50"/>
      <c r="T354" s="50"/>
      <c r="U354" s="53"/>
      <c r="V354" s="54"/>
      <c r="W354" s="56"/>
      <c r="X354" s="119"/>
      <c r="Y354" s="113"/>
      <c r="Z354" s="113"/>
      <c r="AH354" s="106"/>
      <c r="AI354" s="106"/>
      <c r="AJ354" s="106"/>
      <c r="AK354" s="106"/>
      <c r="AL354" s="106"/>
      <c r="AM354" s="106"/>
      <c r="AN354" s="106"/>
    </row>
    <row r="355">
      <c r="A355" s="38"/>
      <c r="B355" s="38"/>
      <c r="C355" s="38"/>
      <c r="D355" s="38"/>
      <c r="E355" s="38"/>
      <c r="F355" s="41"/>
      <c r="G355" s="43"/>
      <c r="H355" s="45"/>
      <c r="I355" s="38"/>
      <c r="J355" s="38"/>
      <c r="K355" s="46"/>
      <c r="L355" s="47"/>
      <c r="M355" s="46"/>
      <c r="N355" s="46"/>
      <c r="O355" s="38"/>
      <c r="P355" s="38"/>
      <c r="Q355" s="12"/>
      <c r="R355" s="50"/>
      <c r="S355" s="50"/>
      <c r="T355" s="50"/>
      <c r="U355" s="53"/>
      <c r="V355" s="54"/>
      <c r="W355" s="56"/>
      <c r="X355" s="119"/>
      <c r="Y355" s="113"/>
      <c r="Z355" s="113"/>
      <c r="AH355" s="106"/>
      <c r="AI355" s="106"/>
      <c r="AJ355" s="106"/>
      <c r="AK355" s="106"/>
      <c r="AL355" s="106"/>
      <c r="AM355" s="106"/>
      <c r="AN355" s="106"/>
    </row>
    <row r="356">
      <c r="A356" s="38"/>
      <c r="B356" s="38"/>
      <c r="C356" s="38"/>
      <c r="D356" s="38"/>
      <c r="E356" s="38"/>
      <c r="F356" s="41"/>
      <c r="G356" s="43"/>
      <c r="H356" s="45"/>
      <c r="I356" s="38"/>
      <c r="J356" s="38"/>
      <c r="K356" s="46"/>
      <c r="L356" s="47"/>
      <c r="M356" s="46"/>
      <c r="N356" s="46"/>
      <c r="O356" s="38"/>
      <c r="P356" s="38"/>
      <c r="Q356" s="12"/>
      <c r="R356" s="50"/>
      <c r="S356" s="50"/>
      <c r="T356" s="50"/>
      <c r="U356" s="53"/>
      <c r="V356" s="54"/>
      <c r="W356" s="56"/>
      <c r="X356" s="119"/>
      <c r="Y356" s="113"/>
      <c r="Z356" s="113"/>
      <c r="AH356" s="106"/>
      <c r="AI356" s="106"/>
      <c r="AJ356" s="106"/>
      <c r="AK356" s="106"/>
      <c r="AL356" s="106"/>
      <c r="AM356" s="106"/>
      <c r="AN356" s="106"/>
    </row>
    <row r="357">
      <c r="A357" s="38"/>
      <c r="B357" s="38"/>
      <c r="C357" s="38"/>
      <c r="D357" s="38"/>
      <c r="E357" s="38"/>
      <c r="F357" s="41"/>
      <c r="G357" s="43"/>
      <c r="H357" s="45"/>
      <c r="I357" s="38"/>
      <c r="J357" s="38"/>
      <c r="K357" s="46"/>
      <c r="L357" s="47"/>
      <c r="M357" s="46"/>
      <c r="N357" s="46"/>
      <c r="O357" s="38"/>
      <c r="P357" s="38"/>
      <c r="Q357" s="12"/>
      <c r="R357" s="50"/>
      <c r="S357" s="50"/>
      <c r="T357" s="50"/>
      <c r="U357" s="53"/>
      <c r="V357" s="54"/>
      <c r="W357" s="56"/>
      <c r="X357" s="119"/>
      <c r="Y357" s="113"/>
      <c r="Z357" s="113"/>
      <c r="AH357" s="106"/>
      <c r="AI357" s="106"/>
      <c r="AJ357" s="106"/>
      <c r="AK357" s="106"/>
      <c r="AL357" s="106"/>
      <c r="AM357" s="106"/>
      <c r="AN357" s="106"/>
    </row>
    <row r="358">
      <c r="A358" s="38"/>
      <c r="B358" s="38"/>
      <c r="C358" s="38"/>
      <c r="D358" s="38"/>
      <c r="E358" s="38"/>
      <c r="F358" s="41"/>
      <c r="G358" s="43"/>
      <c r="H358" s="45"/>
      <c r="I358" s="38"/>
      <c r="J358" s="38"/>
      <c r="K358" s="46"/>
      <c r="L358" s="47"/>
      <c r="M358" s="46"/>
      <c r="N358" s="46"/>
      <c r="O358" s="38"/>
      <c r="P358" s="38"/>
      <c r="Q358" s="12"/>
      <c r="R358" s="50"/>
      <c r="S358" s="50"/>
      <c r="T358" s="50"/>
      <c r="U358" s="53"/>
      <c r="V358" s="54"/>
      <c r="W358" s="56"/>
      <c r="X358" s="119"/>
      <c r="Y358" s="113"/>
      <c r="Z358" s="113"/>
      <c r="AH358" s="106"/>
      <c r="AI358" s="106"/>
      <c r="AJ358" s="106"/>
      <c r="AK358" s="106"/>
      <c r="AL358" s="106"/>
      <c r="AM358" s="106"/>
      <c r="AN358" s="106"/>
    </row>
    <row r="359">
      <c r="A359" s="38"/>
      <c r="B359" s="38"/>
      <c r="C359" s="38"/>
      <c r="D359" s="38"/>
      <c r="E359" s="38"/>
      <c r="F359" s="41"/>
      <c r="G359" s="43"/>
      <c r="H359" s="45"/>
      <c r="I359" s="38"/>
      <c r="J359" s="38"/>
      <c r="K359" s="46"/>
      <c r="L359" s="47"/>
      <c r="M359" s="46"/>
      <c r="N359" s="46"/>
      <c r="O359" s="38"/>
      <c r="P359" s="38"/>
      <c r="Q359" s="12"/>
      <c r="R359" s="50"/>
      <c r="S359" s="50"/>
      <c r="T359" s="50"/>
      <c r="U359" s="53"/>
      <c r="V359" s="54"/>
      <c r="W359" s="56"/>
      <c r="X359" s="119"/>
      <c r="Y359" s="113"/>
      <c r="Z359" s="113"/>
      <c r="AH359" s="106"/>
      <c r="AI359" s="106"/>
      <c r="AJ359" s="106"/>
      <c r="AK359" s="106"/>
      <c r="AL359" s="106"/>
      <c r="AM359" s="106"/>
      <c r="AN359" s="106"/>
    </row>
    <row r="360">
      <c r="A360" s="38"/>
      <c r="B360" s="38"/>
      <c r="C360" s="38"/>
      <c r="D360" s="38"/>
      <c r="E360" s="38"/>
      <c r="F360" s="41"/>
      <c r="G360" s="43"/>
      <c r="H360" s="45"/>
      <c r="I360" s="38"/>
      <c r="J360" s="38"/>
      <c r="K360" s="46"/>
      <c r="L360" s="47"/>
      <c r="M360" s="46"/>
      <c r="N360" s="46"/>
      <c r="O360" s="38"/>
      <c r="P360" s="38"/>
      <c r="Q360" s="12"/>
      <c r="R360" s="50"/>
      <c r="S360" s="50"/>
      <c r="T360" s="50"/>
      <c r="U360" s="53"/>
      <c r="V360" s="54"/>
      <c r="W360" s="56"/>
      <c r="X360" s="119"/>
      <c r="Y360" s="113"/>
      <c r="Z360" s="113"/>
      <c r="AH360" s="106"/>
      <c r="AI360" s="106"/>
      <c r="AJ360" s="106"/>
      <c r="AK360" s="106"/>
      <c r="AL360" s="106"/>
      <c r="AM360" s="106"/>
      <c r="AN360" s="106"/>
    </row>
    <row r="361">
      <c r="A361" s="38"/>
      <c r="B361" s="38"/>
      <c r="C361" s="38"/>
      <c r="D361" s="38"/>
      <c r="E361" s="38"/>
      <c r="F361" s="41"/>
      <c r="G361" s="43"/>
      <c r="H361" s="45"/>
      <c r="I361" s="38"/>
      <c r="J361" s="38"/>
      <c r="K361" s="46"/>
      <c r="L361" s="47"/>
      <c r="M361" s="46"/>
      <c r="N361" s="46"/>
      <c r="O361" s="38"/>
      <c r="P361" s="38"/>
      <c r="Q361" s="12"/>
      <c r="R361" s="50"/>
      <c r="S361" s="50"/>
      <c r="T361" s="50"/>
      <c r="U361" s="53"/>
      <c r="V361" s="54"/>
      <c r="W361" s="56"/>
      <c r="X361" s="119"/>
      <c r="Y361" s="113"/>
      <c r="Z361" s="113"/>
      <c r="AH361" s="106"/>
      <c r="AI361" s="106"/>
      <c r="AJ361" s="106"/>
      <c r="AK361" s="106"/>
      <c r="AL361" s="106"/>
      <c r="AM361" s="106"/>
      <c r="AN361" s="106"/>
    </row>
    <row r="362">
      <c r="A362" s="38"/>
      <c r="B362" s="38"/>
      <c r="C362" s="38"/>
      <c r="D362" s="38"/>
      <c r="E362" s="38"/>
      <c r="F362" s="41"/>
      <c r="G362" s="43"/>
      <c r="H362" s="45"/>
      <c r="I362" s="38"/>
      <c r="J362" s="38"/>
      <c r="K362" s="46"/>
      <c r="L362" s="47"/>
      <c r="M362" s="46"/>
      <c r="N362" s="46"/>
      <c r="O362" s="38"/>
      <c r="P362" s="38"/>
      <c r="Q362" s="12"/>
      <c r="R362" s="50"/>
      <c r="S362" s="50"/>
      <c r="T362" s="50"/>
      <c r="U362" s="53"/>
      <c r="V362" s="54"/>
      <c r="W362" s="56"/>
      <c r="X362" s="119"/>
      <c r="Y362" s="113"/>
      <c r="Z362" s="113"/>
      <c r="AH362" s="106"/>
      <c r="AI362" s="106"/>
      <c r="AJ362" s="106"/>
      <c r="AK362" s="106"/>
      <c r="AL362" s="106"/>
      <c r="AM362" s="106"/>
      <c r="AN362" s="106"/>
    </row>
    <row r="363">
      <c r="A363" s="38"/>
      <c r="B363" s="38"/>
      <c r="C363" s="38"/>
      <c r="D363" s="38"/>
      <c r="E363" s="38"/>
      <c r="F363" s="41"/>
      <c r="G363" s="43"/>
      <c r="H363" s="45"/>
      <c r="I363" s="38"/>
      <c r="J363" s="38"/>
      <c r="K363" s="46"/>
      <c r="L363" s="47"/>
      <c r="M363" s="46"/>
      <c r="N363" s="46"/>
      <c r="O363" s="38"/>
      <c r="P363" s="38"/>
      <c r="Q363" s="12"/>
      <c r="R363" s="50"/>
      <c r="S363" s="50"/>
      <c r="T363" s="50"/>
      <c r="U363" s="53"/>
      <c r="V363" s="54"/>
      <c r="W363" s="56"/>
      <c r="X363" s="119"/>
      <c r="Y363" s="113"/>
      <c r="Z363" s="113"/>
      <c r="AH363" s="106"/>
      <c r="AI363" s="106"/>
      <c r="AJ363" s="106"/>
      <c r="AK363" s="106"/>
      <c r="AL363" s="106"/>
      <c r="AM363" s="106"/>
      <c r="AN363" s="106"/>
    </row>
    <row r="364">
      <c r="A364" s="38"/>
      <c r="B364" s="38"/>
      <c r="C364" s="38"/>
      <c r="D364" s="38"/>
      <c r="E364" s="38"/>
      <c r="F364" s="41"/>
      <c r="G364" s="43"/>
      <c r="H364" s="45"/>
      <c r="I364" s="38"/>
      <c r="J364" s="38"/>
      <c r="K364" s="46"/>
      <c r="L364" s="47"/>
      <c r="M364" s="46"/>
      <c r="N364" s="46"/>
      <c r="O364" s="38"/>
      <c r="P364" s="38"/>
      <c r="Q364" s="12"/>
      <c r="R364" s="50"/>
      <c r="S364" s="50"/>
      <c r="T364" s="50"/>
      <c r="U364" s="53"/>
      <c r="V364" s="54"/>
      <c r="W364" s="56"/>
      <c r="X364" s="119"/>
      <c r="Y364" s="113"/>
      <c r="Z364" s="113"/>
      <c r="AH364" s="106"/>
      <c r="AI364" s="106"/>
      <c r="AJ364" s="106"/>
      <c r="AK364" s="106"/>
      <c r="AL364" s="106"/>
      <c r="AM364" s="106"/>
      <c r="AN364" s="106"/>
    </row>
    <row r="365">
      <c r="A365" s="38"/>
      <c r="B365" s="38"/>
      <c r="C365" s="38"/>
      <c r="D365" s="38"/>
      <c r="E365" s="38"/>
      <c r="F365" s="41"/>
      <c r="G365" s="43"/>
      <c r="H365" s="45"/>
      <c r="I365" s="38"/>
      <c r="J365" s="38"/>
      <c r="K365" s="46"/>
      <c r="L365" s="47"/>
      <c r="M365" s="46"/>
      <c r="N365" s="46"/>
      <c r="O365" s="38"/>
      <c r="P365" s="38"/>
      <c r="Q365" s="12"/>
      <c r="R365" s="50"/>
      <c r="S365" s="50"/>
      <c r="T365" s="50"/>
      <c r="U365" s="53"/>
      <c r="V365" s="54"/>
      <c r="W365" s="56"/>
      <c r="X365" s="119"/>
      <c r="Y365" s="113"/>
      <c r="Z365" s="113"/>
      <c r="AH365" s="106"/>
      <c r="AI365" s="106"/>
      <c r="AJ365" s="106"/>
      <c r="AK365" s="106"/>
      <c r="AL365" s="106"/>
      <c r="AM365" s="106"/>
      <c r="AN365" s="106"/>
    </row>
    <row r="366">
      <c r="A366" s="38"/>
      <c r="B366" s="38"/>
      <c r="C366" s="38"/>
      <c r="D366" s="38"/>
      <c r="E366" s="38"/>
      <c r="F366" s="41"/>
      <c r="G366" s="43"/>
      <c r="H366" s="45"/>
      <c r="I366" s="38"/>
      <c r="J366" s="38"/>
      <c r="K366" s="46"/>
      <c r="L366" s="47"/>
      <c r="M366" s="46"/>
      <c r="N366" s="46"/>
      <c r="O366" s="38"/>
      <c r="P366" s="38"/>
      <c r="Q366" s="12"/>
      <c r="R366" s="50"/>
      <c r="S366" s="50"/>
      <c r="T366" s="50"/>
      <c r="U366" s="53"/>
      <c r="V366" s="54"/>
      <c r="W366" s="56"/>
      <c r="X366" s="119"/>
      <c r="Y366" s="113"/>
      <c r="Z366" s="113"/>
      <c r="AH366" s="106"/>
      <c r="AI366" s="106"/>
      <c r="AJ366" s="106"/>
      <c r="AK366" s="106"/>
      <c r="AL366" s="106"/>
      <c r="AM366" s="106"/>
      <c r="AN366" s="106"/>
    </row>
    <row r="367">
      <c r="A367" s="38"/>
      <c r="B367" s="38"/>
      <c r="C367" s="38"/>
      <c r="D367" s="38"/>
      <c r="E367" s="38"/>
      <c r="F367" s="41"/>
      <c r="G367" s="43"/>
      <c r="H367" s="45"/>
      <c r="I367" s="38"/>
      <c r="J367" s="38"/>
      <c r="K367" s="46"/>
      <c r="L367" s="47"/>
      <c r="M367" s="46"/>
      <c r="N367" s="46"/>
      <c r="O367" s="38"/>
      <c r="P367" s="38"/>
      <c r="Q367" s="12"/>
      <c r="R367" s="50"/>
      <c r="S367" s="50"/>
      <c r="T367" s="50"/>
      <c r="U367" s="53"/>
      <c r="V367" s="54"/>
      <c r="W367" s="56"/>
      <c r="X367" s="119"/>
      <c r="Y367" s="113"/>
      <c r="Z367" s="113"/>
      <c r="AH367" s="106"/>
      <c r="AI367" s="106"/>
      <c r="AJ367" s="106"/>
      <c r="AK367" s="106"/>
      <c r="AL367" s="106"/>
      <c r="AM367" s="106"/>
      <c r="AN367" s="106"/>
    </row>
    <row r="368">
      <c r="A368" s="38"/>
      <c r="B368" s="38"/>
      <c r="C368" s="38"/>
      <c r="D368" s="38"/>
      <c r="E368" s="38"/>
      <c r="F368" s="41"/>
      <c r="G368" s="43"/>
      <c r="H368" s="45"/>
      <c r="I368" s="38"/>
      <c r="J368" s="38"/>
      <c r="K368" s="46"/>
      <c r="L368" s="47"/>
      <c r="M368" s="46"/>
      <c r="N368" s="46"/>
      <c r="O368" s="38"/>
      <c r="P368" s="38"/>
      <c r="Q368" s="12"/>
      <c r="R368" s="50"/>
      <c r="S368" s="50"/>
      <c r="T368" s="50"/>
      <c r="U368" s="53"/>
      <c r="V368" s="54"/>
      <c r="W368" s="56"/>
      <c r="X368" s="119"/>
      <c r="Y368" s="113"/>
      <c r="Z368" s="113"/>
      <c r="AH368" s="106"/>
      <c r="AI368" s="106"/>
      <c r="AJ368" s="106"/>
      <c r="AK368" s="106"/>
      <c r="AL368" s="106"/>
      <c r="AM368" s="106"/>
      <c r="AN368" s="106"/>
    </row>
    <row r="369">
      <c r="A369" s="38"/>
      <c r="B369" s="38"/>
      <c r="C369" s="38"/>
      <c r="D369" s="38"/>
      <c r="E369" s="38"/>
      <c r="F369" s="41"/>
      <c r="G369" s="43"/>
      <c r="H369" s="45"/>
      <c r="I369" s="38"/>
      <c r="J369" s="38"/>
      <c r="K369" s="46"/>
      <c r="L369" s="47"/>
      <c r="M369" s="46"/>
      <c r="N369" s="46"/>
      <c r="O369" s="38"/>
      <c r="P369" s="38"/>
      <c r="Q369" s="12"/>
      <c r="R369" s="50"/>
      <c r="S369" s="50"/>
      <c r="T369" s="50"/>
      <c r="U369" s="53"/>
      <c r="V369" s="54"/>
      <c r="W369" s="56"/>
      <c r="X369" s="119"/>
      <c r="Y369" s="113"/>
      <c r="Z369" s="113"/>
      <c r="AH369" s="106"/>
      <c r="AI369" s="106"/>
      <c r="AJ369" s="106"/>
      <c r="AK369" s="106"/>
      <c r="AL369" s="106"/>
      <c r="AM369" s="106"/>
      <c r="AN369" s="106"/>
    </row>
    <row r="370">
      <c r="A370" s="38"/>
      <c r="B370" s="38"/>
      <c r="C370" s="38"/>
      <c r="D370" s="38"/>
      <c r="E370" s="38"/>
      <c r="F370" s="41"/>
      <c r="G370" s="43"/>
      <c r="H370" s="45"/>
      <c r="I370" s="38"/>
      <c r="J370" s="38"/>
      <c r="K370" s="46"/>
      <c r="L370" s="47"/>
      <c r="M370" s="46"/>
      <c r="N370" s="46"/>
      <c r="O370" s="38"/>
      <c r="P370" s="38"/>
      <c r="Q370" s="12"/>
      <c r="R370" s="50"/>
      <c r="S370" s="50"/>
      <c r="T370" s="50"/>
      <c r="U370" s="53"/>
      <c r="V370" s="54"/>
      <c r="W370" s="56"/>
      <c r="X370" s="119"/>
      <c r="Y370" s="113"/>
      <c r="Z370" s="113"/>
      <c r="AH370" s="106"/>
      <c r="AI370" s="106"/>
      <c r="AJ370" s="106"/>
      <c r="AK370" s="106"/>
      <c r="AL370" s="106"/>
      <c r="AM370" s="106"/>
      <c r="AN370" s="106"/>
    </row>
    <row r="371">
      <c r="A371" s="38"/>
      <c r="B371" s="38"/>
      <c r="C371" s="38"/>
      <c r="D371" s="38"/>
      <c r="E371" s="38"/>
      <c r="F371" s="41"/>
      <c r="G371" s="43"/>
      <c r="H371" s="45"/>
      <c r="I371" s="38"/>
      <c r="J371" s="38"/>
      <c r="K371" s="46"/>
      <c r="L371" s="47"/>
      <c r="M371" s="46"/>
      <c r="N371" s="46"/>
      <c r="O371" s="38"/>
      <c r="P371" s="38"/>
      <c r="Q371" s="12"/>
      <c r="R371" s="50"/>
      <c r="S371" s="50"/>
      <c r="T371" s="50"/>
      <c r="U371" s="53"/>
      <c r="V371" s="54"/>
      <c r="W371" s="56"/>
      <c r="X371" s="119"/>
      <c r="Y371" s="113"/>
      <c r="Z371" s="113"/>
      <c r="AH371" s="106"/>
      <c r="AI371" s="106"/>
      <c r="AJ371" s="106"/>
      <c r="AK371" s="106"/>
      <c r="AL371" s="106"/>
      <c r="AM371" s="106"/>
      <c r="AN371" s="106"/>
    </row>
    <row r="372">
      <c r="A372" s="38"/>
      <c r="B372" s="38"/>
      <c r="C372" s="38"/>
      <c r="D372" s="38"/>
      <c r="E372" s="38"/>
      <c r="F372" s="41"/>
      <c r="G372" s="43"/>
      <c r="H372" s="45"/>
      <c r="I372" s="38"/>
      <c r="J372" s="38"/>
      <c r="K372" s="46"/>
      <c r="L372" s="47"/>
      <c r="M372" s="46"/>
      <c r="N372" s="46"/>
      <c r="O372" s="38"/>
      <c r="P372" s="38"/>
      <c r="Q372" s="12"/>
      <c r="R372" s="50"/>
      <c r="S372" s="50"/>
      <c r="T372" s="50"/>
      <c r="U372" s="53"/>
      <c r="V372" s="54"/>
      <c r="W372" s="56"/>
      <c r="X372" s="119"/>
      <c r="Y372" s="113"/>
      <c r="Z372" s="113"/>
      <c r="AH372" s="106"/>
      <c r="AI372" s="106"/>
      <c r="AJ372" s="106"/>
      <c r="AK372" s="106"/>
      <c r="AL372" s="106"/>
      <c r="AM372" s="106"/>
      <c r="AN372" s="106"/>
    </row>
    <row r="373">
      <c r="A373" s="38"/>
      <c r="B373" s="38"/>
      <c r="C373" s="38"/>
      <c r="D373" s="38"/>
      <c r="E373" s="38"/>
      <c r="F373" s="41"/>
      <c r="G373" s="43"/>
      <c r="H373" s="45"/>
      <c r="I373" s="38"/>
      <c r="J373" s="38"/>
      <c r="K373" s="46"/>
      <c r="L373" s="47"/>
      <c r="M373" s="46"/>
      <c r="N373" s="46"/>
      <c r="O373" s="38"/>
      <c r="P373" s="38"/>
      <c r="Q373" s="12"/>
      <c r="R373" s="50"/>
      <c r="S373" s="50"/>
      <c r="T373" s="50"/>
      <c r="U373" s="53"/>
      <c r="V373" s="54"/>
      <c r="W373" s="56"/>
      <c r="X373" s="119"/>
      <c r="Y373" s="113"/>
      <c r="Z373" s="113"/>
      <c r="AH373" s="106"/>
      <c r="AI373" s="106"/>
      <c r="AJ373" s="106"/>
      <c r="AK373" s="106"/>
      <c r="AL373" s="106"/>
      <c r="AM373" s="106"/>
      <c r="AN373" s="106"/>
    </row>
    <row r="374">
      <c r="A374" s="38"/>
      <c r="B374" s="38"/>
      <c r="C374" s="38"/>
      <c r="D374" s="38"/>
      <c r="E374" s="38"/>
      <c r="F374" s="41"/>
      <c r="G374" s="43"/>
      <c r="H374" s="45"/>
      <c r="I374" s="38"/>
      <c r="J374" s="38"/>
      <c r="K374" s="46"/>
      <c r="L374" s="47"/>
      <c r="M374" s="46"/>
      <c r="N374" s="46"/>
      <c r="O374" s="38"/>
      <c r="P374" s="38"/>
      <c r="Q374" s="12"/>
      <c r="R374" s="50"/>
      <c r="S374" s="50"/>
      <c r="T374" s="50"/>
      <c r="U374" s="53"/>
      <c r="V374" s="54"/>
      <c r="W374" s="56"/>
      <c r="X374" s="119"/>
      <c r="Y374" s="113"/>
      <c r="Z374" s="113"/>
      <c r="AH374" s="106"/>
      <c r="AI374" s="106"/>
      <c r="AJ374" s="106"/>
      <c r="AK374" s="106"/>
      <c r="AL374" s="106"/>
      <c r="AM374" s="106"/>
      <c r="AN374" s="106"/>
    </row>
    <row r="375">
      <c r="A375" s="38"/>
      <c r="B375" s="38"/>
      <c r="C375" s="38"/>
      <c r="D375" s="38"/>
      <c r="E375" s="38"/>
      <c r="F375" s="41"/>
      <c r="G375" s="43"/>
      <c r="H375" s="45"/>
      <c r="I375" s="38"/>
      <c r="J375" s="38"/>
      <c r="K375" s="46"/>
      <c r="L375" s="47"/>
      <c r="M375" s="46"/>
      <c r="N375" s="46"/>
      <c r="O375" s="38"/>
      <c r="P375" s="38"/>
      <c r="Q375" s="12"/>
      <c r="R375" s="50"/>
      <c r="S375" s="50"/>
      <c r="T375" s="50"/>
      <c r="U375" s="53"/>
      <c r="V375" s="54"/>
      <c r="W375" s="56"/>
      <c r="X375" s="119"/>
      <c r="Y375" s="113"/>
      <c r="Z375" s="113"/>
      <c r="AH375" s="106"/>
      <c r="AI375" s="106"/>
      <c r="AJ375" s="106"/>
      <c r="AK375" s="106"/>
      <c r="AL375" s="106"/>
      <c r="AM375" s="106"/>
      <c r="AN375" s="106"/>
    </row>
    <row r="376">
      <c r="A376" s="38"/>
      <c r="B376" s="38"/>
      <c r="C376" s="38"/>
      <c r="D376" s="38"/>
      <c r="E376" s="38"/>
      <c r="F376" s="41"/>
      <c r="G376" s="43"/>
      <c r="H376" s="45"/>
      <c r="I376" s="38"/>
      <c r="J376" s="38"/>
      <c r="K376" s="46"/>
      <c r="L376" s="47"/>
      <c r="M376" s="46"/>
      <c r="N376" s="46"/>
      <c r="O376" s="38"/>
      <c r="P376" s="38"/>
      <c r="Q376" s="12"/>
      <c r="R376" s="50"/>
      <c r="S376" s="50"/>
      <c r="T376" s="50"/>
      <c r="U376" s="53"/>
      <c r="V376" s="54"/>
      <c r="W376" s="56"/>
      <c r="X376" s="119"/>
      <c r="Y376" s="113"/>
      <c r="Z376" s="113"/>
      <c r="AH376" s="106"/>
      <c r="AI376" s="106"/>
      <c r="AJ376" s="106"/>
      <c r="AK376" s="106"/>
      <c r="AL376" s="106"/>
      <c r="AM376" s="106"/>
      <c r="AN376" s="106"/>
    </row>
    <row r="377">
      <c r="A377" s="38"/>
      <c r="B377" s="38"/>
      <c r="C377" s="38"/>
      <c r="D377" s="38"/>
      <c r="E377" s="38"/>
      <c r="F377" s="41"/>
      <c r="G377" s="43"/>
      <c r="H377" s="45"/>
      <c r="I377" s="38"/>
      <c r="J377" s="38"/>
      <c r="K377" s="46"/>
      <c r="L377" s="47"/>
      <c r="M377" s="46"/>
      <c r="N377" s="46"/>
      <c r="O377" s="38"/>
      <c r="P377" s="38"/>
      <c r="Q377" s="12"/>
      <c r="R377" s="50"/>
      <c r="S377" s="50"/>
      <c r="T377" s="50"/>
      <c r="U377" s="53"/>
      <c r="V377" s="54"/>
      <c r="W377" s="56"/>
      <c r="X377" s="119"/>
      <c r="Y377" s="113"/>
      <c r="Z377" s="113"/>
      <c r="AH377" s="106"/>
      <c r="AI377" s="106"/>
      <c r="AJ377" s="106"/>
      <c r="AK377" s="106"/>
      <c r="AL377" s="106"/>
      <c r="AM377" s="106"/>
      <c r="AN377" s="106"/>
    </row>
    <row r="378">
      <c r="A378" s="38"/>
      <c r="B378" s="38"/>
      <c r="C378" s="38"/>
      <c r="D378" s="38"/>
      <c r="E378" s="38"/>
      <c r="F378" s="41"/>
      <c r="G378" s="43"/>
      <c r="H378" s="45"/>
      <c r="I378" s="38"/>
      <c r="J378" s="38"/>
      <c r="K378" s="46"/>
      <c r="L378" s="47"/>
      <c r="M378" s="46"/>
      <c r="N378" s="46"/>
      <c r="O378" s="38"/>
      <c r="P378" s="38"/>
      <c r="Q378" s="12"/>
      <c r="R378" s="50"/>
      <c r="S378" s="50"/>
      <c r="T378" s="50"/>
      <c r="U378" s="53"/>
      <c r="V378" s="54"/>
      <c r="W378" s="56"/>
      <c r="X378" s="119"/>
      <c r="Y378" s="113"/>
      <c r="Z378" s="113"/>
      <c r="AH378" s="106"/>
      <c r="AI378" s="106"/>
      <c r="AJ378" s="106"/>
      <c r="AK378" s="106"/>
      <c r="AL378" s="106"/>
      <c r="AM378" s="106"/>
      <c r="AN378" s="106"/>
    </row>
    <row r="379">
      <c r="A379" s="38"/>
      <c r="B379" s="38"/>
      <c r="C379" s="38"/>
      <c r="D379" s="38"/>
      <c r="E379" s="38"/>
      <c r="F379" s="41"/>
      <c r="G379" s="43"/>
      <c r="H379" s="45"/>
      <c r="I379" s="38"/>
      <c r="J379" s="38"/>
      <c r="K379" s="46"/>
      <c r="L379" s="47"/>
      <c r="M379" s="46"/>
      <c r="N379" s="46"/>
      <c r="O379" s="38"/>
      <c r="P379" s="38"/>
      <c r="Q379" s="12"/>
      <c r="R379" s="50"/>
      <c r="S379" s="50"/>
      <c r="T379" s="50"/>
      <c r="U379" s="53"/>
      <c r="V379" s="54"/>
      <c r="W379" s="56"/>
      <c r="X379" s="119"/>
      <c r="Y379" s="113"/>
      <c r="Z379" s="113"/>
      <c r="AH379" s="106"/>
      <c r="AI379" s="106"/>
      <c r="AJ379" s="106"/>
      <c r="AK379" s="106"/>
      <c r="AL379" s="106"/>
      <c r="AM379" s="106"/>
      <c r="AN379" s="106"/>
    </row>
    <row r="380">
      <c r="A380" s="38"/>
      <c r="B380" s="38"/>
      <c r="C380" s="38"/>
      <c r="D380" s="38"/>
      <c r="E380" s="38"/>
      <c r="F380" s="41"/>
      <c r="G380" s="43"/>
      <c r="H380" s="45"/>
      <c r="I380" s="38"/>
      <c r="J380" s="38"/>
      <c r="K380" s="46"/>
      <c r="L380" s="47"/>
      <c r="M380" s="46"/>
      <c r="N380" s="46"/>
      <c r="O380" s="38"/>
      <c r="P380" s="38"/>
      <c r="Q380" s="12"/>
      <c r="R380" s="50"/>
      <c r="S380" s="50"/>
      <c r="T380" s="50"/>
      <c r="U380" s="53"/>
      <c r="V380" s="54"/>
      <c r="W380" s="56"/>
      <c r="X380" s="119"/>
      <c r="Y380" s="113"/>
      <c r="Z380" s="113"/>
      <c r="AH380" s="106"/>
      <c r="AI380" s="106"/>
      <c r="AJ380" s="106"/>
      <c r="AK380" s="106"/>
      <c r="AL380" s="106"/>
      <c r="AM380" s="106"/>
      <c r="AN380" s="106"/>
    </row>
    <row r="381">
      <c r="A381" s="38"/>
      <c r="B381" s="38"/>
      <c r="C381" s="38"/>
      <c r="D381" s="38"/>
      <c r="E381" s="38"/>
      <c r="F381" s="41"/>
      <c r="G381" s="43"/>
      <c r="H381" s="45"/>
      <c r="I381" s="38"/>
      <c r="J381" s="38"/>
      <c r="K381" s="46"/>
      <c r="L381" s="47"/>
      <c r="M381" s="46"/>
      <c r="N381" s="46"/>
      <c r="O381" s="38"/>
      <c r="P381" s="38"/>
      <c r="Q381" s="12"/>
      <c r="R381" s="50"/>
      <c r="S381" s="50"/>
      <c r="T381" s="50"/>
      <c r="U381" s="53"/>
      <c r="V381" s="54"/>
      <c r="W381" s="56"/>
      <c r="X381" s="119"/>
      <c r="Y381" s="113"/>
      <c r="Z381" s="113"/>
      <c r="AH381" s="106"/>
      <c r="AI381" s="106"/>
      <c r="AJ381" s="106"/>
      <c r="AK381" s="106"/>
      <c r="AL381" s="106"/>
      <c r="AM381" s="106"/>
      <c r="AN381" s="106"/>
    </row>
    <row r="382">
      <c r="A382" s="38"/>
      <c r="B382" s="38"/>
      <c r="C382" s="38"/>
      <c r="D382" s="38"/>
      <c r="E382" s="38"/>
      <c r="F382" s="41"/>
      <c r="G382" s="43"/>
      <c r="H382" s="45"/>
      <c r="I382" s="38"/>
      <c r="J382" s="38"/>
      <c r="K382" s="46"/>
      <c r="L382" s="47"/>
      <c r="M382" s="46"/>
      <c r="N382" s="46"/>
      <c r="O382" s="38"/>
      <c r="P382" s="38"/>
      <c r="Q382" s="12"/>
      <c r="R382" s="50"/>
      <c r="S382" s="50"/>
      <c r="T382" s="50"/>
      <c r="U382" s="53"/>
      <c r="V382" s="54"/>
      <c r="W382" s="56"/>
      <c r="X382" s="119"/>
      <c r="Y382" s="113"/>
      <c r="Z382" s="113"/>
      <c r="AH382" s="106"/>
      <c r="AI382" s="106"/>
      <c r="AJ382" s="106"/>
      <c r="AK382" s="106"/>
      <c r="AL382" s="106"/>
      <c r="AM382" s="106"/>
      <c r="AN382" s="106"/>
    </row>
    <row r="383">
      <c r="A383" s="38"/>
      <c r="B383" s="38"/>
      <c r="C383" s="38"/>
      <c r="D383" s="38"/>
      <c r="E383" s="38"/>
      <c r="F383" s="41"/>
      <c r="G383" s="43"/>
      <c r="H383" s="45"/>
      <c r="I383" s="38"/>
      <c r="J383" s="38"/>
      <c r="K383" s="46"/>
      <c r="L383" s="47"/>
      <c r="M383" s="46"/>
      <c r="N383" s="46"/>
      <c r="O383" s="38"/>
      <c r="P383" s="38"/>
      <c r="Q383" s="12"/>
      <c r="R383" s="50"/>
      <c r="S383" s="50"/>
      <c r="T383" s="50"/>
      <c r="U383" s="53"/>
      <c r="V383" s="54"/>
      <c r="W383" s="56"/>
      <c r="X383" s="119"/>
      <c r="Y383" s="113"/>
      <c r="Z383" s="113"/>
      <c r="AH383" s="106"/>
      <c r="AI383" s="106"/>
      <c r="AJ383" s="106"/>
      <c r="AK383" s="106"/>
      <c r="AL383" s="106"/>
      <c r="AM383" s="106"/>
      <c r="AN383" s="106"/>
    </row>
    <row r="384">
      <c r="A384" s="38"/>
      <c r="B384" s="38"/>
      <c r="C384" s="38"/>
      <c r="D384" s="38"/>
      <c r="E384" s="38"/>
      <c r="F384" s="41"/>
      <c r="G384" s="43"/>
      <c r="H384" s="45"/>
      <c r="I384" s="38"/>
      <c r="J384" s="38"/>
      <c r="K384" s="46"/>
      <c r="L384" s="47"/>
      <c r="M384" s="46"/>
      <c r="N384" s="46"/>
      <c r="O384" s="38"/>
      <c r="P384" s="38"/>
      <c r="Q384" s="12"/>
      <c r="R384" s="50"/>
      <c r="S384" s="50"/>
      <c r="T384" s="50"/>
      <c r="U384" s="53"/>
      <c r="V384" s="54"/>
      <c r="W384" s="56"/>
      <c r="X384" s="119"/>
      <c r="Y384" s="113"/>
      <c r="Z384" s="113"/>
      <c r="AH384" s="106"/>
      <c r="AI384" s="106"/>
      <c r="AJ384" s="106"/>
      <c r="AK384" s="106"/>
      <c r="AL384" s="106"/>
      <c r="AM384" s="106"/>
      <c r="AN384" s="106"/>
    </row>
    <row r="385">
      <c r="A385" s="38"/>
      <c r="B385" s="38"/>
      <c r="C385" s="38"/>
      <c r="D385" s="38"/>
      <c r="E385" s="38"/>
      <c r="F385" s="41"/>
      <c r="G385" s="43"/>
      <c r="H385" s="45"/>
      <c r="I385" s="38"/>
      <c r="J385" s="38"/>
      <c r="K385" s="46"/>
      <c r="L385" s="47"/>
      <c r="M385" s="46"/>
      <c r="N385" s="46"/>
      <c r="O385" s="38"/>
      <c r="P385" s="38"/>
      <c r="Q385" s="12"/>
      <c r="R385" s="50"/>
      <c r="S385" s="50"/>
      <c r="T385" s="50"/>
      <c r="U385" s="53"/>
      <c r="V385" s="54"/>
      <c r="W385" s="56"/>
      <c r="X385" s="119"/>
      <c r="Y385" s="113"/>
      <c r="Z385" s="113"/>
      <c r="AH385" s="106"/>
      <c r="AI385" s="106"/>
      <c r="AJ385" s="106"/>
      <c r="AK385" s="106"/>
      <c r="AL385" s="106"/>
      <c r="AM385" s="106"/>
      <c r="AN385" s="106"/>
    </row>
    <row r="386">
      <c r="A386" s="38"/>
      <c r="B386" s="38"/>
      <c r="C386" s="38"/>
      <c r="D386" s="38"/>
      <c r="E386" s="38"/>
      <c r="F386" s="41"/>
      <c r="G386" s="43"/>
      <c r="H386" s="45"/>
      <c r="I386" s="38"/>
      <c r="J386" s="38"/>
      <c r="K386" s="46"/>
      <c r="L386" s="47"/>
      <c r="M386" s="46"/>
      <c r="N386" s="46"/>
      <c r="O386" s="38"/>
      <c r="P386" s="38"/>
      <c r="Q386" s="12"/>
      <c r="R386" s="50"/>
      <c r="S386" s="50"/>
      <c r="T386" s="50"/>
      <c r="U386" s="53"/>
      <c r="V386" s="54"/>
      <c r="W386" s="56"/>
      <c r="X386" s="119"/>
      <c r="Y386" s="113"/>
      <c r="Z386" s="113"/>
      <c r="AH386" s="106"/>
      <c r="AI386" s="106"/>
      <c r="AJ386" s="106"/>
      <c r="AK386" s="106"/>
      <c r="AL386" s="106"/>
      <c r="AM386" s="106"/>
      <c r="AN386" s="106"/>
    </row>
    <row r="387">
      <c r="A387" s="38"/>
      <c r="B387" s="38"/>
      <c r="C387" s="38"/>
      <c r="D387" s="38"/>
      <c r="E387" s="38"/>
      <c r="F387" s="41"/>
      <c r="G387" s="43"/>
      <c r="H387" s="45"/>
      <c r="I387" s="38"/>
      <c r="J387" s="38"/>
      <c r="K387" s="46"/>
      <c r="L387" s="47"/>
      <c r="M387" s="46"/>
      <c r="N387" s="46"/>
      <c r="O387" s="38"/>
      <c r="P387" s="38"/>
      <c r="Q387" s="12"/>
      <c r="R387" s="50"/>
      <c r="S387" s="50"/>
      <c r="T387" s="50"/>
      <c r="U387" s="53"/>
      <c r="V387" s="54"/>
      <c r="W387" s="56"/>
      <c r="X387" s="119"/>
      <c r="Y387" s="113"/>
      <c r="Z387" s="113"/>
      <c r="AH387" s="106"/>
      <c r="AI387" s="106"/>
      <c r="AJ387" s="106"/>
      <c r="AK387" s="106"/>
      <c r="AL387" s="106"/>
      <c r="AM387" s="106"/>
      <c r="AN387" s="106"/>
    </row>
    <row r="388">
      <c r="A388" s="38"/>
      <c r="B388" s="38"/>
      <c r="C388" s="38"/>
      <c r="D388" s="38"/>
      <c r="E388" s="38"/>
      <c r="F388" s="41"/>
      <c r="G388" s="43"/>
      <c r="H388" s="45"/>
      <c r="I388" s="38"/>
      <c r="J388" s="38"/>
      <c r="K388" s="46"/>
      <c r="L388" s="47"/>
      <c r="M388" s="46"/>
      <c r="N388" s="46"/>
      <c r="O388" s="38"/>
      <c r="P388" s="38"/>
      <c r="Q388" s="12"/>
      <c r="R388" s="50"/>
      <c r="S388" s="50"/>
      <c r="T388" s="50"/>
      <c r="U388" s="53"/>
      <c r="V388" s="54"/>
      <c r="W388" s="56"/>
      <c r="X388" s="119"/>
      <c r="Y388" s="113"/>
      <c r="Z388" s="113"/>
      <c r="AH388" s="106"/>
      <c r="AI388" s="106"/>
      <c r="AJ388" s="106"/>
      <c r="AK388" s="106"/>
      <c r="AL388" s="106"/>
      <c r="AM388" s="106"/>
      <c r="AN388" s="106"/>
    </row>
    <row r="389">
      <c r="A389" s="38"/>
      <c r="B389" s="38"/>
      <c r="C389" s="38"/>
      <c r="D389" s="38"/>
      <c r="E389" s="38"/>
      <c r="F389" s="41"/>
      <c r="G389" s="43"/>
      <c r="H389" s="45"/>
      <c r="I389" s="38"/>
      <c r="J389" s="38"/>
      <c r="K389" s="46"/>
      <c r="L389" s="47"/>
      <c r="M389" s="46"/>
      <c r="N389" s="46"/>
      <c r="O389" s="38"/>
      <c r="P389" s="38"/>
      <c r="Q389" s="12"/>
      <c r="R389" s="50"/>
      <c r="S389" s="50"/>
      <c r="T389" s="50"/>
      <c r="U389" s="53"/>
      <c r="V389" s="54"/>
      <c r="W389" s="56"/>
      <c r="X389" s="119"/>
      <c r="Y389" s="113"/>
      <c r="Z389" s="113"/>
      <c r="AH389" s="106"/>
      <c r="AI389" s="106"/>
      <c r="AJ389" s="106"/>
      <c r="AK389" s="106"/>
      <c r="AL389" s="106"/>
      <c r="AM389" s="106"/>
      <c r="AN389" s="106"/>
    </row>
    <row r="390">
      <c r="A390" s="38"/>
      <c r="B390" s="38"/>
      <c r="C390" s="38"/>
      <c r="D390" s="38"/>
      <c r="E390" s="38"/>
      <c r="F390" s="41"/>
      <c r="G390" s="43"/>
      <c r="H390" s="45"/>
      <c r="I390" s="38"/>
      <c r="J390" s="38"/>
      <c r="K390" s="46"/>
      <c r="L390" s="47"/>
      <c r="M390" s="46"/>
      <c r="N390" s="46"/>
      <c r="O390" s="38"/>
      <c r="P390" s="38"/>
      <c r="Q390" s="12"/>
      <c r="R390" s="50"/>
      <c r="S390" s="50"/>
      <c r="T390" s="50"/>
      <c r="U390" s="53"/>
      <c r="V390" s="54"/>
      <c r="W390" s="56"/>
      <c r="X390" s="119"/>
      <c r="Y390" s="113"/>
      <c r="Z390" s="113"/>
      <c r="AH390" s="106"/>
      <c r="AI390" s="106"/>
      <c r="AJ390" s="106"/>
      <c r="AK390" s="106"/>
      <c r="AL390" s="106"/>
      <c r="AM390" s="106"/>
      <c r="AN390" s="106"/>
    </row>
    <row r="391">
      <c r="A391" s="38"/>
      <c r="B391" s="38"/>
      <c r="C391" s="38"/>
      <c r="D391" s="38"/>
      <c r="E391" s="38"/>
      <c r="F391" s="41"/>
      <c r="G391" s="43"/>
      <c r="H391" s="45"/>
      <c r="I391" s="38"/>
      <c r="J391" s="38"/>
      <c r="K391" s="46"/>
      <c r="L391" s="47"/>
      <c r="M391" s="46"/>
      <c r="N391" s="46"/>
      <c r="O391" s="38"/>
      <c r="P391" s="38"/>
      <c r="Q391" s="12"/>
      <c r="R391" s="50"/>
      <c r="S391" s="50"/>
      <c r="T391" s="50"/>
      <c r="U391" s="53"/>
      <c r="V391" s="54"/>
      <c r="W391" s="56"/>
      <c r="X391" s="119"/>
      <c r="Y391" s="113"/>
      <c r="Z391" s="113"/>
      <c r="AH391" s="106"/>
      <c r="AI391" s="106"/>
      <c r="AJ391" s="106"/>
      <c r="AK391" s="106"/>
      <c r="AL391" s="106"/>
      <c r="AM391" s="106"/>
      <c r="AN391" s="106"/>
    </row>
    <row r="392">
      <c r="A392" s="38"/>
      <c r="B392" s="38"/>
      <c r="C392" s="38"/>
      <c r="D392" s="38"/>
      <c r="E392" s="38"/>
      <c r="F392" s="41"/>
      <c r="G392" s="43"/>
      <c r="H392" s="45"/>
      <c r="I392" s="38"/>
      <c r="J392" s="38"/>
      <c r="K392" s="46"/>
      <c r="L392" s="47"/>
      <c r="M392" s="46"/>
      <c r="N392" s="46"/>
      <c r="O392" s="38"/>
      <c r="P392" s="38"/>
      <c r="Q392" s="12"/>
      <c r="R392" s="50"/>
      <c r="S392" s="50"/>
      <c r="T392" s="50"/>
      <c r="U392" s="53"/>
      <c r="V392" s="54"/>
      <c r="W392" s="56"/>
      <c r="X392" s="119"/>
      <c r="Y392" s="113"/>
      <c r="Z392" s="113"/>
      <c r="AH392" s="106"/>
      <c r="AI392" s="106"/>
      <c r="AJ392" s="106"/>
      <c r="AK392" s="106"/>
      <c r="AL392" s="106"/>
      <c r="AM392" s="106"/>
      <c r="AN392" s="106"/>
    </row>
    <row r="393">
      <c r="A393" s="38"/>
      <c r="B393" s="38"/>
      <c r="C393" s="38"/>
      <c r="D393" s="38"/>
      <c r="E393" s="38"/>
      <c r="F393" s="41"/>
      <c r="G393" s="43"/>
      <c r="H393" s="45"/>
      <c r="I393" s="38"/>
      <c r="J393" s="38"/>
      <c r="K393" s="46"/>
      <c r="L393" s="47"/>
      <c r="M393" s="46"/>
      <c r="N393" s="46"/>
      <c r="O393" s="38"/>
      <c r="P393" s="38"/>
      <c r="Q393" s="12"/>
      <c r="R393" s="50"/>
      <c r="S393" s="50"/>
      <c r="T393" s="50"/>
      <c r="U393" s="53"/>
      <c r="V393" s="54"/>
      <c r="W393" s="56"/>
      <c r="X393" s="119"/>
      <c r="Y393" s="113"/>
      <c r="Z393" s="113"/>
      <c r="AH393" s="106"/>
      <c r="AI393" s="106"/>
      <c r="AJ393" s="106"/>
      <c r="AK393" s="106"/>
      <c r="AL393" s="106"/>
      <c r="AM393" s="106"/>
      <c r="AN393" s="106"/>
    </row>
    <row r="394">
      <c r="A394" s="38"/>
      <c r="B394" s="38"/>
      <c r="C394" s="38"/>
      <c r="D394" s="38"/>
      <c r="E394" s="38"/>
      <c r="F394" s="41"/>
      <c r="G394" s="43"/>
      <c r="H394" s="45"/>
      <c r="I394" s="38"/>
      <c r="J394" s="38"/>
      <c r="K394" s="46"/>
      <c r="L394" s="47"/>
      <c r="M394" s="46"/>
      <c r="N394" s="46"/>
      <c r="O394" s="38"/>
      <c r="P394" s="38"/>
      <c r="Q394" s="12"/>
      <c r="R394" s="50"/>
      <c r="S394" s="50"/>
      <c r="T394" s="50"/>
      <c r="U394" s="53"/>
      <c r="V394" s="54"/>
      <c r="W394" s="56"/>
      <c r="X394" s="119"/>
      <c r="Y394" s="113"/>
      <c r="Z394" s="113"/>
      <c r="AH394" s="106"/>
      <c r="AI394" s="106"/>
      <c r="AJ394" s="106"/>
      <c r="AK394" s="106"/>
      <c r="AL394" s="106"/>
      <c r="AM394" s="106"/>
      <c r="AN394" s="106"/>
    </row>
    <row r="395">
      <c r="A395" s="38"/>
      <c r="B395" s="38"/>
      <c r="C395" s="38"/>
      <c r="D395" s="38"/>
      <c r="E395" s="38"/>
      <c r="F395" s="41"/>
      <c r="G395" s="43"/>
      <c r="H395" s="45"/>
      <c r="I395" s="38"/>
      <c r="J395" s="38"/>
      <c r="K395" s="46"/>
      <c r="L395" s="47"/>
      <c r="M395" s="46"/>
      <c r="N395" s="46"/>
      <c r="O395" s="38"/>
      <c r="P395" s="38"/>
      <c r="Q395" s="12"/>
      <c r="R395" s="50"/>
      <c r="S395" s="50"/>
      <c r="T395" s="50"/>
      <c r="U395" s="53"/>
      <c r="V395" s="54"/>
      <c r="W395" s="56"/>
      <c r="X395" s="119"/>
      <c r="Y395" s="113"/>
      <c r="Z395" s="113"/>
      <c r="AH395" s="106"/>
      <c r="AI395" s="106"/>
      <c r="AJ395" s="106"/>
      <c r="AK395" s="106"/>
      <c r="AL395" s="106"/>
      <c r="AM395" s="106"/>
      <c r="AN395" s="106"/>
    </row>
    <row r="396">
      <c r="A396" s="38"/>
      <c r="B396" s="38"/>
      <c r="C396" s="38"/>
      <c r="D396" s="38"/>
      <c r="E396" s="38"/>
      <c r="F396" s="41"/>
      <c r="G396" s="43"/>
      <c r="H396" s="45"/>
      <c r="I396" s="38"/>
      <c r="J396" s="38"/>
      <c r="K396" s="46"/>
      <c r="L396" s="47"/>
      <c r="M396" s="46"/>
      <c r="N396" s="46"/>
      <c r="O396" s="38"/>
      <c r="P396" s="38"/>
      <c r="Q396" s="12"/>
      <c r="R396" s="50"/>
      <c r="S396" s="50"/>
      <c r="T396" s="50"/>
      <c r="U396" s="53"/>
      <c r="V396" s="54"/>
      <c r="W396" s="56"/>
      <c r="X396" s="119"/>
      <c r="Y396" s="113"/>
      <c r="Z396" s="113"/>
      <c r="AH396" s="106"/>
      <c r="AI396" s="106"/>
      <c r="AJ396" s="106"/>
      <c r="AK396" s="106"/>
      <c r="AL396" s="106"/>
      <c r="AM396" s="106"/>
      <c r="AN396" s="106"/>
    </row>
    <row r="397">
      <c r="A397" s="38"/>
      <c r="B397" s="38"/>
      <c r="C397" s="38"/>
      <c r="D397" s="38"/>
      <c r="E397" s="38"/>
      <c r="F397" s="41"/>
      <c r="G397" s="43"/>
      <c r="H397" s="45"/>
      <c r="I397" s="38"/>
      <c r="J397" s="38"/>
      <c r="K397" s="46"/>
      <c r="L397" s="47"/>
      <c r="M397" s="46"/>
      <c r="N397" s="46"/>
      <c r="O397" s="38"/>
      <c r="P397" s="38"/>
      <c r="Q397" s="12"/>
      <c r="R397" s="50"/>
      <c r="S397" s="50"/>
      <c r="T397" s="50"/>
      <c r="U397" s="53"/>
      <c r="V397" s="54"/>
      <c r="W397" s="56"/>
      <c r="X397" s="119"/>
      <c r="Y397" s="113"/>
      <c r="Z397" s="113"/>
      <c r="AH397" s="106"/>
      <c r="AI397" s="106"/>
      <c r="AJ397" s="106"/>
      <c r="AK397" s="106"/>
      <c r="AL397" s="106"/>
      <c r="AM397" s="106"/>
      <c r="AN397" s="106"/>
    </row>
    <row r="398">
      <c r="A398" s="38"/>
      <c r="B398" s="38"/>
      <c r="C398" s="38"/>
      <c r="D398" s="38"/>
      <c r="E398" s="38"/>
      <c r="F398" s="41"/>
      <c r="G398" s="43"/>
      <c r="H398" s="45"/>
      <c r="I398" s="38"/>
      <c r="J398" s="38"/>
      <c r="K398" s="46"/>
      <c r="L398" s="47"/>
      <c r="M398" s="46"/>
      <c r="N398" s="46"/>
      <c r="O398" s="38"/>
      <c r="P398" s="38"/>
      <c r="Q398" s="12"/>
      <c r="R398" s="50"/>
      <c r="S398" s="50"/>
      <c r="T398" s="50"/>
      <c r="U398" s="53"/>
      <c r="V398" s="54"/>
      <c r="W398" s="56"/>
      <c r="X398" s="119"/>
      <c r="Y398" s="113"/>
      <c r="Z398" s="113"/>
      <c r="AH398" s="106"/>
      <c r="AI398" s="106"/>
      <c r="AJ398" s="106"/>
      <c r="AK398" s="106"/>
      <c r="AL398" s="106"/>
      <c r="AM398" s="106"/>
      <c r="AN398" s="106"/>
    </row>
    <row r="399">
      <c r="A399" s="38"/>
      <c r="B399" s="38"/>
      <c r="C399" s="38"/>
      <c r="D399" s="38"/>
      <c r="E399" s="38"/>
      <c r="F399" s="41"/>
      <c r="G399" s="43"/>
      <c r="H399" s="45"/>
      <c r="I399" s="38"/>
      <c r="J399" s="38"/>
      <c r="K399" s="46"/>
      <c r="L399" s="47"/>
      <c r="M399" s="46"/>
      <c r="N399" s="46"/>
      <c r="O399" s="38"/>
      <c r="P399" s="38"/>
      <c r="Q399" s="12"/>
      <c r="R399" s="50"/>
      <c r="S399" s="50"/>
      <c r="T399" s="50"/>
      <c r="U399" s="53"/>
      <c r="V399" s="54"/>
      <c r="W399" s="56"/>
      <c r="X399" s="119"/>
      <c r="Y399" s="113"/>
      <c r="Z399" s="113"/>
      <c r="AH399" s="106"/>
      <c r="AI399" s="106"/>
      <c r="AJ399" s="106"/>
      <c r="AK399" s="106"/>
      <c r="AL399" s="106"/>
      <c r="AM399" s="106"/>
      <c r="AN399" s="106"/>
    </row>
    <row r="400">
      <c r="A400" s="38"/>
      <c r="B400" s="38"/>
      <c r="C400" s="38"/>
      <c r="D400" s="38"/>
      <c r="E400" s="38"/>
      <c r="F400" s="41"/>
      <c r="G400" s="43"/>
      <c r="H400" s="45"/>
      <c r="I400" s="38"/>
      <c r="J400" s="38"/>
      <c r="K400" s="46"/>
      <c r="L400" s="47"/>
      <c r="M400" s="46"/>
      <c r="N400" s="46"/>
      <c r="O400" s="38"/>
      <c r="P400" s="38"/>
      <c r="Q400" s="12"/>
      <c r="R400" s="50"/>
      <c r="S400" s="50"/>
      <c r="T400" s="50"/>
      <c r="U400" s="53"/>
      <c r="V400" s="54"/>
      <c r="W400" s="56"/>
      <c r="X400" s="119"/>
      <c r="Y400" s="113"/>
      <c r="Z400" s="113"/>
      <c r="AH400" s="106"/>
      <c r="AI400" s="106"/>
      <c r="AJ400" s="106"/>
      <c r="AK400" s="106"/>
      <c r="AL400" s="106"/>
      <c r="AM400" s="106"/>
      <c r="AN400" s="106"/>
    </row>
    <row r="401">
      <c r="A401" s="38"/>
      <c r="B401" s="38"/>
      <c r="C401" s="38"/>
      <c r="D401" s="38"/>
      <c r="E401" s="38"/>
      <c r="F401" s="41"/>
      <c r="G401" s="43"/>
      <c r="H401" s="45"/>
      <c r="I401" s="38"/>
      <c r="J401" s="38"/>
      <c r="K401" s="46"/>
      <c r="L401" s="47"/>
      <c r="M401" s="46"/>
      <c r="N401" s="46"/>
      <c r="O401" s="38"/>
      <c r="P401" s="38"/>
      <c r="Q401" s="12"/>
      <c r="R401" s="50"/>
      <c r="S401" s="50"/>
      <c r="T401" s="50"/>
      <c r="U401" s="53"/>
      <c r="V401" s="54"/>
      <c r="W401" s="56"/>
      <c r="X401" s="119"/>
      <c r="Y401" s="113"/>
      <c r="Z401" s="113"/>
      <c r="AH401" s="106"/>
      <c r="AI401" s="106"/>
      <c r="AJ401" s="106"/>
      <c r="AK401" s="106"/>
      <c r="AL401" s="106"/>
      <c r="AM401" s="106"/>
      <c r="AN401" s="106"/>
    </row>
    <row r="402">
      <c r="A402" s="38"/>
      <c r="B402" s="38"/>
      <c r="C402" s="38"/>
      <c r="D402" s="38"/>
      <c r="E402" s="38"/>
      <c r="F402" s="41"/>
      <c r="G402" s="43"/>
      <c r="H402" s="45"/>
      <c r="I402" s="38"/>
      <c r="J402" s="38"/>
      <c r="K402" s="46"/>
      <c r="L402" s="47"/>
      <c r="M402" s="46"/>
      <c r="N402" s="46"/>
      <c r="O402" s="38"/>
      <c r="P402" s="38"/>
      <c r="Q402" s="12"/>
      <c r="R402" s="50"/>
      <c r="S402" s="50"/>
      <c r="T402" s="50"/>
      <c r="U402" s="53"/>
      <c r="V402" s="54"/>
      <c r="W402" s="56"/>
      <c r="X402" s="119"/>
      <c r="Y402" s="113"/>
      <c r="Z402" s="113"/>
      <c r="AH402" s="106"/>
      <c r="AI402" s="106"/>
      <c r="AJ402" s="106"/>
      <c r="AK402" s="106"/>
      <c r="AL402" s="106"/>
      <c r="AM402" s="106"/>
      <c r="AN402" s="106"/>
    </row>
    <row r="403">
      <c r="A403" s="38"/>
      <c r="B403" s="38"/>
      <c r="C403" s="38"/>
      <c r="D403" s="38"/>
      <c r="E403" s="38"/>
      <c r="F403" s="41"/>
      <c r="G403" s="43"/>
      <c r="H403" s="45"/>
      <c r="I403" s="38"/>
      <c r="J403" s="38"/>
      <c r="K403" s="46"/>
      <c r="L403" s="47"/>
      <c r="M403" s="46"/>
      <c r="N403" s="46"/>
      <c r="O403" s="38"/>
      <c r="P403" s="38"/>
      <c r="Q403" s="12"/>
      <c r="R403" s="50"/>
      <c r="S403" s="50"/>
      <c r="T403" s="50"/>
      <c r="U403" s="53"/>
      <c r="V403" s="54"/>
      <c r="W403" s="56"/>
      <c r="X403" s="119"/>
      <c r="Y403" s="113"/>
      <c r="Z403" s="113"/>
      <c r="AH403" s="106"/>
      <c r="AI403" s="106"/>
      <c r="AJ403" s="106"/>
      <c r="AK403" s="106"/>
      <c r="AL403" s="106"/>
      <c r="AM403" s="106"/>
      <c r="AN403" s="106"/>
    </row>
    <row r="404">
      <c r="A404" s="38"/>
      <c r="B404" s="38"/>
      <c r="C404" s="38"/>
      <c r="D404" s="38"/>
      <c r="E404" s="38"/>
      <c r="F404" s="41"/>
      <c r="G404" s="43"/>
      <c r="H404" s="45"/>
      <c r="I404" s="38"/>
      <c r="J404" s="38"/>
      <c r="K404" s="46"/>
      <c r="L404" s="47"/>
      <c r="M404" s="46"/>
      <c r="N404" s="46"/>
      <c r="O404" s="38"/>
      <c r="P404" s="38"/>
      <c r="Q404" s="12"/>
      <c r="R404" s="50"/>
      <c r="S404" s="50"/>
      <c r="T404" s="50"/>
      <c r="U404" s="53"/>
      <c r="V404" s="54"/>
      <c r="W404" s="56"/>
      <c r="X404" s="119"/>
      <c r="Y404" s="113"/>
      <c r="Z404" s="113"/>
      <c r="AH404" s="106"/>
      <c r="AI404" s="106"/>
      <c r="AJ404" s="106"/>
      <c r="AK404" s="106"/>
      <c r="AL404" s="106"/>
      <c r="AM404" s="106"/>
      <c r="AN404" s="106"/>
    </row>
    <row r="405">
      <c r="A405" s="38"/>
      <c r="B405" s="38"/>
      <c r="C405" s="38"/>
      <c r="D405" s="38"/>
      <c r="E405" s="38"/>
      <c r="F405" s="41"/>
      <c r="G405" s="43"/>
      <c r="H405" s="45"/>
      <c r="I405" s="38"/>
      <c r="J405" s="38"/>
      <c r="K405" s="46"/>
      <c r="L405" s="47"/>
      <c r="M405" s="46"/>
      <c r="N405" s="46"/>
      <c r="O405" s="38"/>
      <c r="P405" s="38"/>
      <c r="Q405" s="12"/>
      <c r="R405" s="50"/>
      <c r="S405" s="50"/>
      <c r="T405" s="50"/>
      <c r="U405" s="53"/>
      <c r="V405" s="54"/>
      <c r="W405" s="56"/>
      <c r="X405" s="119"/>
      <c r="Y405" s="113"/>
      <c r="Z405" s="113"/>
      <c r="AH405" s="106"/>
      <c r="AI405" s="106"/>
      <c r="AJ405" s="106"/>
      <c r="AK405" s="106"/>
      <c r="AL405" s="106"/>
      <c r="AM405" s="106"/>
      <c r="AN405" s="106"/>
    </row>
    <row r="406">
      <c r="A406" s="38"/>
      <c r="B406" s="38"/>
      <c r="C406" s="38"/>
      <c r="D406" s="38"/>
      <c r="E406" s="38"/>
      <c r="F406" s="41"/>
      <c r="G406" s="43"/>
      <c r="H406" s="45"/>
      <c r="I406" s="38"/>
      <c r="J406" s="38"/>
      <c r="K406" s="46"/>
      <c r="L406" s="47"/>
      <c r="M406" s="46"/>
      <c r="N406" s="46"/>
      <c r="O406" s="38"/>
      <c r="P406" s="38"/>
      <c r="Q406" s="12"/>
      <c r="R406" s="50"/>
      <c r="S406" s="50"/>
      <c r="T406" s="50"/>
      <c r="U406" s="53"/>
      <c r="V406" s="54"/>
      <c r="W406" s="56"/>
      <c r="X406" s="119"/>
      <c r="Y406" s="113"/>
      <c r="Z406" s="113"/>
      <c r="AH406" s="106"/>
      <c r="AI406" s="106"/>
      <c r="AJ406" s="106"/>
      <c r="AK406" s="106"/>
      <c r="AL406" s="106"/>
      <c r="AM406" s="106"/>
      <c r="AN406" s="106"/>
    </row>
    <row r="407">
      <c r="A407" s="38"/>
      <c r="B407" s="38"/>
      <c r="C407" s="38"/>
      <c r="D407" s="38"/>
      <c r="E407" s="38"/>
      <c r="F407" s="41"/>
      <c r="G407" s="43"/>
      <c r="H407" s="45"/>
      <c r="I407" s="38"/>
      <c r="J407" s="38"/>
      <c r="K407" s="46"/>
      <c r="L407" s="47"/>
      <c r="M407" s="46"/>
      <c r="N407" s="46"/>
      <c r="O407" s="38"/>
      <c r="P407" s="38"/>
      <c r="Q407" s="12"/>
      <c r="R407" s="50"/>
      <c r="S407" s="50"/>
      <c r="T407" s="50"/>
      <c r="U407" s="53"/>
      <c r="V407" s="54"/>
      <c r="W407" s="56"/>
      <c r="X407" s="119"/>
      <c r="Y407" s="113"/>
      <c r="Z407" s="113"/>
      <c r="AH407" s="106"/>
      <c r="AI407" s="106"/>
      <c r="AJ407" s="106"/>
      <c r="AK407" s="106"/>
      <c r="AL407" s="106"/>
      <c r="AM407" s="106"/>
      <c r="AN407" s="106"/>
    </row>
    <row r="408">
      <c r="A408" s="38"/>
      <c r="B408" s="38"/>
      <c r="C408" s="38"/>
      <c r="D408" s="38"/>
      <c r="E408" s="38"/>
      <c r="F408" s="41"/>
      <c r="G408" s="43"/>
      <c r="H408" s="45"/>
      <c r="I408" s="38"/>
      <c r="J408" s="38"/>
      <c r="K408" s="46"/>
      <c r="L408" s="47"/>
      <c r="M408" s="46"/>
      <c r="N408" s="46"/>
      <c r="O408" s="38"/>
      <c r="P408" s="38"/>
      <c r="Q408" s="12"/>
      <c r="R408" s="50"/>
      <c r="S408" s="50"/>
      <c r="T408" s="50"/>
      <c r="U408" s="53"/>
      <c r="V408" s="54"/>
      <c r="W408" s="56"/>
      <c r="X408" s="119"/>
      <c r="Y408" s="113"/>
      <c r="Z408" s="113"/>
      <c r="AH408" s="106"/>
      <c r="AI408" s="106"/>
      <c r="AJ408" s="106"/>
      <c r="AK408" s="106"/>
      <c r="AL408" s="106"/>
      <c r="AM408" s="106"/>
      <c r="AN408" s="106"/>
    </row>
    <row r="409">
      <c r="A409" s="38"/>
      <c r="B409" s="38"/>
      <c r="C409" s="38"/>
      <c r="D409" s="38"/>
      <c r="E409" s="38"/>
      <c r="F409" s="41"/>
      <c r="G409" s="43"/>
      <c r="H409" s="45"/>
      <c r="I409" s="38"/>
      <c r="J409" s="38"/>
      <c r="K409" s="46"/>
      <c r="L409" s="47"/>
      <c r="M409" s="46"/>
      <c r="N409" s="46"/>
      <c r="O409" s="38"/>
      <c r="P409" s="38"/>
      <c r="Q409" s="12"/>
      <c r="R409" s="50"/>
      <c r="S409" s="50"/>
      <c r="T409" s="50"/>
      <c r="U409" s="53"/>
      <c r="V409" s="54"/>
      <c r="W409" s="56"/>
      <c r="X409" s="119"/>
      <c r="Y409" s="113"/>
      <c r="Z409" s="113"/>
      <c r="AH409" s="106"/>
      <c r="AI409" s="106"/>
      <c r="AJ409" s="106"/>
      <c r="AK409" s="106"/>
      <c r="AL409" s="106"/>
      <c r="AM409" s="106"/>
      <c r="AN409" s="106"/>
    </row>
    <row r="410">
      <c r="A410" s="38"/>
      <c r="B410" s="38"/>
      <c r="C410" s="38"/>
      <c r="D410" s="38"/>
      <c r="E410" s="38"/>
      <c r="F410" s="41"/>
      <c r="G410" s="43"/>
      <c r="H410" s="45"/>
      <c r="I410" s="38"/>
      <c r="J410" s="38"/>
      <c r="K410" s="46"/>
      <c r="L410" s="47"/>
      <c r="M410" s="46"/>
      <c r="N410" s="46"/>
      <c r="O410" s="38"/>
      <c r="P410" s="38"/>
      <c r="Q410" s="12"/>
      <c r="R410" s="50"/>
      <c r="S410" s="50"/>
      <c r="T410" s="50"/>
      <c r="U410" s="53"/>
      <c r="V410" s="54"/>
      <c r="W410" s="56"/>
      <c r="X410" s="119"/>
      <c r="Y410" s="113"/>
      <c r="Z410" s="113"/>
      <c r="AH410" s="106"/>
      <c r="AI410" s="106"/>
      <c r="AJ410" s="106"/>
      <c r="AK410" s="106"/>
      <c r="AL410" s="106"/>
      <c r="AM410" s="106"/>
      <c r="AN410" s="106"/>
    </row>
    <row r="411">
      <c r="A411" s="38"/>
      <c r="B411" s="38"/>
      <c r="C411" s="38"/>
      <c r="D411" s="38"/>
      <c r="E411" s="38"/>
      <c r="F411" s="41"/>
      <c r="G411" s="43"/>
      <c r="H411" s="45"/>
      <c r="I411" s="38"/>
      <c r="J411" s="38"/>
      <c r="K411" s="46"/>
      <c r="L411" s="47"/>
      <c r="M411" s="46"/>
      <c r="N411" s="46"/>
      <c r="O411" s="38"/>
      <c r="P411" s="38"/>
      <c r="Q411" s="12"/>
      <c r="R411" s="50"/>
      <c r="S411" s="50"/>
      <c r="T411" s="50"/>
      <c r="U411" s="53"/>
      <c r="V411" s="54"/>
      <c r="W411" s="56"/>
      <c r="X411" s="119"/>
      <c r="Y411" s="113"/>
      <c r="Z411" s="113"/>
      <c r="AH411" s="106"/>
      <c r="AI411" s="106"/>
      <c r="AJ411" s="106"/>
      <c r="AK411" s="106"/>
      <c r="AL411" s="106"/>
      <c r="AM411" s="106"/>
      <c r="AN411" s="106"/>
    </row>
    <row r="412">
      <c r="A412" s="38"/>
      <c r="B412" s="38"/>
      <c r="C412" s="38"/>
      <c r="D412" s="38"/>
      <c r="E412" s="38"/>
      <c r="F412" s="41"/>
      <c r="G412" s="43"/>
      <c r="H412" s="45"/>
      <c r="I412" s="38"/>
      <c r="J412" s="38"/>
      <c r="K412" s="46"/>
      <c r="L412" s="47"/>
      <c r="M412" s="46"/>
      <c r="N412" s="46"/>
      <c r="O412" s="38"/>
      <c r="P412" s="38"/>
      <c r="Q412" s="12"/>
      <c r="R412" s="50"/>
      <c r="S412" s="50"/>
      <c r="T412" s="50"/>
      <c r="U412" s="53"/>
      <c r="V412" s="54"/>
      <c r="W412" s="56"/>
      <c r="X412" s="119"/>
      <c r="Y412" s="113"/>
      <c r="Z412" s="113"/>
      <c r="AH412" s="106"/>
      <c r="AI412" s="106"/>
      <c r="AJ412" s="106"/>
      <c r="AK412" s="106"/>
      <c r="AL412" s="106"/>
      <c r="AM412" s="106"/>
      <c r="AN412" s="106"/>
    </row>
    <row r="413">
      <c r="A413" s="38"/>
      <c r="B413" s="38"/>
      <c r="C413" s="38"/>
      <c r="D413" s="38"/>
      <c r="E413" s="38"/>
      <c r="F413" s="41"/>
      <c r="G413" s="43"/>
      <c r="H413" s="45"/>
      <c r="I413" s="38"/>
      <c r="J413" s="38"/>
      <c r="K413" s="46"/>
      <c r="L413" s="47"/>
      <c r="M413" s="46"/>
      <c r="N413" s="46"/>
      <c r="O413" s="38"/>
      <c r="P413" s="38"/>
      <c r="Q413" s="12"/>
      <c r="R413" s="50"/>
      <c r="S413" s="50"/>
      <c r="T413" s="50"/>
      <c r="U413" s="53"/>
      <c r="V413" s="54"/>
      <c r="W413" s="56"/>
      <c r="X413" s="119"/>
      <c r="Y413" s="113"/>
      <c r="Z413" s="113"/>
      <c r="AH413" s="106"/>
      <c r="AI413" s="106"/>
      <c r="AJ413" s="106"/>
      <c r="AK413" s="106"/>
      <c r="AL413" s="106"/>
      <c r="AM413" s="106"/>
      <c r="AN413" s="106"/>
    </row>
    <row r="414">
      <c r="A414" s="38"/>
      <c r="B414" s="38"/>
      <c r="C414" s="38"/>
      <c r="D414" s="38"/>
      <c r="E414" s="38"/>
      <c r="F414" s="41"/>
      <c r="G414" s="43"/>
      <c r="H414" s="45"/>
      <c r="I414" s="38"/>
      <c r="J414" s="38"/>
      <c r="K414" s="46"/>
      <c r="L414" s="47"/>
      <c r="M414" s="46"/>
      <c r="N414" s="46"/>
      <c r="O414" s="38"/>
      <c r="P414" s="38"/>
      <c r="Q414" s="12"/>
      <c r="R414" s="50"/>
      <c r="S414" s="50"/>
      <c r="T414" s="50"/>
      <c r="U414" s="53"/>
      <c r="V414" s="54"/>
      <c r="W414" s="56"/>
      <c r="X414" s="119"/>
      <c r="Y414" s="113"/>
      <c r="Z414" s="113"/>
      <c r="AH414" s="106"/>
      <c r="AI414" s="106"/>
      <c r="AJ414" s="106"/>
      <c r="AK414" s="106"/>
      <c r="AL414" s="106"/>
      <c r="AM414" s="106"/>
      <c r="AN414" s="106"/>
    </row>
    <row r="415">
      <c r="A415" s="38"/>
      <c r="B415" s="38"/>
      <c r="C415" s="38"/>
      <c r="D415" s="38"/>
      <c r="E415" s="38"/>
      <c r="F415" s="41"/>
      <c r="G415" s="43"/>
      <c r="H415" s="45"/>
      <c r="I415" s="38"/>
      <c r="J415" s="38"/>
      <c r="K415" s="46"/>
      <c r="L415" s="47"/>
      <c r="M415" s="46"/>
      <c r="N415" s="46"/>
      <c r="O415" s="38"/>
      <c r="P415" s="38"/>
      <c r="Q415" s="12"/>
      <c r="R415" s="50"/>
      <c r="S415" s="50"/>
      <c r="T415" s="50"/>
      <c r="U415" s="53"/>
      <c r="V415" s="54"/>
      <c r="W415" s="56"/>
      <c r="X415" s="119"/>
      <c r="Y415" s="113"/>
      <c r="Z415" s="113"/>
      <c r="AH415" s="106"/>
      <c r="AI415" s="106"/>
      <c r="AJ415" s="106"/>
      <c r="AK415" s="106"/>
      <c r="AL415" s="106"/>
      <c r="AM415" s="106"/>
      <c r="AN415" s="106"/>
    </row>
    <row r="416">
      <c r="A416" s="38"/>
      <c r="B416" s="38"/>
      <c r="C416" s="38"/>
      <c r="D416" s="38"/>
      <c r="E416" s="38"/>
      <c r="F416" s="41"/>
      <c r="G416" s="43"/>
      <c r="H416" s="45"/>
      <c r="I416" s="38"/>
      <c r="J416" s="38"/>
      <c r="K416" s="46"/>
      <c r="L416" s="47"/>
      <c r="M416" s="46"/>
      <c r="N416" s="46"/>
      <c r="O416" s="38"/>
      <c r="P416" s="38"/>
      <c r="Q416" s="12"/>
      <c r="R416" s="50"/>
      <c r="S416" s="50"/>
      <c r="T416" s="50"/>
      <c r="U416" s="53"/>
      <c r="V416" s="54"/>
      <c r="W416" s="56"/>
      <c r="X416" s="119"/>
      <c r="Y416" s="113"/>
      <c r="Z416" s="113"/>
      <c r="AH416" s="106"/>
      <c r="AI416" s="106"/>
      <c r="AJ416" s="106"/>
      <c r="AK416" s="106"/>
      <c r="AL416" s="106"/>
      <c r="AM416" s="106"/>
      <c r="AN416" s="106"/>
    </row>
    <row r="417">
      <c r="A417" s="38"/>
      <c r="B417" s="38"/>
      <c r="C417" s="38"/>
      <c r="D417" s="38"/>
      <c r="E417" s="38"/>
      <c r="F417" s="41"/>
      <c r="G417" s="43"/>
      <c r="H417" s="45"/>
      <c r="I417" s="38"/>
      <c r="J417" s="38"/>
      <c r="K417" s="46"/>
      <c r="L417" s="47"/>
      <c r="M417" s="46"/>
      <c r="N417" s="46"/>
      <c r="O417" s="38"/>
      <c r="P417" s="38"/>
      <c r="Q417" s="12"/>
      <c r="R417" s="50"/>
      <c r="S417" s="50"/>
      <c r="T417" s="50"/>
      <c r="U417" s="53"/>
      <c r="V417" s="54"/>
      <c r="W417" s="56"/>
      <c r="X417" s="119"/>
      <c r="Y417" s="113"/>
      <c r="Z417" s="113"/>
      <c r="AH417" s="106"/>
      <c r="AI417" s="106"/>
      <c r="AJ417" s="106"/>
      <c r="AK417" s="106"/>
      <c r="AL417" s="106"/>
      <c r="AM417" s="106"/>
      <c r="AN417" s="106"/>
    </row>
    <row r="418">
      <c r="A418" s="38"/>
      <c r="B418" s="38"/>
      <c r="C418" s="38"/>
      <c r="D418" s="38"/>
      <c r="E418" s="38"/>
      <c r="F418" s="41"/>
      <c r="G418" s="43"/>
      <c r="H418" s="45"/>
      <c r="I418" s="38"/>
      <c r="J418" s="38"/>
      <c r="K418" s="46"/>
      <c r="L418" s="47"/>
      <c r="M418" s="46"/>
      <c r="N418" s="46"/>
      <c r="O418" s="38"/>
      <c r="P418" s="38"/>
      <c r="Q418" s="12"/>
      <c r="R418" s="50"/>
      <c r="S418" s="50"/>
      <c r="T418" s="50"/>
      <c r="U418" s="53"/>
      <c r="V418" s="54"/>
      <c r="W418" s="56"/>
      <c r="X418" s="119"/>
      <c r="Y418" s="113"/>
      <c r="Z418" s="113"/>
      <c r="AH418" s="106"/>
      <c r="AI418" s="106"/>
      <c r="AJ418" s="106"/>
      <c r="AK418" s="106"/>
      <c r="AL418" s="106"/>
      <c r="AM418" s="106"/>
      <c r="AN418" s="106"/>
    </row>
    <row r="419">
      <c r="A419" s="38"/>
      <c r="B419" s="38"/>
      <c r="C419" s="38"/>
      <c r="D419" s="38"/>
      <c r="E419" s="38"/>
      <c r="F419" s="41"/>
      <c r="G419" s="43"/>
      <c r="H419" s="45"/>
      <c r="I419" s="38"/>
      <c r="J419" s="38"/>
      <c r="K419" s="46"/>
      <c r="L419" s="47"/>
      <c r="M419" s="46"/>
      <c r="N419" s="46"/>
      <c r="O419" s="38"/>
      <c r="P419" s="38"/>
      <c r="Q419" s="12"/>
      <c r="R419" s="50"/>
      <c r="S419" s="50"/>
      <c r="T419" s="50"/>
      <c r="U419" s="53"/>
      <c r="V419" s="54"/>
      <c r="W419" s="56"/>
      <c r="X419" s="119"/>
      <c r="Y419" s="113"/>
      <c r="Z419" s="113"/>
      <c r="AH419" s="106"/>
      <c r="AI419" s="106"/>
      <c r="AJ419" s="106"/>
      <c r="AK419" s="106"/>
      <c r="AL419" s="106"/>
      <c r="AM419" s="106"/>
      <c r="AN419" s="106"/>
    </row>
    <row r="420">
      <c r="A420" s="38"/>
      <c r="B420" s="38"/>
      <c r="C420" s="38"/>
      <c r="D420" s="38"/>
      <c r="E420" s="38"/>
      <c r="F420" s="41"/>
      <c r="G420" s="43"/>
      <c r="H420" s="45"/>
      <c r="I420" s="38"/>
      <c r="J420" s="38"/>
      <c r="K420" s="46"/>
      <c r="L420" s="47"/>
      <c r="M420" s="46"/>
      <c r="N420" s="46"/>
      <c r="O420" s="38"/>
      <c r="P420" s="38"/>
      <c r="Q420" s="12"/>
      <c r="R420" s="50"/>
      <c r="S420" s="50"/>
      <c r="T420" s="50"/>
      <c r="U420" s="53"/>
      <c r="V420" s="54"/>
      <c r="W420" s="56"/>
      <c r="X420" s="119"/>
      <c r="Y420" s="113"/>
      <c r="Z420" s="113"/>
      <c r="AH420" s="106"/>
      <c r="AI420" s="106"/>
      <c r="AJ420" s="106"/>
      <c r="AK420" s="106"/>
      <c r="AL420" s="106"/>
      <c r="AM420" s="106"/>
      <c r="AN420" s="106"/>
    </row>
    <row r="421">
      <c r="A421" s="38"/>
      <c r="B421" s="38"/>
      <c r="C421" s="38"/>
      <c r="D421" s="38"/>
      <c r="E421" s="38"/>
      <c r="F421" s="41"/>
      <c r="G421" s="43"/>
      <c r="H421" s="45"/>
      <c r="I421" s="38"/>
      <c r="J421" s="38"/>
      <c r="K421" s="46"/>
      <c r="L421" s="47"/>
      <c r="M421" s="46"/>
      <c r="N421" s="46"/>
      <c r="O421" s="38"/>
      <c r="P421" s="38"/>
      <c r="Q421" s="12"/>
      <c r="R421" s="50"/>
      <c r="S421" s="50"/>
      <c r="T421" s="50"/>
      <c r="U421" s="53"/>
      <c r="V421" s="54"/>
      <c r="W421" s="56"/>
      <c r="X421" s="119"/>
      <c r="Y421" s="113"/>
      <c r="Z421" s="113"/>
      <c r="AH421" s="106"/>
      <c r="AI421" s="106"/>
      <c r="AJ421" s="106"/>
      <c r="AK421" s="106"/>
      <c r="AL421" s="106"/>
      <c r="AM421" s="106"/>
      <c r="AN421" s="106"/>
    </row>
    <row r="422">
      <c r="A422" s="38"/>
      <c r="B422" s="38"/>
      <c r="C422" s="38"/>
      <c r="D422" s="38"/>
      <c r="E422" s="38"/>
      <c r="F422" s="41"/>
      <c r="G422" s="43"/>
      <c r="H422" s="45"/>
      <c r="I422" s="38"/>
      <c r="J422" s="38"/>
      <c r="K422" s="46"/>
      <c r="L422" s="47"/>
      <c r="M422" s="46"/>
      <c r="N422" s="46"/>
      <c r="O422" s="38"/>
      <c r="P422" s="38"/>
      <c r="Q422" s="12"/>
      <c r="R422" s="50"/>
      <c r="S422" s="50"/>
      <c r="T422" s="50"/>
      <c r="U422" s="53"/>
      <c r="V422" s="54"/>
      <c r="W422" s="56"/>
      <c r="X422" s="119"/>
      <c r="Y422" s="113"/>
      <c r="Z422" s="113"/>
      <c r="AH422" s="106"/>
      <c r="AI422" s="106"/>
      <c r="AJ422" s="106"/>
      <c r="AK422" s="106"/>
      <c r="AL422" s="106"/>
      <c r="AM422" s="106"/>
      <c r="AN422" s="106"/>
    </row>
    <row r="423">
      <c r="A423" s="38"/>
      <c r="B423" s="38"/>
      <c r="C423" s="38"/>
      <c r="D423" s="38"/>
      <c r="E423" s="38"/>
      <c r="F423" s="41"/>
      <c r="G423" s="43"/>
      <c r="H423" s="45"/>
      <c r="I423" s="38"/>
      <c r="J423" s="38"/>
      <c r="K423" s="46"/>
      <c r="L423" s="47"/>
      <c r="M423" s="46"/>
      <c r="N423" s="46"/>
      <c r="O423" s="38"/>
      <c r="P423" s="38"/>
      <c r="Q423" s="12"/>
      <c r="R423" s="50"/>
      <c r="S423" s="50"/>
      <c r="T423" s="50"/>
      <c r="U423" s="53"/>
      <c r="V423" s="54"/>
      <c r="W423" s="56"/>
      <c r="X423" s="119"/>
      <c r="Y423" s="113"/>
      <c r="Z423" s="113"/>
      <c r="AH423" s="106"/>
      <c r="AI423" s="106"/>
      <c r="AJ423" s="106"/>
      <c r="AK423" s="106"/>
      <c r="AL423" s="106"/>
      <c r="AM423" s="106"/>
      <c r="AN423" s="106"/>
    </row>
    <row r="424">
      <c r="A424" s="38"/>
      <c r="B424" s="38"/>
      <c r="C424" s="38"/>
      <c r="D424" s="38"/>
      <c r="E424" s="38"/>
      <c r="F424" s="41"/>
      <c r="G424" s="43"/>
      <c r="H424" s="45"/>
      <c r="I424" s="38"/>
      <c r="J424" s="38"/>
      <c r="K424" s="46"/>
      <c r="L424" s="47"/>
      <c r="M424" s="46"/>
      <c r="N424" s="46"/>
      <c r="O424" s="38"/>
      <c r="P424" s="38"/>
      <c r="Q424" s="12"/>
      <c r="R424" s="50"/>
      <c r="S424" s="50"/>
      <c r="T424" s="50"/>
      <c r="U424" s="53"/>
      <c r="V424" s="54"/>
      <c r="W424" s="56"/>
      <c r="X424" s="119"/>
      <c r="Y424" s="113"/>
      <c r="Z424" s="113"/>
      <c r="AH424" s="106"/>
      <c r="AI424" s="106"/>
      <c r="AJ424" s="106"/>
      <c r="AK424" s="106"/>
      <c r="AL424" s="106"/>
      <c r="AM424" s="106"/>
      <c r="AN424" s="106"/>
    </row>
    <row r="425">
      <c r="A425" s="38"/>
      <c r="B425" s="38"/>
      <c r="C425" s="38"/>
      <c r="D425" s="38"/>
      <c r="E425" s="38"/>
      <c r="F425" s="41"/>
      <c r="G425" s="43"/>
      <c r="H425" s="45"/>
      <c r="I425" s="38"/>
      <c r="J425" s="38"/>
      <c r="K425" s="46"/>
      <c r="L425" s="47"/>
      <c r="M425" s="46"/>
      <c r="N425" s="46"/>
      <c r="O425" s="38"/>
      <c r="P425" s="38"/>
      <c r="Q425" s="12"/>
      <c r="R425" s="50"/>
      <c r="S425" s="50"/>
      <c r="T425" s="50"/>
      <c r="U425" s="53"/>
      <c r="V425" s="54"/>
      <c r="W425" s="56"/>
      <c r="X425" s="119"/>
      <c r="Y425" s="113"/>
      <c r="Z425" s="113"/>
      <c r="AH425" s="106"/>
      <c r="AI425" s="106"/>
      <c r="AJ425" s="106"/>
      <c r="AK425" s="106"/>
      <c r="AL425" s="106"/>
      <c r="AM425" s="106"/>
      <c r="AN425" s="106"/>
    </row>
    <row r="426">
      <c r="A426" s="38"/>
      <c r="B426" s="38"/>
      <c r="C426" s="38"/>
      <c r="D426" s="38"/>
      <c r="E426" s="38"/>
      <c r="F426" s="41"/>
      <c r="G426" s="43"/>
      <c r="H426" s="45"/>
      <c r="I426" s="38"/>
      <c r="J426" s="38"/>
      <c r="K426" s="46"/>
      <c r="L426" s="47"/>
      <c r="M426" s="46"/>
      <c r="N426" s="46"/>
      <c r="O426" s="38"/>
      <c r="P426" s="38"/>
      <c r="Q426" s="12"/>
      <c r="R426" s="50"/>
      <c r="S426" s="50"/>
      <c r="T426" s="50"/>
      <c r="U426" s="53"/>
      <c r="V426" s="54"/>
      <c r="W426" s="56"/>
      <c r="X426" s="119"/>
      <c r="Y426" s="113"/>
      <c r="Z426" s="113"/>
      <c r="AH426" s="106"/>
      <c r="AI426" s="106"/>
      <c r="AJ426" s="106"/>
      <c r="AK426" s="106"/>
      <c r="AL426" s="106"/>
      <c r="AM426" s="106"/>
      <c r="AN426" s="106"/>
    </row>
    <row r="427">
      <c r="A427" s="38"/>
      <c r="B427" s="38"/>
      <c r="C427" s="38"/>
      <c r="D427" s="38"/>
      <c r="E427" s="38"/>
      <c r="F427" s="41"/>
      <c r="G427" s="43"/>
      <c r="H427" s="45"/>
      <c r="I427" s="38"/>
      <c r="J427" s="38"/>
      <c r="K427" s="46"/>
      <c r="L427" s="47"/>
      <c r="M427" s="46"/>
      <c r="N427" s="46"/>
      <c r="O427" s="38"/>
      <c r="P427" s="38"/>
      <c r="Q427" s="12"/>
      <c r="R427" s="50"/>
      <c r="S427" s="50"/>
      <c r="T427" s="50"/>
      <c r="U427" s="53"/>
      <c r="V427" s="54"/>
      <c r="W427" s="56"/>
      <c r="X427" s="119"/>
      <c r="Y427" s="113"/>
      <c r="Z427" s="113"/>
      <c r="AH427" s="106"/>
      <c r="AI427" s="106"/>
      <c r="AJ427" s="106"/>
      <c r="AK427" s="106"/>
      <c r="AL427" s="106"/>
      <c r="AM427" s="106"/>
      <c r="AN427" s="106"/>
    </row>
    <row r="428">
      <c r="A428" s="38"/>
      <c r="B428" s="38"/>
      <c r="C428" s="38"/>
      <c r="D428" s="38"/>
      <c r="E428" s="38"/>
      <c r="F428" s="41"/>
      <c r="G428" s="43"/>
      <c r="H428" s="45"/>
      <c r="I428" s="38"/>
      <c r="J428" s="38"/>
      <c r="K428" s="46"/>
      <c r="L428" s="47"/>
      <c r="M428" s="46"/>
      <c r="N428" s="46"/>
      <c r="O428" s="38"/>
      <c r="P428" s="38"/>
      <c r="Q428" s="12"/>
      <c r="R428" s="50"/>
      <c r="S428" s="50"/>
      <c r="T428" s="50"/>
      <c r="U428" s="53"/>
      <c r="V428" s="54"/>
      <c r="W428" s="56"/>
      <c r="X428" s="119"/>
      <c r="Y428" s="113"/>
      <c r="Z428" s="113"/>
      <c r="AH428" s="106"/>
      <c r="AI428" s="106"/>
      <c r="AJ428" s="106"/>
      <c r="AK428" s="106"/>
      <c r="AL428" s="106"/>
      <c r="AM428" s="106"/>
      <c r="AN428" s="106"/>
    </row>
    <row r="429">
      <c r="A429" s="38"/>
      <c r="B429" s="38"/>
      <c r="C429" s="38"/>
      <c r="D429" s="38"/>
      <c r="E429" s="38"/>
      <c r="F429" s="41"/>
      <c r="G429" s="43"/>
      <c r="H429" s="45"/>
      <c r="I429" s="38"/>
      <c r="J429" s="38"/>
      <c r="K429" s="46"/>
      <c r="L429" s="47"/>
      <c r="M429" s="46"/>
      <c r="N429" s="46"/>
      <c r="O429" s="38"/>
      <c r="P429" s="38"/>
      <c r="Q429" s="12"/>
      <c r="R429" s="50"/>
      <c r="S429" s="50"/>
      <c r="T429" s="50"/>
      <c r="U429" s="53"/>
      <c r="V429" s="54"/>
      <c r="W429" s="56"/>
      <c r="X429" s="119"/>
      <c r="Y429" s="113"/>
      <c r="Z429" s="113"/>
      <c r="AH429" s="106"/>
      <c r="AI429" s="106"/>
      <c r="AJ429" s="106"/>
      <c r="AK429" s="106"/>
      <c r="AL429" s="106"/>
      <c r="AM429" s="106"/>
      <c r="AN429" s="106"/>
    </row>
    <row r="430">
      <c r="A430" s="38"/>
      <c r="B430" s="38"/>
      <c r="C430" s="38"/>
      <c r="D430" s="38"/>
      <c r="E430" s="38"/>
      <c r="F430" s="41"/>
      <c r="G430" s="43"/>
      <c r="H430" s="45"/>
      <c r="I430" s="38"/>
      <c r="J430" s="38"/>
      <c r="K430" s="46"/>
      <c r="L430" s="47"/>
      <c r="M430" s="46"/>
      <c r="N430" s="46"/>
      <c r="O430" s="38"/>
      <c r="P430" s="38"/>
      <c r="Q430" s="12"/>
      <c r="R430" s="50"/>
      <c r="S430" s="50"/>
      <c r="T430" s="50"/>
      <c r="U430" s="53"/>
      <c r="V430" s="54"/>
      <c r="W430" s="56"/>
      <c r="X430" s="119"/>
      <c r="Y430" s="113"/>
      <c r="Z430" s="113"/>
      <c r="AH430" s="106"/>
      <c r="AI430" s="106"/>
      <c r="AJ430" s="106"/>
      <c r="AK430" s="106"/>
      <c r="AL430" s="106"/>
      <c r="AM430" s="106"/>
      <c r="AN430" s="106"/>
    </row>
    <row r="431">
      <c r="A431" s="38"/>
      <c r="B431" s="38"/>
      <c r="C431" s="38"/>
      <c r="D431" s="38"/>
      <c r="E431" s="38"/>
      <c r="F431" s="41"/>
      <c r="G431" s="43"/>
      <c r="H431" s="45"/>
      <c r="I431" s="38"/>
      <c r="J431" s="38"/>
      <c r="K431" s="46"/>
      <c r="L431" s="47"/>
      <c r="M431" s="46"/>
      <c r="N431" s="46"/>
      <c r="O431" s="38"/>
      <c r="P431" s="38"/>
      <c r="Q431" s="12"/>
      <c r="R431" s="50"/>
      <c r="S431" s="50"/>
      <c r="T431" s="50"/>
      <c r="U431" s="53"/>
      <c r="V431" s="54"/>
      <c r="W431" s="56"/>
      <c r="X431" s="119"/>
      <c r="Y431" s="113"/>
      <c r="Z431" s="113"/>
      <c r="AH431" s="106"/>
      <c r="AI431" s="106"/>
      <c r="AJ431" s="106"/>
      <c r="AK431" s="106"/>
      <c r="AL431" s="106"/>
      <c r="AM431" s="106"/>
      <c r="AN431" s="106"/>
    </row>
    <row r="432">
      <c r="A432" s="38"/>
      <c r="B432" s="38"/>
      <c r="C432" s="38"/>
      <c r="D432" s="38"/>
      <c r="E432" s="38"/>
      <c r="F432" s="41"/>
      <c r="G432" s="43"/>
      <c r="H432" s="45"/>
      <c r="I432" s="38"/>
      <c r="J432" s="38"/>
      <c r="K432" s="46"/>
      <c r="L432" s="47"/>
      <c r="M432" s="46"/>
      <c r="N432" s="46"/>
      <c r="O432" s="38"/>
      <c r="P432" s="38"/>
      <c r="Q432" s="12"/>
      <c r="R432" s="50"/>
      <c r="S432" s="50"/>
      <c r="T432" s="50"/>
      <c r="U432" s="53"/>
      <c r="V432" s="54"/>
      <c r="W432" s="56"/>
      <c r="X432" s="119"/>
      <c r="Y432" s="113"/>
      <c r="Z432" s="113"/>
      <c r="AH432" s="106"/>
      <c r="AI432" s="106"/>
      <c r="AJ432" s="106"/>
      <c r="AK432" s="106"/>
      <c r="AL432" s="106"/>
      <c r="AM432" s="106"/>
      <c r="AN432" s="106"/>
    </row>
    <row r="433">
      <c r="A433" s="38"/>
      <c r="B433" s="38"/>
      <c r="C433" s="38"/>
      <c r="D433" s="38"/>
      <c r="E433" s="38"/>
      <c r="F433" s="41"/>
      <c r="G433" s="43"/>
      <c r="H433" s="45"/>
      <c r="I433" s="38"/>
      <c r="J433" s="38"/>
      <c r="K433" s="46"/>
      <c r="L433" s="47"/>
      <c r="M433" s="46"/>
      <c r="N433" s="46"/>
      <c r="O433" s="38"/>
      <c r="P433" s="38"/>
      <c r="Q433" s="12"/>
      <c r="R433" s="50"/>
      <c r="S433" s="50"/>
      <c r="T433" s="50"/>
      <c r="U433" s="53"/>
      <c r="V433" s="54"/>
      <c r="W433" s="56"/>
      <c r="X433" s="119"/>
      <c r="Y433" s="113"/>
      <c r="Z433" s="113"/>
      <c r="AH433" s="106"/>
      <c r="AI433" s="106"/>
      <c r="AJ433" s="106"/>
      <c r="AK433" s="106"/>
      <c r="AL433" s="106"/>
      <c r="AM433" s="106"/>
      <c r="AN433" s="106"/>
    </row>
    <row r="434">
      <c r="A434" s="38"/>
      <c r="B434" s="38"/>
      <c r="C434" s="38"/>
      <c r="D434" s="38"/>
      <c r="E434" s="38"/>
      <c r="F434" s="41"/>
      <c r="G434" s="43"/>
      <c r="H434" s="45"/>
      <c r="I434" s="38"/>
      <c r="J434" s="38"/>
      <c r="K434" s="46"/>
      <c r="L434" s="47"/>
      <c r="M434" s="46"/>
      <c r="N434" s="46"/>
      <c r="O434" s="38"/>
      <c r="P434" s="38"/>
      <c r="Q434" s="12"/>
      <c r="R434" s="50"/>
      <c r="S434" s="50"/>
      <c r="T434" s="50"/>
      <c r="U434" s="53"/>
      <c r="V434" s="54"/>
      <c r="W434" s="56"/>
      <c r="X434" s="119"/>
      <c r="Y434" s="113"/>
      <c r="Z434" s="113"/>
      <c r="AH434" s="106"/>
      <c r="AI434" s="106"/>
      <c r="AJ434" s="106"/>
      <c r="AK434" s="106"/>
      <c r="AL434" s="106"/>
      <c r="AM434" s="106"/>
      <c r="AN434" s="106"/>
    </row>
    <row r="435">
      <c r="A435" s="38"/>
      <c r="B435" s="38"/>
      <c r="C435" s="38"/>
      <c r="D435" s="38"/>
      <c r="E435" s="38"/>
      <c r="F435" s="41"/>
      <c r="G435" s="43"/>
      <c r="H435" s="45"/>
      <c r="I435" s="38"/>
      <c r="J435" s="38"/>
      <c r="K435" s="46"/>
      <c r="L435" s="47"/>
      <c r="M435" s="46"/>
      <c r="N435" s="46"/>
      <c r="O435" s="38"/>
      <c r="P435" s="38"/>
      <c r="Q435" s="12"/>
      <c r="R435" s="50"/>
      <c r="S435" s="50"/>
      <c r="T435" s="50"/>
      <c r="U435" s="53"/>
      <c r="V435" s="54"/>
      <c r="W435" s="56"/>
      <c r="X435" s="119"/>
      <c r="Y435" s="113"/>
      <c r="Z435" s="113"/>
      <c r="AH435" s="106"/>
      <c r="AI435" s="106"/>
      <c r="AJ435" s="106"/>
      <c r="AK435" s="106"/>
      <c r="AL435" s="106"/>
      <c r="AM435" s="106"/>
      <c r="AN435" s="106"/>
    </row>
    <row r="436">
      <c r="A436" s="38"/>
      <c r="B436" s="38"/>
      <c r="C436" s="38"/>
      <c r="D436" s="38"/>
      <c r="E436" s="38"/>
      <c r="F436" s="41"/>
      <c r="G436" s="43"/>
      <c r="H436" s="45"/>
      <c r="I436" s="38"/>
      <c r="J436" s="38"/>
      <c r="K436" s="46"/>
      <c r="L436" s="47"/>
      <c r="M436" s="46"/>
      <c r="N436" s="46"/>
      <c r="O436" s="38"/>
      <c r="P436" s="38"/>
      <c r="Q436" s="12"/>
      <c r="R436" s="50"/>
      <c r="S436" s="50"/>
      <c r="T436" s="50"/>
      <c r="U436" s="53"/>
      <c r="V436" s="54"/>
      <c r="W436" s="56"/>
      <c r="X436" s="119"/>
      <c r="Y436" s="113"/>
      <c r="Z436" s="113"/>
      <c r="AH436" s="106"/>
      <c r="AI436" s="106"/>
      <c r="AJ436" s="106"/>
      <c r="AK436" s="106"/>
      <c r="AL436" s="106"/>
      <c r="AM436" s="106"/>
      <c r="AN436" s="106"/>
    </row>
    <row r="437">
      <c r="A437" s="38"/>
      <c r="B437" s="38"/>
      <c r="C437" s="38"/>
      <c r="D437" s="38"/>
      <c r="E437" s="38"/>
      <c r="F437" s="41"/>
      <c r="G437" s="43"/>
      <c r="H437" s="45"/>
      <c r="I437" s="38"/>
      <c r="J437" s="38"/>
      <c r="K437" s="46"/>
      <c r="L437" s="47"/>
      <c r="M437" s="46"/>
      <c r="N437" s="46"/>
      <c r="O437" s="38"/>
      <c r="P437" s="38"/>
      <c r="Q437" s="12"/>
      <c r="R437" s="50"/>
      <c r="S437" s="50"/>
      <c r="T437" s="50"/>
      <c r="U437" s="53"/>
      <c r="V437" s="54"/>
      <c r="W437" s="56"/>
      <c r="X437" s="119"/>
      <c r="Y437" s="113"/>
      <c r="Z437" s="113"/>
      <c r="AH437" s="106"/>
      <c r="AI437" s="106"/>
      <c r="AJ437" s="106"/>
      <c r="AK437" s="106"/>
      <c r="AL437" s="106"/>
      <c r="AM437" s="106"/>
      <c r="AN437" s="106"/>
    </row>
    <row r="438">
      <c r="A438" s="38"/>
      <c r="B438" s="38"/>
      <c r="C438" s="38"/>
      <c r="D438" s="38"/>
      <c r="E438" s="38"/>
      <c r="F438" s="41"/>
      <c r="G438" s="43"/>
      <c r="H438" s="45"/>
      <c r="I438" s="38"/>
      <c r="J438" s="38"/>
      <c r="K438" s="46"/>
      <c r="L438" s="47"/>
      <c r="M438" s="46"/>
      <c r="N438" s="46"/>
      <c r="O438" s="38"/>
      <c r="P438" s="38"/>
      <c r="Q438" s="12"/>
      <c r="R438" s="50"/>
      <c r="S438" s="50"/>
      <c r="T438" s="50"/>
      <c r="U438" s="53"/>
      <c r="V438" s="54"/>
      <c r="W438" s="56"/>
      <c r="X438" s="119"/>
      <c r="Y438" s="113"/>
      <c r="Z438" s="113"/>
      <c r="AH438" s="106"/>
      <c r="AI438" s="106"/>
      <c r="AJ438" s="106"/>
      <c r="AK438" s="106"/>
      <c r="AL438" s="106"/>
      <c r="AM438" s="106"/>
      <c r="AN438" s="106"/>
    </row>
    <row r="439">
      <c r="A439" s="38"/>
      <c r="B439" s="38"/>
      <c r="C439" s="38"/>
      <c r="D439" s="38"/>
      <c r="E439" s="38"/>
      <c r="F439" s="41"/>
      <c r="G439" s="43"/>
      <c r="H439" s="45"/>
      <c r="I439" s="38"/>
      <c r="J439" s="38"/>
      <c r="K439" s="46"/>
      <c r="L439" s="47"/>
      <c r="M439" s="46"/>
      <c r="N439" s="46"/>
      <c r="O439" s="38"/>
      <c r="P439" s="38"/>
      <c r="Q439" s="12"/>
      <c r="R439" s="50"/>
      <c r="S439" s="50"/>
      <c r="T439" s="50"/>
      <c r="U439" s="53"/>
      <c r="V439" s="54"/>
      <c r="W439" s="56"/>
      <c r="X439" s="119"/>
      <c r="Y439" s="113"/>
      <c r="Z439" s="113"/>
      <c r="AH439" s="106"/>
      <c r="AI439" s="106"/>
      <c r="AJ439" s="106"/>
      <c r="AK439" s="106"/>
      <c r="AL439" s="106"/>
      <c r="AM439" s="106"/>
      <c r="AN439" s="106"/>
    </row>
    <row r="440">
      <c r="A440" s="38"/>
      <c r="B440" s="38"/>
      <c r="C440" s="38"/>
      <c r="D440" s="38"/>
      <c r="E440" s="38"/>
      <c r="F440" s="41"/>
      <c r="G440" s="43"/>
      <c r="H440" s="45"/>
      <c r="I440" s="38"/>
      <c r="J440" s="38"/>
      <c r="K440" s="46"/>
      <c r="L440" s="47"/>
      <c r="M440" s="46"/>
      <c r="N440" s="46"/>
      <c r="O440" s="38"/>
      <c r="P440" s="38"/>
      <c r="Q440" s="12"/>
      <c r="R440" s="50"/>
      <c r="S440" s="50"/>
      <c r="T440" s="50"/>
      <c r="U440" s="53"/>
      <c r="V440" s="54"/>
      <c r="W440" s="56"/>
      <c r="X440" s="119"/>
      <c r="Y440" s="113"/>
      <c r="Z440" s="113"/>
      <c r="AH440" s="106"/>
      <c r="AI440" s="106"/>
      <c r="AJ440" s="106"/>
      <c r="AK440" s="106"/>
      <c r="AL440" s="106"/>
      <c r="AM440" s="106"/>
      <c r="AN440" s="106"/>
    </row>
    <row r="441">
      <c r="A441" s="38"/>
      <c r="B441" s="38"/>
      <c r="C441" s="38"/>
      <c r="D441" s="38"/>
      <c r="E441" s="38"/>
      <c r="F441" s="41"/>
      <c r="G441" s="43"/>
      <c r="H441" s="45"/>
      <c r="I441" s="38"/>
      <c r="J441" s="38"/>
      <c r="K441" s="46"/>
      <c r="L441" s="47"/>
      <c r="M441" s="46"/>
      <c r="N441" s="46"/>
      <c r="O441" s="38"/>
      <c r="P441" s="38"/>
      <c r="Q441" s="12"/>
      <c r="R441" s="50"/>
      <c r="S441" s="50"/>
      <c r="T441" s="50"/>
      <c r="U441" s="53"/>
      <c r="V441" s="54"/>
      <c r="W441" s="56"/>
      <c r="X441" s="119"/>
      <c r="Y441" s="113"/>
      <c r="Z441" s="113"/>
      <c r="AH441" s="106"/>
      <c r="AI441" s="106"/>
      <c r="AJ441" s="106"/>
      <c r="AK441" s="106"/>
      <c r="AL441" s="106"/>
      <c r="AM441" s="106"/>
      <c r="AN441" s="106"/>
    </row>
    <row r="442">
      <c r="A442" s="38"/>
      <c r="B442" s="38"/>
      <c r="C442" s="38"/>
      <c r="D442" s="38"/>
      <c r="E442" s="38"/>
      <c r="F442" s="41"/>
      <c r="G442" s="43"/>
      <c r="H442" s="45"/>
      <c r="I442" s="38"/>
      <c r="J442" s="38"/>
      <c r="K442" s="46"/>
      <c r="L442" s="47"/>
      <c r="M442" s="46"/>
      <c r="N442" s="46"/>
      <c r="O442" s="38"/>
      <c r="P442" s="38"/>
      <c r="Q442" s="12"/>
      <c r="R442" s="50"/>
      <c r="S442" s="50"/>
      <c r="T442" s="50"/>
      <c r="U442" s="53"/>
      <c r="V442" s="54"/>
      <c r="W442" s="56"/>
      <c r="X442" s="119"/>
      <c r="Y442" s="113"/>
      <c r="Z442" s="113"/>
      <c r="AH442" s="106"/>
      <c r="AI442" s="106"/>
      <c r="AJ442" s="106"/>
      <c r="AK442" s="106"/>
      <c r="AL442" s="106"/>
      <c r="AM442" s="106"/>
      <c r="AN442" s="106"/>
    </row>
    <row r="443">
      <c r="A443" s="38"/>
      <c r="B443" s="38"/>
      <c r="C443" s="38"/>
      <c r="D443" s="38"/>
      <c r="E443" s="38"/>
      <c r="F443" s="41"/>
      <c r="G443" s="43"/>
      <c r="H443" s="45"/>
      <c r="I443" s="38"/>
      <c r="J443" s="38"/>
      <c r="K443" s="46"/>
      <c r="L443" s="47"/>
      <c r="M443" s="46"/>
      <c r="N443" s="46"/>
      <c r="O443" s="38"/>
      <c r="P443" s="38"/>
      <c r="Q443" s="12"/>
      <c r="R443" s="50"/>
      <c r="S443" s="50"/>
      <c r="T443" s="50"/>
      <c r="U443" s="53"/>
      <c r="V443" s="54"/>
      <c r="W443" s="56"/>
      <c r="X443" s="119"/>
      <c r="Y443" s="113"/>
      <c r="Z443" s="113"/>
      <c r="AH443" s="106"/>
      <c r="AI443" s="106"/>
      <c r="AJ443" s="106"/>
      <c r="AK443" s="106"/>
      <c r="AL443" s="106"/>
      <c r="AM443" s="106"/>
      <c r="AN443" s="106"/>
    </row>
    <row r="444">
      <c r="A444" s="38"/>
      <c r="B444" s="38"/>
      <c r="C444" s="38"/>
      <c r="D444" s="38"/>
      <c r="E444" s="38"/>
      <c r="F444" s="41"/>
      <c r="G444" s="43"/>
      <c r="H444" s="45"/>
      <c r="I444" s="38"/>
      <c r="J444" s="38"/>
      <c r="K444" s="46"/>
      <c r="L444" s="47"/>
      <c r="M444" s="46"/>
      <c r="N444" s="46"/>
      <c r="O444" s="38"/>
      <c r="P444" s="38"/>
      <c r="Q444" s="12"/>
      <c r="R444" s="50"/>
      <c r="S444" s="50"/>
      <c r="T444" s="50"/>
      <c r="U444" s="53"/>
      <c r="V444" s="54"/>
      <c r="W444" s="56"/>
      <c r="X444" s="119"/>
      <c r="Y444" s="113"/>
      <c r="Z444" s="113"/>
      <c r="AH444" s="106"/>
      <c r="AI444" s="106"/>
      <c r="AJ444" s="106"/>
      <c r="AK444" s="106"/>
      <c r="AL444" s="106"/>
      <c r="AM444" s="106"/>
      <c r="AN444" s="106"/>
    </row>
    <row r="445">
      <c r="A445" s="38"/>
      <c r="B445" s="38"/>
      <c r="C445" s="38"/>
      <c r="D445" s="38"/>
      <c r="E445" s="38"/>
      <c r="F445" s="41"/>
      <c r="G445" s="43"/>
      <c r="H445" s="45"/>
      <c r="I445" s="38"/>
      <c r="J445" s="38"/>
      <c r="K445" s="46"/>
      <c r="L445" s="47"/>
      <c r="M445" s="46"/>
      <c r="N445" s="46"/>
      <c r="O445" s="38"/>
      <c r="P445" s="38"/>
      <c r="Q445" s="12"/>
      <c r="R445" s="50"/>
      <c r="S445" s="50"/>
      <c r="T445" s="50"/>
      <c r="U445" s="53"/>
      <c r="V445" s="54"/>
      <c r="W445" s="56"/>
      <c r="X445" s="119"/>
      <c r="Y445" s="113"/>
      <c r="Z445" s="113"/>
      <c r="AH445" s="106"/>
      <c r="AI445" s="106"/>
      <c r="AJ445" s="106"/>
      <c r="AK445" s="106"/>
      <c r="AL445" s="106"/>
      <c r="AM445" s="106"/>
      <c r="AN445" s="106"/>
    </row>
    <row r="446">
      <c r="A446" s="38"/>
      <c r="B446" s="38"/>
      <c r="C446" s="38"/>
      <c r="D446" s="38"/>
      <c r="E446" s="38"/>
      <c r="F446" s="41"/>
      <c r="G446" s="43"/>
      <c r="H446" s="45"/>
      <c r="I446" s="38"/>
      <c r="J446" s="38"/>
      <c r="K446" s="46"/>
      <c r="L446" s="47"/>
      <c r="M446" s="46"/>
      <c r="N446" s="46"/>
      <c r="O446" s="38"/>
      <c r="P446" s="38"/>
      <c r="Q446" s="12"/>
      <c r="R446" s="50"/>
      <c r="S446" s="50"/>
      <c r="T446" s="50"/>
      <c r="U446" s="53"/>
      <c r="V446" s="54"/>
      <c r="W446" s="56"/>
      <c r="X446" s="119"/>
      <c r="Y446" s="113"/>
      <c r="Z446" s="113"/>
      <c r="AH446" s="106"/>
      <c r="AI446" s="106"/>
      <c r="AJ446" s="106"/>
      <c r="AK446" s="106"/>
      <c r="AL446" s="106"/>
      <c r="AM446" s="106"/>
      <c r="AN446" s="106"/>
    </row>
    <row r="447">
      <c r="A447" s="38"/>
      <c r="B447" s="38"/>
      <c r="C447" s="38"/>
      <c r="D447" s="38"/>
      <c r="E447" s="38"/>
      <c r="F447" s="41"/>
      <c r="G447" s="43"/>
      <c r="H447" s="45"/>
      <c r="I447" s="38"/>
      <c r="J447" s="38"/>
      <c r="K447" s="46"/>
      <c r="L447" s="47"/>
      <c r="M447" s="46"/>
      <c r="N447" s="46"/>
      <c r="O447" s="38"/>
      <c r="P447" s="38"/>
      <c r="Q447" s="12"/>
      <c r="R447" s="50"/>
      <c r="S447" s="50"/>
      <c r="T447" s="50"/>
      <c r="U447" s="53"/>
      <c r="V447" s="54"/>
      <c r="W447" s="56"/>
      <c r="X447" s="119"/>
      <c r="Y447" s="113"/>
      <c r="Z447" s="113"/>
      <c r="AH447" s="106"/>
      <c r="AI447" s="106"/>
      <c r="AJ447" s="106"/>
      <c r="AK447" s="106"/>
      <c r="AL447" s="106"/>
      <c r="AM447" s="106"/>
      <c r="AN447" s="106"/>
    </row>
    <row r="448">
      <c r="A448" s="38"/>
      <c r="B448" s="38"/>
      <c r="C448" s="38"/>
      <c r="D448" s="38"/>
      <c r="E448" s="38"/>
      <c r="F448" s="41"/>
      <c r="G448" s="43"/>
      <c r="H448" s="45"/>
      <c r="I448" s="38"/>
      <c r="J448" s="38"/>
      <c r="K448" s="46"/>
      <c r="L448" s="47"/>
      <c r="M448" s="46"/>
      <c r="N448" s="46"/>
      <c r="O448" s="38"/>
      <c r="P448" s="38"/>
      <c r="Q448" s="12"/>
      <c r="R448" s="50"/>
      <c r="S448" s="50"/>
      <c r="T448" s="50"/>
      <c r="U448" s="53"/>
      <c r="V448" s="54"/>
      <c r="W448" s="56"/>
      <c r="X448" s="119"/>
      <c r="Y448" s="113"/>
      <c r="Z448" s="113"/>
      <c r="AH448" s="106"/>
      <c r="AI448" s="106"/>
      <c r="AJ448" s="106"/>
      <c r="AK448" s="106"/>
      <c r="AL448" s="106"/>
      <c r="AM448" s="106"/>
      <c r="AN448" s="106"/>
    </row>
    <row r="449">
      <c r="A449" s="38"/>
      <c r="B449" s="38"/>
      <c r="C449" s="38"/>
      <c r="D449" s="38"/>
      <c r="E449" s="38"/>
      <c r="F449" s="41"/>
      <c r="G449" s="43"/>
      <c r="H449" s="45"/>
      <c r="I449" s="38"/>
      <c r="J449" s="38"/>
      <c r="K449" s="46"/>
      <c r="L449" s="47"/>
      <c r="M449" s="46"/>
      <c r="N449" s="46"/>
      <c r="O449" s="38"/>
      <c r="P449" s="38"/>
      <c r="Q449" s="12"/>
      <c r="R449" s="50"/>
      <c r="S449" s="50"/>
      <c r="T449" s="50"/>
      <c r="U449" s="53"/>
      <c r="V449" s="54"/>
      <c r="W449" s="56"/>
      <c r="X449" s="119"/>
      <c r="Y449" s="113"/>
      <c r="Z449" s="113"/>
      <c r="AH449" s="106"/>
      <c r="AI449" s="106"/>
      <c r="AJ449" s="106"/>
      <c r="AK449" s="106"/>
      <c r="AL449" s="106"/>
      <c r="AM449" s="106"/>
      <c r="AN449" s="106"/>
    </row>
    <row r="450">
      <c r="A450" s="38"/>
      <c r="B450" s="38"/>
      <c r="C450" s="38"/>
      <c r="D450" s="38"/>
      <c r="E450" s="38"/>
      <c r="F450" s="41"/>
      <c r="G450" s="43"/>
      <c r="H450" s="45"/>
      <c r="I450" s="38"/>
      <c r="J450" s="38"/>
      <c r="K450" s="46"/>
      <c r="L450" s="47"/>
      <c r="M450" s="46"/>
      <c r="N450" s="46"/>
      <c r="O450" s="38"/>
      <c r="P450" s="38"/>
      <c r="Q450" s="12"/>
      <c r="R450" s="50"/>
      <c r="S450" s="50"/>
      <c r="T450" s="50"/>
      <c r="U450" s="53"/>
      <c r="V450" s="54"/>
      <c r="W450" s="56"/>
      <c r="X450" s="119"/>
      <c r="Y450" s="113"/>
      <c r="Z450" s="113"/>
      <c r="AH450" s="106"/>
      <c r="AI450" s="106"/>
      <c r="AJ450" s="106"/>
      <c r="AK450" s="106"/>
      <c r="AL450" s="106"/>
      <c r="AM450" s="106"/>
      <c r="AN450" s="106"/>
    </row>
    <row r="451">
      <c r="A451" s="38"/>
      <c r="B451" s="38"/>
      <c r="C451" s="38"/>
      <c r="D451" s="38"/>
      <c r="E451" s="38"/>
      <c r="F451" s="41"/>
      <c r="G451" s="43"/>
      <c r="H451" s="45"/>
      <c r="I451" s="38"/>
      <c r="J451" s="38"/>
      <c r="K451" s="46"/>
      <c r="L451" s="47"/>
      <c r="M451" s="46"/>
      <c r="N451" s="46"/>
      <c r="O451" s="38"/>
      <c r="P451" s="38"/>
      <c r="Q451" s="12"/>
      <c r="R451" s="50"/>
      <c r="S451" s="50"/>
      <c r="T451" s="50"/>
      <c r="U451" s="53"/>
      <c r="V451" s="54"/>
      <c r="W451" s="56"/>
      <c r="X451" s="119"/>
      <c r="Y451" s="113"/>
      <c r="Z451" s="113"/>
      <c r="AH451" s="106"/>
      <c r="AI451" s="106"/>
      <c r="AJ451" s="106"/>
      <c r="AK451" s="106"/>
      <c r="AL451" s="106"/>
      <c r="AM451" s="106"/>
      <c r="AN451" s="106"/>
    </row>
    <row r="452">
      <c r="A452" s="38"/>
      <c r="B452" s="38"/>
      <c r="C452" s="38"/>
      <c r="D452" s="38"/>
      <c r="E452" s="38"/>
      <c r="F452" s="41"/>
      <c r="G452" s="43"/>
      <c r="H452" s="45"/>
      <c r="I452" s="38"/>
      <c r="J452" s="38"/>
      <c r="K452" s="46"/>
      <c r="L452" s="47"/>
      <c r="M452" s="46"/>
      <c r="N452" s="46"/>
      <c r="O452" s="38"/>
      <c r="P452" s="38"/>
      <c r="Q452" s="12"/>
      <c r="R452" s="50"/>
      <c r="S452" s="50"/>
      <c r="T452" s="50"/>
      <c r="U452" s="53"/>
      <c r="V452" s="54"/>
      <c r="W452" s="56"/>
      <c r="X452" s="119"/>
      <c r="Y452" s="113"/>
      <c r="Z452" s="113"/>
      <c r="AH452" s="106"/>
      <c r="AI452" s="106"/>
      <c r="AJ452" s="106"/>
      <c r="AK452" s="106"/>
      <c r="AL452" s="106"/>
      <c r="AM452" s="106"/>
      <c r="AN452" s="106"/>
    </row>
    <row r="453">
      <c r="A453" s="38"/>
      <c r="B453" s="38"/>
      <c r="C453" s="38"/>
      <c r="D453" s="38"/>
      <c r="E453" s="38"/>
      <c r="F453" s="41"/>
      <c r="G453" s="43"/>
      <c r="H453" s="45"/>
      <c r="I453" s="38"/>
      <c r="J453" s="38"/>
      <c r="K453" s="46"/>
      <c r="L453" s="47"/>
      <c r="M453" s="46"/>
      <c r="N453" s="46"/>
      <c r="O453" s="38"/>
      <c r="P453" s="38"/>
      <c r="Q453" s="12"/>
      <c r="R453" s="50"/>
      <c r="S453" s="50"/>
      <c r="T453" s="50"/>
      <c r="U453" s="53"/>
      <c r="V453" s="54"/>
      <c r="W453" s="56"/>
      <c r="X453" s="119"/>
      <c r="Y453" s="113"/>
      <c r="Z453" s="113"/>
      <c r="AH453" s="106"/>
      <c r="AI453" s="106"/>
      <c r="AJ453" s="106"/>
      <c r="AK453" s="106"/>
      <c r="AL453" s="106"/>
      <c r="AM453" s="106"/>
      <c r="AN453" s="106"/>
    </row>
    <row r="454">
      <c r="A454" s="38"/>
      <c r="B454" s="38"/>
      <c r="C454" s="38"/>
      <c r="D454" s="38"/>
      <c r="E454" s="38"/>
      <c r="F454" s="41"/>
      <c r="G454" s="43"/>
      <c r="H454" s="45"/>
      <c r="I454" s="38"/>
      <c r="J454" s="38"/>
      <c r="K454" s="46"/>
      <c r="L454" s="47"/>
      <c r="M454" s="46"/>
      <c r="N454" s="46"/>
      <c r="O454" s="38"/>
      <c r="P454" s="38"/>
      <c r="Q454" s="12"/>
      <c r="R454" s="50"/>
      <c r="S454" s="50"/>
      <c r="T454" s="50"/>
      <c r="U454" s="53"/>
      <c r="V454" s="54"/>
      <c r="W454" s="56"/>
      <c r="X454" s="119"/>
      <c r="Y454" s="113"/>
      <c r="Z454" s="113"/>
      <c r="AH454" s="106"/>
      <c r="AI454" s="106"/>
      <c r="AJ454" s="106"/>
      <c r="AK454" s="106"/>
      <c r="AL454" s="106"/>
      <c r="AM454" s="106"/>
      <c r="AN454" s="106"/>
    </row>
    <row r="455">
      <c r="A455" s="38"/>
      <c r="B455" s="38"/>
      <c r="C455" s="38"/>
      <c r="D455" s="38"/>
      <c r="E455" s="38"/>
      <c r="F455" s="41"/>
      <c r="G455" s="43"/>
      <c r="H455" s="45"/>
      <c r="I455" s="38"/>
      <c r="J455" s="38"/>
      <c r="K455" s="46"/>
      <c r="L455" s="47"/>
      <c r="M455" s="46"/>
      <c r="N455" s="46"/>
      <c r="O455" s="38"/>
      <c r="P455" s="38"/>
      <c r="Q455" s="12"/>
      <c r="R455" s="50"/>
      <c r="S455" s="50"/>
      <c r="T455" s="50"/>
      <c r="U455" s="53"/>
      <c r="V455" s="54"/>
      <c r="W455" s="56"/>
      <c r="X455" s="119"/>
      <c r="Y455" s="113"/>
      <c r="Z455" s="113"/>
      <c r="AH455" s="106"/>
      <c r="AI455" s="106"/>
      <c r="AJ455" s="106"/>
      <c r="AK455" s="106"/>
      <c r="AL455" s="106"/>
      <c r="AM455" s="106"/>
      <c r="AN455" s="106"/>
    </row>
    <row r="456">
      <c r="A456" s="38"/>
      <c r="B456" s="38"/>
      <c r="C456" s="38"/>
      <c r="D456" s="38"/>
      <c r="E456" s="38"/>
      <c r="F456" s="41"/>
      <c r="G456" s="43"/>
      <c r="H456" s="45"/>
      <c r="I456" s="38"/>
      <c r="J456" s="38"/>
      <c r="K456" s="46"/>
      <c r="L456" s="47"/>
      <c r="M456" s="46"/>
      <c r="N456" s="46"/>
      <c r="O456" s="38"/>
      <c r="P456" s="38"/>
      <c r="Q456" s="12"/>
      <c r="R456" s="50"/>
      <c r="S456" s="50"/>
      <c r="T456" s="50"/>
      <c r="U456" s="53"/>
      <c r="V456" s="54"/>
      <c r="W456" s="56"/>
      <c r="X456" s="119"/>
      <c r="Y456" s="113"/>
      <c r="Z456" s="113"/>
      <c r="AH456" s="106"/>
      <c r="AI456" s="106"/>
      <c r="AJ456" s="106"/>
      <c r="AK456" s="106"/>
      <c r="AL456" s="106"/>
      <c r="AM456" s="106"/>
      <c r="AN456" s="106"/>
    </row>
    <row r="457">
      <c r="A457" s="38"/>
      <c r="B457" s="38"/>
      <c r="C457" s="38"/>
      <c r="D457" s="38"/>
      <c r="E457" s="38"/>
      <c r="F457" s="41"/>
      <c r="G457" s="43"/>
      <c r="H457" s="45"/>
      <c r="I457" s="38"/>
      <c r="J457" s="38"/>
      <c r="K457" s="46"/>
      <c r="L457" s="47"/>
      <c r="M457" s="46"/>
      <c r="N457" s="46"/>
      <c r="O457" s="38"/>
      <c r="P457" s="38"/>
      <c r="Q457" s="12"/>
      <c r="R457" s="50"/>
      <c r="S457" s="50"/>
      <c r="T457" s="50"/>
      <c r="U457" s="53"/>
      <c r="V457" s="54"/>
      <c r="W457" s="56"/>
      <c r="X457" s="119"/>
      <c r="Y457" s="113"/>
      <c r="Z457" s="113"/>
      <c r="AH457" s="106"/>
      <c r="AI457" s="106"/>
      <c r="AJ457" s="106"/>
      <c r="AK457" s="106"/>
      <c r="AL457" s="106"/>
      <c r="AM457" s="106"/>
      <c r="AN457" s="106"/>
    </row>
    <row r="458">
      <c r="A458" s="38"/>
      <c r="B458" s="38"/>
      <c r="C458" s="38"/>
      <c r="D458" s="38"/>
      <c r="E458" s="38"/>
      <c r="F458" s="41"/>
      <c r="G458" s="43"/>
      <c r="H458" s="45"/>
      <c r="I458" s="38"/>
      <c r="J458" s="38"/>
      <c r="K458" s="46"/>
      <c r="L458" s="47"/>
      <c r="M458" s="46"/>
      <c r="N458" s="46"/>
      <c r="O458" s="38"/>
      <c r="P458" s="38"/>
      <c r="Q458" s="12"/>
      <c r="R458" s="50"/>
      <c r="S458" s="50"/>
      <c r="T458" s="50"/>
      <c r="U458" s="53"/>
      <c r="V458" s="54"/>
      <c r="W458" s="56"/>
      <c r="X458" s="119"/>
      <c r="Y458" s="113"/>
      <c r="Z458" s="113"/>
      <c r="AH458" s="106"/>
      <c r="AI458" s="106"/>
      <c r="AJ458" s="106"/>
      <c r="AK458" s="106"/>
      <c r="AL458" s="106"/>
      <c r="AM458" s="106"/>
      <c r="AN458" s="106"/>
    </row>
    <row r="459">
      <c r="A459" s="38"/>
      <c r="B459" s="38"/>
      <c r="C459" s="38"/>
      <c r="D459" s="38"/>
      <c r="E459" s="38"/>
      <c r="F459" s="41"/>
      <c r="G459" s="43"/>
      <c r="H459" s="45"/>
      <c r="I459" s="38"/>
      <c r="J459" s="38"/>
      <c r="K459" s="46"/>
      <c r="L459" s="47"/>
      <c r="M459" s="46"/>
      <c r="N459" s="46"/>
      <c r="O459" s="38"/>
      <c r="P459" s="38"/>
      <c r="Q459" s="12"/>
      <c r="R459" s="50"/>
      <c r="S459" s="50"/>
      <c r="T459" s="50"/>
      <c r="U459" s="53"/>
      <c r="V459" s="54"/>
      <c r="W459" s="56"/>
      <c r="X459" s="119"/>
      <c r="Y459" s="113"/>
      <c r="Z459" s="113"/>
      <c r="AH459" s="106"/>
      <c r="AI459" s="106"/>
      <c r="AJ459" s="106"/>
      <c r="AK459" s="106"/>
      <c r="AL459" s="106"/>
      <c r="AM459" s="106"/>
      <c r="AN459" s="106"/>
    </row>
    <row r="460">
      <c r="A460" s="38"/>
      <c r="B460" s="38"/>
      <c r="C460" s="38"/>
      <c r="D460" s="38"/>
      <c r="E460" s="38"/>
      <c r="F460" s="41"/>
      <c r="G460" s="43"/>
      <c r="H460" s="45"/>
      <c r="I460" s="38"/>
      <c r="J460" s="38"/>
      <c r="K460" s="46"/>
      <c r="L460" s="47"/>
      <c r="M460" s="46"/>
      <c r="N460" s="46"/>
      <c r="O460" s="38"/>
      <c r="P460" s="38"/>
      <c r="Q460" s="12"/>
      <c r="R460" s="50"/>
      <c r="S460" s="50"/>
      <c r="T460" s="50"/>
      <c r="U460" s="53"/>
      <c r="V460" s="54"/>
      <c r="W460" s="56"/>
      <c r="X460" s="119"/>
      <c r="Y460" s="113"/>
      <c r="Z460" s="113"/>
      <c r="AH460" s="106"/>
      <c r="AI460" s="106"/>
      <c r="AJ460" s="106"/>
      <c r="AK460" s="106"/>
      <c r="AL460" s="106"/>
      <c r="AM460" s="106"/>
      <c r="AN460" s="106"/>
    </row>
    <row r="461">
      <c r="A461" s="38"/>
      <c r="B461" s="38"/>
      <c r="C461" s="38"/>
      <c r="D461" s="38"/>
      <c r="E461" s="38"/>
      <c r="F461" s="41"/>
      <c r="G461" s="43"/>
      <c r="H461" s="45"/>
      <c r="I461" s="38"/>
      <c r="J461" s="38"/>
      <c r="K461" s="46"/>
      <c r="L461" s="47"/>
      <c r="M461" s="46"/>
      <c r="N461" s="46"/>
      <c r="O461" s="38"/>
      <c r="P461" s="38"/>
      <c r="Q461" s="12"/>
      <c r="R461" s="50"/>
      <c r="S461" s="50"/>
      <c r="T461" s="50"/>
      <c r="U461" s="53"/>
      <c r="V461" s="54"/>
      <c r="W461" s="56"/>
      <c r="X461" s="119"/>
      <c r="Y461" s="113"/>
      <c r="Z461" s="113"/>
      <c r="AH461" s="106"/>
      <c r="AI461" s="106"/>
      <c r="AJ461" s="106"/>
      <c r="AK461" s="106"/>
      <c r="AL461" s="106"/>
      <c r="AM461" s="106"/>
      <c r="AN461" s="106"/>
    </row>
    <row r="462">
      <c r="A462" s="38"/>
      <c r="B462" s="38"/>
      <c r="C462" s="38"/>
      <c r="D462" s="38"/>
      <c r="E462" s="38"/>
      <c r="F462" s="41"/>
      <c r="G462" s="43"/>
      <c r="H462" s="45"/>
      <c r="I462" s="38"/>
      <c r="J462" s="38"/>
      <c r="K462" s="46"/>
      <c r="L462" s="47"/>
      <c r="M462" s="46"/>
      <c r="N462" s="46"/>
      <c r="O462" s="38"/>
      <c r="P462" s="38"/>
      <c r="Q462" s="12"/>
      <c r="R462" s="50"/>
      <c r="S462" s="50"/>
      <c r="T462" s="50"/>
      <c r="U462" s="53"/>
      <c r="V462" s="54"/>
      <c r="W462" s="56"/>
      <c r="X462" s="119"/>
      <c r="Y462" s="113"/>
      <c r="Z462" s="113"/>
      <c r="AH462" s="106"/>
      <c r="AI462" s="106"/>
      <c r="AJ462" s="106"/>
      <c r="AK462" s="106"/>
      <c r="AL462" s="106"/>
      <c r="AM462" s="106"/>
      <c r="AN462" s="106"/>
    </row>
    <row r="463">
      <c r="A463" s="38"/>
      <c r="B463" s="38"/>
      <c r="C463" s="38"/>
      <c r="D463" s="38"/>
      <c r="E463" s="38"/>
      <c r="F463" s="41"/>
      <c r="G463" s="43"/>
      <c r="H463" s="45"/>
      <c r="I463" s="38"/>
      <c r="J463" s="38"/>
      <c r="K463" s="46"/>
      <c r="L463" s="47"/>
      <c r="M463" s="46"/>
      <c r="N463" s="46"/>
      <c r="O463" s="38"/>
      <c r="P463" s="38"/>
      <c r="Q463" s="12"/>
      <c r="R463" s="50"/>
      <c r="S463" s="50"/>
      <c r="T463" s="50"/>
      <c r="U463" s="53"/>
      <c r="V463" s="54"/>
      <c r="W463" s="56"/>
      <c r="X463" s="119"/>
      <c r="Y463" s="113"/>
      <c r="Z463" s="113"/>
      <c r="AH463" s="106"/>
      <c r="AI463" s="106"/>
      <c r="AJ463" s="106"/>
      <c r="AK463" s="106"/>
      <c r="AL463" s="106"/>
      <c r="AM463" s="106"/>
      <c r="AN463" s="106"/>
    </row>
    <row r="464">
      <c r="A464" s="38"/>
      <c r="B464" s="38"/>
      <c r="C464" s="38"/>
      <c r="D464" s="38"/>
      <c r="E464" s="38"/>
      <c r="F464" s="41"/>
      <c r="G464" s="43"/>
      <c r="H464" s="45"/>
      <c r="I464" s="38"/>
      <c r="J464" s="38"/>
      <c r="K464" s="46"/>
      <c r="L464" s="47"/>
      <c r="M464" s="46"/>
      <c r="N464" s="46"/>
      <c r="O464" s="38"/>
      <c r="P464" s="38"/>
      <c r="Q464" s="12"/>
      <c r="R464" s="50"/>
      <c r="S464" s="50"/>
      <c r="T464" s="50"/>
      <c r="U464" s="53"/>
      <c r="V464" s="54"/>
      <c r="W464" s="56"/>
      <c r="X464" s="119"/>
      <c r="Y464" s="113"/>
      <c r="Z464" s="113"/>
      <c r="AH464" s="106"/>
      <c r="AI464" s="106"/>
      <c r="AJ464" s="106"/>
      <c r="AK464" s="106"/>
      <c r="AL464" s="106"/>
      <c r="AM464" s="106"/>
      <c r="AN464" s="106"/>
    </row>
    <row r="465">
      <c r="A465" s="38"/>
      <c r="B465" s="38"/>
      <c r="C465" s="38"/>
      <c r="D465" s="38"/>
      <c r="E465" s="38"/>
      <c r="F465" s="41"/>
      <c r="G465" s="43"/>
      <c r="H465" s="45"/>
      <c r="I465" s="38"/>
      <c r="J465" s="38"/>
      <c r="K465" s="46"/>
      <c r="L465" s="47"/>
      <c r="M465" s="46"/>
      <c r="N465" s="46"/>
      <c r="O465" s="38"/>
      <c r="P465" s="38"/>
      <c r="Q465" s="12"/>
      <c r="R465" s="50"/>
      <c r="S465" s="50"/>
      <c r="T465" s="50"/>
      <c r="U465" s="53"/>
      <c r="V465" s="54"/>
      <c r="W465" s="56"/>
      <c r="X465" s="119"/>
      <c r="Y465" s="113"/>
      <c r="Z465" s="113"/>
      <c r="AH465" s="106"/>
      <c r="AI465" s="106"/>
      <c r="AJ465" s="106"/>
      <c r="AK465" s="106"/>
      <c r="AL465" s="106"/>
      <c r="AM465" s="106"/>
      <c r="AN465" s="106"/>
    </row>
    <row r="466">
      <c r="A466" s="38"/>
      <c r="B466" s="38"/>
      <c r="C466" s="38"/>
      <c r="D466" s="38"/>
      <c r="E466" s="38"/>
      <c r="F466" s="41"/>
      <c r="G466" s="43"/>
      <c r="H466" s="45"/>
      <c r="I466" s="38"/>
      <c r="J466" s="38"/>
      <c r="K466" s="46"/>
      <c r="L466" s="47"/>
      <c r="M466" s="46"/>
      <c r="N466" s="46"/>
      <c r="O466" s="38"/>
      <c r="P466" s="38"/>
      <c r="Q466" s="12"/>
      <c r="R466" s="50"/>
      <c r="S466" s="50"/>
      <c r="T466" s="50"/>
      <c r="U466" s="53"/>
      <c r="V466" s="54"/>
      <c r="W466" s="56"/>
      <c r="X466" s="119"/>
      <c r="Y466" s="113"/>
      <c r="Z466" s="113"/>
      <c r="AH466" s="106"/>
      <c r="AI466" s="106"/>
      <c r="AJ466" s="106"/>
      <c r="AK466" s="106"/>
      <c r="AL466" s="106"/>
      <c r="AM466" s="106"/>
      <c r="AN466" s="106"/>
    </row>
    <row r="467">
      <c r="A467" s="38"/>
      <c r="B467" s="38"/>
      <c r="C467" s="38"/>
      <c r="D467" s="38"/>
      <c r="E467" s="38"/>
      <c r="F467" s="41"/>
      <c r="G467" s="43"/>
      <c r="H467" s="45"/>
      <c r="I467" s="38"/>
      <c r="J467" s="38"/>
      <c r="K467" s="46"/>
      <c r="L467" s="47"/>
      <c r="M467" s="46"/>
      <c r="N467" s="46"/>
      <c r="O467" s="38"/>
      <c r="P467" s="38"/>
      <c r="Q467" s="12"/>
      <c r="R467" s="50"/>
      <c r="S467" s="50"/>
      <c r="T467" s="50"/>
      <c r="U467" s="53"/>
      <c r="V467" s="54"/>
      <c r="W467" s="56"/>
      <c r="X467" s="119"/>
      <c r="Y467" s="113"/>
      <c r="Z467" s="113"/>
      <c r="AH467" s="106"/>
      <c r="AI467" s="106"/>
      <c r="AJ467" s="106"/>
      <c r="AK467" s="106"/>
      <c r="AL467" s="106"/>
      <c r="AM467" s="106"/>
      <c r="AN467" s="106"/>
    </row>
    <row r="468">
      <c r="A468" s="38"/>
      <c r="B468" s="38"/>
      <c r="C468" s="38"/>
      <c r="D468" s="38"/>
      <c r="E468" s="38"/>
      <c r="F468" s="41"/>
      <c r="G468" s="43"/>
      <c r="H468" s="45"/>
      <c r="I468" s="38"/>
      <c r="J468" s="38"/>
      <c r="K468" s="46"/>
      <c r="L468" s="47"/>
      <c r="M468" s="46"/>
      <c r="N468" s="46"/>
      <c r="O468" s="38"/>
      <c r="P468" s="38"/>
      <c r="Q468" s="12"/>
      <c r="R468" s="50"/>
      <c r="S468" s="50"/>
      <c r="T468" s="50"/>
      <c r="U468" s="53"/>
      <c r="V468" s="54"/>
      <c r="W468" s="56"/>
      <c r="X468" s="119"/>
      <c r="Y468" s="113"/>
      <c r="Z468" s="113"/>
      <c r="AH468" s="106"/>
      <c r="AI468" s="106"/>
      <c r="AJ468" s="106"/>
      <c r="AK468" s="106"/>
      <c r="AL468" s="106"/>
      <c r="AM468" s="106"/>
      <c r="AN468" s="106"/>
    </row>
    <row r="469">
      <c r="A469" s="38"/>
      <c r="B469" s="38"/>
      <c r="C469" s="38"/>
      <c r="D469" s="38"/>
      <c r="E469" s="38"/>
      <c r="F469" s="41"/>
      <c r="G469" s="43"/>
      <c r="H469" s="45"/>
      <c r="I469" s="38"/>
      <c r="J469" s="38"/>
      <c r="K469" s="46"/>
      <c r="L469" s="47"/>
      <c r="M469" s="46"/>
      <c r="N469" s="46"/>
      <c r="O469" s="38"/>
      <c r="P469" s="38"/>
      <c r="Q469" s="12"/>
      <c r="R469" s="50"/>
      <c r="S469" s="50"/>
      <c r="T469" s="50"/>
      <c r="U469" s="53"/>
      <c r="V469" s="54"/>
      <c r="W469" s="56"/>
      <c r="X469" s="119"/>
      <c r="Y469" s="113"/>
      <c r="Z469" s="113"/>
      <c r="AH469" s="106"/>
      <c r="AI469" s="106"/>
      <c r="AJ469" s="106"/>
      <c r="AK469" s="106"/>
      <c r="AL469" s="106"/>
      <c r="AM469" s="106"/>
      <c r="AN469" s="106"/>
    </row>
    <row r="470">
      <c r="A470" s="38"/>
      <c r="B470" s="38"/>
      <c r="C470" s="38"/>
      <c r="D470" s="38"/>
      <c r="E470" s="38"/>
      <c r="F470" s="41"/>
      <c r="G470" s="43"/>
      <c r="H470" s="45"/>
      <c r="I470" s="38"/>
      <c r="J470" s="38"/>
      <c r="K470" s="46"/>
      <c r="L470" s="47"/>
      <c r="M470" s="46"/>
      <c r="N470" s="46"/>
      <c r="O470" s="38"/>
      <c r="P470" s="38"/>
      <c r="Q470" s="12"/>
      <c r="R470" s="50"/>
      <c r="S470" s="50"/>
      <c r="T470" s="50"/>
      <c r="U470" s="53"/>
      <c r="V470" s="54"/>
      <c r="W470" s="56"/>
      <c r="X470" s="119"/>
      <c r="Y470" s="113"/>
      <c r="Z470" s="113"/>
      <c r="AH470" s="106"/>
      <c r="AI470" s="106"/>
      <c r="AJ470" s="106"/>
      <c r="AK470" s="106"/>
      <c r="AL470" s="106"/>
      <c r="AM470" s="106"/>
      <c r="AN470" s="106"/>
    </row>
    <row r="471">
      <c r="A471" s="38"/>
      <c r="B471" s="38"/>
      <c r="C471" s="38"/>
      <c r="D471" s="38"/>
      <c r="E471" s="38"/>
      <c r="F471" s="41"/>
      <c r="G471" s="43"/>
      <c r="H471" s="45"/>
      <c r="I471" s="38"/>
      <c r="J471" s="38"/>
      <c r="K471" s="46"/>
      <c r="L471" s="47"/>
      <c r="M471" s="46"/>
      <c r="N471" s="46"/>
      <c r="O471" s="38"/>
      <c r="P471" s="38"/>
      <c r="Q471" s="12"/>
      <c r="R471" s="50"/>
      <c r="S471" s="50"/>
      <c r="T471" s="50"/>
      <c r="U471" s="53"/>
      <c r="V471" s="54"/>
      <c r="W471" s="56"/>
      <c r="X471" s="119"/>
      <c r="Y471" s="113"/>
      <c r="Z471" s="113"/>
      <c r="AH471" s="106"/>
      <c r="AI471" s="106"/>
      <c r="AJ471" s="106"/>
      <c r="AK471" s="106"/>
      <c r="AL471" s="106"/>
      <c r="AM471" s="106"/>
      <c r="AN471" s="106"/>
    </row>
    <row r="472">
      <c r="A472" s="38"/>
      <c r="B472" s="38"/>
      <c r="C472" s="38"/>
      <c r="D472" s="38"/>
      <c r="E472" s="38"/>
      <c r="F472" s="41"/>
      <c r="G472" s="43"/>
      <c r="H472" s="45"/>
      <c r="I472" s="38"/>
      <c r="J472" s="38"/>
      <c r="K472" s="46"/>
      <c r="L472" s="47"/>
      <c r="M472" s="46"/>
      <c r="N472" s="46"/>
      <c r="O472" s="38"/>
      <c r="P472" s="38"/>
      <c r="Q472" s="12"/>
      <c r="R472" s="50"/>
      <c r="S472" s="50"/>
      <c r="T472" s="50"/>
      <c r="U472" s="53"/>
      <c r="V472" s="54"/>
      <c r="W472" s="56"/>
      <c r="X472" s="119"/>
      <c r="Y472" s="113"/>
      <c r="Z472" s="113"/>
      <c r="AH472" s="106"/>
      <c r="AI472" s="106"/>
      <c r="AJ472" s="106"/>
      <c r="AK472" s="106"/>
      <c r="AL472" s="106"/>
      <c r="AM472" s="106"/>
      <c r="AN472" s="106"/>
    </row>
    <row r="473">
      <c r="A473" s="38"/>
      <c r="B473" s="38"/>
      <c r="C473" s="38"/>
      <c r="D473" s="38"/>
      <c r="E473" s="38"/>
      <c r="F473" s="41"/>
      <c r="G473" s="43"/>
      <c r="H473" s="45"/>
      <c r="I473" s="38"/>
      <c r="J473" s="38"/>
      <c r="K473" s="46"/>
      <c r="L473" s="47"/>
      <c r="M473" s="46"/>
      <c r="N473" s="46"/>
      <c r="O473" s="38"/>
      <c r="P473" s="38"/>
      <c r="Q473" s="12"/>
      <c r="R473" s="50"/>
      <c r="S473" s="50"/>
      <c r="T473" s="50"/>
      <c r="U473" s="53"/>
      <c r="V473" s="54"/>
      <c r="W473" s="56"/>
      <c r="X473" s="119"/>
      <c r="Y473" s="113"/>
      <c r="Z473" s="113"/>
      <c r="AH473" s="106"/>
      <c r="AI473" s="106"/>
      <c r="AJ473" s="106"/>
      <c r="AK473" s="106"/>
      <c r="AL473" s="106"/>
      <c r="AM473" s="106"/>
      <c r="AN473" s="106"/>
    </row>
    <row r="474">
      <c r="A474" s="38"/>
      <c r="B474" s="38"/>
      <c r="C474" s="38"/>
      <c r="D474" s="38"/>
      <c r="E474" s="38"/>
      <c r="F474" s="41"/>
      <c r="G474" s="43"/>
      <c r="H474" s="45"/>
      <c r="I474" s="38"/>
      <c r="J474" s="38"/>
      <c r="K474" s="46"/>
      <c r="L474" s="47"/>
      <c r="M474" s="46"/>
      <c r="N474" s="46"/>
      <c r="O474" s="38"/>
      <c r="P474" s="38"/>
      <c r="Q474" s="12"/>
      <c r="R474" s="50"/>
      <c r="S474" s="50"/>
      <c r="T474" s="50"/>
      <c r="U474" s="53"/>
      <c r="V474" s="54"/>
      <c r="W474" s="56"/>
      <c r="X474" s="119"/>
      <c r="Y474" s="113"/>
      <c r="Z474" s="113"/>
      <c r="AH474" s="106"/>
      <c r="AI474" s="106"/>
      <c r="AJ474" s="106"/>
      <c r="AK474" s="106"/>
      <c r="AL474" s="106"/>
      <c r="AM474" s="106"/>
      <c r="AN474" s="106"/>
    </row>
    <row r="475">
      <c r="A475" s="38"/>
      <c r="B475" s="38"/>
      <c r="C475" s="38"/>
      <c r="D475" s="38"/>
      <c r="E475" s="38"/>
      <c r="F475" s="41"/>
      <c r="G475" s="43"/>
      <c r="H475" s="45"/>
      <c r="I475" s="38"/>
      <c r="J475" s="38"/>
      <c r="K475" s="46"/>
      <c r="L475" s="47"/>
      <c r="M475" s="46"/>
      <c r="N475" s="46"/>
      <c r="O475" s="38"/>
      <c r="P475" s="38"/>
      <c r="Q475" s="12"/>
      <c r="R475" s="50"/>
      <c r="S475" s="50"/>
      <c r="T475" s="50"/>
      <c r="U475" s="53"/>
      <c r="V475" s="54"/>
      <c r="W475" s="56"/>
      <c r="X475" s="119"/>
      <c r="Y475" s="113"/>
      <c r="Z475" s="113"/>
      <c r="AH475" s="106"/>
      <c r="AI475" s="106"/>
      <c r="AJ475" s="106"/>
      <c r="AK475" s="106"/>
      <c r="AL475" s="106"/>
      <c r="AM475" s="106"/>
      <c r="AN475" s="106"/>
    </row>
    <row r="476">
      <c r="A476" s="38"/>
      <c r="B476" s="38"/>
      <c r="C476" s="38"/>
      <c r="D476" s="38"/>
      <c r="E476" s="38"/>
      <c r="F476" s="41"/>
      <c r="G476" s="43"/>
      <c r="H476" s="45"/>
      <c r="I476" s="38"/>
      <c r="J476" s="38"/>
      <c r="K476" s="46"/>
      <c r="L476" s="47"/>
      <c r="M476" s="46"/>
      <c r="N476" s="46"/>
      <c r="O476" s="38"/>
      <c r="P476" s="38"/>
      <c r="Q476" s="12"/>
      <c r="R476" s="50"/>
      <c r="S476" s="50"/>
      <c r="T476" s="50"/>
      <c r="U476" s="53"/>
      <c r="V476" s="54"/>
      <c r="W476" s="56"/>
      <c r="X476" s="119"/>
      <c r="Y476" s="113"/>
      <c r="Z476" s="113"/>
      <c r="AH476" s="106"/>
      <c r="AI476" s="106"/>
      <c r="AJ476" s="106"/>
      <c r="AK476" s="106"/>
      <c r="AL476" s="106"/>
      <c r="AM476" s="106"/>
      <c r="AN476" s="106"/>
    </row>
    <row r="477">
      <c r="A477" s="38"/>
      <c r="B477" s="38"/>
      <c r="C477" s="38"/>
      <c r="D477" s="38"/>
      <c r="E477" s="38"/>
      <c r="F477" s="41"/>
      <c r="G477" s="43"/>
      <c r="H477" s="45"/>
      <c r="I477" s="38"/>
      <c r="J477" s="38"/>
      <c r="K477" s="46"/>
      <c r="L477" s="47"/>
      <c r="M477" s="46"/>
      <c r="N477" s="46"/>
      <c r="O477" s="38"/>
      <c r="P477" s="38"/>
      <c r="Q477" s="12"/>
      <c r="R477" s="50"/>
      <c r="S477" s="50"/>
      <c r="T477" s="50"/>
      <c r="U477" s="53"/>
      <c r="V477" s="54"/>
      <c r="W477" s="56"/>
      <c r="X477" s="119"/>
      <c r="Y477" s="113"/>
      <c r="Z477" s="113"/>
      <c r="AH477" s="106"/>
      <c r="AI477" s="106"/>
      <c r="AJ477" s="106"/>
      <c r="AK477" s="106"/>
      <c r="AL477" s="106"/>
      <c r="AM477" s="106"/>
      <c r="AN477" s="106"/>
    </row>
    <row r="478">
      <c r="A478" s="38"/>
      <c r="B478" s="38"/>
      <c r="C478" s="38"/>
      <c r="D478" s="38"/>
      <c r="E478" s="38"/>
      <c r="F478" s="41"/>
      <c r="G478" s="43"/>
      <c r="H478" s="45"/>
      <c r="I478" s="38"/>
      <c r="J478" s="38"/>
      <c r="K478" s="46"/>
      <c r="L478" s="47"/>
      <c r="M478" s="46"/>
      <c r="N478" s="46"/>
      <c r="O478" s="38"/>
      <c r="P478" s="38"/>
      <c r="Q478" s="12"/>
      <c r="R478" s="50"/>
      <c r="S478" s="50"/>
      <c r="T478" s="50"/>
      <c r="U478" s="53"/>
      <c r="V478" s="54"/>
      <c r="W478" s="56"/>
      <c r="X478" s="119"/>
      <c r="Y478" s="113"/>
      <c r="Z478" s="113"/>
      <c r="AH478" s="106"/>
      <c r="AI478" s="106"/>
      <c r="AJ478" s="106"/>
      <c r="AK478" s="106"/>
      <c r="AL478" s="106"/>
      <c r="AM478" s="106"/>
      <c r="AN478" s="106"/>
    </row>
    <row r="479">
      <c r="A479" s="38"/>
      <c r="B479" s="38"/>
      <c r="C479" s="38"/>
      <c r="D479" s="38"/>
      <c r="E479" s="38"/>
      <c r="F479" s="41"/>
      <c r="G479" s="43"/>
      <c r="H479" s="45"/>
      <c r="I479" s="38"/>
      <c r="J479" s="38"/>
      <c r="K479" s="46"/>
      <c r="L479" s="47"/>
      <c r="M479" s="46"/>
      <c r="N479" s="46"/>
      <c r="O479" s="38"/>
      <c r="P479" s="38"/>
      <c r="Q479" s="12"/>
      <c r="R479" s="50"/>
      <c r="S479" s="50"/>
      <c r="T479" s="50"/>
      <c r="U479" s="53"/>
      <c r="V479" s="54"/>
      <c r="W479" s="56"/>
      <c r="X479" s="119"/>
      <c r="Y479" s="113"/>
      <c r="Z479" s="113"/>
      <c r="AH479" s="106"/>
      <c r="AI479" s="106"/>
      <c r="AJ479" s="106"/>
      <c r="AK479" s="106"/>
      <c r="AL479" s="106"/>
      <c r="AM479" s="106"/>
      <c r="AN479" s="106"/>
    </row>
    <row r="480">
      <c r="A480" s="38"/>
      <c r="B480" s="38"/>
      <c r="C480" s="38"/>
      <c r="D480" s="38"/>
      <c r="E480" s="38"/>
      <c r="F480" s="41"/>
      <c r="G480" s="43"/>
      <c r="H480" s="45"/>
      <c r="I480" s="38"/>
      <c r="J480" s="38"/>
      <c r="K480" s="46"/>
      <c r="L480" s="47"/>
      <c r="M480" s="46"/>
      <c r="N480" s="46"/>
      <c r="O480" s="38"/>
      <c r="P480" s="38"/>
      <c r="Q480" s="12"/>
      <c r="R480" s="50"/>
      <c r="S480" s="50"/>
      <c r="T480" s="50"/>
      <c r="U480" s="53"/>
      <c r="V480" s="54"/>
      <c r="W480" s="56"/>
      <c r="X480" s="119"/>
      <c r="Y480" s="113"/>
      <c r="Z480" s="113"/>
      <c r="AH480" s="106"/>
      <c r="AI480" s="106"/>
      <c r="AJ480" s="106"/>
      <c r="AK480" s="106"/>
      <c r="AL480" s="106"/>
      <c r="AM480" s="106"/>
      <c r="AN480" s="106"/>
    </row>
    <row r="481">
      <c r="A481" s="38"/>
      <c r="B481" s="38"/>
      <c r="C481" s="38"/>
      <c r="D481" s="38"/>
      <c r="E481" s="38"/>
      <c r="F481" s="41"/>
      <c r="G481" s="43"/>
      <c r="H481" s="45"/>
      <c r="I481" s="38"/>
      <c r="J481" s="38"/>
      <c r="K481" s="46"/>
      <c r="L481" s="47"/>
      <c r="M481" s="46"/>
      <c r="N481" s="46"/>
      <c r="O481" s="38"/>
      <c r="P481" s="38"/>
      <c r="Q481" s="12"/>
      <c r="R481" s="50"/>
      <c r="S481" s="50"/>
      <c r="T481" s="50"/>
      <c r="U481" s="53"/>
      <c r="V481" s="54"/>
      <c r="W481" s="56"/>
      <c r="X481" s="119"/>
      <c r="Y481" s="113"/>
      <c r="Z481" s="113"/>
      <c r="AH481" s="106"/>
      <c r="AI481" s="106"/>
      <c r="AJ481" s="106"/>
      <c r="AK481" s="106"/>
      <c r="AL481" s="106"/>
      <c r="AM481" s="106"/>
      <c r="AN481" s="106"/>
    </row>
    <row r="482">
      <c r="A482" s="38"/>
      <c r="B482" s="38"/>
      <c r="C482" s="38"/>
      <c r="D482" s="38"/>
      <c r="E482" s="38"/>
      <c r="F482" s="41"/>
      <c r="G482" s="43"/>
      <c r="H482" s="45"/>
      <c r="I482" s="38"/>
      <c r="J482" s="38"/>
      <c r="K482" s="46"/>
      <c r="L482" s="47"/>
      <c r="M482" s="46"/>
      <c r="N482" s="46"/>
      <c r="O482" s="38"/>
      <c r="P482" s="38"/>
      <c r="Q482" s="12"/>
      <c r="R482" s="50"/>
      <c r="S482" s="50"/>
      <c r="T482" s="50"/>
      <c r="U482" s="53"/>
      <c r="V482" s="54"/>
      <c r="W482" s="56"/>
      <c r="X482" s="119"/>
      <c r="Y482" s="113"/>
      <c r="Z482" s="113"/>
      <c r="AH482" s="106"/>
      <c r="AI482" s="106"/>
      <c r="AJ482" s="106"/>
      <c r="AK482" s="106"/>
      <c r="AL482" s="106"/>
      <c r="AM482" s="106"/>
      <c r="AN482" s="106"/>
    </row>
    <row r="483">
      <c r="A483" s="38"/>
      <c r="B483" s="38"/>
      <c r="C483" s="38"/>
      <c r="D483" s="38"/>
      <c r="E483" s="38"/>
      <c r="F483" s="41"/>
      <c r="G483" s="43"/>
      <c r="H483" s="45"/>
      <c r="I483" s="38"/>
      <c r="J483" s="38"/>
      <c r="K483" s="46"/>
      <c r="L483" s="47"/>
      <c r="M483" s="46"/>
      <c r="N483" s="46"/>
      <c r="O483" s="38"/>
      <c r="P483" s="38"/>
      <c r="Q483" s="12"/>
      <c r="R483" s="50"/>
      <c r="S483" s="50"/>
      <c r="T483" s="50"/>
      <c r="U483" s="53"/>
      <c r="V483" s="54"/>
      <c r="W483" s="56"/>
      <c r="X483" s="119"/>
      <c r="Y483" s="113"/>
      <c r="Z483" s="113"/>
      <c r="AH483" s="106"/>
      <c r="AI483" s="106"/>
      <c r="AJ483" s="106"/>
      <c r="AK483" s="106"/>
      <c r="AL483" s="106"/>
      <c r="AM483" s="106"/>
      <c r="AN483" s="106"/>
    </row>
    <row r="484">
      <c r="A484" s="38"/>
      <c r="B484" s="38"/>
      <c r="C484" s="38"/>
      <c r="D484" s="38"/>
      <c r="E484" s="38"/>
      <c r="F484" s="41"/>
      <c r="G484" s="43"/>
      <c r="H484" s="45"/>
      <c r="I484" s="38"/>
      <c r="J484" s="38"/>
      <c r="K484" s="46"/>
      <c r="L484" s="47"/>
      <c r="M484" s="46"/>
      <c r="N484" s="46"/>
      <c r="O484" s="38"/>
      <c r="P484" s="38"/>
      <c r="Q484" s="12"/>
      <c r="R484" s="50"/>
      <c r="S484" s="50"/>
      <c r="T484" s="50"/>
      <c r="U484" s="53"/>
      <c r="V484" s="54"/>
      <c r="W484" s="56"/>
      <c r="X484" s="119"/>
      <c r="Y484" s="113"/>
      <c r="Z484" s="113"/>
      <c r="AH484" s="106"/>
      <c r="AI484" s="106"/>
      <c r="AJ484" s="106"/>
      <c r="AK484" s="106"/>
      <c r="AL484" s="106"/>
      <c r="AM484" s="106"/>
      <c r="AN484" s="106"/>
    </row>
    <row r="485">
      <c r="A485" s="38"/>
      <c r="B485" s="38"/>
      <c r="C485" s="38"/>
      <c r="D485" s="38"/>
      <c r="E485" s="38"/>
      <c r="F485" s="41"/>
      <c r="G485" s="43"/>
      <c r="H485" s="45"/>
      <c r="I485" s="38"/>
      <c r="J485" s="38"/>
      <c r="K485" s="46"/>
      <c r="L485" s="47"/>
      <c r="M485" s="46"/>
      <c r="N485" s="46"/>
      <c r="O485" s="38"/>
      <c r="P485" s="38"/>
      <c r="Q485" s="12"/>
      <c r="R485" s="50"/>
      <c r="S485" s="50"/>
      <c r="T485" s="50"/>
      <c r="U485" s="53"/>
      <c r="V485" s="54"/>
      <c r="W485" s="56"/>
      <c r="X485" s="119"/>
      <c r="Y485" s="113"/>
      <c r="Z485" s="113"/>
      <c r="AH485" s="106"/>
      <c r="AI485" s="106"/>
      <c r="AJ485" s="106"/>
      <c r="AK485" s="106"/>
      <c r="AL485" s="106"/>
      <c r="AM485" s="106"/>
      <c r="AN485" s="106"/>
    </row>
    <row r="486">
      <c r="A486" s="38"/>
      <c r="B486" s="38"/>
      <c r="C486" s="38"/>
      <c r="D486" s="38"/>
      <c r="E486" s="38"/>
      <c r="F486" s="41"/>
      <c r="G486" s="43"/>
      <c r="H486" s="45"/>
      <c r="I486" s="38"/>
      <c r="J486" s="38"/>
      <c r="K486" s="46"/>
      <c r="L486" s="47"/>
      <c r="M486" s="46"/>
      <c r="N486" s="46"/>
      <c r="O486" s="38"/>
      <c r="P486" s="38"/>
      <c r="Q486" s="12"/>
      <c r="R486" s="50"/>
      <c r="S486" s="50"/>
      <c r="T486" s="50"/>
      <c r="U486" s="53"/>
      <c r="V486" s="54"/>
      <c r="W486" s="56"/>
      <c r="X486" s="119"/>
      <c r="Y486" s="113"/>
      <c r="Z486" s="113"/>
      <c r="AH486" s="106"/>
      <c r="AI486" s="106"/>
      <c r="AJ486" s="106"/>
      <c r="AK486" s="106"/>
      <c r="AL486" s="106"/>
      <c r="AM486" s="106"/>
      <c r="AN486" s="106"/>
    </row>
    <row r="487">
      <c r="A487" s="38"/>
      <c r="B487" s="38"/>
      <c r="C487" s="38"/>
      <c r="D487" s="38"/>
      <c r="E487" s="38"/>
      <c r="F487" s="41"/>
      <c r="G487" s="43"/>
      <c r="H487" s="45"/>
      <c r="I487" s="38"/>
      <c r="J487" s="38"/>
      <c r="K487" s="46"/>
      <c r="L487" s="47"/>
      <c r="M487" s="46"/>
      <c r="N487" s="46"/>
      <c r="O487" s="38"/>
      <c r="P487" s="38"/>
      <c r="Q487" s="12"/>
      <c r="R487" s="50"/>
      <c r="S487" s="50"/>
      <c r="T487" s="50"/>
      <c r="U487" s="53"/>
      <c r="V487" s="54"/>
      <c r="W487" s="56"/>
      <c r="X487" s="119"/>
      <c r="Y487" s="113"/>
      <c r="Z487" s="113"/>
      <c r="AH487" s="106"/>
      <c r="AI487" s="106"/>
      <c r="AJ487" s="106"/>
      <c r="AK487" s="106"/>
      <c r="AL487" s="106"/>
      <c r="AM487" s="106"/>
      <c r="AN487" s="106"/>
    </row>
    <row r="488">
      <c r="A488" s="38"/>
      <c r="B488" s="38"/>
      <c r="C488" s="38"/>
      <c r="D488" s="38"/>
      <c r="E488" s="38"/>
      <c r="F488" s="41"/>
      <c r="G488" s="43"/>
      <c r="H488" s="45"/>
      <c r="I488" s="38"/>
      <c r="J488" s="38"/>
      <c r="K488" s="46"/>
      <c r="L488" s="47"/>
      <c r="M488" s="46"/>
      <c r="N488" s="46"/>
      <c r="O488" s="38"/>
      <c r="P488" s="38"/>
      <c r="Q488" s="12"/>
      <c r="R488" s="50"/>
      <c r="S488" s="50"/>
      <c r="T488" s="50"/>
      <c r="U488" s="53"/>
      <c r="V488" s="54"/>
      <c r="W488" s="56"/>
      <c r="X488" s="119"/>
      <c r="Y488" s="113"/>
      <c r="Z488" s="113"/>
      <c r="AH488" s="106"/>
      <c r="AI488" s="106"/>
      <c r="AJ488" s="106"/>
      <c r="AK488" s="106"/>
      <c r="AL488" s="106"/>
      <c r="AM488" s="106"/>
      <c r="AN488" s="106"/>
    </row>
    <row r="489">
      <c r="A489" s="38"/>
      <c r="B489" s="38"/>
      <c r="C489" s="38"/>
      <c r="D489" s="38"/>
      <c r="E489" s="38"/>
      <c r="F489" s="41"/>
      <c r="G489" s="43"/>
      <c r="H489" s="45"/>
      <c r="I489" s="38"/>
      <c r="J489" s="38"/>
      <c r="K489" s="46"/>
      <c r="L489" s="47"/>
      <c r="M489" s="46"/>
      <c r="N489" s="46"/>
      <c r="O489" s="38"/>
      <c r="P489" s="38"/>
      <c r="Q489" s="12"/>
      <c r="R489" s="50"/>
      <c r="S489" s="50"/>
      <c r="T489" s="50"/>
      <c r="U489" s="53"/>
      <c r="V489" s="54"/>
      <c r="W489" s="56"/>
      <c r="X489" s="119"/>
      <c r="Y489" s="113"/>
      <c r="Z489" s="113"/>
      <c r="AH489" s="106"/>
      <c r="AI489" s="106"/>
      <c r="AJ489" s="106"/>
      <c r="AK489" s="106"/>
      <c r="AL489" s="106"/>
      <c r="AM489" s="106"/>
      <c r="AN489" s="106"/>
    </row>
    <row r="490">
      <c r="A490" s="38"/>
      <c r="B490" s="38"/>
      <c r="C490" s="38"/>
      <c r="D490" s="38"/>
      <c r="E490" s="38"/>
      <c r="F490" s="41"/>
      <c r="G490" s="43"/>
      <c r="H490" s="45"/>
      <c r="I490" s="38"/>
      <c r="J490" s="38"/>
      <c r="K490" s="46"/>
      <c r="L490" s="47"/>
      <c r="M490" s="46"/>
      <c r="N490" s="46"/>
      <c r="O490" s="38"/>
      <c r="P490" s="38"/>
      <c r="Q490" s="12"/>
      <c r="R490" s="50"/>
      <c r="S490" s="50"/>
      <c r="T490" s="50"/>
      <c r="U490" s="53"/>
      <c r="V490" s="54"/>
      <c r="W490" s="56"/>
      <c r="X490" s="119"/>
      <c r="Y490" s="113"/>
      <c r="Z490" s="113"/>
      <c r="AH490" s="106"/>
      <c r="AI490" s="106"/>
      <c r="AJ490" s="106"/>
      <c r="AK490" s="106"/>
      <c r="AL490" s="106"/>
      <c r="AM490" s="106"/>
      <c r="AN490" s="106"/>
    </row>
    <row r="491">
      <c r="A491" s="38"/>
      <c r="B491" s="38"/>
      <c r="C491" s="38"/>
      <c r="D491" s="38"/>
      <c r="E491" s="38"/>
      <c r="F491" s="41"/>
      <c r="G491" s="43"/>
      <c r="H491" s="45"/>
      <c r="I491" s="38"/>
      <c r="J491" s="38"/>
      <c r="K491" s="46"/>
      <c r="L491" s="47"/>
      <c r="M491" s="46"/>
      <c r="N491" s="46"/>
      <c r="O491" s="38"/>
      <c r="P491" s="38"/>
      <c r="Q491" s="12"/>
      <c r="R491" s="50"/>
      <c r="S491" s="50"/>
      <c r="T491" s="50"/>
      <c r="U491" s="53"/>
      <c r="V491" s="54"/>
      <c r="W491" s="56"/>
      <c r="X491" s="119"/>
      <c r="Y491" s="113"/>
      <c r="Z491" s="113"/>
      <c r="AH491" s="106"/>
      <c r="AI491" s="106"/>
      <c r="AJ491" s="106"/>
      <c r="AK491" s="106"/>
      <c r="AL491" s="106"/>
      <c r="AM491" s="106"/>
      <c r="AN491" s="106"/>
    </row>
    <row r="492">
      <c r="A492" s="38"/>
      <c r="B492" s="38"/>
      <c r="C492" s="38"/>
      <c r="D492" s="38"/>
      <c r="E492" s="38"/>
      <c r="F492" s="41"/>
      <c r="G492" s="43"/>
      <c r="H492" s="45"/>
      <c r="I492" s="38"/>
      <c r="J492" s="38"/>
      <c r="K492" s="46"/>
      <c r="L492" s="47"/>
      <c r="M492" s="46"/>
      <c r="N492" s="46"/>
      <c r="O492" s="38"/>
      <c r="P492" s="38"/>
      <c r="Q492" s="12"/>
      <c r="R492" s="50"/>
      <c r="S492" s="50"/>
      <c r="T492" s="50"/>
      <c r="U492" s="53"/>
      <c r="V492" s="54"/>
      <c r="W492" s="56"/>
      <c r="X492" s="119"/>
      <c r="Y492" s="113"/>
      <c r="Z492" s="113"/>
      <c r="AH492" s="106"/>
      <c r="AI492" s="106"/>
      <c r="AJ492" s="106"/>
      <c r="AK492" s="106"/>
      <c r="AL492" s="106"/>
      <c r="AM492" s="106"/>
      <c r="AN492" s="106"/>
    </row>
    <row r="493">
      <c r="A493" s="38"/>
      <c r="B493" s="38"/>
      <c r="C493" s="38"/>
      <c r="D493" s="38"/>
      <c r="E493" s="38"/>
      <c r="F493" s="41"/>
      <c r="G493" s="43"/>
      <c r="H493" s="45"/>
      <c r="I493" s="38"/>
      <c r="J493" s="38"/>
      <c r="K493" s="46"/>
      <c r="L493" s="47"/>
      <c r="M493" s="46"/>
      <c r="N493" s="46"/>
      <c r="O493" s="38"/>
      <c r="P493" s="38"/>
      <c r="Q493" s="12"/>
      <c r="R493" s="50"/>
      <c r="S493" s="50"/>
      <c r="T493" s="50"/>
      <c r="U493" s="53"/>
      <c r="V493" s="54"/>
      <c r="W493" s="56"/>
      <c r="X493" s="119"/>
      <c r="Y493" s="113"/>
      <c r="Z493" s="113"/>
      <c r="AH493" s="106"/>
      <c r="AI493" s="106"/>
      <c r="AJ493" s="106"/>
      <c r="AK493" s="106"/>
      <c r="AL493" s="106"/>
      <c r="AM493" s="106"/>
      <c r="AN493" s="106"/>
    </row>
    <row r="494">
      <c r="A494" s="38"/>
      <c r="B494" s="38"/>
      <c r="C494" s="38"/>
      <c r="D494" s="38"/>
      <c r="E494" s="38"/>
      <c r="F494" s="41"/>
      <c r="G494" s="43"/>
      <c r="H494" s="45"/>
      <c r="I494" s="38"/>
      <c r="J494" s="38"/>
      <c r="K494" s="46"/>
      <c r="L494" s="47"/>
      <c r="M494" s="46"/>
      <c r="N494" s="46"/>
      <c r="O494" s="38"/>
      <c r="P494" s="38"/>
      <c r="Q494" s="12"/>
      <c r="R494" s="50"/>
      <c r="S494" s="50"/>
      <c r="T494" s="50"/>
      <c r="U494" s="53"/>
      <c r="V494" s="54"/>
      <c r="W494" s="56"/>
      <c r="X494" s="119"/>
      <c r="Y494" s="113"/>
      <c r="Z494" s="113"/>
      <c r="AH494" s="106"/>
      <c r="AI494" s="106"/>
      <c r="AJ494" s="106"/>
      <c r="AK494" s="106"/>
      <c r="AL494" s="106"/>
      <c r="AM494" s="106"/>
      <c r="AN494" s="106"/>
    </row>
    <row r="495">
      <c r="A495" s="38"/>
      <c r="B495" s="38"/>
      <c r="C495" s="38"/>
      <c r="D495" s="38"/>
      <c r="E495" s="38"/>
      <c r="F495" s="41"/>
      <c r="G495" s="43"/>
      <c r="H495" s="45"/>
      <c r="I495" s="38"/>
      <c r="J495" s="38"/>
      <c r="K495" s="46"/>
      <c r="L495" s="47"/>
      <c r="M495" s="46"/>
      <c r="N495" s="46"/>
      <c r="O495" s="38"/>
      <c r="P495" s="38"/>
      <c r="Q495" s="12"/>
      <c r="R495" s="50"/>
      <c r="S495" s="50"/>
      <c r="T495" s="50"/>
      <c r="U495" s="53"/>
      <c r="V495" s="54"/>
      <c r="W495" s="56"/>
      <c r="X495" s="119"/>
      <c r="Y495" s="113"/>
      <c r="Z495" s="113"/>
      <c r="AH495" s="106"/>
      <c r="AI495" s="106"/>
      <c r="AJ495" s="106"/>
      <c r="AK495" s="106"/>
      <c r="AL495" s="106"/>
      <c r="AM495" s="106"/>
      <c r="AN495" s="106"/>
    </row>
    <row r="496">
      <c r="A496" s="38"/>
      <c r="B496" s="38"/>
      <c r="C496" s="38"/>
      <c r="D496" s="38"/>
      <c r="E496" s="38"/>
      <c r="F496" s="41"/>
      <c r="G496" s="43"/>
      <c r="H496" s="45"/>
      <c r="I496" s="38"/>
      <c r="J496" s="38"/>
      <c r="K496" s="46"/>
      <c r="L496" s="47"/>
      <c r="M496" s="46"/>
      <c r="N496" s="46"/>
      <c r="O496" s="38"/>
      <c r="P496" s="38"/>
      <c r="Q496" s="12"/>
      <c r="R496" s="50"/>
      <c r="S496" s="50"/>
      <c r="T496" s="50"/>
      <c r="U496" s="53"/>
      <c r="V496" s="54"/>
      <c r="W496" s="56"/>
      <c r="X496" s="119"/>
      <c r="Y496" s="113"/>
      <c r="Z496" s="113"/>
      <c r="AH496" s="106"/>
      <c r="AI496" s="106"/>
      <c r="AJ496" s="106"/>
      <c r="AK496" s="106"/>
      <c r="AL496" s="106"/>
      <c r="AM496" s="106"/>
      <c r="AN496" s="106"/>
    </row>
    <row r="497">
      <c r="A497" s="38"/>
      <c r="B497" s="38"/>
      <c r="C497" s="38"/>
      <c r="D497" s="38"/>
      <c r="E497" s="38"/>
      <c r="F497" s="41"/>
      <c r="G497" s="43"/>
      <c r="H497" s="45"/>
      <c r="I497" s="38"/>
      <c r="J497" s="38"/>
      <c r="K497" s="46"/>
      <c r="L497" s="47"/>
      <c r="M497" s="46"/>
      <c r="N497" s="46"/>
      <c r="O497" s="38"/>
      <c r="P497" s="38"/>
      <c r="Q497" s="12"/>
      <c r="R497" s="50"/>
      <c r="S497" s="50"/>
      <c r="T497" s="50"/>
      <c r="U497" s="53"/>
      <c r="V497" s="54"/>
      <c r="W497" s="56"/>
      <c r="X497" s="119"/>
      <c r="Y497" s="113"/>
      <c r="Z497" s="113"/>
      <c r="AH497" s="106"/>
      <c r="AI497" s="106"/>
      <c r="AJ497" s="106"/>
      <c r="AK497" s="106"/>
      <c r="AL497" s="106"/>
      <c r="AM497" s="106"/>
      <c r="AN497" s="106"/>
    </row>
    <row r="498">
      <c r="A498" s="38"/>
      <c r="B498" s="38"/>
      <c r="C498" s="38"/>
      <c r="D498" s="38"/>
      <c r="E498" s="38"/>
      <c r="F498" s="41"/>
      <c r="G498" s="43"/>
      <c r="H498" s="45"/>
      <c r="I498" s="38"/>
      <c r="J498" s="38"/>
      <c r="K498" s="46"/>
      <c r="L498" s="47"/>
      <c r="M498" s="46"/>
      <c r="N498" s="46"/>
      <c r="O498" s="38"/>
      <c r="P498" s="38"/>
      <c r="Q498" s="12"/>
      <c r="R498" s="50"/>
      <c r="S498" s="50"/>
      <c r="T498" s="50"/>
      <c r="U498" s="53"/>
      <c r="V498" s="54"/>
      <c r="W498" s="56"/>
      <c r="X498" s="119"/>
      <c r="Y498" s="113"/>
      <c r="Z498" s="113"/>
      <c r="AH498" s="106"/>
      <c r="AI498" s="106"/>
      <c r="AJ498" s="106"/>
      <c r="AK498" s="106"/>
      <c r="AL498" s="106"/>
      <c r="AM498" s="106"/>
      <c r="AN498" s="106"/>
    </row>
    <row r="499">
      <c r="A499" s="38"/>
      <c r="B499" s="38"/>
      <c r="C499" s="38"/>
      <c r="D499" s="38"/>
      <c r="E499" s="38"/>
      <c r="F499" s="41"/>
      <c r="G499" s="43"/>
      <c r="H499" s="45"/>
      <c r="I499" s="38"/>
      <c r="J499" s="38"/>
      <c r="K499" s="46"/>
      <c r="L499" s="47"/>
      <c r="M499" s="46"/>
      <c r="N499" s="46"/>
      <c r="O499" s="38"/>
      <c r="P499" s="38"/>
      <c r="Q499" s="12"/>
      <c r="R499" s="50"/>
      <c r="S499" s="50"/>
      <c r="T499" s="50"/>
      <c r="U499" s="53"/>
      <c r="V499" s="54"/>
      <c r="W499" s="56"/>
      <c r="X499" s="119"/>
      <c r="Y499" s="113"/>
      <c r="Z499" s="113"/>
      <c r="AH499" s="106"/>
      <c r="AI499" s="106"/>
      <c r="AJ499" s="106"/>
      <c r="AK499" s="106"/>
      <c r="AL499" s="106"/>
      <c r="AM499" s="106"/>
      <c r="AN499" s="106"/>
    </row>
    <row r="500">
      <c r="A500" s="38"/>
      <c r="B500" s="38"/>
      <c r="C500" s="38"/>
      <c r="D500" s="38"/>
      <c r="E500" s="38"/>
      <c r="F500" s="41"/>
      <c r="G500" s="43"/>
      <c r="H500" s="45"/>
      <c r="I500" s="38"/>
      <c r="J500" s="38"/>
      <c r="K500" s="46"/>
      <c r="L500" s="47"/>
      <c r="M500" s="46"/>
      <c r="N500" s="46"/>
      <c r="O500" s="38"/>
      <c r="P500" s="38"/>
      <c r="Q500" s="12"/>
      <c r="R500" s="50"/>
      <c r="S500" s="50"/>
      <c r="T500" s="50"/>
      <c r="U500" s="53"/>
      <c r="V500" s="54"/>
      <c r="W500" s="56"/>
      <c r="X500" s="119"/>
      <c r="Y500" s="113"/>
      <c r="Z500" s="113"/>
      <c r="AH500" s="106"/>
      <c r="AI500" s="106"/>
      <c r="AJ500" s="106"/>
      <c r="AK500" s="106"/>
      <c r="AL500" s="106"/>
      <c r="AM500" s="106"/>
      <c r="AN500" s="106"/>
    </row>
    <row r="501">
      <c r="A501" s="38"/>
      <c r="B501" s="38"/>
      <c r="C501" s="38"/>
      <c r="D501" s="38"/>
      <c r="E501" s="38"/>
      <c r="F501" s="41"/>
      <c r="G501" s="43"/>
      <c r="H501" s="45"/>
      <c r="I501" s="38"/>
      <c r="J501" s="38"/>
      <c r="K501" s="46"/>
      <c r="L501" s="47"/>
      <c r="M501" s="46"/>
      <c r="N501" s="46"/>
      <c r="O501" s="38"/>
      <c r="P501" s="38"/>
      <c r="Q501" s="12"/>
      <c r="R501" s="50"/>
      <c r="S501" s="50"/>
      <c r="T501" s="50"/>
      <c r="U501" s="53"/>
      <c r="V501" s="54"/>
      <c r="W501" s="56"/>
      <c r="X501" s="119"/>
      <c r="Y501" s="113"/>
      <c r="Z501" s="113"/>
      <c r="AH501" s="106"/>
      <c r="AI501" s="106"/>
      <c r="AJ501" s="106"/>
      <c r="AK501" s="106"/>
      <c r="AL501" s="106"/>
      <c r="AM501" s="106"/>
      <c r="AN501" s="106"/>
    </row>
    <row r="502">
      <c r="A502" s="38"/>
      <c r="B502" s="38"/>
      <c r="C502" s="38"/>
      <c r="D502" s="38"/>
      <c r="E502" s="38"/>
      <c r="F502" s="41"/>
      <c r="G502" s="43"/>
      <c r="H502" s="45"/>
      <c r="I502" s="38"/>
      <c r="J502" s="38"/>
      <c r="K502" s="46"/>
      <c r="L502" s="47"/>
      <c r="M502" s="46"/>
      <c r="N502" s="46"/>
      <c r="O502" s="38"/>
      <c r="P502" s="38"/>
      <c r="Q502" s="12"/>
      <c r="R502" s="50"/>
      <c r="S502" s="50"/>
      <c r="T502" s="50"/>
      <c r="U502" s="53"/>
      <c r="V502" s="54"/>
      <c r="W502" s="56"/>
      <c r="X502" s="119"/>
      <c r="Y502" s="113"/>
      <c r="Z502" s="113"/>
      <c r="AH502" s="106"/>
      <c r="AI502" s="106"/>
      <c r="AJ502" s="106"/>
      <c r="AK502" s="106"/>
      <c r="AL502" s="106"/>
      <c r="AM502" s="106"/>
      <c r="AN502" s="106"/>
    </row>
    <row r="503">
      <c r="A503" s="38"/>
      <c r="B503" s="38"/>
      <c r="C503" s="38"/>
      <c r="D503" s="38"/>
      <c r="E503" s="38"/>
      <c r="F503" s="41"/>
      <c r="G503" s="43"/>
      <c r="H503" s="45"/>
      <c r="I503" s="38"/>
      <c r="J503" s="38"/>
      <c r="K503" s="46"/>
      <c r="L503" s="47"/>
      <c r="M503" s="46"/>
      <c r="N503" s="46"/>
      <c r="O503" s="38"/>
      <c r="P503" s="38"/>
      <c r="Q503" s="12"/>
      <c r="R503" s="50"/>
      <c r="S503" s="50"/>
      <c r="T503" s="50"/>
      <c r="U503" s="53"/>
      <c r="V503" s="54"/>
      <c r="W503" s="56"/>
      <c r="X503" s="119"/>
      <c r="Y503" s="113"/>
      <c r="Z503" s="113"/>
      <c r="AH503" s="106"/>
      <c r="AI503" s="106"/>
      <c r="AJ503" s="106"/>
      <c r="AK503" s="106"/>
      <c r="AL503" s="106"/>
      <c r="AM503" s="106"/>
      <c r="AN503" s="106"/>
    </row>
    <row r="504">
      <c r="A504" s="38"/>
      <c r="B504" s="38"/>
      <c r="C504" s="38"/>
      <c r="D504" s="38"/>
      <c r="E504" s="38"/>
      <c r="F504" s="41"/>
      <c r="G504" s="43"/>
      <c r="H504" s="45"/>
      <c r="I504" s="38"/>
      <c r="J504" s="38"/>
      <c r="K504" s="46"/>
      <c r="L504" s="47"/>
      <c r="M504" s="46"/>
      <c r="N504" s="46"/>
      <c r="O504" s="38"/>
      <c r="P504" s="38"/>
      <c r="Q504" s="12"/>
      <c r="R504" s="50"/>
      <c r="S504" s="50"/>
      <c r="T504" s="50"/>
      <c r="U504" s="53"/>
      <c r="V504" s="54"/>
      <c r="W504" s="56"/>
      <c r="X504" s="119"/>
      <c r="Y504" s="113"/>
      <c r="Z504" s="113"/>
      <c r="AH504" s="106"/>
      <c r="AI504" s="106"/>
      <c r="AJ504" s="106"/>
      <c r="AK504" s="106"/>
      <c r="AL504" s="106"/>
      <c r="AM504" s="106"/>
      <c r="AN504" s="106"/>
    </row>
    <row r="505">
      <c r="A505" s="38"/>
      <c r="B505" s="38"/>
      <c r="C505" s="38"/>
      <c r="D505" s="38"/>
      <c r="E505" s="38"/>
      <c r="F505" s="41"/>
      <c r="G505" s="43"/>
      <c r="H505" s="45"/>
      <c r="I505" s="38"/>
      <c r="J505" s="38"/>
      <c r="K505" s="46"/>
      <c r="L505" s="47"/>
      <c r="M505" s="46"/>
      <c r="N505" s="46"/>
      <c r="O505" s="38"/>
      <c r="P505" s="38"/>
      <c r="Q505" s="12"/>
      <c r="R505" s="50"/>
      <c r="S505" s="50"/>
      <c r="T505" s="50"/>
      <c r="U505" s="53"/>
      <c r="V505" s="54"/>
      <c r="W505" s="56"/>
      <c r="X505" s="119"/>
      <c r="Y505" s="113"/>
      <c r="Z505" s="113"/>
      <c r="AH505" s="106"/>
      <c r="AI505" s="106"/>
      <c r="AJ505" s="106"/>
      <c r="AK505" s="106"/>
      <c r="AL505" s="106"/>
      <c r="AM505" s="106"/>
      <c r="AN505" s="106"/>
    </row>
    <row r="506">
      <c r="A506" s="38"/>
      <c r="B506" s="38"/>
      <c r="C506" s="38"/>
      <c r="D506" s="38"/>
      <c r="E506" s="38"/>
      <c r="F506" s="41"/>
      <c r="G506" s="43"/>
      <c r="H506" s="45"/>
      <c r="I506" s="38"/>
      <c r="J506" s="38"/>
      <c r="K506" s="46"/>
      <c r="L506" s="47"/>
      <c r="M506" s="46"/>
      <c r="N506" s="46"/>
      <c r="O506" s="38"/>
      <c r="P506" s="38"/>
      <c r="Q506" s="12"/>
      <c r="R506" s="50"/>
      <c r="S506" s="50"/>
      <c r="T506" s="50"/>
      <c r="U506" s="53"/>
      <c r="V506" s="54"/>
      <c r="W506" s="56"/>
      <c r="X506" s="119"/>
      <c r="Y506" s="113"/>
      <c r="Z506" s="113"/>
      <c r="AH506" s="106"/>
      <c r="AI506" s="106"/>
      <c r="AJ506" s="106"/>
      <c r="AK506" s="106"/>
      <c r="AL506" s="106"/>
      <c r="AM506" s="106"/>
      <c r="AN506" s="106"/>
    </row>
    <row r="507">
      <c r="A507" s="38"/>
      <c r="B507" s="38"/>
      <c r="C507" s="38"/>
      <c r="D507" s="38"/>
      <c r="E507" s="38"/>
      <c r="F507" s="41"/>
      <c r="G507" s="43"/>
      <c r="H507" s="45"/>
      <c r="I507" s="38"/>
      <c r="J507" s="38"/>
      <c r="K507" s="46"/>
      <c r="L507" s="47"/>
      <c r="M507" s="46"/>
      <c r="N507" s="46"/>
      <c r="O507" s="38"/>
      <c r="P507" s="38"/>
      <c r="Q507" s="12"/>
      <c r="R507" s="50"/>
      <c r="S507" s="50"/>
      <c r="T507" s="50"/>
      <c r="U507" s="53"/>
      <c r="V507" s="54"/>
      <c r="W507" s="56"/>
      <c r="X507" s="119"/>
      <c r="Y507" s="113"/>
      <c r="Z507" s="113"/>
      <c r="AH507" s="106"/>
      <c r="AI507" s="106"/>
      <c r="AJ507" s="106"/>
      <c r="AK507" s="106"/>
      <c r="AL507" s="106"/>
      <c r="AM507" s="106"/>
      <c r="AN507" s="106"/>
    </row>
    <row r="508">
      <c r="A508" s="38"/>
      <c r="B508" s="38"/>
      <c r="C508" s="38"/>
      <c r="D508" s="38"/>
      <c r="E508" s="38"/>
      <c r="F508" s="41"/>
      <c r="G508" s="43"/>
      <c r="H508" s="45"/>
      <c r="I508" s="38"/>
      <c r="J508" s="38"/>
      <c r="K508" s="46"/>
      <c r="L508" s="47"/>
      <c r="M508" s="46"/>
      <c r="N508" s="46"/>
      <c r="O508" s="38"/>
      <c r="P508" s="38"/>
      <c r="Q508" s="12"/>
      <c r="R508" s="50"/>
      <c r="S508" s="50"/>
      <c r="T508" s="50"/>
      <c r="U508" s="53"/>
      <c r="V508" s="54"/>
      <c r="W508" s="56"/>
      <c r="X508" s="119"/>
      <c r="Y508" s="113"/>
      <c r="Z508" s="113"/>
      <c r="AH508" s="106"/>
      <c r="AI508" s="106"/>
      <c r="AJ508" s="106"/>
      <c r="AK508" s="106"/>
      <c r="AL508" s="106"/>
      <c r="AM508" s="106"/>
      <c r="AN508" s="106"/>
    </row>
    <row r="509">
      <c r="A509" s="38"/>
      <c r="B509" s="38"/>
      <c r="C509" s="38"/>
      <c r="D509" s="38"/>
      <c r="E509" s="38"/>
      <c r="F509" s="41"/>
      <c r="G509" s="43"/>
      <c r="H509" s="45"/>
      <c r="I509" s="38"/>
      <c r="J509" s="38"/>
      <c r="K509" s="46"/>
      <c r="L509" s="47"/>
      <c r="M509" s="46"/>
      <c r="N509" s="46"/>
      <c r="O509" s="38"/>
      <c r="P509" s="38"/>
      <c r="Q509" s="12"/>
      <c r="R509" s="50"/>
      <c r="S509" s="50"/>
      <c r="T509" s="50"/>
      <c r="U509" s="53"/>
      <c r="V509" s="54"/>
      <c r="W509" s="56"/>
      <c r="X509" s="119"/>
      <c r="Y509" s="113"/>
      <c r="Z509" s="113"/>
      <c r="AH509" s="106"/>
      <c r="AI509" s="106"/>
      <c r="AJ509" s="106"/>
      <c r="AK509" s="106"/>
      <c r="AL509" s="106"/>
      <c r="AM509" s="106"/>
      <c r="AN509" s="106"/>
    </row>
    <row r="510">
      <c r="A510" s="38"/>
      <c r="B510" s="38"/>
      <c r="C510" s="38"/>
      <c r="D510" s="38"/>
      <c r="E510" s="38"/>
      <c r="F510" s="41"/>
      <c r="G510" s="43"/>
      <c r="H510" s="45"/>
      <c r="I510" s="38"/>
      <c r="J510" s="38"/>
      <c r="K510" s="46"/>
      <c r="L510" s="47"/>
      <c r="M510" s="46"/>
      <c r="N510" s="46"/>
      <c r="O510" s="38"/>
      <c r="P510" s="38"/>
      <c r="Q510" s="12"/>
      <c r="R510" s="50"/>
      <c r="S510" s="50"/>
      <c r="T510" s="50"/>
      <c r="U510" s="53"/>
      <c r="V510" s="54"/>
      <c r="W510" s="56"/>
      <c r="X510" s="119"/>
      <c r="Y510" s="113"/>
      <c r="Z510" s="113"/>
      <c r="AH510" s="106"/>
      <c r="AI510" s="106"/>
      <c r="AJ510" s="106"/>
      <c r="AK510" s="106"/>
      <c r="AL510" s="106"/>
      <c r="AM510" s="106"/>
      <c r="AN510" s="106"/>
    </row>
    <row r="511">
      <c r="A511" s="38"/>
      <c r="B511" s="38"/>
      <c r="C511" s="38"/>
      <c r="D511" s="38"/>
      <c r="E511" s="38"/>
      <c r="F511" s="41"/>
      <c r="G511" s="43"/>
      <c r="H511" s="45"/>
      <c r="I511" s="38"/>
      <c r="J511" s="38"/>
      <c r="K511" s="46"/>
      <c r="L511" s="47"/>
      <c r="M511" s="46"/>
      <c r="N511" s="46"/>
      <c r="O511" s="38"/>
      <c r="P511" s="38"/>
      <c r="Q511" s="12"/>
      <c r="R511" s="50"/>
      <c r="S511" s="50"/>
      <c r="T511" s="50"/>
      <c r="U511" s="53"/>
      <c r="V511" s="54"/>
      <c r="W511" s="56"/>
      <c r="X511" s="119"/>
      <c r="Y511" s="113"/>
      <c r="Z511" s="113"/>
      <c r="AH511" s="106"/>
      <c r="AI511" s="106"/>
      <c r="AJ511" s="106"/>
      <c r="AK511" s="106"/>
      <c r="AL511" s="106"/>
      <c r="AM511" s="106"/>
      <c r="AN511" s="106"/>
    </row>
    <row r="512">
      <c r="A512" s="38"/>
      <c r="B512" s="38"/>
      <c r="C512" s="38"/>
      <c r="D512" s="38"/>
      <c r="E512" s="38"/>
      <c r="F512" s="41"/>
      <c r="G512" s="43"/>
      <c r="H512" s="45"/>
      <c r="I512" s="38"/>
      <c r="J512" s="38"/>
      <c r="K512" s="46"/>
      <c r="L512" s="47"/>
      <c r="M512" s="46"/>
      <c r="N512" s="46"/>
      <c r="O512" s="38"/>
      <c r="P512" s="38"/>
      <c r="Q512" s="12"/>
      <c r="R512" s="50"/>
      <c r="S512" s="50"/>
      <c r="T512" s="50"/>
      <c r="U512" s="53"/>
      <c r="V512" s="54"/>
      <c r="W512" s="56"/>
      <c r="X512" s="119"/>
      <c r="Y512" s="113"/>
      <c r="Z512" s="113"/>
      <c r="AH512" s="106"/>
      <c r="AI512" s="106"/>
      <c r="AJ512" s="106"/>
      <c r="AK512" s="106"/>
      <c r="AL512" s="106"/>
      <c r="AM512" s="106"/>
      <c r="AN512" s="106"/>
    </row>
    <row r="513">
      <c r="A513" s="38"/>
      <c r="B513" s="38"/>
      <c r="C513" s="38"/>
      <c r="D513" s="38"/>
      <c r="E513" s="38"/>
      <c r="F513" s="41"/>
      <c r="G513" s="43"/>
      <c r="H513" s="45"/>
      <c r="I513" s="38"/>
      <c r="J513" s="38"/>
      <c r="K513" s="46"/>
      <c r="L513" s="47"/>
      <c r="M513" s="46"/>
      <c r="N513" s="46"/>
      <c r="O513" s="38"/>
      <c r="P513" s="38"/>
      <c r="Q513" s="12"/>
      <c r="R513" s="50"/>
      <c r="S513" s="50"/>
      <c r="T513" s="50"/>
      <c r="U513" s="53"/>
      <c r="V513" s="54"/>
      <c r="W513" s="56"/>
      <c r="X513" s="119"/>
      <c r="Y513" s="113"/>
      <c r="Z513" s="113"/>
      <c r="AH513" s="106"/>
      <c r="AI513" s="106"/>
      <c r="AJ513" s="106"/>
      <c r="AK513" s="106"/>
      <c r="AL513" s="106"/>
      <c r="AM513" s="106"/>
      <c r="AN513" s="106"/>
    </row>
    <row r="514">
      <c r="A514" s="38"/>
      <c r="B514" s="38"/>
      <c r="C514" s="38"/>
      <c r="D514" s="38"/>
      <c r="E514" s="38"/>
      <c r="F514" s="41"/>
      <c r="G514" s="43"/>
      <c r="H514" s="45"/>
      <c r="I514" s="38"/>
      <c r="J514" s="38"/>
      <c r="K514" s="46"/>
      <c r="L514" s="47"/>
      <c r="M514" s="46"/>
      <c r="N514" s="46"/>
      <c r="O514" s="38"/>
      <c r="P514" s="38"/>
      <c r="Q514" s="12"/>
      <c r="R514" s="50"/>
      <c r="S514" s="50"/>
      <c r="T514" s="50"/>
      <c r="U514" s="53"/>
      <c r="V514" s="54"/>
      <c r="W514" s="56"/>
      <c r="X514" s="119"/>
      <c r="Y514" s="113"/>
      <c r="Z514" s="113"/>
      <c r="AH514" s="106"/>
      <c r="AI514" s="106"/>
      <c r="AJ514" s="106"/>
      <c r="AK514" s="106"/>
      <c r="AL514" s="106"/>
      <c r="AM514" s="106"/>
      <c r="AN514" s="106"/>
    </row>
    <row r="515">
      <c r="A515" s="38"/>
      <c r="B515" s="38"/>
      <c r="C515" s="38"/>
      <c r="D515" s="38"/>
      <c r="E515" s="38"/>
      <c r="F515" s="41"/>
      <c r="G515" s="43"/>
      <c r="H515" s="45"/>
      <c r="I515" s="38"/>
      <c r="J515" s="38"/>
      <c r="K515" s="46"/>
      <c r="L515" s="47"/>
      <c r="M515" s="46"/>
      <c r="N515" s="46"/>
      <c r="O515" s="38"/>
      <c r="P515" s="38"/>
      <c r="Q515" s="12"/>
      <c r="R515" s="50"/>
      <c r="S515" s="50"/>
      <c r="T515" s="50"/>
      <c r="U515" s="53"/>
      <c r="V515" s="54"/>
      <c r="W515" s="56"/>
      <c r="X515" s="119"/>
      <c r="Y515" s="113"/>
      <c r="Z515" s="113"/>
      <c r="AH515" s="106"/>
      <c r="AI515" s="106"/>
      <c r="AJ515" s="106"/>
      <c r="AK515" s="106"/>
      <c r="AL515" s="106"/>
      <c r="AM515" s="106"/>
      <c r="AN515" s="106"/>
    </row>
    <row r="516">
      <c r="A516" s="38"/>
      <c r="B516" s="38"/>
      <c r="C516" s="38"/>
      <c r="D516" s="38"/>
      <c r="E516" s="38"/>
      <c r="F516" s="41"/>
      <c r="G516" s="43"/>
      <c r="H516" s="45"/>
      <c r="I516" s="38"/>
      <c r="J516" s="38"/>
      <c r="K516" s="46"/>
      <c r="L516" s="47"/>
      <c r="M516" s="46"/>
      <c r="N516" s="46"/>
      <c r="O516" s="38"/>
      <c r="P516" s="38"/>
      <c r="Q516" s="12"/>
      <c r="R516" s="50"/>
      <c r="S516" s="50"/>
      <c r="T516" s="50"/>
      <c r="U516" s="53"/>
      <c r="V516" s="54"/>
      <c r="W516" s="56"/>
      <c r="X516" s="119"/>
      <c r="Y516" s="113"/>
      <c r="Z516" s="113"/>
      <c r="AH516" s="106"/>
      <c r="AI516" s="106"/>
      <c r="AJ516" s="106"/>
      <c r="AK516" s="106"/>
      <c r="AL516" s="106"/>
      <c r="AM516" s="106"/>
      <c r="AN516" s="106"/>
    </row>
    <row r="517">
      <c r="A517" s="38"/>
      <c r="B517" s="38"/>
      <c r="C517" s="38"/>
      <c r="D517" s="38"/>
      <c r="E517" s="38"/>
      <c r="F517" s="41"/>
      <c r="G517" s="43"/>
      <c r="H517" s="45"/>
      <c r="I517" s="38"/>
      <c r="J517" s="38"/>
      <c r="K517" s="46"/>
      <c r="L517" s="47"/>
      <c r="M517" s="46"/>
      <c r="N517" s="46"/>
      <c r="O517" s="38"/>
      <c r="P517" s="38"/>
      <c r="Q517" s="12"/>
      <c r="R517" s="50"/>
      <c r="S517" s="50"/>
      <c r="T517" s="50"/>
      <c r="U517" s="53"/>
      <c r="V517" s="54"/>
      <c r="W517" s="56"/>
      <c r="X517" s="119"/>
      <c r="Y517" s="113"/>
      <c r="Z517" s="113"/>
      <c r="AH517" s="106"/>
      <c r="AI517" s="106"/>
      <c r="AJ517" s="106"/>
      <c r="AK517" s="106"/>
      <c r="AL517" s="106"/>
      <c r="AM517" s="106"/>
      <c r="AN517" s="106"/>
    </row>
    <row r="518">
      <c r="A518" s="38"/>
      <c r="B518" s="38"/>
      <c r="C518" s="38"/>
      <c r="D518" s="38"/>
      <c r="E518" s="38"/>
      <c r="F518" s="41"/>
      <c r="G518" s="43"/>
      <c r="H518" s="45"/>
      <c r="I518" s="38"/>
      <c r="J518" s="38"/>
      <c r="K518" s="46"/>
      <c r="L518" s="47"/>
      <c r="M518" s="46"/>
      <c r="N518" s="46"/>
      <c r="O518" s="38"/>
      <c r="P518" s="38"/>
      <c r="Q518" s="12"/>
      <c r="R518" s="50"/>
      <c r="S518" s="50"/>
      <c r="T518" s="50"/>
      <c r="U518" s="53"/>
      <c r="V518" s="54"/>
      <c r="W518" s="56"/>
      <c r="X518" s="119"/>
      <c r="Y518" s="113"/>
      <c r="Z518" s="113"/>
      <c r="AH518" s="106"/>
      <c r="AI518" s="106"/>
      <c r="AJ518" s="106"/>
      <c r="AK518" s="106"/>
      <c r="AL518" s="106"/>
      <c r="AM518" s="106"/>
      <c r="AN518" s="106"/>
    </row>
    <row r="519">
      <c r="A519" s="38"/>
      <c r="B519" s="38"/>
      <c r="C519" s="38"/>
      <c r="D519" s="38"/>
      <c r="E519" s="38"/>
      <c r="F519" s="41"/>
      <c r="G519" s="43"/>
      <c r="H519" s="45"/>
      <c r="I519" s="38"/>
      <c r="J519" s="38"/>
      <c r="K519" s="46"/>
      <c r="L519" s="47"/>
      <c r="M519" s="46"/>
      <c r="N519" s="46"/>
      <c r="O519" s="38"/>
      <c r="P519" s="38"/>
      <c r="Q519" s="12"/>
      <c r="R519" s="50"/>
      <c r="S519" s="50"/>
      <c r="T519" s="50"/>
      <c r="U519" s="53"/>
      <c r="V519" s="54"/>
      <c r="W519" s="56"/>
      <c r="X519" s="119"/>
      <c r="Y519" s="113"/>
      <c r="Z519" s="113"/>
      <c r="AH519" s="106"/>
      <c r="AI519" s="106"/>
      <c r="AJ519" s="106"/>
      <c r="AK519" s="106"/>
      <c r="AL519" s="106"/>
      <c r="AM519" s="106"/>
      <c r="AN519" s="106"/>
    </row>
    <row r="520">
      <c r="A520" s="38"/>
      <c r="B520" s="38"/>
      <c r="C520" s="38"/>
      <c r="D520" s="38"/>
      <c r="E520" s="38"/>
      <c r="F520" s="41"/>
      <c r="G520" s="43"/>
      <c r="H520" s="45"/>
      <c r="I520" s="38"/>
      <c r="J520" s="38"/>
      <c r="K520" s="46"/>
      <c r="L520" s="47"/>
      <c r="M520" s="46"/>
      <c r="N520" s="46"/>
      <c r="O520" s="38"/>
      <c r="P520" s="38"/>
      <c r="Q520" s="12"/>
      <c r="R520" s="50"/>
      <c r="S520" s="50"/>
      <c r="T520" s="50"/>
      <c r="U520" s="53"/>
      <c r="V520" s="54"/>
      <c r="W520" s="56"/>
      <c r="X520" s="119"/>
      <c r="Y520" s="113"/>
      <c r="Z520" s="113"/>
      <c r="AH520" s="106"/>
      <c r="AI520" s="106"/>
      <c r="AJ520" s="106"/>
      <c r="AK520" s="106"/>
      <c r="AL520" s="106"/>
      <c r="AM520" s="106"/>
      <c r="AN520" s="106"/>
    </row>
    <row r="521">
      <c r="A521" s="38"/>
      <c r="B521" s="38"/>
      <c r="C521" s="38"/>
      <c r="D521" s="38"/>
      <c r="E521" s="38"/>
      <c r="F521" s="41"/>
      <c r="G521" s="43"/>
      <c r="H521" s="45"/>
      <c r="I521" s="38"/>
      <c r="J521" s="38"/>
      <c r="K521" s="46"/>
      <c r="L521" s="47"/>
      <c r="M521" s="46"/>
      <c r="N521" s="46"/>
      <c r="O521" s="38"/>
      <c r="P521" s="38"/>
      <c r="Q521" s="12"/>
      <c r="R521" s="50"/>
      <c r="S521" s="50"/>
      <c r="T521" s="50"/>
      <c r="U521" s="53"/>
      <c r="V521" s="54"/>
      <c r="W521" s="56"/>
      <c r="X521" s="119"/>
      <c r="Y521" s="113"/>
      <c r="Z521" s="113"/>
      <c r="AH521" s="106"/>
      <c r="AI521" s="106"/>
      <c r="AJ521" s="106"/>
      <c r="AK521" s="106"/>
      <c r="AL521" s="106"/>
      <c r="AM521" s="106"/>
      <c r="AN521" s="106"/>
    </row>
    <row r="522">
      <c r="A522" s="38"/>
      <c r="B522" s="38"/>
      <c r="C522" s="38"/>
      <c r="D522" s="38"/>
      <c r="E522" s="38"/>
      <c r="F522" s="41"/>
      <c r="G522" s="43"/>
      <c r="H522" s="45"/>
      <c r="I522" s="38"/>
      <c r="J522" s="38"/>
      <c r="K522" s="46"/>
      <c r="L522" s="47"/>
      <c r="M522" s="46"/>
      <c r="N522" s="46"/>
      <c r="O522" s="38"/>
      <c r="P522" s="38"/>
      <c r="Q522" s="12"/>
      <c r="R522" s="50"/>
      <c r="S522" s="50"/>
      <c r="T522" s="50"/>
      <c r="U522" s="53"/>
      <c r="V522" s="54"/>
      <c r="W522" s="56"/>
      <c r="X522" s="119"/>
      <c r="Y522" s="113"/>
      <c r="Z522" s="113"/>
      <c r="AH522" s="106"/>
      <c r="AI522" s="106"/>
      <c r="AJ522" s="106"/>
      <c r="AK522" s="106"/>
      <c r="AL522" s="106"/>
      <c r="AM522" s="106"/>
      <c r="AN522" s="106"/>
    </row>
    <row r="523">
      <c r="A523" s="38"/>
      <c r="B523" s="38"/>
      <c r="C523" s="38"/>
      <c r="D523" s="38"/>
      <c r="E523" s="38"/>
      <c r="F523" s="41"/>
      <c r="G523" s="43"/>
      <c r="H523" s="45"/>
      <c r="I523" s="38"/>
      <c r="J523" s="38"/>
      <c r="K523" s="46"/>
      <c r="L523" s="47"/>
      <c r="M523" s="46"/>
      <c r="N523" s="46"/>
      <c r="O523" s="38"/>
      <c r="P523" s="38"/>
      <c r="Q523" s="12"/>
      <c r="R523" s="50"/>
      <c r="S523" s="50"/>
      <c r="T523" s="50"/>
      <c r="U523" s="53"/>
      <c r="V523" s="54"/>
      <c r="W523" s="56"/>
      <c r="X523" s="119"/>
      <c r="Y523" s="113"/>
      <c r="Z523" s="113"/>
      <c r="AH523" s="106"/>
      <c r="AI523" s="106"/>
      <c r="AJ523" s="106"/>
      <c r="AK523" s="106"/>
      <c r="AL523" s="106"/>
      <c r="AM523" s="106"/>
      <c r="AN523" s="106"/>
    </row>
    <row r="524">
      <c r="A524" s="38"/>
      <c r="B524" s="38"/>
      <c r="C524" s="38"/>
      <c r="D524" s="38"/>
      <c r="E524" s="38"/>
      <c r="F524" s="41"/>
      <c r="G524" s="43"/>
      <c r="H524" s="45"/>
      <c r="I524" s="38"/>
      <c r="J524" s="38"/>
      <c r="K524" s="46"/>
      <c r="L524" s="47"/>
      <c r="M524" s="46"/>
      <c r="N524" s="46"/>
      <c r="O524" s="38"/>
      <c r="P524" s="38"/>
      <c r="Q524" s="12"/>
      <c r="R524" s="50"/>
      <c r="S524" s="50"/>
      <c r="T524" s="50"/>
      <c r="U524" s="53"/>
      <c r="V524" s="54"/>
      <c r="W524" s="56"/>
      <c r="X524" s="119"/>
      <c r="Y524" s="113"/>
      <c r="Z524" s="113"/>
      <c r="AH524" s="106"/>
      <c r="AI524" s="106"/>
      <c r="AJ524" s="106"/>
      <c r="AK524" s="106"/>
      <c r="AL524" s="106"/>
      <c r="AM524" s="106"/>
      <c r="AN524" s="106"/>
    </row>
    <row r="525">
      <c r="A525" s="38"/>
      <c r="B525" s="38"/>
      <c r="C525" s="38"/>
      <c r="D525" s="38"/>
      <c r="E525" s="38"/>
      <c r="F525" s="41"/>
      <c r="G525" s="43"/>
      <c r="H525" s="45"/>
      <c r="I525" s="38"/>
      <c r="J525" s="38"/>
      <c r="K525" s="46"/>
      <c r="L525" s="47"/>
      <c r="M525" s="46"/>
      <c r="N525" s="46"/>
      <c r="O525" s="38"/>
      <c r="P525" s="38"/>
      <c r="Q525" s="12"/>
      <c r="R525" s="50"/>
      <c r="S525" s="50"/>
      <c r="T525" s="50"/>
      <c r="U525" s="53"/>
      <c r="V525" s="54"/>
      <c r="W525" s="56"/>
      <c r="X525" s="119"/>
      <c r="Y525" s="113"/>
      <c r="Z525" s="113"/>
      <c r="AH525" s="106"/>
      <c r="AI525" s="106"/>
      <c r="AJ525" s="106"/>
      <c r="AK525" s="106"/>
      <c r="AL525" s="106"/>
      <c r="AM525" s="106"/>
      <c r="AN525" s="106"/>
    </row>
    <row r="526">
      <c r="A526" s="38"/>
      <c r="B526" s="38"/>
      <c r="C526" s="38"/>
      <c r="D526" s="38"/>
      <c r="E526" s="38"/>
      <c r="F526" s="41"/>
      <c r="G526" s="43"/>
      <c r="H526" s="45"/>
      <c r="I526" s="38"/>
      <c r="J526" s="38"/>
      <c r="K526" s="46"/>
      <c r="L526" s="47"/>
      <c r="M526" s="46"/>
      <c r="N526" s="46"/>
      <c r="O526" s="38"/>
      <c r="P526" s="38"/>
      <c r="Q526" s="12"/>
      <c r="R526" s="50"/>
      <c r="S526" s="50"/>
      <c r="T526" s="50"/>
      <c r="U526" s="53"/>
      <c r="V526" s="54"/>
      <c r="W526" s="56"/>
      <c r="X526" s="119"/>
      <c r="Y526" s="113"/>
      <c r="Z526" s="113"/>
      <c r="AH526" s="106"/>
      <c r="AI526" s="106"/>
      <c r="AJ526" s="106"/>
      <c r="AK526" s="106"/>
      <c r="AL526" s="106"/>
      <c r="AM526" s="106"/>
      <c r="AN526" s="106"/>
    </row>
    <row r="527">
      <c r="A527" s="38"/>
      <c r="B527" s="38"/>
      <c r="C527" s="38"/>
      <c r="D527" s="38"/>
      <c r="E527" s="38"/>
      <c r="F527" s="41"/>
      <c r="G527" s="43"/>
      <c r="H527" s="45"/>
      <c r="I527" s="38"/>
      <c r="J527" s="38"/>
      <c r="K527" s="46"/>
      <c r="L527" s="47"/>
      <c r="M527" s="46"/>
      <c r="N527" s="46"/>
      <c r="O527" s="38"/>
      <c r="P527" s="38"/>
      <c r="Q527" s="12"/>
      <c r="R527" s="50"/>
      <c r="S527" s="50"/>
      <c r="T527" s="50"/>
      <c r="U527" s="53"/>
      <c r="V527" s="54"/>
      <c r="W527" s="56"/>
      <c r="X527" s="119"/>
      <c r="Y527" s="113"/>
      <c r="Z527" s="113"/>
      <c r="AH527" s="106"/>
      <c r="AI527" s="106"/>
      <c r="AJ527" s="106"/>
      <c r="AK527" s="106"/>
      <c r="AL527" s="106"/>
      <c r="AM527" s="106"/>
      <c r="AN527" s="106"/>
    </row>
    <row r="528">
      <c r="A528" s="38"/>
      <c r="B528" s="38"/>
      <c r="C528" s="38"/>
      <c r="D528" s="38"/>
      <c r="E528" s="38"/>
      <c r="F528" s="41"/>
      <c r="G528" s="43"/>
      <c r="H528" s="45"/>
      <c r="I528" s="38"/>
      <c r="J528" s="38"/>
      <c r="K528" s="46"/>
      <c r="L528" s="47"/>
      <c r="M528" s="46"/>
      <c r="N528" s="46"/>
      <c r="O528" s="38"/>
      <c r="P528" s="38"/>
      <c r="Q528" s="12"/>
      <c r="R528" s="50"/>
      <c r="S528" s="50"/>
      <c r="T528" s="50"/>
      <c r="U528" s="53"/>
      <c r="V528" s="54"/>
      <c r="W528" s="56"/>
      <c r="X528" s="119"/>
      <c r="Y528" s="113"/>
      <c r="Z528" s="113"/>
      <c r="AH528" s="106"/>
      <c r="AI528" s="106"/>
      <c r="AJ528" s="106"/>
      <c r="AK528" s="106"/>
      <c r="AL528" s="106"/>
      <c r="AM528" s="106"/>
      <c r="AN528" s="106"/>
    </row>
    <row r="529">
      <c r="A529" s="38"/>
      <c r="B529" s="38"/>
      <c r="C529" s="38"/>
      <c r="D529" s="38"/>
      <c r="E529" s="38"/>
      <c r="F529" s="41"/>
      <c r="G529" s="43"/>
      <c r="H529" s="45"/>
      <c r="I529" s="38"/>
      <c r="J529" s="38"/>
      <c r="K529" s="46"/>
      <c r="L529" s="47"/>
      <c r="M529" s="46"/>
      <c r="N529" s="46"/>
      <c r="O529" s="38"/>
      <c r="P529" s="38"/>
      <c r="Q529" s="12"/>
      <c r="R529" s="50"/>
      <c r="S529" s="50"/>
      <c r="T529" s="50"/>
      <c r="U529" s="53"/>
      <c r="V529" s="54"/>
      <c r="W529" s="56"/>
      <c r="X529" s="119"/>
      <c r="Y529" s="113"/>
      <c r="Z529" s="113"/>
      <c r="AH529" s="106"/>
      <c r="AI529" s="106"/>
      <c r="AJ529" s="106"/>
      <c r="AK529" s="106"/>
      <c r="AL529" s="106"/>
      <c r="AM529" s="106"/>
      <c r="AN529" s="106"/>
    </row>
    <row r="530">
      <c r="A530" s="38"/>
      <c r="B530" s="38"/>
      <c r="C530" s="38"/>
      <c r="D530" s="38"/>
      <c r="E530" s="38"/>
      <c r="F530" s="41"/>
      <c r="G530" s="43"/>
      <c r="H530" s="45"/>
      <c r="I530" s="38"/>
      <c r="J530" s="38"/>
      <c r="K530" s="46"/>
      <c r="L530" s="47"/>
      <c r="M530" s="46"/>
      <c r="N530" s="46"/>
      <c r="O530" s="38"/>
      <c r="P530" s="38"/>
      <c r="Q530" s="12"/>
      <c r="R530" s="50"/>
      <c r="S530" s="50"/>
      <c r="T530" s="50"/>
      <c r="U530" s="53"/>
      <c r="V530" s="54"/>
      <c r="W530" s="56"/>
      <c r="X530" s="119"/>
      <c r="Y530" s="113"/>
      <c r="Z530" s="113"/>
      <c r="AH530" s="106"/>
      <c r="AI530" s="106"/>
      <c r="AJ530" s="106"/>
      <c r="AK530" s="106"/>
      <c r="AL530" s="106"/>
      <c r="AM530" s="106"/>
      <c r="AN530" s="106"/>
    </row>
    <row r="531">
      <c r="A531" s="38"/>
      <c r="B531" s="38"/>
      <c r="C531" s="38"/>
      <c r="D531" s="38"/>
      <c r="E531" s="38"/>
      <c r="F531" s="41"/>
      <c r="G531" s="43"/>
      <c r="H531" s="45"/>
      <c r="I531" s="38"/>
      <c r="J531" s="38"/>
      <c r="K531" s="46"/>
      <c r="L531" s="47"/>
      <c r="M531" s="46"/>
      <c r="N531" s="46"/>
      <c r="O531" s="38"/>
      <c r="P531" s="38"/>
      <c r="Q531" s="12"/>
      <c r="R531" s="50"/>
      <c r="S531" s="50"/>
      <c r="T531" s="50"/>
      <c r="U531" s="53"/>
      <c r="V531" s="54"/>
      <c r="W531" s="56"/>
      <c r="X531" s="119"/>
      <c r="Y531" s="113"/>
      <c r="Z531" s="113"/>
      <c r="AH531" s="106"/>
      <c r="AI531" s="106"/>
      <c r="AJ531" s="106"/>
      <c r="AK531" s="106"/>
      <c r="AL531" s="106"/>
      <c r="AM531" s="106"/>
      <c r="AN531" s="106"/>
    </row>
    <row r="532">
      <c r="A532" s="38"/>
      <c r="B532" s="38"/>
      <c r="C532" s="38"/>
      <c r="D532" s="38"/>
      <c r="E532" s="38"/>
      <c r="F532" s="41"/>
      <c r="G532" s="43"/>
      <c r="H532" s="45"/>
      <c r="I532" s="38"/>
      <c r="J532" s="38"/>
      <c r="K532" s="46"/>
      <c r="L532" s="47"/>
      <c r="M532" s="46"/>
      <c r="N532" s="46"/>
      <c r="O532" s="38"/>
      <c r="P532" s="38"/>
      <c r="Q532" s="12"/>
      <c r="R532" s="50"/>
      <c r="S532" s="50"/>
      <c r="T532" s="50"/>
      <c r="U532" s="53"/>
      <c r="V532" s="54"/>
      <c r="W532" s="56"/>
      <c r="X532" s="119"/>
      <c r="Y532" s="113"/>
      <c r="Z532" s="113"/>
      <c r="AH532" s="106"/>
      <c r="AI532" s="106"/>
      <c r="AJ532" s="106"/>
      <c r="AK532" s="106"/>
      <c r="AL532" s="106"/>
      <c r="AM532" s="106"/>
      <c r="AN532" s="106"/>
    </row>
    <row r="533">
      <c r="A533" s="38"/>
      <c r="B533" s="38"/>
      <c r="C533" s="38"/>
      <c r="D533" s="38"/>
      <c r="E533" s="38"/>
      <c r="F533" s="41"/>
      <c r="G533" s="43"/>
      <c r="H533" s="45"/>
      <c r="I533" s="38"/>
      <c r="J533" s="38"/>
      <c r="K533" s="46"/>
      <c r="L533" s="47"/>
      <c r="M533" s="46"/>
      <c r="N533" s="46"/>
      <c r="O533" s="38"/>
      <c r="P533" s="38"/>
      <c r="Q533" s="12"/>
      <c r="R533" s="50"/>
      <c r="S533" s="50"/>
      <c r="T533" s="50"/>
      <c r="U533" s="53"/>
      <c r="V533" s="54"/>
      <c r="W533" s="56"/>
      <c r="X533" s="119"/>
      <c r="Y533" s="113"/>
      <c r="Z533" s="113"/>
      <c r="AH533" s="106"/>
      <c r="AI533" s="106"/>
      <c r="AJ533" s="106"/>
      <c r="AK533" s="106"/>
      <c r="AL533" s="106"/>
      <c r="AM533" s="106"/>
      <c r="AN533" s="106"/>
    </row>
    <row r="534">
      <c r="A534" s="38"/>
      <c r="B534" s="38"/>
      <c r="C534" s="38"/>
      <c r="D534" s="38"/>
      <c r="E534" s="38"/>
      <c r="F534" s="41"/>
      <c r="G534" s="43"/>
      <c r="H534" s="45"/>
      <c r="I534" s="38"/>
      <c r="J534" s="38"/>
      <c r="K534" s="46"/>
      <c r="L534" s="47"/>
      <c r="M534" s="46"/>
      <c r="N534" s="46"/>
      <c r="O534" s="38"/>
      <c r="P534" s="38"/>
      <c r="Q534" s="12"/>
      <c r="R534" s="50"/>
      <c r="S534" s="50"/>
      <c r="T534" s="50"/>
      <c r="U534" s="53"/>
      <c r="V534" s="54"/>
      <c r="W534" s="56"/>
      <c r="X534" s="119"/>
      <c r="Y534" s="113"/>
      <c r="Z534" s="113"/>
      <c r="AH534" s="106"/>
      <c r="AI534" s="106"/>
      <c r="AJ534" s="106"/>
      <c r="AK534" s="106"/>
      <c r="AL534" s="106"/>
      <c r="AM534" s="106"/>
      <c r="AN534" s="106"/>
    </row>
    <row r="535">
      <c r="A535" s="38"/>
      <c r="B535" s="38"/>
      <c r="C535" s="38"/>
      <c r="D535" s="38"/>
      <c r="E535" s="38"/>
      <c r="F535" s="41"/>
      <c r="G535" s="43"/>
      <c r="H535" s="45"/>
      <c r="I535" s="38"/>
      <c r="J535" s="38"/>
      <c r="K535" s="46"/>
      <c r="L535" s="47"/>
      <c r="M535" s="46"/>
      <c r="N535" s="46"/>
      <c r="O535" s="38"/>
      <c r="P535" s="38"/>
      <c r="Q535" s="12"/>
      <c r="R535" s="50"/>
      <c r="S535" s="50"/>
      <c r="T535" s="50"/>
      <c r="U535" s="53"/>
      <c r="V535" s="54"/>
      <c r="W535" s="56"/>
      <c r="X535" s="119"/>
      <c r="Y535" s="113"/>
      <c r="Z535" s="113"/>
      <c r="AH535" s="106"/>
      <c r="AI535" s="106"/>
      <c r="AJ535" s="106"/>
      <c r="AK535" s="106"/>
      <c r="AL535" s="106"/>
      <c r="AM535" s="106"/>
      <c r="AN535" s="106"/>
    </row>
    <row r="536">
      <c r="A536" s="38"/>
      <c r="B536" s="38"/>
      <c r="C536" s="38"/>
      <c r="D536" s="38"/>
      <c r="E536" s="38"/>
      <c r="F536" s="41"/>
      <c r="G536" s="43"/>
      <c r="H536" s="45"/>
      <c r="I536" s="38"/>
      <c r="J536" s="38"/>
      <c r="K536" s="46"/>
      <c r="L536" s="47"/>
      <c r="M536" s="46"/>
      <c r="N536" s="46"/>
      <c r="O536" s="38"/>
      <c r="P536" s="38"/>
      <c r="Q536" s="12"/>
      <c r="R536" s="50"/>
      <c r="S536" s="50"/>
      <c r="T536" s="50"/>
      <c r="U536" s="53"/>
      <c r="V536" s="54"/>
      <c r="W536" s="56"/>
      <c r="X536" s="119"/>
      <c r="Y536" s="113"/>
      <c r="Z536" s="113"/>
      <c r="AH536" s="106"/>
      <c r="AI536" s="106"/>
      <c r="AJ536" s="106"/>
      <c r="AK536" s="106"/>
      <c r="AL536" s="106"/>
      <c r="AM536" s="106"/>
      <c r="AN536" s="106"/>
    </row>
    <row r="537">
      <c r="A537" s="38"/>
      <c r="B537" s="38"/>
      <c r="C537" s="38"/>
      <c r="D537" s="38"/>
      <c r="E537" s="38"/>
      <c r="F537" s="41"/>
      <c r="G537" s="43"/>
      <c r="H537" s="45"/>
      <c r="I537" s="38"/>
      <c r="J537" s="38"/>
      <c r="K537" s="46"/>
      <c r="L537" s="47"/>
      <c r="M537" s="46"/>
      <c r="N537" s="46"/>
      <c r="O537" s="38"/>
      <c r="P537" s="38"/>
      <c r="Q537" s="12"/>
      <c r="R537" s="50"/>
      <c r="S537" s="50"/>
      <c r="T537" s="50"/>
      <c r="U537" s="53"/>
      <c r="V537" s="54"/>
      <c r="W537" s="56"/>
      <c r="X537" s="119"/>
      <c r="Y537" s="113"/>
      <c r="Z537" s="113"/>
      <c r="AH537" s="106"/>
      <c r="AI537" s="106"/>
      <c r="AJ537" s="106"/>
      <c r="AK537" s="106"/>
      <c r="AL537" s="106"/>
      <c r="AM537" s="106"/>
      <c r="AN537" s="106"/>
    </row>
    <row r="538">
      <c r="A538" s="38"/>
      <c r="B538" s="38"/>
      <c r="C538" s="38"/>
      <c r="D538" s="38"/>
      <c r="E538" s="38"/>
      <c r="F538" s="41"/>
      <c r="G538" s="43"/>
      <c r="H538" s="45"/>
      <c r="I538" s="38"/>
      <c r="J538" s="38"/>
      <c r="K538" s="46"/>
      <c r="L538" s="47"/>
      <c r="M538" s="46"/>
      <c r="N538" s="46"/>
      <c r="O538" s="38"/>
      <c r="P538" s="38"/>
      <c r="Q538" s="12"/>
      <c r="R538" s="50"/>
      <c r="S538" s="50"/>
      <c r="T538" s="50"/>
      <c r="U538" s="53"/>
      <c r="V538" s="54"/>
      <c r="W538" s="56"/>
      <c r="X538" s="119"/>
      <c r="Y538" s="113"/>
      <c r="Z538" s="113"/>
      <c r="AH538" s="106"/>
      <c r="AI538" s="106"/>
      <c r="AJ538" s="106"/>
      <c r="AK538" s="106"/>
      <c r="AL538" s="106"/>
      <c r="AM538" s="106"/>
      <c r="AN538" s="106"/>
    </row>
    <row r="539">
      <c r="A539" s="38"/>
      <c r="B539" s="38"/>
      <c r="C539" s="38"/>
      <c r="D539" s="38"/>
      <c r="E539" s="38"/>
      <c r="F539" s="41"/>
      <c r="G539" s="43"/>
      <c r="H539" s="45"/>
      <c r="I539" s="38"/>
      <c r="J539" s="38"/>
      <c r="K539" s="46"/>
      <c r="L539" s="47"/>
      <c r="M539" s="46"/>
      <c r="N539" s="46"/>
      <c r="O539" s="38"/>
      <c r="P539" s="38"/>
      <c r="Q539" s="12"/>
      <c r="R539" s="50"/>
      <c r="S539" s="50"/>
      <c r="T539" s="50"/>
      <c r="U539" s="53"/>
      <c r="V539" s="54"/>
      <c r="W539" s="56"/>
      <c r="X539" s="119"/>
      <c r="Y539" s="113"/>
      <c r="Z539" s="113"/>
      <c r="AH539" s="106"/>
      <c r="AI539" s="106"/>
      <c r="AJ539" s="106"/>
      <c r="AK539" s="106"/>
      <c r="AL539" s="106"/>
      <c r="AM539" s="106"/>
      <c r="AN539" s="106"/>
    </row>
    <row r="540">
      <c r="A540" s="38"/>
      <c r="B540" s="38"/>
      <c r="C540" s="38"/>
      <c r="D540" s="38"/>
      <c r="E540" s="38"/>
      <c r="F540" s="41"/>
      <c r="G540" s="43"/>
      <c r="H540" s="45"/>
      <c r="I540" s="38"/>
      <c r="J540" s="38"/>
      <c r="K540" s="46"/>
      <c r="L540" s="47"/>
      <c r="M540" s="46"/>
      <c r="N540" s="46"/>
      <c r="O540" s="38"/>
      <c r="P540" s="38"/>
      <c r="Q540" s="12"/>
      <c r="R540" s="50"/>
      <c r="S540" s="50"/>
      <c r="T540" s="50"/>
      <c r="U540" s="53"/>
      <c r="V540" s="54"/>
      <c r="W540" s="56"/>
      <c r="X540" s="119"/>
      <c r="Y540" s="113"/>
      <c r="Z540" s="113"/>
      <c r="AH540" s="106"/>
      <c r="AI540" s="106"/>
      <c r="AJ540" s="106"/>
      <c r="AK540" s="106"/>
      <c r="AL540" s="106"/>
      <c r="AM540" s="106"/>
      <c r="AN540" s="106"/>
    </row>
    <row r="541">
      <c r="A541" s="38"/>
      <c r="B541" s="38"/>
      <c r="C541" s="38"/>
      <c r="D541" s="38"/>
      <c r="E541" s="38"/>
      <c r="F541" s="41"/>
      <c r="G541" s="43"/>
      <c r="H541" s="45"/>
      <c r="I541" s="38"/>
      <c r="J541" s="38"/>
      <c r="K541" s="46"/>
      <c r="L541" s="47"/>
      <c r="M541" s="46"/>
      <c r="N541" s="46"/>
      <c r="O541" s="38"/>
      <c r="P541" s="38"/>
      <c r="Q541" s="12"/>
      <c r="R541" s="50"/>
      <c r="S541" s="50"/>
      <c r="T541" s="50"/>
      <c r="U541" s="53"/>
      <c r="V541" s="54"/>
      <c r="W541" s="56"/>
      <c r="X541" s="119"/>
      <c r="Y541" s="113"/>
      <c r="Z541" s="113"/>
      <c r="AH541" s="106"/>
      <c r="AI541" s="106"/>
      <c r="AJ541" s="106"/>
      <c r="AK541" s="106"/>
      <c r="AL541" s="106"/>
      <c r="AM541" s="106"/>
      <c r="AN541" s="106"/>
    </row>
    <row r="542">
      <c r="A542" s="38"/>
      <c r="B542" s="38"/>
      <c r="C542" s="38"/>
      <c r="D542" s="38"/>
      <c r="E542" s="38"/>
      <c r="F542" s="41"/>
      <c r="G542" s="43"/>
      <c r="H542" s="45"/>
      <c r="I542" s="38"/>
      <c r="J542" s="38"/>
      <c r="K542" s="46"/>
      <c r="L542" s="47"/>
      <c r="M542" s="46"/>
      <c r="N542" s="46"/>
      <c r="O542" s="38"/>
      <c r="P542" s="38"/>
      <c r="Q542" s="12"/>
      <c r="R542" s="50"/>
      <c r="S542" s="50"/>
      <c r="T542" s="50"/>
      <c r="U542" s="53"/>
      <c r="V542" s="54"/>
      <c r="W542" s="56"/>
      <c r="X542" s="119"/>
      <c r="Y542" s="113"/>
      <c r="Z542" s="113"/>
      <c r="AH542" s="106"/>
      <c r="AI542" s="106"/>
      <c r="AJ542" s="106"/>
      <c r="AK542" s="106"/>
      <c r="AL542" s="106"/>
      <c r="AM542" s="106"/>
      <c r="AN542" s="106"/>
    </row>
    <row r="543">
      <c r="A543" s="38"/>
      <c r="B543" s="38"/>
      <c r="C543" s="38"/>
      <c r="D543" s="38"/>
      <c r="E543" s="38"/>
      <c r="F543" s="41"/>
      <c r="G543" s="43"/>
      <c r="H543" s="45"/>
      <c r="I543" s="38"/>
      <c r="J543" s="38"/>
      <c r="K543" s="46"/>
      <c r="L543" s="47"/>
      <c r="M543" s="46"/>
      <c r="N543" s="46"/>
      <c r="O543" s="38"/>
      <c r="P543" s="38"/>
      <c r="Q543" s="12"/>
      <c r="R543" s="50"/>
      <c r="S543" s="50"/>
      <c r="T543" s="50"/>
      <c r="U543" s="53"/>
      <c r="V543" s="54"/>
      <c r="W543" s="56"/>
      <c r="X543" s="119"/>
      <c r="Y543" s="113"/>
      <c r="Z543" s="113"/>
      <c r="AH543" s="106"/>
      <c r="AI543" s="106"/>
      <c r="AJ543" s="106"/>
      <c r="AK543" s="106"/>
      <c r="AL543" s="106"/>
      <c r="AM543" s="106"/>
      <c r="AN543" s="106"/>
    </row>
    <row r="544">
      <c r="A544" s="38"/>
      <c r="B544" s="38"/>
      <c r="C544" s="38"/>
      <c r="D544" s="38"/>
      <c r="E544" s="38"/>
      <c r="F544" s="41"/>
      <c r="G544" s="43"/>
      <c r="H544" s="45"/>
      <c r="I544" s="38"/>
      <c r="J544" s="38"/>
      <c r="K544" s="46"/>
      <c r="L544" s="47"/>
      <c r="M544" s="46"/>
      <c r="N544" s="46"/>
      <c r="O544" s="38"/>
      <c r="P544" s="38"/>
      <c r="Q544" s="12"/>
      <c r="R544" s="50"/>
      <c r="S544" s="50"/>
      <c r="T544" s="50"/>
      <c r="U544" s="53"/>
      <c r="V544" s="54"/>
      <c r="W544" s="56"/>
      <c r="X544" s="119"/>
      <c r="Y544" s="113"/>
      <c r="Z544" s="113"/>
      <c r="AH544" s="106"/>
      <c r="AI544" s="106"/>
      <c r="AJ544" s="106"/>
      <c r="AK544" s="106"/>
      <c r="AL544" s="106"/>
      <c r="AM544" s="106"/>
      <c r="AN544" s="106"/>
    </row>
    <row r="545">
      <c r="A545" s="38"/>
      <c r="B545" s="38"/>
      <c r="C545" s="38"/>
      <c r="D545" s="38"/>
      <c r="E545" s="38"/>
      <c r="F545" s="41"/>
      <c r="G545" s="43"/>
      <c r="H545" s="45"/>
      <c r="I545" s="38"/>
      <c r="J545" s="38"/>
      <c r="K545" s="46"/>
      <c r="L545" s="47"/>
      <c r="M545" s="46"/>
      <c r="N545" s="46"/>
      <c r="O545" s="38"/>
      <c r="P545" s="38"/>
      <c r="Q545" s="12"/>
      <c r="R545" s="50"/>
      <c r="S545" s="50"/>
      <c r="T545" s="50"/>
      <c r="U545" s="53"/>
      <c r="V545" s="54"/>
      <c r="W545" s="56"/>
      <c r="X545" s="119"/>
      <c r="Y545" s="113"/>
      <c r="Z545" s="113"/>
      <c r="AH545" s="106"/>
      <c r="AI545" s="106"/>
      <c r="AJ545" s="106"/>
      <c r="AK545" s="106"/>
      <c r="AL545" s="106"/>
      <c r="AM545" s="106"/>
      <c r="AN545" s="106"/>
    </row>
    <row r="546">
      <c r="A546" s="38"/>
      <c r="B546" s="38"/>
      <c r="C546" s="38"/>
      <c r="D546" s="38"/>
      <c r="E546" s="38"/>
      <c r="F546" s="41"/>
      <c r="G546" s="43"/>
      <c r="H546" s="45"/>
      <c r="I546" s="38"/>
      <c r="J546" s="38"/>
      <c r="K546" s="46"/>
      <c r="L546" s="47"/>
      <c r="M546" s="46"/>
      <c r="N546" s="46"/>
      <c r="O546" s="38"/>
      <c r="P546" s="38"/>
      <c r="Q546" s="12"/>
      <c r="R546" s="50"/>
      <c r="S546" s="50"/>
      <c r="T546" s="50"/>
      <c r="U546" s="53"/>
      <c r="V546" s="54"/>
      <c r="W546" s="56"/>
      <c r="X546" s="119"/>
      <c r="Y546" s="113"/>
      <c r="Z546" s="113"/>
      <c r="AH546" s="106"/>
      <c r="AI546" s="106"/>
      <c r="AJ546" s="106"/>
      <c r="AK546" s="106"/>
      <c r="AL546" s="106"/>
      <c r="AM546" s="106"/>
      <c r="AN546" s="106"/>
    </row>
    <row r="547">
      <c r="A547" s="38"/>
      <c r="B547" s="38"/>
      <c r="C547" s="38"/>
      <c r="D547" s="38"/>
      <c r="E547" s="38"/>
      <c r="F547" s="41"/>
      <c r="G547" s="43"/>
      <c r="H547" s="45"/>
      <c r="I547" s="38"/>
      <c r="J547" s="38"/>
      <c r="K547" s="46"/>
      <c r="L547" s="47"/>
      <c r="M547" s="46"/>
      <c r="N547" s="46"/>
      <c r="O547" s="38"/>
      <c r="P547" s="38"/>
      <c r="Q547" s="12"/>
      <c r="R547" s="50"/>
      <c r="S547" s="50"/>
      <c r="T547" s="50"/>
      <c r="U547" s="53"/>
      <c r="V547" s="54"/>
      <c r="W547" s="56"/>
      <c r="X547" s="119"/>
      <c r="Y547" s="113"/>
      <c r="Z547" s="113"/>
      <c r="AH547" s="106"/>
      <c r="AI547" s="106"/>
      <c r="AJ547" s="106"/>
      <c r="AK547" s="106"/>
      <c r="AL547" s="106"/>
      <c r="AM547" s="106"/>
      <c r="AN547" s="106"/>
    </row>
    <row r="548">
      <c r="A548" s="38"/>
      <c r="B548" s="38"/>
      <c r="C548" s="38"/>
      <c r="D548" s="38"/>
      <c r="E548" s="38"/>
      <c r="F548" s="41"/>
      <c r="G548" s="43"/>
      <c r="H548" s="45"/>
      <c r="I548" s="38"/>
      <c r="J548" s="38"/>
      <c r="K548" s="46"/>
      <c r="L548" s="47"/>
      <c r="M548" s="46"/>
      <c r="N548" s="46"/>
      <c r="O548" s="38"/>
      <c r="P548" s="38"/>
      <c r="Q548" s="12"/>
      <c r="R548" s="50"/>
      <c r="S548" s="50"/>
      <c r="T548" s="50"/>
      <c r="U548" s="53"/>
      <c r="V548" s="54"/>
      <c r="W548" s="56"/>
      <c r="X548" s="119"/>
      <c r="Y548" s="113"/>
      <c r="Z548" s="113"/>
      <c r="AH548" s="106"/>
      <c r="AI548" s="106"/>
      <c r="AJ548" s="106"/>
      <c r="AK548" s="106"/>
      <c r="AL548" s="106"/>
      <c r="AM548" s="106"/>
      <c r="AN548" s="106"/>
    </row>
    <row r="549">
      <c r="A549" s="38"/>
      <c r="B549" s="38"/>
      <c r="C549" s="38"/>
      <c r="D549" s="38"/>
      <c r="E549" s="38"/>
      <c r="F549" s="41"/>
      <c r="G549" s="43"/>
      <c r="H549" s="45"/>
      <c r="I549" s="38"/>
      <c r="J549" s="38"/>
      <c r="K549" s="46"/>
      <c r="L549" s="47"/>
      <c r="M549" s="46"/>
      <c r="N549" s="46"/>
      <c r="O549" s="38"/>
      <c r="P549" s="38"/>
      <c r="Q549" s="12"/>
      <c r="R549" s="50"/>
      <c r="S549" s="50"/>
      <c r="T549" s="50"/>
      <c r="U549" s="53"/>
      <c r="V549" s="54"/>
      <c r="W549" s="56"/>
      <c r="X549" s="119"/>
      <c r="Y549" s="113"/>
      <c r="Z549" s="113"/>
      <c r="AH549" s="106"/>
      <c r="AI549" s="106"/>
      <c r="AJ549" s="106"/>
      <c r="AK549" s="106"/>
      <c r="AL549" s="106"/>
      <c r="AM549" s="106"/>
      <c r="AN549" s="106"/>
    </row>
    <row r="550">
      <c r="A550" s="38"/>
      <c r="B550" s="38"/>
      <c r="C550" s="38"/>
      <c r="D550" s="38"/>
      <c r="E550" s="38"/>
      <c r="F550" s="41"/>
      <c r="G550" s="43"/>
      <c r="H550" s="45"/>
      <c r="I550" s="38"/>
      <c r="J550" s="38"/>
      <c r="K550" s="46"/>
      <c r="L550" s="47"/>
      <c r="M550" s="46"/>
      <c r="N550" s="46"/>
      <c r="O550" s="38"/>
      <c r="P550" s="38"/>
      <c r="Q550" s="12"/>
      <c r="R550" s="50"/>
      <c r="S550" s="50"/>
      <c r="T550" s="50"/>
      <c r="U550" s="53"/>
      <c r="V550" s="54"/>
      <c r="W550" s="56"/>
      <c r="X550" s="119"/>
      <c r="Y550" s="113"/>
      <c r="Z550" s="113"/>
      <c r="AH550" s="106"/>
      <c r="AI550" s="106"/>
      <c r="AJ550" s="106"/>
      <c r="AK550" s="106"/>
      <c r="AL550" s="106"/>
      <c r="AM550" s="106"/>
      <c r="AN550" s="106"/>
    </row>
    <row r="551">
      <c r="A551" s="38"/>
      <c r="B551" s="38"/>
      <c r="C551" s="38"/>
      <c r="D551" s="38"/>
      <c r="E551" s="38"/>
      <c r="F551" s="41"/>
      <c r="G551" s="43"/>
      <c r="H551" s="45"/>
      <c r="I551" s="38"/>
      <c r="J551" s="38"/>
      <c r="K551" s="46"/>
      <c r="L551" s="47"/>
      <c r="M551" s="46"/>
      <c r="N551" s="46"/>
      <c r="O551" s="38"/>
      <c r="P551" s="38"/>
      <c r="Q551" s="12"/>
      <c r="R551" s="50"/>
      <c r="S551" s="50"/>
      <c r="T551" s="50"/>
      <c r="U551" s="53"/>
      <c r="V551" s="54"/>
      <c r="W551" s="56"/>
      <c r="X551" s="119"/>
      <c r="Y551" s="113"/>
      <c r="Z551" s="113"/>
      <c r="AH551" s="106"/>
      <c r="AI551" s="106"/>
      <c r="AJ551" s="106"/>
      <c r="AK551" s="106"/>
      <c r="AL551" s="106"/>
      <c r="AM551" s="106"/>
      <c r="AN551" s="106"/>
    </row>
    <row r="552">
      <c r="A552" s="38"/>
      <c r="B552" s="38"/>
      <c r="C552" s="38"/>
      <c r="D552" s="38"/>
      <c r="E552" s="38"/>
      <c r="F552" s="41"/>
      <c r="G552" s="43"/>
      <c r="H552" s="45"/>
      <c r="I552" s="38"/>
      <c r="J552" s="38"/>
      <c r="K552" s="46"/>
      <c r="L552" s="47"/>
      <c r="M552" s="46"/>
      <c r="N552" s="46"/>
      <c r="O552" s="38"/>
      <c r="P552" s="38"/>
      <c r="Q552" s="12"/>
      <c r="R552" s="50"/>
      <c r="S552" s="50"/>
      <c r="T552" s="50"/>
      <c r="U552" s="53"/>
      <c r="V552" s="54"/>
      <c r="W552" s="56"/>
      <c r="X552" s="119"/>
      <c r="Y552" s="113"/>
      <c r="Z552" s="113"/>
      <c r="AH552" s="106"/>
      <c r="AI552" s="106"/>
      <c r="AJ552" s="106"/>
      <c r="AK552" s="106"/>
      <c r="AL552" s="106"/>
      <c r="AM552" s="106"/>
      <c r="AN552" s="106"/>
    </row>
    <row r="553">
      <c r="A553" s="38"/>
      <c r="B553" s="38"/>
      <c r="C553" s="38"/>
      <c r="D553" s="38"/>
      <c r="E553" s="38"/>
      <c r="F553" s="41"/>
      <c r="G553" s="43"/>
      <c r="H553" s="45"/>
      <c r="I553" s="38"/>
      <c r="J553" s="38"/>
      <c r="K553" s="46"/>
      <c r="L553" s="47"/>
      <c r="M553" s="46"/>
      <c r="N553" s="46"/>
      <c r="O553" s="38"/>
      <c r="P553" s="38"/>
      <c r="Q553" s="12"/>
      <c r="R553" s="50"/>
      <c r="S553" s="50"/>
      <c r="T553" s="50"/>
      <c r="U553" s="53"/>
      <c r="V553" s="54"/>
      <c r="W553" s="56"/>
      <c r="X553" s="119"/>
      <c r="Y553" s="113"/>
      <c r="Z553" s="113"/>
      <c r="AH553" s="106"/>
      <c r="AI553" s="106"/>
      <c r="AJ553" s="106"/>
      <c r="AK553" s="106"/>
      <c r="AL553" s="106"/>
      <c r="AM553" s="106"/>
      <c r="AN553" s="106"/>
    </row>
    <row r="554">
      <c r="A554" s="38"/>
      <c r="B554" s="38"/>
      <c r="C554" s="38"/>
      <c r="D554" s="38"/>
      <c r="E554" s="38"/>
      <c r="F554" s="41"/>
      <c r="G554" s="43"/>
      <c r="H554" s="45"/>
      <c r="I554" s="38"/>
      <c r="J554" s="38"/>
      <c r="K554" s="46"/>
      <c r="L554" s="47"/>
      <c r="M554" s="46"/>
      <c r="N554" s="46"/>
      <c r="O554" s="38"/>
      <c r="P554" s="38"/>
      <c r="Q554" s="12"/>
      <c r="R554" s="50"/>
      <c r="S554" s="50"/>
      <c r="T554" s="50"/>
      <c r="U554" s="53"/>
      <c r="V554" s="54"/>
      <c r="W554" s="56"/>
      <c r="X554" s="119"/>
      <c r="Y554" s="113"/>
      <c r="Z554" s="113"/>
      <c r="AH554" s="106"/>
      <c r="AI554" s="106"/>
      <c r="AJ554" s="106"/>
      <c r="AK554" s="106"/>
      <c r="AL554" s="106"/>
      <c r="AM554" s="106"/>
      <c r="AN554" s="106"/>
    </row>
    <row r="555">
      <c r="A555" s="38"/>
      <c r="B555" s="38"/>
      <c r="C555" s="38"/>
      <c r="D555" s="38"/>
      <c r="E555" s="38"/>
      <c r="F555" s="41"/>
      <c r="G555" s="43"/>
      <c r="H555" s="45"/>
      <c r="I555" s="38"/>
      <c r="J555" s="38"/>
      <c r="K555" s="46"/>
      <c r="L555" s="47"/>
      <c r="M555" s="46"/>
      <c r="N555" s="46"/>
      <c r="O555" s="38"/>
      <c r="P555" s="38"/>
      <c r="Q555" s="12"/>
      <c r="R555" s="50"/>
      <c r="S555" s="50"/>
      <c r="T555" s="50"/>
      <c r="U555" s="53"/>
      <c r="V555" s="54"/>
      <c r="W555" s="56"/>
      <c r="X555" s="119"/>
      <c r="Y555" s="113"/>
      <c r="Z555" s="113"/>
      <c r="AH555" s="106"/>
      <c r="AI555" s="106"/>
      <c r="AJ555" s="106"/>
      <c r="AK555" s="106"/>
      <c r="AL555" s="106"/>
      <c r="AM555" s="106"/>
      <c r="AN555" s="106"/>
    </row>
    <row r="556">
      <c r="A556" s="38"/>
      <c r="B556" s="38"/>
      <c r="C556" s="38"/>
      <c r="D556" s="38"/>
      <c r="E556" s="38"/>
      <c r="F556" s="41"/>
      <c r="G556" s="43"/>
      <c r="H556" s="45"/>
      <c r="I556" s="38"/>
      <c r="J556" s="38"/>
      <c r="K556" s="46"/>
      <c r="L556" s="47"/>
      <c r="M556" s="46"/>
      <c r="N556" s="46"/>
      <c r="O556" s="38"/>
      <c r="P556" s="38"/>
      <c r="Q556" s="12"/>
      <c r="R556" s="50"/>
      <c r="S556" s="50"/>
      <c r="T556" s="50"/>
      <c r="U556" s="53"/>
      <c r="V556" s="54"/>
      <c r="W556" s="56"/>
      <c r="X556" s="119"/>
      <c r="Y556" s="113"/>
      <c r="Z556" s="113"/>
      <c r="AH556" s="106"/>
      <c r="AI556" s="106"/>
      <c r="AJ556" s="106"/>
      <c r="AK556" s="106"/>
      <c r="AL556" s="106"/>
      <c r="AM556" s="106"/>
      <c r="AN556" s="106"/>
    </row>
    <row r="557">
      <c r="A557" s="38"/>
      <c r="B557" s="38"/>
      <c r="C557" s="38"/>
      <c r="D557" s="38"/>
      <c r="E557" s="38"/>
      <c r="F557" s="41"/>
      <c r="G557" s="43"/>
      <c r="H557" s="45"/>
      <c r="I557" s="38"/>
      <c r="J557" s="38"/>
      <c r="K557" s="46"/>
      <c r="L557" s="47"/>
      <c r="M557" s="46"/>
      <c r="N557" s="46"/>
      <c r="O557" s="38"/>
      <c r="P557" s="38"/>
      <c r="Q557" s="12"/>
      <c r="R557" s="50"/>
      <c r="S557" s="50"/>
      <c r="T557" s="50"/>
      <c r="U557" s="53"/>
      <c r="V557" s="54"/>
      <c r="W557" s="56"/>
      <c r="X557" s="119"/>
      <c r="Y557" s="113"/>
      <c r="Z557" s="113"/>
      <c r="AH557" s="106"/>
      <c r="AI557" s="106"/>
      <c r="AJ557" s="106"/>
      <c r="AK557" s="106"/>
      <c r="AL557" s="106"/>
      <c r="AM557" s="106"/>
      <c r="AN557" s="106"/>
    </row>
    <row r="558">
      <c r="A558" s="38"/>
      <c r="B558" s="38"/>
      <c r="C558" s="38"/>
      <c r="D558" s="38"/>
      <c r="E558" s="38"/>
      <c r="F558" s="41"/>
      <c r="G558" s="43"/>
      <c r="H558" s="45"/>
      <c r="I558" s="38"/>
      <c r="J558" s="38"/>
      <c r="K558" s="46"/>
      <c r="L558" s="47"/>
      <c r="M558" s="46"/>
      <c r="N558" s="46"/>
      <c r="O558" s="38"/>
      <c r="P558" s="38"/>
      <c r="Q558" s="12"/>
      <c r="R558" s="50"/>
      <c r="S558" s="50"/>
      <c r="T558" s="50"/>
      <c r="U558" s="53"/>
      <c r="V558" s="54"/>
      <c r="W558" s="56"/>
      <c r="X558" s="119"/>
      <c r="Y558" s="113"/>
      <c r="Z558" s="113"/>
      <c r="AH558" s="106"/>
      <c r="AI558" s="106"/>
      <c r="AJ558" s="106"/>
      <c r="AK558" s="106"/>
      <c r="AL558" s="106"/>
      <c r="AM558" s="106"/>
      <c r="AN558" s="106"/>
    </row>
    <row r="559">
      <c r="A559" s="38"/>
      <c r="B559" s="38"/>
      <c r="C559" s="38"/>
      <c r="D559" s="38"/>
      <c r="E559" s="38"/>
      <c r="F559" s="41"/>
      <c r="G559" s="43"/>
      <c r="H559" s="45"/>
      <c r="I559" s="38"/>
      <c r="J559" s="38"/>
      <c r="K559" s="46"/>
      <c r="L559" s="47"/>
      <c r="M559" s="46"/>
      <c r="N559" s="46"/>
      <c r="O559" s="38"/>
      <c r="P559" s="38"/>
      <c r="Q559" s="12"/>
      <c r="R559" s="50"/>
      <c r="S559" s="50"/>
      <c r="T559" s="50"/>
      <c r="U559" s="53"/>
      <c r="V559" s="54"/>
      <c r="W559" s="56"/>
      <c r="X559" s="119"/>
      <c r="Y559" s="113"/>
      <c r="Z559" s="113"/>
      <c r="AH559" s="106"/>
      <c r="AI559" s="106"/>
      <c r="AJ559" s="106"/>
      <c r="AK559" s="106"/>
      <c r="AL559" s="106"/>
      <c r="AM559" s="106"/>
      <c r="AN559" s="106"/>
    </row>
    <row r="560">
      <c r="A560" s="38"/>
      <c r="B560" s="38"/>
      <c r="C560" s="38"/>
      <c r="D560" s="38"/>
      <c r="E560" s="38"/>
      <c r="F560" s="41"/>
      <c r="G560" s="43"/>
      <c r="H560" s="45"/>
      <c r="I560" s="38"/>
      <c r="J560" s="38"/>
      <c r="K560" s="46"/>
      <c r="L560" s="47"/>
      <c r="M560" s="46"/>
      <c r="N560" s="46"/>
      <c r="O560" s="38"/>
      <c r="P560" s="38"/>
      <c r="Q560" s="12"/>
      <c r="R560" s="50"/>
      <c r="S560" s="50"/>
      <c r="T560" s="50"/>
      <c r="U560" s="53"/>
      <c r="V560" s="54"/>
      <c r="W560" s="56"/>
      <c r="X560" s="119"/>
      <c r="Y560" s="113"/>
      <c r="Z560" s="113"/>
      <c r="AH560" s="106"/>
      <c r="AI560" s="106"/>
      <c r="AJ560" s="106"/>
      <c r="AK560" s="106"/>
      <c r="AL560" s="106"/>
      <c r="AM560" s="106"/>
      <c r="AN560" s="106"/>
    </row>
    <row r="561">
      <c r="A561" s="38"/>
      <c r="B561" s="38"/>
      <c r="C561" s="38"/>
      <c r="D561" s="38"/>
      <c r="E561" s="38"/>
      <c r="F561" s="41"/>
      <c r="G561" s="43"/>
      <c r="H561" s="45"/>
      <c r="I561" s="38"/>
      <c r="J561" s="38"/>
      <c r="K561" s="46"/>
      <c r="L561" s="47"/>
      <c r="M561" s="46"/>
      <c r="N561" s="46"/>
      <c r="O561" s="38"/>
      <c r="P561" s="38"/>
      <c r="Q561" s="12"/>
      <c r="R561" s="50"/>
      <c r="S561" s="50"/>
      <c r="T561" s="50"/>
      <c r="U561" s="53"/>
      <c r="V561" s="54"/>
      <c r="W561" s="56"/>
      <c r="X561" s="119"/>
      <c r="Y561" s="113"/>
      <c r="Z561" s="113"/>
      <c r="AH561" s="106"/>
      <c r="AI561" s="106"/>
      <c r="AJ561" s="106"/>
      <c r="AK561" s="106"/>
      <c r="AL561" s="106"/>
      <c r="AM561" s="106"/>
      <c r="AN561" s="106"/>
    </row>
    <row r="562">
      <c r="A562" s="38"/>
      <c r="B562" s="38"/>
      <c r="C562" s="38"/>
      <c r="D562" s="38"/>
      <c r="E562" s="38"/>
      <c r="F562" s="41"/>
      <c r="G562" s="43"/>
      <c r="H562" s="45"/>
      <c r="I562" s="38"/>
      <c r="J562" s="38"/>
      <c r="K562" s="46"/>
      <c r="L562" s="47"/>
      <c r="M562" s="46"/>
      <c r="N562" s="46"/>
      <c r="O562" s="38"/>
      <c r="P562" s="38"/>
      <c r="Q562" s="12"/>
      <c r="R562" s="50"/>
      <c r="S562" s="50"/>
      <c r="T562" s="50"/>
      <c r="U562" s="53"/>
      <c r="V562" s="54"/>
      <c r="W562" s="56"/>
      <c r="X562" s="119"/>
      <c r="Y562" s="113"/>
      <c r="Z562" s="113"/>
      <c r="AH562" s="106"/>
      <c r="AI562" s="106"/>
      <c r="AJ562" s="106"/>
      <c r="AK562" s="106"/>
      <c r="AL562" s="106"/>
      <c r="AM562" s="106"/>
      <c r="AN562" s="106"/>
    </row>
    <row r="563">
      <c r="A563" s="38"/>
      <c r="B563" s="38"/>
      <c r="C563" s="38"/>
      <c r="D563" s="38"/>
      <c r="E563" s="38"/>
      <c r="F563" s="41"/>
      <c r="G563" s="43"/>
      <c r="H563" s="45"/>
      <c r="I563" s="38"/>
      <c r="J563" s="38"/>
      <c r="K563" s="46"/>
      <c r="L563" s="47"/>
      <c r="M563" s="46"/>
      <c r="N563" s="46"/>
      <c r="O563" s="38"/>
      <c r="P563" s="38"/>
      <c r="Q563" s="12"/>
      <c r="R563" s="50"/>
      <c r="S563" s="50"/>
      <c r="T563" s="50"/>
      <c r="U563" s="53"/>
      <c r="V563" s="54"/>
      <c r="W563" s="56"/>
      <c r="X563" s="119"/>
      <c r="Y563" s="113"/>
      <c r="Z563" s="113"/>
      <c r="AH563" s="106"/>
      <c r="AI563" s="106"/>
      <c r="AJ563" s="106"/>
      <c r="AK563" s="106"/>
      <c r="AL563" s="106"/>
      <c r="AM563" s="106"/>
      <c r="AN563" s="106"/>
    </row>
    <row r="564">
      <c r="A564" s="38"/>
      <c r="B564" s="38"/>
      <c r="C564" s="38"/>
      <c r="D564" s="38"/>
      <c r="E564" s="38"/>
      <c r="F564" s="41"/>
      <c r="G564" s="43"/>
      <c r="H564" s="45"/>
      <c r="I564" s="38"/>
      <c r="J564" s="38"/>
      <c r="K564" s="46"/>
      <c r="L564" s="47"/>
      <c r="M564" s="46"/>
      <c r="N564" s="46"/>
      <c r="O564" s="38"/>
      <c r="P564" s="38"/>
      <c r="Q564" s="12"/>
      <c r="R564" s="50"/>
      <c r="S564" s="50"/>
      <c r="T564" s="50"/>
      <c r="U564" s="53"/>
      <c r="V564" s="54"/>
      <c r="W564" s="56"/>
      <c r="X564" s="119"/>
      <c r="Y564" s="113"/>
      <c r="Z564" s="113"/>
      <c r="AH564" s="106"/>
      <c r="AI564" s="106"/>
      <c r="AJ564" s="106"/>
      <c r="AK564" s="106"/>
      <c r="AL564" s="106"/>
      <c r="AM564" s="106"/>
      <c r="AN564" s="106"/>
    </row>
    <row r="565">
      <c r="A565" s="38"/>
      <c r="B565" s="38"/>
      <c r="C565" s="38"/>
      <c r="D565" s="38"/>
      <c r="E565" s="38"/>
      <c r="F565" s="41"/>
      <c r="G565" s="43"/>
      <c r="H565" s="45"/>
      <c r="I565" s="38"/>
      <c r="J565" s="38"/>
      <c r="K565" s="46"/>
      <c r="L565" s="47"/>
      <c r="M565" s="46"/>
      <c r="N565" s="46"/>
      <c r="O565" s="38"/>
      <c r="P565" s="38"/>
      <c r="Q565" s="12"/>
      <c r="R565" s="50"/>
      <c r="S565" s="50"/>
      <c r="T565" s="50"/>
      <c r="U565" s="53"/>
      <c r="V565" s="54"/>
      <c r="W565" s="56"/>
      <c r="X565" s="119"/>
      <c r="Y565" s="113"/>
      <c r="Z565" s="113"/>
      <c r="AH565" s="106"/>
      <c r="AI565" s="106"/>
      <c r="AJ565" s="106"/>
      <c r="AK565" s="106"/>
      <c r="AL565" s="106"/>
      <c r="AM565" s="106"/>
      <c r="AN565" s="106"/>
    </row>
    <row r="566">
      <c r="A566" s="38"/>
      <c r="B566" s="38"/>
      <c r="C566" s="38"/>
      <c r="D566" s="38"/>
      <c r="E566" s="38"/>
      <c r="F566" s="41"/>
      <c r="G566" s="43"/>
      <c r="H566" s="45"/>
      <c r="I566" s="38"/>
      <c r="J566" s="38"/>
      <c r="K566" s="46"/>
      <c r="L566" s="47"/>
      <c r="M566" s="46"/>
      <c r="N566" s="46"/>
      <c r="O566" s="38"/>
      <c r="P566" s="38"/>
      <c r="Q566" s="12"/>
      <c r="R566" s="50"/>
      <c r="S566" s="50"/>
      <c r="T566" s="50"/>
      <c r="U566" s="53"/>
      <c r="V566" s="54"/>
      <c r="W566" s="56"/>
      <c r="X566" s="119"/>
      <c r="Y566" s="113"/>
      <c r="Z566" s="113"/>
      <c r="AH566" s="106"/>
      <c r="AI566" s="106"/>
      <c r="AJ566" s="106"/>
      <c r="AK566" s="106"/>
      <c r="AL566" s="106"/>
      <c r="AM566" s="106"/>
      <c r="AN566" s="106"/>
    </row>
    <row r="567">
      <c r="A567" s="38"/>
      <c r="B567" s="38"/>
      <c r="C567" s="38"/>
      <c r="D567" s="38"/>
      <c r="E567" s="38"/>
      <c r="F567" s="41"/>
      <c r="G567" s="43"/>
      <c r="H567" s="45"/>
      <c r="I567" s="38"/>
      <c r="J567" s="38"/>
      <c r="K567" s="46"/>
      <c r="L567" s="47"/>
      <c r="M567" s="46"/>
      <c r="N567" s="46"/>
      <c r="O567" s="38"/>
      <c r="P567" s="38"/>
      <c r="Q567" s="12"/>
      <c r="R567" s="50"/>
      <c r="S567" s="50"/>
      <c r="T567" s="50"/>
      <c r="U567" s="53"/>
      <c r="V567" s="54"/>
      <c r="W567" s="56"/>
      <c r="X567" s="119"/>
      <c r="Y567" s="113"/>
      <c r="Z567" s="113"/>
      <c r="AH567" s="106"/>
      <c r="AI567" s="106"/>
      <c r="AJ567" s="106"/>
      <c r="AK567" s="106"/>
      <c r="AL567" s="106"/>
      <c r="AM567" s="106"/>
      <c r="AN567" s="106"/>
    </row>
    <row r="568">
      <c r="A568" s="38"/>
      <c r="B568" s="38"/>
      <c r="C568" s="38"/>
      <c r="D568" s="38"/>
      <c r="E568" s="38"/>
      <c r="F568" s="41"/>
      <c r="G568" s="43"/>
      <c r="H568" s="45"/>
      <c r="I568" s="38"/>
      <c r="J568" s="38"/>
      <c r="K568" s="46"/>
      <c r="L568" s="47"/>
      <c r="M568" s="46"/>
      <c r="N568" s="46"/>
      <c r="O568" s="38"/>
      <c r="P568" s="38"/>
      <c r="Q568" s="12"/>
      <c r="R568" s="50"/>
      <c r="S568" s="50"/>
      <c r="T568" s="50"/>
      <c r="U568" s="53"/>
      <c r="V568" s="54"/>
      <c r="W568" s="56"/>
      <c r="X568" s="119"/>
      <c r="Y568" s="113"/>
      <c r="Z568" s="113"/>
      <c r="AH568" s="106"/>
      <c r="AI568" s="106"/>
      <c r="AJ568" s="106"/>
      <c r="AK568" s="106"/>
      <c r="AL568" s="106"/>
      <c r="AM568" s="106"/>
      <c r="AN568" s="106"/>
    </row>
    <row r="569">
      <c r="A569" s="38"/>
      <c r="B569" s="38"/>
      <c r="C569" s="38"/>
      <c r="D569" s="38"/>
      <c r="E569" s="38"/>
      <c r="F569" s="41"/>
      <c r="G569" s="43"/>
      <c r="H569" s="45"/>
      <c r="I569" s="38"/>
      <c r="J569" s="38"/>
      <c r="K569" s="46"/>
      <c r="L569" s="47"/>
      <c r="M569" s="46"/>
      <c r="N569" s="46"/>
      <c r="O569" s="38"/>
      <c r="P569" s="38"/>
      <c r="Q569" s="12"/>
      <c r="R569" s="50"/>
      <c r="S569" s="50"/>
      <c r="T569" s="50"/>
      <c r="U569" s="53"/>
      <c r="V569" s="54"/>
      <c r="W569" s="56"/>
      <c r="X569" s="119"/>
      <c r="Y569" s="113"/>
      <c r="Z569" s="113"/>
      <c r="AH569" s="106"/>
      <c r="AI569" s="106"/>
      <c r="AJ569" s="106"/>
      <c r="AK569" s="106"/>
      <c r="AL569" s="106"/>
      <c r="AM569" s="106"/>
      <c r="AN569" s="106"/>
    </row>
    <row r="570">
      <c r="A570" s="38"/>
      <c r="B570" s="38"/>
      <c r="C570" s="38"/>
      <c r="D570" s="38"/>
      <c r="E570" s="38"/>
      <c r="F570" s="41"/>
      <c r="G570" s="43"/>
      <c r="H570" s="45"/>
      <c r="I570" s="38"/>
      <c r="J570" s="38"/>
      <c r="K570" s="46"/>
      <c r="L570" s="47"/>
      <c r="M570" s="46"/>
      <c r="N570" s="46"/>
      <c r="O570" s="38"/>
      <c r="P570" s="38"/>
      <c r="Q570" s="12"/>
      <c r="R570" s="50"/>
      <c r="S570" s="50"/>
      <c r="T570" s="50"/>
      <c r="U570" s="53"/>
      <c r="V570" s="54"/>
      <c r="W570" s="56"/>
      <c r="X570" s="119"/>
      <c r="Y570" s="113"/>
      <c r="Z570" s="113"/>
      <c r="AH570" s="106"/>
      <c r="AI570" s="106"/>
      <c r="AJ570" s="106"/>
      <c r="AK570" s="106"/>
      <c r="AL570" s="106"/>
      <c r="AM570" s="106"/>
      <c r="AN570" s="106"/>
    </row>
    <row r="571">
      <c r="A571" s="38"/>
      <c r="B571" s="38"/>
      <c r="C571" s="38"/>
      <c r="D571" s="38"/>
      <c r="E571" s="38"/>
      <c r="F571" s="41"/>
      <c r="G571" s="43"/>
      <c r="H571" s="45"/>
      <c r="I571" s="38"/>
      <c r="J571" s="38"/>
      <c r="K571" s="46"/>
      <c r="L571" s="47"/>
      <c r="M571" s="46"/>
      <c r="N571" s="46"/>
      <c r="O571" s="38"/>
      <c r="P571" s="38"/>
      <c r="Q571" s="12"/>
      <c r="R571" s="50"/>
      <c r="S571" s="50"/>
      <c r="T571" s="50"/>
      <c r="U571" s="53"/>
      <c r="V571" s="54"/>
      <c r="W571" s="56"/>
      <c r="X571" s="119"/>
      <c r="Y571" s="113"/>
      <c r="Z571" s="113"/>
      <c r="AH571" s="106"/>
      <c r="AI571" s="106"/>
      <c r="AJ571" s="106"/>
      <c r="AK571" s="106"/>
      <c r="AL571" s="106"/>
      <c r="AM571" s="106"/>
      <c r="AN571" s="106"/>
    </row>
    <row r="572">
      <c r="A572" s="38"/>
      <c r="B572" s="38"/>
      <c r="C572" s="38"/>
      <c r="D572" s="38"/>
      <c r="E572" s="38"/>
      <c r="F572" s="41"/>
      <c r="G572" s="43"/>
      <c r="H572" s="45"/>
      <c r="I572" s="38"/>
      <c r="J572" s="38"/>
      <c r="K572" s="46"/>
      <c r="L572" s="47"/>
      <c r="M572" s="46"/>
      <c r="N572" s="46"/>
      <c r="O572" s="38"/>
      <c r="P572" s="38"/>
      <c r="Q572" s="12"/>
      <c r="R572" s="50"/>
      <c r="S572" s="50"/>
      <c r="T572" s="50"/>
      <c r="U572" s="53"/>
      <c r="V572" s="54"/>
      <c r="W572" s="56"/>
      <c r="X572" s="119"/>
      <c r="Y572" s="113"/>
      <c r="Z572" s="113"/>
      <c r="AH572" s="106"/>
      <c r="AI572" s="106"/>
      <c r="AJ572" s="106"/>
      <c r="AK572" s="106"/>
      <c r="AL572" s="106"/>
      <c r="AM572" s="106"/>
      <c r="AN572" s="106"/>
    </row>
    <row r="573">
      <c r="A573" s="38"/>
      <c r="B573" s="38"/>
      <c r="C573" s="38"/>
      <c r="D573" s="38"/>
      <c r="E573" s="38"/>
      <c r="F573" s="41"/>
      <c r="G573" s="43"/>
      <c r="H573" s="45"/>
      <c r="I573" s="38"/>
      <c r="J573" s="38"/>
      <c r="K573" s="46"/>
      <c r="L573" s="47"/>
      <c r="M573" s="46"/>
      <c r="N573" s="46"/>
      <c r="O573" s="38"/>
      <c r="P573" s="38"/>
      <c r="Q573" s="12"/>
      <c r="R573" s="50"/>
      <c r="S573" s="50"/>
      <c r="T573" s="50"/>
      <c r="U573" s="53"/>
      <c r="V573" s="54"/>
      <c r="W573" s="56"/>
      <c r="X573" s="119"/>
      <c r="Y573" s="113"/>
      <c r="Z573" s="113"/>
      <c r="AH573" s="106"/>
      <c r="AI573" s="106"/>
      <c r="AJ573" s="106"/>
      <c r="AK573" s="106"/>
      <c r="AL573" s="106"/>
      <c r="AM573" s="106"/>
      <c r="AN573" s="106"/>
    </row>
    <row r="574">
      <c r="A574" s="38"/>
      <c r="B574" s="38"/>
      <c r="C574" s="38"/>
      <c r="D574" s="38"/>
      <c r="E574" s="38"/>
      <c r="F574" s="41"/>
      <c r="G574" s="43"/>
      <c r="H574" s="45"/>
      <c r="I574" s="38"/>
      <c r="J574" s="38"/>
      <c r="K574" s="46"/>
      <c r="L574" s="47"/>
      <c r="M574" s="46"/>
      <c r="N574" s="46"/>
      <c r="O574" s="38"/>
      <c r="P574" s="38"/>
      <c r="Q574" s="12"/>
      <c r="R574" s="50"/>
      <c r="S574" s="50"/>
      <c r="T574" s="50"/>
      <c r="U574" s="53"/>
      <c r="V574" s="54"/>
      <c r="W574" s="56"/>
      <c r="X574" s="119"/>
      <c r="Y574" s="113"/>
      <c r="Z574" s="113"/>
      <c r="AH574" s="106"/>
      <c r="AI574" s="106"/>
      <c r="AJ574" s="106"/>
      <c r="AK574" s="106"/>
      <c r="AL574" s="106"/>
      <c r="AM574" s="106"/>
      <c r="AN574" s="106"/>
    </row>
    <row r="575">
      <c r="A575" s="38"/>
      <c r="B575" s="38"/>
      <c r="C575" s="38"/>
      <c r="D575" s="38"/>
      <c r="E575" s="38"/>
      <c r="F575" s="41"/>
      <c r="G575" s="43"/>
      <c r="H575" s="45"/>
      <c r="I575" s="38"/>
      <c r="J575" s="38"/>
      <c r="K575" s="46"/>
      <c r="L575" s="47"/>
      <c r="M575" s="46"/>
      <c r="N575" s="46"/>
      <c r="O575" s="38"/>
      <c r="P575" s="38"/>
      <c r="Q575" s="12"/>
      <c r="R575" s="50"/>
      <c r="S575" s="50"/>
      <c r="T575" s="50"/>
      <c r="U575" s="53"/>
      <c r="V575" s="54"/>
      <c r="W575" s="56"/>
      <c r="X575" s="119"/>
      <c r="Y575" s="113"/>
      <c r="Z575" s="113"/>
      <c r="AH575" s="106"/>
      <c r="AI575" s="106"/>
      <c r="AJ575" s="106"/>
      <c r="AK575" s="106"/>
      <c r="AL575" s="106"/>
      <c r="AM575" s="106"/>
      <c r="AN575" s="106"/>
    </row>
    <row r="576">
      <c r="A576" s="38"/>
      <c r="B576" s="38"/>
      <c r="C576" s="38"/>
      <c r="D576" s="38"/>
      <c r="E576" s="38"/>
      <c r="F576" s="41"/>
      <c r="G576" s="43"/>
      <c r="H576" s="45"/>
      <c r="I576" s="38"/>
      <c r="J576" s="38"/>
      <c r="K576" s="46"/>
      <c r="L576" s="47"/>
      <c r="M576" s="46"/>
      <c r="N576" s="46"/>
      <c r="O576" s="38"/>
      <c r="P576" s="38"/>
      <c r="Q576" s="12"/>
      <c r="R576" s="50"/>
      <c r="S576" s="50"/>
      <c r="T576" s="50"/>
      <c r="U576" s="53"/>
      <c r="V576" s="54"/>
      <c r="W576" s="56"/>
      <c r="X576" s="119"/>
      <c r="Y576" s="113"/>
      <c r="Z576" s="113"/>
      <c r="AH576" s="106"/>
      <c r="AI576" s="106"/>
      <c r="AJ576" s="106"/>
      <c r="AK576" s="106"/>
      <c r="AL576" s="106"/>
      <c r="AM576" s="106"/>
      <c r="AN576" s="106"/>
    </row>
    <row r="577">
      <c r="A577" s="38"/>
      <c r="B577" s="38"/>
      <c r="C577" s="38"/>
      <c r="D577" s="38"/>
      <c r="E577" s="38"/>
      <c r="F577" s="41"/>
      <c r="G577" s="43"/>
      <c r="H577" s="45"/>
      <c r="I577" s="38"/>
      <c r="J577" s="38"/>
      <c r="K577" s="46"/>
      <c r="L577" s="47"/>
      <c r="M577" s="46"/>
      <c r="N577" s="46"/>
      <c r="O577" s="38"/>
      <c r="P577" s="38"/>
      <c r="Q577" s="12"/>
      <c r="R577" s="50"/>
      <c r="S577" s="50"/>
      <c r="T577" s="50"/>
      <c r="U577" s="53"/>
      <c r="V577" s="54"/>
      <c r="W577" s="56"/>
      <c r="X577" s="119"/>
      <c r="Y577" s="113"/>
      <c r="Z577" s="113"/>
      <c r="AH577" s="106"/>
      <c r="AI577" s="106"/>
      <c r="AJ577" s="106"/>
      <c r="AK577" s="106"/>
      <c r="AL577" s="106"/>
      <c r="AM577" s="106"/>
      <c r="AN577" s="106"/>
    </row>
    <row r="578">
      <c r="A578" s="38"/>
      <c r="B578" s="38"/>
      <c r="C578" s="38"/>
      <c r="D578" s="38"/>
      <c r="E578" s="38"/>
      <c r="F578" s="41"/>
      <c r="G578" s="43"/>
      <c r="H578" s="45"/>
      <c r="I578" s="38"/>
      <c r="J578" s="38"/>
      <c r="K578" s="46"/>
      <c r="L578" s="47"/>
      <c r="M578" s="46"/>
      <c r="N578" s="46"/>
      <c r="O578" s="38"/>
      <c r="P578" s="38"/>
      <c r="Q578" s="12"/>
      <c r="R578" s="50"/>
      <c r="S578" s="50"/>
      <c r="T578" s="50"/>
      <c r="U578" s="53"/>
      <c r="V578" s="54"/>
      <c r="W578" s="56"/>
      <c r="X578" s="119"/>
      <c r="Y578" s="113"/>
      <c r="Z578" s="113"/>
      <c r="AH578" s="106"/>
      <c r="AI578" s="106"/>
      <c r="AJ578" s="106"/>
      <c r="AK578" s="106"/>
      <c r="AL578" s="106"/>
      <c r="AM578" s="106"/>
      <c r="AN578" s="106"/>
    </row>
    <row r="579">
      <c r="A579" s="38"/>
      <c r="B579" s="38"/>
      <c r="C579" s="38"/>
      <c r="D579" s="38"/>
      <c r="E579" s="38"/>
      <c r="F579" s="41"/>
      <c r="G579" s="43"/>
      <c r="H579" s="45"/>
      <c r="I579" s="38"/>
      <c r="J579" s="38"/>
      <c r="K579" s="46"/>
      <c r="L579" s="47"/>
      <c r="M579" s="46"/>
      <c r="N579" s="46"/>
      <c r="O579" s="38"/>
      <c r="P579" s="38"/>
      <c r="Q579" s="12"/>
      <c r="R579" s="50"/>
      <c r="S579" s="50"/>
      <c r="T579" s="50"/>
      <c r="U579" s="53"/>
      <c r="V579" s="54"/>
      <c r="W579" s="56"/>
      <c r="X579" s="119"/>
      <c r="Y579" s="113"/>
      <c r="Z579" s="113"/>
      <c r="AH579" s="106"/>
      <c r="AI579" s="106"/>
      <c r="AJ579" s="106"/>
      <c r="AK579" s="106"/>
      <c r="AL579" s="106"/>
      <c r="AM579" s="106"/>
      <c r="AN579" s="106"/>
    </row>
    <row r="580">
      <c r="A580" s="38"/>
      <c r="B580" s="38"/>
      <c r="C580" s="38"/>
      <c r="D580" s="38"/>
      <c r="E580" s="38"/>
      <c r="F580" s="41"/>
      <c r="G580" s="43"/>
      <c r="H580" s="45"/>
      <c r="I580" s="38"/>
      <c r="J580" s="38"/>
      <c r="K580" s="46"/>
      <c r="L580" s="47"/>
      <c r="M580" s="46"/>
      <c r="N580" s="46"/>
      <c r="O580" s="38"/>
      <c r="P580" s="38"/>
      <c r="Q580" s="12"/>
      <c r="R580" s="50"/>
      <c r="S580" s="50"/>
      <c r="T580" s="50"/>
      <c r="U580" s="53"/>
      <c r="V580" s="54"/>
      <c r="W580" s="56"/>
      <c r="X580" s="119"/>
      <c r="Y580" s="113"/>
      <c r="Z580" s="113"/>
      <c r="AH580" s="106"/>
      <c r="AI580" s="106"/>
      <c r="AJ580" s="106"/>
      <c r="AK580" s="106"/>
      <c r="AL580" s="106"/>
      <c r="AM580" s="106"/>
      <c r="AN580" s="106"/>
    </row>
    <row r="581">
      <c r="A581" s="38"/>
      <c r="B581" s="38"/>
      <c r="C581" s="38"/>
      <c r="D581" s="38"/>
      <c r="E581" s="38"/>
      <c r="F581" s="41"/>
      <c r="G581" s="43"/>
      <c r="H581" s="45"/>
      <c r="I581" s="38"/>
      <c r="J581" s="38"/>
      <c r="K581" s="46"/>
      <c r="L581" s="47"/>
      <c r="M581" s="46"/>
      <c r="N581" s="46"/>
      <c r="O581" s="38"/>
      <c r="P581" s="38"/>
      <c r="Q581" s="12"/>
      <c r="R581" s="50"/>
      <c r="S581" s="50"/>
      <c r="T581" s="50"/>
      <c r="U581" s="53"/>
      <c r="V581" s="54"/>
      <c r="W581" s="56"/>
      <c r="X581" s="119"/>
      <c r="Y581" s="113"/>
      <c r="Z581" s="113"/>
      <c r="AH581" s="106"/>
      <c r="AI581" s="106"/>
      <c r="AJ581" s="106"/>
      <c r="AK581" s="106"/>
      <c r="AL581" s="106"/>
      <c r="AM581" s="106"/>
      <c r="AN581" s="106"/>
    </row>
    <row r="582">
      <c r="A582" s="38"/>
      <c r="B582" s="38"/>
      <c r="C582" s="38"/>
      <c r="D582" s="38"/>
      <c r="E582" s="38"/>
      <c r="F582" s="41"/>
      <c r="G582" s="43"/>
      <c r="H582" s="45"/>
      <c r="I582" s="38"/>
      <c r="J582" s="38"/>
      <c r="K582" s="46"/>
      <c r="L582" s="47"/>
      <c r="M582" s="46"/>
      <c r="N582" s="46"/>
      <c r="O582" s="38"/>
      <c r="P582" s="38"/>
      <c r="Q582" s="12"/>
      <c r="R582" s="50"/>
      <c r="S582" s="50"/>
      <c r="T582" s="50"/>
      <c r="U582" s="53"/>
      <c r="V582" s="54"/>
      <c r="W582" s="56"/>
      <c r="X582" s="119"/>
      <c r="Y582" s="113"/>
      <c r="Z582" s="113"/>
      <c r="AH582" s="106"/>
      <c r="AI582" s="106"/>
      <c r="AJ582" s="106"/>
      <c r="AK582" s="106"/>
      <c r="AL582" s="106"/>
      <c r="AM582" s="106"/>
      <c r="AN582" s="106"/>
    </row>
    <row r="583">
      <c r="A583" s="38"/>
      <c r="B583" s="38"/>
      <c r="C583" s="38"/>
      <c r="D583" s="38"/>
      <c r="E583" s="38"/>
      <c r="F583" s="41"/>
      <c r="G583" s="43"/>
      <c r="H583" s="45"/>
      <c r="I583" s="38"/>
      <c r="J583" s="38"/>
      <c r="K583" s="46"/>
      <c r="L583" s="47"/>
      <c r="M583" s="46"/>
      <c r="N583" s="46"/>
      <c r="O583" s="38"/>
      <c r="P583" s="38"/>
      <c r="Q583" s="12"/>
      <c r="R583" s="50"/>
      <c r="S583" s="50"/>
      <c r="T583" s="50"/>
      <c r="U583" s="53"/>
      <c r="V583" s="54"/>
      <c r="W583" s="56"/>
      <c r="X583" s="119"/>
      <c r="Y583" s="113"/>
      <c r="Z583" s="113"/>
      <c r="AH583" s="106"/>
      <c r="AI583" s="106"/>
      <c r="AJ583" s="106"/>
      <c r="AK583" s="106"/>
      <c r="AL583" s="106"/>
      <c r="AM583" s="106"/>
      <c r="AN583" s="106"/>
    </row>
    <row r="584">
      <c r="A584" s="38"/>
      <c r="B584" s="38"/>
      <c r="C584" s="38"/>
      <c r="D584" s="38"/>
      <c r="E584" s="38"/>
      <c r="F584" s="41"/>
      <c r="G584" s="43"/>
      <c r="H584" s="45"/>
      <c r="I584" s="38"/>
      <c r="J584" s="38"/>
      <c r="K584" s="46"/>
      <c r="L584" s="47"/>
      <c r="M584" s="46"/>
      <c r="N584" s="46"/>
      <c r="O584" s="38"/>
      <c r="P584" s="38"/>
      <c r="Q584" s="12"/>
      <c r="R584" s="50"/>
      <c r="S584" s="50"/>
      <c r="T584" s="50"/>
      <c r="U584" s="53"/>
      <c r="V584" s="54"/>
      <c r="W584" s="56"/>
      <c r="X584" s="119"/>
      <c r="Y584" s="113"/>
      <c r="Z584" s="113"/>
      <c r="AH584" s="106"/>
      <c r="AI584" s="106"/>
      <c r="AJ584" s="106"/>
      <c r="AK584" s="106"/>
      <c r="AL584" s="106"/>
      <c r="AM584" s="106"/>
      <c r="AN584" s="106"/>
    </row>
    <row r="585">
      <c r="A585" s="38"/>
      <c r="B585" s="38"/>
      <c r="C585" s="38"/>
      <c r="D585" s="38"/>
      <c r="E585" s="38"/>
      <c r="F585" s="41"/>
      <c r="G585" s="43"/>
      <c r="H585" s="45"/>
      <c r="I585" s="38"/>
      <c r="J585" s="38"/>
      <c r="K585" s="46"/>
      <c r="L585" s="47"/>
      <c r="M585" s="46"/>
      <c r="N585" s="46"/>
      <c r="O585" s="38"/>
      <c r="P585" s="38"/>
      <c r="Q585" s="12"/>
      <c r="R585" s="50"/>
      <c r="S585" s="50"/>
      <c r="T585" s="50"/>
      <c r="U585" s="53"/>
      <c r="V585" s="54"/>
      <c r="W585" s="56"/>
      <c r="X585" s="119"/>
      <c r="Y585" s="113"/>
      <c r="Z585" s="113"/>
      <c r="AH585" s="106"/>
      <c r="AI585" s="106"/>
      <c r="AJ585" s="106"/>
      <c r="AK585" s="106"/>
      <c r="AL585" s="106"/>
      <c r="AM585" s="106"/>
      <c r="AN585" s="106"/>
    </row>
    <row r="586">
      <c r="A586" s="38"/>
      <c r="B586" s="38"/>
      <c r="C586" s="38"/>
      <c r="D586" s="38"/>
      <c r="E586" s="38"/>
      <c r="F586" s="41"/>
      <c r="G586" s="43"/>
      <c r="H586" s="45"/>
      <c r="I586" s="38"/>
      <c r="J586" s="38"/>
      <c r="K586" s="46"/>
      <c r="L586" s="47"/>
      <c r="M586" s="46"/>
      <c r="N586" s="46"/>
      <c r="O586" s="38"/>
      <c r="P586" s="38"/>
      <c r="Q586" s="12"/>
      <c r="R586" s="50"/>
      <c r="S586" s="50"/>
      <c r="T586" s="50"/>
      <c r="U586" s="53"/>
      <c r="V586" s="54"/>
      <c r="W586" s="56"/>
      <c r="X586" s="119"/>
      <c r="Y586" s="113"/>
      <c r="Z586" s="113"/>
      <c r="AH586" s="106"/>
      <c r="AI586" s="106"/>
      <c r="AJ586" s="106"/>
      <c r="AK586" s="106"/>
      <c r="AL586" s="106"/>
      <c r="AM586" s="106"/>
      <c r="AN586" s="106"/>
    </row>
    <row r="587">
      <c r="A587" s="38"/>
      <c r="B587" s="38"/>
      <c r="C587" s="38"/>
      <c r="D587" s="38"/>
      <c r="E587" s="38"/>
      <c r="F587" s="41"/>
      <c r="G587" s="43"/>
      <c r="H587" s="45"/>
      <c r="I587" s="38"/>
      <c r="J587" s="38"/>
      <c r="K587" s="46"/>
      <c r="L587" s="47"/>
      <c r="M587" s="46"/>
      <c r="N587" s="46"/>
      <c r="O587" s="38"/>
      <c r="P587" s="38"/>
      <c r="Q587" s="12"/>
      <c r="R587" s="50"/>
      <c r="S587" s="50"/>
      <c r="T587" s="50"/>
      <c r="U587" s="53"/>
      <c r="V587" s="54"/>
      <c r="W587" s="56"/>
      <c r="X587" s="119"/>
      <c r="Y587" s="113"/>
      <c r="Z587" s="113"/>
      <c r="AH587" s="106"/>
      <c r="AI587" s="106"/>
      <c r="AJ587" s="106"/>
      <c r="AK587" s="106"/>
      <c r="AL587" s="106"/>
      <c r="AM587" s="106"/>
      <c r="AN587" s="106"/>
    </row>
    <row r="588">
      <c r="A588" s="38"/>
      <c r="B588" s="38"/>
      <c r="C588" s="38"/>
      <c r="D588" s="38"/>
      <c r="E588" s="38"/>
      <c r="F588" s="41"/>
      <c r="G588" s="43"/>
      <c r="H588" s="45"/>
      <c r="I588" s="38"/>
      <c r="J588" s="38"/>
      <c r="K588" s="46"/>
      <c r="L588" s="47"/>
      <c r="M588" s="46"/>
      <c r="N588" s="46"/>
      <c r="O588" s="38"/>
      <c r="P588" s="38"/>
      <c r="Q588" s="12"/>
      <c r="R588" s="50"/>
      <c r="S588" s="50"/>
      <c r="T588" s="50"/>
      <c r="U588" s="53"/>
      <c r="V588" s="54"/>
      <c r="W588" s="56"/>
      <c r="X588" s="119"/>
      <c r="Y588" s="113"/>
      <c r="Z588" s="113"/>
      <c r="AH588" s="106"/>
      <c r="AI588" s="106"/>
      <c r="AJ588" s="106"/>
      <c r="AK588" s="106"/>
      <c r="AL588" s="106"/>
      <c r="AM588" s="106"/>
      <c r="AN588" s="106"/>
    </row>
    <row r="589">
      <c r="A589" s="38"/>
      <c r="B589" s="38"/>
      <c r="C589" s="38"/>
      <c r="D589" s="38"/>
      <c r="E589" s="38"/>
      <c r="F589" s="41"/>
      <c r="G589" s="43"/>
      <c r="H589" s="45"/>
      <c r="I589" s="38"/>
      <c r="J589" s="38"/>
      <c r="K589" s="46"/>
      <c r="L589" s="47"/>
      <c r="M589" s="46"/>
      <c r="N589" s="46"/>
      <c r="O589" s="38"/>
      <c r="P589" s="38"/>
      <c r="Q589" s="12"/>
      <c r="R589" s="50"/>
      <c r="S589" s="50"/>
      <c r="T589" s="50"/>
      <c r="U589" s="53"/>
      <c r="V589" s="54"/>
      <c r="W589" s="56"/>
      <c r="X589" s="119"/>
      <c r="Y589" s="113"/>
      <c r="Z589" s="113"/>
      <c r="AH589" s="106"/>
      <c r="AI589" s="106"/>
      <c r="AJ589" s="106"/>
      <c r="AK589" s="106"/>
      <c r="AL589" s="106"/>
      <c r="AM589" s="106"/>
      <c r="AN589" s="106"/>
    </row>
    <row r="590">
      <c r="A590" s="38"/>
      <c r="B590" s="38"/>
      <c r="C590" s="38"/>
      <c r="D590" s="38"/>
      <c r="E590" s="38"/>
      <c r="F590" s="41"/>
      <c r="G590" s="43"/>
      <c r="H590" s="45"/>
      <c r="I590" s="38"/>
      <c r="J590" s="38"/>
      <c r="K590" s="46"/>
      <c r="L590" s="47"/>
      <c r="M590" s="46"/>
      <c r="N590" s="46"/>
      <c r="O590" s="38"/>
      <c r="P590" s="38"/>
      <c r="Q590" s="12"/>
      <c r="R590" s="50"/>
      <c r="S590" s="50"/>
      <c r="T590" s="50"/>
      <c r="U590" s="53"/>
      <c r="V590" s="54"/>
      <c r="W590" s="56"/>
      <c r="X590" s="119"/>
      <c r="Y590" s="113"/>
      <c r="Z590" s="113"/>
      <c r="AH590" s="106"/>
      <c r="AI590" s="106"/>
      <c r="AJ590" s="106"/>
      <c r="AK590" s="106"/>
      <c r="AL590" s="106"/>
      <c r="AM590" s="106"/>
      <c r="AN590" s="106"/>
    </row>
    <row r="591">
      <c r="A591" s="38"/>
      <c r="B591" s="38"/>
      <c r="C591" s="38"/>
      <c r="D591" s="38"/>
      <c r="E591" s="38"/>
      <c r="F591" s="41"/>
      <c r="G591" s="43"/>
      <c r="H591" s="45"/>
      <c r="I591" s="38"/>
      <c r="J591" s="38"/>
      <c r="K591" s="46"/>
      <c r="L591" s="47"/>
      <c r="M591" s="46"/>
      <c r="N591" s="46"/>
      <c r="O591" s="38"/>
      <c r="P591" s="38"/>
      <c r="Q591" s="12"/>
      <c r="R591" s="50"/>
      <c r="S591" s="50"/>
      <c r="T591" s="50"/>
      <c r="U591" s="53"/>
      <c r="V591" s="54"/>
      <c r="W591" s="56"/>
      <c r="X591" s="119"/>
      <c r="Y591" s="113"/>
      <c r="Z591" s="113"/>
      <c r="AH591" s="106"/>
      <c r="AI591" s="106"/>
      <c r="AJ591" s="106"/>
      <c r="AK591" s="106"/>
      <c r="AL591" s="106"/>
      <c r="AM591" s="106"/>
      <c r="AN591" s="106"/>
    </row>
    <row r="592">
      <c r="A592" s="38"/>
      <c r="B592" s="38"/>
      <c r="C592" s="38"/>
      <c r="D592" s="38"/>
      <c r="E592" s="38"/>
      <c r="F592" s="41"/>
      <c r="G592" s="43"/>
      <c r="H592" s="45"/>
      <c r="I592" s="38"/>
      <c r="J592" s="38"/>
      <c r="K592" s="46"/>
      <c r="L592" s="47"/>
      <c r="M592" s="46"/>
      <c r="N592" s="46"/>
      <c r="O592" s="38"/>
      <c r="P592" s="38"/>
      <c r="Q592" s="12"/>
      <c r="R592" s="50"/>
      <c r="S592" s="50"/>
      <c r="T592" s="50"/>
      <c r="U592" s="53"/>
      <c r="V592" s="54"/>
      <c r="W592" s="56"/>
      <c r="X592" s="119"/>
      <c r="Y592" s="113"/>
      <c r="Z592" s="113"/>
      <c r="AH592" s="106"/>
      <c r="AI592" s="106"/>
      <c r="AJ592" s="106"/>
      <c r="AK592" s="106"/>
      <c r="AL592" s="106"/>
      <c r="AM592" s="106"/>
      <c r="AN592" s="106"/>
    </row>
    <row r="593">
      <c r="A593" s="38"/>
      <c r="B593" s="38"/>
      <c r="C593" s="38"/>
      <c r="D593" s="38"/>
      <c r="E593" s="38"/>
      <c r="F593" s="41"/>
      <c r="G593" s="43"/>
      <c r="H593" s="45"/>
      <c r="I593" s="38"/>
      <c r="J593" s="38"/>
      <c r="K593" s="46"/>
      <c r="L593" s="47"/>
      <c r="M593" s="46"/>
      <c r="N593" s="46"/>
      <c r="O593" s="38"/>
      <c r="P593" s="38"/>
      <c r="Q593" s="12"/>
      <c r="R593" s="50"/>
      <c r="S593" s="50"/>
      <c r="T593" s="50"/>
      <c r="U593" s="53"/>
      <c r="V593" s="54"/>
      <c r="W593" s="56"/>
      <c r="X593" s="119"/>
      <c r="Y593" s="113"/>
      <c r="Z593" s="113"/>
      <c r="AH593" s="106"/>
      <c r="AI593" s="106"/>
      <c r="AJ593" s="106"/>
      <c r="AK593" s="106"/>
      <c r="AL593" s="106"/>
      <c r="AM593" s="106"/>
      <c r="AN593" s="106"/>
    </row>
    <row r="594">
      <c r="A594" s="38"/>
      <c r="B594" s="38"/>
      <c r="C594" s="38"/>
      <c r="D594" s="38"/>
      <c r="E594" s="38"/>
      <c r="F594" s="41"/>
      <c r="G594" s="43"/>
      <c r="H594" s="45"/>
      <c r="I594" s="38"/>
      <c r="J594" s="38"/>
      <c r="K594" s="46"/>
      <c r="L594" s="47"/>
      <c r="M594" s="46"/>
      <c r="N594" s="46"/>
      <c r="O594" s="38"/>
      <c r="P594" s="38"/>
      <c r="Q594" s="12"/>
      <c r="R594" s="50"/>
      <c r="S594" s="50"/>
      <c r="T594" s="50"/>
      <c r="U594" s="53"/>
      <c r="V594" s="54"/>
      <c r="W594" s="56"/>
      <c r="X594" s="119"/>
      <c r="Y594" s="113"/>
      <c r="Z594" s="113"/>
      <c r="AH594" s="106"/>
      <c r="AI594" s="106"/>
      <c r="AJ594" s="106"/>
      <c r="AK594" s="106"/>
      <c r="AL594" s="106"/>
      <c r="AM594" s="106"/>
      <c r="AN594" s="106"/>
    </row>
    <row r="595">
      <c r="A595" s="38"/>
      <c r="B595" s="38"/>
      <c r="C595" s="38"/>
      <c r="D595" s="38"/>
      <c r="E595" s="38"/>
      <c r="F595" s="41"/>
      <c r="G595" s="43"/>
      <c r="H595" s="45"/>
      <c r="I595" s="38"/>
      <c r="J595" s="38"/>
      <c r="K595" s="46"/>
      <c r="L595" s="47"/>
      <c r="M595" s="46"/>
      <c r="N595" s="46"/>
      <c r="O595" s="38"/>
      <c r="P595" s="38"/>
      <c r="Q595" s="12"/>
      <c r="R595" s="50"/>
      <c r="S595" s="50"/>
      <c r="T595" s="50"/>
      <c r="U595" s="53"/>
      <c r="V595" s="54"/>
      <c r="W595" s="56"/>
      <c r="X595" s="119"/>
      <c r="Y595" s="113"/>
      <c r="Z595" s="113"/>
      <c r="AH595" s="106"/>
      <c r="AI595" s="106"/>
      <c r="AJ595" s="106"/>
      <c r="AK595" s="106"/>
      <c r="AL595" s="106"/>
      <c r="AM595" s="106"/>
      <c r="AN595" s="106"/>
    </row>
    <row r="596">
      <c r="A596" s="38"/>
      <c r="B596" s="38"/>
      <c r="C596" s="38"/>
      <c r="D596" s="38"/>
      <c r="E596" s="38"/>
      <c r="F596" s="41"/>
      <c r="G596" s="43"/>
      <c r="H596" s="45"/>
      <c r="I596" s="38"/>
      <c r="J596" s="38"/>
      <c r="K596" s="46"/>
      <c r="L596" s="47"/>
      <c r="M596" s="46"/>
      <c r="N596" s="46"/>
      <c r="O596" s="38"/>
      <c r="P596" s="38"/>
      <c r="Q596" s="12"/>
      <c r="R596" s="50"/>
      <c r="S596" s="50"/>
      <c r="T596" s="50"/>
      <c r="U596" s="53"/>
      <c r="V596" s="54"/>
      <c r="W596" s="56"/>
      <c r="X596" s="119"/>
      <c r="Y596" s="113"/>
      <c r="Z596" s="113"/>
      <c r="AH596" s="106"/>
      <c r="AI596" s="106"/>
      <c r="AJ596" s="106"/>
      <c r="AK596" s="106"/>
      <c r="AL596" s="106"/>
      <c r="AM596" s="106"/>
      <c r="AN596" s="106"/>
    </row>
    <row r="597">
      <c r="A597" s="38"/>
      <c r="B597" s="38"/>
      <c r="C597" s="38"/>
      <c r="D597" s="38"/>
      <c r="E597" s="38"/>
      <c r="F597" s="41"/>
      <c r="G597" s="43"/>
      <c r="H597" s="45"/>
      <c r="I597" s="38"/>
      <c r="J597" s="38"/>
      <c r="K597" s="46"/>
      <c r="L597" s="47"/>
      <c r="M597" s="46"/>
      <c r="N597" s="46"/>
      <c r="O597" s="38"/>
      <c r="P597" s="38"/>
      <c r="Q597" s="12"/>
      <c r="R597" s="50"/>
      <c r="S597" s="50"/>
      <c r="T597" s="50"/>
      <c r="U597" s="53"/>
      <c r="V597" s="54"/>
      <c r="W597" s="56"/>
      <c r="X597" s="119"/>
      <c r="Y597" s="113"/>
      <c r="Z597" s="113"/>
      <c r="AH597" s="106"/>
      <c r="AI597" s="106"/>
      <c r="AJ597" s="106"/>
      <c r="AK597" s="106"/>
      <c r="AL597" s="106"/>
      <c r="AM597" s="106"/>
      <c r="AN597" s="106"/>
    </row>
    <row r="598">
      <c r="A598" s="38"/>
      <c r="B598" s="38"/>
      <c r="C598" s="38"/>
      <c r="D598" s="38"/>
      <c r="E598" s="38"/>
      <c r="F598" s="41"/>
      <c r="G598" s="43"/>
      <c r="H598" s="45"/>
      <c r="I598" s="38"/>
      <c r="J598" s="38"/>
      <c r="K598" s="46"/>
      <c r="L598" s="47"/>
      <c r="M598" s="46"/>
      <c r="N598" s="46"/>
      <c r="O598" s="38"/>
      <c r="P598" s="38"/>
      <c r="Q598" s="12"/>
      <c r="R598" s="50"/>
      <c r="S598" s="50"/>
      <c r="T598" s="50"/>
      <c r="U598" s="53"/>
      <c r="V598" s="54"/>
      <c r="W598" s="56"/>
      <c r="X598" s="119"/>
      <c r="Y598" s="113"/>
      <c r="Z598" s="113"/>
      <c r="AH598" s="106"/>
      <c r="AI598" s="106"/>
      <c r="AJ598" s="106"/>
      <c r="AK598" s="106"/>
      <c r="AL598" s="106"/>
      <c r="AM598" s="106"/>
      <c r="AN598" s="106"/>
    </row>
    <row r="599">
      <c r="A599" s="38"/>
      <c r="B599" s="38"/>
      <c r="C599" s="38"/>
      <c r="D599" s="38"/>
      <c r="E599" s="38"/>
      <c r="F599" s="41"/>
      <c r="G599" s="43"/>
      <c r="H599" s="45"/>
      <c r="I599" s="38"/>
      <c r="J599" s="38"/>
      <c r="K599" s="46"/>
      <c r="L599" s="47"/>
      <c r="M599" s="46"/>
      <c r="N599" s="46"/>
      <c r="O599" s="38"/>
      <c r="P599" s="38"/>
      <c r="Q599" s="12"/>
      <c r="R599" s="50"/>
      <c r="S599" s="50"/>
      <c r="T599" s="50"/>
      <c r="U599" s="53"/>
      <c r="V599" s="54"/>
      <c r="W599" s="56"/>
      <c r="X599" s="119"/>
      <c r="Y599" s="113"/>
      <c r="Z599" s="113"/>
      <c r="AH599" s="106"/>
      <c r="AI599" s="106"/>
      <c r="AJ599" s="106"/>
      <c r="AK599" s="106"/>
      <c r="AL599" s="106"/>
      <c r="AM599" s="106"/>
      <c r="AN599" s="106"/>
    </row>
    <row r="600">
      <c r="A600" s="38"/>
      <c r="B600" s="38"/>
      <c r="C600" s="38"/>
      <c r="D600" s="38"/>
      <c r="E600" s="38"/>
      <c r="F600" s="41"/>
      <c r="G600" s="43"/>
      <c r="H600" s="45"/>
      <c r="I600" s="38"/>
      <c r="J600" s="38"/>
      <c r="K600" s="46"/>
      <c r="L600" s="47"/>
      <c r="M600" s="46"/>
      <c r="N600" s="46"/>
      <c r="O600" s="38"/>
      <c r="P600" s="38"/>
      <c r="Q600" s="12"/>
      <c r="R600" s="50"/>
      <c r="S600" s="50"/>
      <c r="T600" s="50"/>
      <c r="U600" s="53"/>
      <c r="V600" s="54"/>
      <c r="W600" s="56"/>
      <c r="X600" s="119"/>
      <c r="Y600" s="113"/>
      <c r="Z600" s="113"/>
      <c r="AH600" s="106"/>
      <c r="AI600" s="106"/>
      <c r="AJ600" s="106"/>
      <c r="AK600" s="106"/>
      <c r="AL600" s="106"/>
      <c r="AM600" s="106"/>
      <c r="AN600" s="106"/>
    </row>
    <row r="601">
      <c r="A601" s="38"/>
      <c r="B601" s="38"/>
      <c r="C601" s="38"/>
      <c r="D601" s="38"/>
      <c r="E601" s="38"/>
      <c r="F601" s="41"/>
      <c r="G601" s="43"/>
      <c r="H601" s="45"/>
      <c r="I601" s="38"/>
      <c r="J601" s="38"/>
      <c r="K601" s="46"/>
      <c r="L601" s="47"/>
      <c r="M601" s="46"/>
      <c r="N601" s="46"/>
      <c r="O601" s="38"/>
      <c r="P601" s="38"/>
      <c r="Q601" s="12"/>
      <c r="R601" s="50"/>
      <c r="S601" s="50"/>
      <c r="T601" s="50"/>
      <c r="U601" s="53"/>
      <c r="V601" s="54"/>
      <c r="W601" s="56"/>
      <c r="X601" s="119"/>
      <c r="Y601" s="113"/>
      <c r="Z601" s="113"/>
      <c r="AH601" s="106"/>
      <c r="AI601" s="106"/>
      <c r="AJ601" s="106"/>
      <c r="AK601" s="106"/>
      <c r="AL601" s="106"/>
      <c r="AM601" s="106"/>
      <c r="AN601" s="106"/>
    </row>
    <row r="602">
      <c r="A602" s="38"/>
      <c r="B602" s="38"/>
      <c r="C602" s="38"/>
      <c r="D602" s="38"/>
      <c r="E602" s="38"/>
      <c r="F602" s="41"/>
      <c r="G602" s="43"/>
      <c r="H602" s="45"/>
      <c r="I602" s="38"/>
      <c r="J602" s="38"/>
      <c r="K602" s="46"/>
      <c r="L602" s="47"/>
      <c r="M602" s="46"/>
      <c r="N602" s="46"/>
      <c r="O602" s="38"/>
      <c r="P602" s="38"/>
      <c r="Q602" s="12"/>
      <c r="R602" s="50"/>
      <c r="S602" s="50"/>
      <c r="T602" s="50"/>
      <c r="U602" s="53"/>
      <c r="V602" s="54"/>
      <c r="W602" s="56"/>
      <c r="X602" s="119"/>
      <c r="Y602" s="113"/>
      <c r="Z602" s="113"/>
      <c r="AH602" s="106"/>
      <c r="AI602" s="106"/>
      <c r="AJ602" s="106"/>
      <c r="AK602" s="106"/>
      <c r="AL602" s="106"/>
      <c r="AM602" s="106"/>
      <c r="AN602" s="106"/>
    </row>
    <row r="603">
      <c r="A603" s="38"/>
      <c r="B603" s="38"/>
      <c r="C603" s="38"/>
      <c r="D603" s="38"/>
      <c r="E603" s="38"/>
      <c r="F603" s="41"/>
      <c r="G603" s="43"/>
      <c r="H603" s="45"/>
      <c r="I603" s="38"/>
      <c r="J603" s="38"/>
      <c r="K603" s="46"/>
      <c r="L603" s="47"/>
      <c r="M603" s="46"/>
      <c r="N603" s="46"/>
      <c r="O603" s="38"/>
      <c r="P603" s="38"/>
      <c r="Q603" s="12"/>
      <c r="R603" s="50"/>
      <c r="S603" s="50"/>
      <c r="T603" s="50"/>
      <c r="U603" s="53"/>
      <c r="V603" s="54"/>
      <c r="W603" s="56"/>
      <c r="X603" s="119"/>
      <c r="Y603" s="113"/>
      <c r="Z603" s="113"/>
      <c r="AH603" s="106"/>
      <c r="AI603" s="106"/>
      <c r="AJ603" s="106"/>
      <c r="AK603" s="106"/>
      <c r="AL603" s="106"/>
      <c r="AM603" s="106"/>
      <c r="AN603" s="106"/>
    </row>
    <row r="604">
      <c r="A604" s="38"/>
      <c r="B604" s="38"/>
      <c r="C604" s="38"/>
      <c r="D604" s="38"/>
      <c r="E604" s="38"/>
      <c r="F604" s="41"/>
      <c r="G604" s="43"/>
      <c r="H604" s="45"/>
      <c r="I604" s="38"/>
      <c r="J604" s="38"/>
      <c r="K604" s="46"/>
      <c r="L604" s="47"/>
      <c r="M604" s="46"/>
      <c r="N604" s="46"/>
      <c r="O604" s="38"/>
      <c r="P604" s="38"/>
      <c r="Q604" s="12"/>
      <c r="R604" s="50"/>
      <c r="S604" s="50"/>
      <c r="T604" s="50"/>
      <c r="U604" s="53"/>
      <c r="V604" s="54"/>
      <c r="W604" s="56"/>
      <c r="X604" s="119"/>
      <c r="Y604" s="113"/>
      <c r="Z604" s="113"/>
      <c r="AH604" s="106"/>
      <c r="AI604" s="106"/>
      <c r="AJ604" s="106"/>
      <c r="AK604" s="106"/>
      <c r="AL604" s="106"/>
      <c r="AM604" s="106"/>
      <c r="AN604" s="106"/>
    </row>
    <row r="605">
      <c r="A605" s="38"/>
      <c r="B605" s="38"/>
      <c r="C605" s="38"/>
      <c r="D605" s="38"/>
      <c r="E605" s="38"/>
      <c r="F605" s="41"/>
      <c r="G605" s="43"/>
      <c r="H605" s="45"/>
      <c r="I605" s="38"/>
      <c r="J605" s="38"/>
      <c r="K605" s="46"/>
      <c r="L605" s="47"/>
      <c r="M605" s="46"/>
      <c r="N605" s="46"/>
      <c r="O605" s="38"/>
      <c r="P605" s="38"/>
      <c r="Q605" s="12"/>
      <c r="R605" s="50"/>
      <c r="S605" s="50"/>
      <c r="T605" s="50"/>
      <c r="U605" s="53"/>
      <c r="V605" s="54"/>
      <c r="W605" s="56"/>
      <c r="X605" s="119"/>
      <c r="Y605" s="113"/>
      <c r="Z605" s="113"/>
      <c r="AH605" s="106"/>
      <c r="AI605" s="106"/>
      <c r="AJ605" s="106"/>
      <c r="AK605" s="106"/>
      <c r="AL605" s="106"/>
      <c r="AM605" s="106"/>
      <c r="AN605" s="106"/>
    </row>
    <row r="606">
      <c r="A606" s="38"/>
      <c r="B606" s="38"/>
      <c r="C606" s="38"/>
      <c r="D606" s="38"/>
      <c r="E606" s="38"/>
      <c r="F606" s="41"/>
      <c r="G606" s="43"/>
      <c r="H606" s="45"/>
      <c r="I606" s="38"/>
      <c r="J606" s="38"/>
      <c r="K606" s="46"/>
      <c r="L606" s="47"/>
      <c r="M606" s="46"/>
      <c r="N606" s="46"/>
      <c r="O606" s="38"/>
      <c r="P606" s="38"/>
      <c r="Q606" s="12"/>
      <c r="R606" s="50"/>
      <c r="S606" s="50"/>
      <c r="T606" s="50"/>
      <c r="U606" s="53"/>
      <c r="V606" s="54"/>
      <c r="W606" s="56"/>
      <c r="X606" s="119"/>
      <c r="Y606" s="113"/>
      <c r="Z606" s="113"/>
      <c r="AH606" s="106"/>
      <c r="AI606" s="106"/>
      <c r="AJ606" s="106"/>
      <c r="AK606" s="106"/>
      <c r="AL606" s="106"/>
      <c r="AM606" s="106"/>
      <c r="AN606" s="106"/>
    </row>
    <row r="607">
      <c r="A607" s="38"/>
      <c r="B607" s="38"/>
      <c r="C607" s="38"/>
      <c r="D607" s="38"/>
      <c r="E607" s="38"/>
      <c r="F607" s="41"/>
      <c r="G607" s="43"/>
      <c r="H607" s="45"/>
      <c r="I607" s="38"/>
      <c r="J607" s="38"/>
      <c r="K607" s="46"/>
      <c r="L607" s="47"/>
      <c r="M607" s="46"/>
      <c r="N607" s="46"/>
      <c r="O607" s="38"/>
      <c r="P607" s="38"/>
      <c r="Q607" s="12"/>
      <c r="R607" s="50"/>
      <c r="S607" s="50"/>
      <c r="T607" s="50"/>
      <c r="U607" s="53"/>
      <c r="V607" s="54"/>
      <c r="W607" s="56"/>
      <c r="X607" s="119"/>
      <c r="Y607" s="113"/>
      <c r="Z607" s="113"/>
      <c r="AH607" s="106"/>
      <c r="AI607" s="106"/>
      <c r="AJ607" s="106"/>
      <c r="AK607" s="106"/>
      <c r="AL607" s="106"/>
      <c r="AM607" s="106"/>
      <c r="AN607" s="106"/>
    </row>
    <row r="608">
      <c r="A608" s="38"/>
      <c r="B608" s="38"/>
      <c r="C608" s="38"/>
      <c r="D608" s="38"/>
      <c r="E608" s="38"/>
      <c r="F608" s="41"/>
      <c r="G608" s="43"/>
      <c r="H608" s="45"/>
      <c r="I608" s="38"/>
      <c r="J608" s="38"/>
      <c r="K608" s="46"/>
      <c r="L608" s="47"/>
      <c r="M608" s="46"/>
      <c r="N608" s="46"/>
      <c r="O608" s="38"/>
      <c r="P608" s="38"/>
      <c r="Q608" s="12"/>
      <c r="R608" s="50"/>
      <c r="S608" s="50"/>
      <c r="T608" s="50"/>
      <c r="U608" s="53"/>
      <c r="V608" s="54"/>
      <c r="W608" s="56"/>
      <c r="X608" s="119"/>
      <c r="Y608" s="113"/>
      <c r="Z608" s="113"/>
      <c r="AH608" s="106"/>
      <c r="AI608" s="106"/>
      <c r="AJ608" s="106"/>
      <c r="AK608" s="106"/>
      <c r="AL608" s="106"/>
      <c r="AM608" s="106"/>
      <c r="AN608" s="106"/>
    </row>
    <row r="609">
      <c r="A609" s="38"/>
      <c r="B609" s="38"/>
      <c r="C609" s="38"/>
      <c r="D609" s="38"/>
      <c r="E609" s="38"/>
      <c r="F609" s="41"/>
      <c r="G609" s="43"/>
      <c r="H609" s="45"/>
      <c r="I609" s="38"/>
      <c r="J609" s="38"/>
      <c r="K609" s="46"/>
      <c r="L609" s="47"/>
      <c r="M609" s="46"/>
      <c r="N609" s="46"/>
      <c r="O609" s="38"/>
      <c r="P609" s="38"/>
      <c r="Q609" s="12"/>
      <c r="R609" s="50"/>
      <c r="S609" s="50"/>
      <c r="T609" s="50"/>
      <c r="U609" s="53"/>
      <c r="V609" s="54"/>
      <c r="W609" s="56"/>
      <c r="X609" s="119"/>
      <c r="Y609" s="113"/>
      <c r="Z609" s="113"/>
      <c r="AH609" s="106"/>
      <c r="AI609" s="106"/>
      <c r="AJ609" s="106"/>
      <c r="AK609" s="106"/>
      <c r="AL609" s="106"/>
      <c r="AM609" s="106"/>
      <c r="AN609" s="106"/>
    </row>
    <row r="610">
      <c r="A610" s="38"/>
      <c r="B610" s="38"/>
      <c r="C610" s="38"/>
      <c r="D610" s="38"/>
      <c r="E610" s="38"/>
      <c r="F610" s="41"/>
      <c r="G610" s="43"/>
      <c r="H610" s="45"/>
      <c r="I610" s="38"/>
      <c r="J610" s="38"/>
      <c r="K610" s="46"/>
      <c r="L610" s="47"/>
      <c r="M610" s="46"/>
      <c r="N610" s="46"/>
      <c r="O610" s="38"/>
      <c r="P610" s="38"/>
      <c r="Q610" s="12"/>
      <c r="R610" s="50"/>
      <c r="S610" s="50"/>
      <c r="T610" s="50"/>
      <c r="U610" s="53"/>
      <c r="V610" s="54"/>
      <c r="W610" s="56"/>
      <c r="X610" s="119"/>
      <c r="Y610" s="113"/>
      <c r="Z610" s="113"/>
      <c r="AH610" s="106"/>
      <c r="AI610" s="106"/>
      <c r="AJ610" s="106"/>
      <c r="AK610" s="106"/>
      <c r="AL610" s="106"/>
      <c r="AM610" s="106"/>
      <c r="AN610" s="106"/>
    </row>
    <row r="611">
      <c r="A611" s="38"/>
      <c r="B611" s="38"/>
      <c r="C611" s="38"/>
      <c r="D611" s="38"/>
      <c r="E611" s="38"/>
      <c r="F611" s="41"/>
      <c r="G611" s="43"/>
      <c r="H611" s="45"/>
      <c r="I611" s="38"/>
      <c r="J611" s="38"/>
      <c r="K611" s="46"/>
      <c r="L611" s="47"/>
      <c r="M611" s="46"/>
      <c r="N611" s="46"/>
      <c r="O611" s="38"/>
      <c r="P611" s="38"/>
      <c r="Q611" s="12"/>
      <c r="R611" s="50"/>
      <c r="S611" s="50"/>
      <c r="T611" s="50"/>
      <c r="U611" s="53"/>
      <c r="V611" s="54"/>
      <c r="W611" s="56"/>
      <c r="X611" s="119"/>
      <c r="Y611" s="113"/>
      <c r="Z611" s="113"/>
      <c r="AH611" s="106"/>
      <c r="AI611" s="106"/>
      <c r="AJ611" s="106"/>
      <c r="AK611" s="106"/>
      <c r="AL611" s="106"/>
      <c r="AM611" s="106"/>
      <c r="AN611" s="106"/>
    </row>
    <row r="612">
      <c r="A612" s="38"/>
      <c r="B612" s="38"/>
      <c r="C612" s="38"/>
      <c r="D612" s="38"/>
      <c r="E612" s="38"/>
      <c r="F612" s="41"/>
      <c r="G612" s="43"/>
      <c r="H612" s="45"/>
      <c r="I612" s="38"/>
      <c r="J612" s="38"/>
      <c r="K612" s="46"/>
      <c r="L612" s="47"/>
      <c r="M612" s="46"/>
      <c r="N612" s="46"/>
      <c r="O612" s="38"/>
      <c r="P612" s="38"/>
      <c r="Q612" s="12"/>
      <c r="R612" s="50"/>
      <c r="S612" s="50"/>
      <c r="T612" s="50"/>
      <c r="U612" s="53"/>
      <c r="V612" s="54"/>
      <c r="W612" s="56"/>
      <c r="X612" s="119"/>
      <c r="Y612" s="113"/>
      <c r="Z612" s="113"/>
      <c r="AH612" s="106"/>
      <c r="AI612" s="106"/>
      <c r="AJ612" s="106"/>
      <c r="AK612" s="106"/>
      <c r="AL612" s="106"/>
      <c r="AM612" s="106"/>
      <c r="AN612" s="106"/>
    </row>
    <row r="613">
      <c r="A613" s="38"/>
      <c r="B613" s="38"/>
      <c r="C613" s="38"/>
      <c r="D613" s="38"/>
      <c r="E613" s="38"/>
      <c r="F613" s="41"/>
      <c r="G613" s="43"/>
      <c r="H613" s="45"/>
      <c r="I613" s="38"/>
      <c r="J613" s="38"/>
      <c r="K613" s="46"/>
      <c r="L613" s="47"/>
      <c r="M613" s="46"/>
      <c r="N613" s="46"/>
      <c r="O613" s="38"/>
      <c r="P613" s="38"/>
      <c r="Q613" s="12"/>
      <c r="R613" s="50"/>
      <c r="S613" s="50"/>
      <c r="T613" s="50"/>
      <c r="U613" s="53"/>
      <c r="V613" s="54"/>
      <c r="W613" s="56"/>
      <c r="X613" s="119"/>
      <c r="Y613" s="113"/>
      <c r="Z613" s="113"/>
      <c r="AH613" s="106"/>
      <c r="AI613" s="106"/>
      <c r="AJ613" s="106"/>
      <c r="AK613" s="106"/>
      <c r="AL613" s="106"/>
      <c r="AM613" s="106"/>
      <c r="AN613" s="106"/>
    </row>
    <row r="614">
      <c r="A614" s="38"/>
      <c r="B614" s="38"/>
      <c r="C614" s="38"/>
      <c r="D614" s="38"/>
      <c r="E614" s="38"/>
      <c r="F614" s="41"/>
      <c r="G614" s="43"/>
      <c r="H614" s="45"/>
      <c r="I614" s="38"/>
      <c r="J614" s="38"/>
      <c r="K614" s="46"/>
      <c r="L614" s="47"/>
      <c r="M614" s="46"/>
      <c r="N614" s="46"/>
      <c r="O614" s="38"/>
      <c r="P614" s="38"/>
      <c r="Q614" s="12"/>
      <c r="R614" s="50"/>
      <c r="S614" s="50"/>
      <c r="T614" s="50"/>
      <c r="U614" s="53"/>
      <c r="V614" s="54"/>
      <c r="W614" s="56"/>
      <c r="X614" s="119"/>
      <c r="Y614" s="113"/>
      <c r="Z614" s="113"/>
      <c r="AH614" s="106"/>
      <c r="AI614" s="106"/>
      <c r="AJ614" s="106"/>
      <c r="AK614" s="106"/>
      <c r="AL614" s="106"/>
      <c r="AM614" s="106"/>
      <c r="AN614" s="106"/>
    </row>
    <row r="615">
      <c r="A615" s="38"/>
      <c r="B615" s="38"/>
      <c r="C615" s="38"/>
      <c r="D615" s="38"/>
      <c r="E615" s="38"/>
      <c r="F615" s="41"/>
      <c r="G615" s="43"/>
      <c r="H615" s="45"/>
      <c r="I615" s="38"/>
      <c r="J615" s="38"/>
      <c r="K615" s="46"/>
      <c r="L615" s="47"/>
      <c r="M615" s="46"/>
      <c r="N615" s="46"/>
      <c r="O615" s="38"/>
      <c r="P615" s="38"/>
      <c r="Q615" s="12"/>
      <c r="R615" s="50"/>
      <c r="S615" s="50"/>
      <c r="T615" s="50"/>
      <c r="U615" s="53"/>
      <c r="V615" s="54"/>
      <c r="W615" s="56"/>
      <c r="X615" s="119"/>
      <c r="Y615" s="113"/>
      <c r="Z615" s="113"/>
      <c r="AH615" s="106"/>
      <c r="AI615" s="106"/>
      <c r="AJ615" s="106"/>
      <c r="AK615" s="106"/>
      <c r="AL615" s="106"/>
      <c r="AM615" s="106"/>
      <c r="AN615" s="106"/>
    </row>
    <row r="616">
      <c r="A616" s="38"/>
      <c r="B616" s="38"/>
      <c r="C616" s="38"/>
      <c r="D616" s="38"/>
      <c r="E616" s="38"/>
      <c r="F616" s="41"/>
      <c r="G616" s="43"/>
      <c r="H616" s="45"/>
      <c r="I616" s="38"/>
      <c r="J616" s="38"/>
      <c r="K616" s="46"/>
      <c r="L616" s="47"/>
      <c r="M616" s="46"/>
      <c r="N616" s="46"/>
      <c r="O616" s="38"/>
      <c r="P616" s="38"/>
      <c r="Q616" s="12"/>
      <c r="R616" s="50"/>
      <c r="S616" s="50"/>
      <c r="T616" s="50"/>
      <c r="U616" s="53"/>
      <c r="V616" s="54"/>
      <c r="W616" s="56"/>
      <c r="X616" s="119"/>
      <c r="Y616" s="113"/>
      <c r="Z616" s="113"/>
      <c r="AH616" s="106"/>
      <c r="AI616" s="106"/>
      <c r="AJ616" s="106"/>
      <c r="AK616" s="106"/>
      <c r="AL616" s="106"/>
      <c r="AM616" s="106"/>
      <c r="AN616" s="106"/>
    </row>
    <row r="617">
      <c r="A617" s="38"/>
      <c r="B617" s="38"/>
      <c r="C617" s="38"/>
      <c r="D617" s="38"/>
      <c r="E617" s="38"/>
      <c r="F617" s="41"/>
      <c r="G617" s="43"/>
      <c r="H617" s="45"/>
      <c r="I617" s="38"/>
      <c r="J617" s="38"/>
      <c r="K617" s="46"/>
      <c r="L617" s="47"/>
      <c r="M617" s="46"/>
      <c r="N617" s="46"/>
      <c r="O617" s="38"/>
      <c r="P617" s="38"/>
      <c r="Q617" s="12"/>
      <c r="R617" s="50"/>
      <c r="S617" s="50"/>
      <c r="T617" s="50"/>
      <c r="U617" s="53"/>
      <c r="V617" s="54"/>
      <c r="W617" s="56"/>
      <c r="X617" s="119"/>
      <c r="Y617" s="113"/>
      <c r="Z617" s="113"/>
      <c r="AH617" s="106"/>
      <c r="AI617" s="106"/>
      <c r="AJ617" s="106"/>
      <c r="AK617" s="106"/>
      <c r="AL617" s="106"/>
      <c r="AM617" s="106"/>
      <c r="AN617" s="106"/>
    </row>
    <row r="618">
      <c r="A618" s="38"/>
      <c r="B618" s="38"/>
      <c r="C618" s="38"/>
      <c r="D618" s="38"/>
      <c r="E618" s="38"/>
      <c r="F618" s="41"/>
      <c r="G618" s="43"/>
      <c r="H618" s="45"/>
      <c r="I618" s="38"/>
      <c r="J618" s="38"/>
      <c r="K618" s="46"/>
      <c r="L618" s="47"/>
      <c r="M618" s="46"/>
      <c r="N618" s="46"/>
      <c r="O618" s="38"/>
      <c r="P618" s="38"/>
      <c r="Q618" s="12"/>
      <c r="R618" s="50"/>
      <c r="S618" s="50"/>
      <c r="T618" s="50"/>
      <c r="U618" s="53"/>
      <c r="V618" s="54"/>
      <c r="W618" s="56"/>
      <c r="X618" s="119"/>
      <c r="Y618" s="113"/>
      <c r="Z618" s="113"/>
      <c r="AH618" s="106"/>
      <c r="AI618" s="106"/>
      <c r="AJ618" s="106"/>
      <c r="AK618" s="106"/>
      <c r="AL618" s="106"/>
      <c r="AM618" s="106"/>
      <c r="AN618" s="106"/>
    </row>
    <row r="619">
      <c r="A619" s="38"/>
      <c r="B619" s="38"/>
      <c r="C619" s="38"/>
      <c r="D619" s="38"/>
      <c r="E619" s="38"/>
      <c r="F619" s="41"/>
      <c r="G619" s="43"/>
      <c r="H619" s="45"/>
      <c r="I619" s="38"/>
      <c r="J619" s="38"/>
      <c r="K619" s="46"/>
      <c r="L619" s="47"/>
      <c r="M619" s="46"/>
      <c r="N619" s="46"/>
      <c r="O619" s="38"/>
      <c r="P619" s="38"/>
      <c r="Q619" s="12"/>
      <c r="R619" s="50"/>
      <c r="S619" s="50"/>
      <c r="T619" s="50"/>
      <c r="U619" s="53"/>
      <c r="V619" s="54"/>
      <c r="W619" s="56"/>
      <c r="X619" s="119"/>
      <c r="Y619" s="113"/>
      <c r="Z619" s="113"/>
      <c r="AH619" s="106"/>
      <c r="AI619" s="106"/>
      <c r="AJ619" s="106"/>
      <c r="AK619" s="106"/>
      <c r="AL619" s="106"/>
      <c r="AM619" s="106"/>
      <c r="AN619" s="106"/>
    </row>
    <row r="620">
      <c r="A620" s="38"/>
      <c r="B620" s="38"/>
      <c r="C620" s="38"/>
      <c r="D620" s="38"/>
      <c r="E620" s="38"/>
      <c r="F620" s="41"/>
      <c r="G620" s="43"/>
      <c r="H620" s="45"/>
      <c r="I620" s="38"/>
      <c r="J620" s="38"/>
      <c r="K620" s="46"/>
      <c r="L620" s="47"/>
      <c r="M620" s="46"/>
      <c r="N620" s="46"/>
      <c r="O620" s="38"/>
      <c r="P620" s="38"/>
      <c r="Q620" s="12"/>
      <c r="R620" s="50"/>
      <c r="S620" s="50"/>
      <c r="T620" s="50"/>
      <c r="U620" s="53"/>
      <c r="V620" s="54"/>
      <c r="W620" s="56"/>
      <c r="X620" s="119"/>
      <c r="Y620" s="113"/>
      <c r="Z620" s="113"/>
      <c r="AH620" s="106"/>
      <c r="AI620" s="106"/>
      <c r="AJ620" s="106"/>
      <c r="AK620" s="106"/>
      <c r="AL620" s="106"/>
      <c r="AM620" s="106"/>
      <c r="AN620" s="106"/>
    </row>
    <row r="621">
      <c r="A621" s="38"/>
      <c r="B621" s="38"/>
      <c r="C621" s="38"/>
      <c r="D621" s="38"/>
      <c r="E621" s="38"/>
      <c r="F621" s="41"/>
      <c r="G621" s="43"/>
      <c r="H621" s="45"/>
      <c r="I621" s="38"/>
      <c r="J621" s="38"/>
      <c r="K621" s="46"/>
      <c r="L621" s="47"/>
      <c r="M621" s="46"/>
      <c r="N621" s="46"/>
      <c r="O621" s="38"/>
      <c r="P621" s="38"/>
      <c r="Q621" s="12"/>
      <c r="R621" s="50"/>
      <c r="S621" s="50"/>
      <c r="T621" s="50"/>
      <c r="U621" s="53"/>
      <c r="V621" s="54"/>
      <c r="W621" s="56"/>
      <c r="X621" s="119"/>
      <c r="Y621" s="113"/>
      <c r="Z621" s="113"/>
      <c r="AH621" s="106"/>
      <c r="AI621" s="106"/>
      <c r="AJ621" s="106"/>
      <c r="AK621" s="106"/>
      <c r="AL621" s="106"/>
      <c r="AM621" s="106"/>
      <c r="AN621" s="106"/>
    </row>
    <row r="622">
      <c r="A622" s="38"/>
      <c r="B622" s="38"/>
      <c r="C622" s="38"/>
      <c r="D622" s="38"/>
      <c r="E622" s="38"/>
      <c r="F622" s="41"/>
      <c r="G622" s="43"/>
      <c r="H622" s="45"/>
      <c r="I622" s="38"/>
      <c r="J622" s="38"/>
      <c r="K622" s="46"/>
      <c r="L622" s="47"/>
      <c r="M622" s="46"/>
      <c r="N622" s="46"/>
      <c r="O622" s="38"/>
      <c r="P622" s="38"/>
      <c r="Q622" s="12"/>
      <c r="R622" s="50"/>
      <c r="S622" s="50"/>
      <c r="T622" s="50"/>
      <c r="U622" s="53"/>
      <c r="V622" s="54"/>
      <c r="W622" s="56"/>
      <c r="X622" s="119"/>
      <c r="Y622" s="113"/>
      <c r="Z622" s="113"/>
      <c r="AH622" s="106"/>
      <c r="AI622" s="106"/>
      <c r="AJ622" s="106"/>
      <c r="AK622" s="106"/>
      <c r="AL622" s="106"/>
      <c r="AM622" s="106"/>
      <c r="AN622" s="106"/>
    </row>
    <row r="623">
      <c r="A623" s="38"/>
      <c r="B623" s="38"/>
      <c r="C623" s="38"/>
      <c r="D623" s="38"/>
      <c r="E623" s="38"/>
      <c r="F623" s="41"/>
      <c r="G623" s="43"/>
      <c r="H623" s="45"/>
      <c r="I623" s="38"/>
      <c r="J623" s="38"/>
      <c r="K623" s="46"/>
      <c r="L623" s="47"/>
      <c r="M623" s="46"/>
      <c r="N623" s="46"/>
      <c r="O623" s="38"/>
      <c r="P623" s="38"/>
      <c r="Q623" s="12"/>
      <c r="R623" s="50"/>
      <c r="S623" s="50"/>
      <c r="T623" s="50"/>
      <c r="U623" s="53"/>
      <c r="V623" s="54"/>
      <c r="W623" s="56"/>
      <c r="X623" s="119"/>
      <c r="Y623" s="113"/>
      <c r="Z623" s="113"/>
      <c r="AH623" s="106"/>
      <c r="AI623" s="106"/>
      <c r="AJ623" s="106"/>
      <c r="AK623" s="106"/>
      <c r="AL623" s="106"/>
      <c r="AM623" s="106"/>
      <c r="AN623" s="106"/>
    </row>
    <row r="624">
      <c r="A624" s="38"/>
      <c r="B624" s="38"/>
      <c r="C624" s="38"/>
      <c r="D624" s="38"/>
      <c r="E624" s="38"/>
      <c r="F624" s="41"/>
      <c r="G624" s="43"/>
      <c r="H624" s="45"/>
      <c r="I624" s="38"/>
      <c r="J624" s="38"/>
      <c r="K624" s="46"/>
      <c r="L624" s="47"/>
      <c r="M624" s="46"/>
      <c r="N624" s="46"/>
      <c r="O624" s="38"/>
      <c r="P624" s="38"/>
      <c r="Q624" s="12"/>
      <c r="R624" s="50"/>
      <c r="S624" s="50"/>
      <c r="T624" s="50"/>
      <c r="U624" s="53"/>
      <c r="V624" s="54"/>
      <c r="W624" s="56"/>
      <c r="X624" s="119"/>
      <c r="Y624" s="113"/>
      <c r="Z624" s="113"/>
      <c r="AH624" s="106"/>
      <c r="AI624" s="106"/>
      <c r="AJ624" s="106"/>
      <c r="AK624" s="106"/>
      <c r="AL624" s="106"/>
      <c r="AM624" s="106"/>
      <c r="AN624" s="106"/>
    </row>
    <row r="625">
      <c r="A625" s="38"/>
      <c r="B625" s="38"/>
      <c r="C625" s="38"/>
      <c r="D625" s="38"/>
      <c r="E625" s="38"/>
      <c r="F625" s="41"/>
      <c r="G625" s="43"/>
      <c r="H625" s="45"/>
      <c r="I625" s="38"/>
      <c r="J625" s="38"/>
      <c r="K625" s="46"/>
      <c r="L625" s="47"/>
      <c r="M625" s="46"/>
      <c r="N625" s="46"/>
      <c r="O625" s="38"/>
      <c r="P625" s="38"/>
      <c r="Q625" s="12"/>
      <c r="R625" s="50"/>
      <c r="S625" s="50"/>
      <c r="T625" s="50"/>
      <c r="U625" s="53"/>
      <c r="V625" s="54"/>
      <c r="W625" s="56"/>
      <c r="X625" s="119"/>
      <c r="Y625" s="113"/>
      <c r="Z625" s="113"/>
      <c r="AH625" s="106"/>
      <c r="AI625" s="106"/>
      <c r="AJ625" s="106"/>
      <c r="AK625" s="106"/>
      <c r="AL625" s="106"/>
      <c r="AM625" s="106"/>
      <c r="AN625" s="106"/>
    </row>
    <row r="626">
      <c r="A626" s="38"/>
      <c r="B626" s="38"/>
      <c r="C626" s="38"/>
      <c r="D626" s="38"/>
      <c r="E626" s="38"/>
      <c r="F626" s="41"/>
      <c r="G626" s="43"/>
      <c r="H626" s="45"/>
      <c r="I626" s="38"/>
      <c r="J626" s="38"/>
      <c r="K626" s="46"/>
      <c r="L626" s="47"/>
      <c r="M626" s="46"/>
      <c r="N626" s="46"/>
      <c r="O626" s="38"/>
      <c r="P626" s="38"/>
      <c r="Q626" s="12"/>
      <c r="R626" s="50"/>
      <c r="S626" s="50"/>
      <c r="T626" s="50"/>
      <c r="U626" s="53"/>
      <c r="V626" s="54"/>
      <c r="W626" s="56"/>
      <c r="X626" s="119"/>
      <c r="Y626" s="113"/>
      <c r="Z626" s="113"/>
      <c r="AH626" s="106"/>
      <c r="AI626" s="106"/>
      <c r="AJ626" s="106"/>
      <c r="AK626" s="106"/>
      <c r="AL626" s="106"/>
      <c r="AM626" s="106"/>
      <c r="AN626" s="106"/>
    </row>
    <row r="627">
      <c r="A627" s="38"/>
      <c r="B627" s="38"/>
      <c r="C627" s="38"/>
      <c r="D627" s="38"/>
      <c r="E627" s="38"/>
      <c r="F627" s="41"/>
      <c r="G627" s="43"/>
      <c r="H627" s="45"/>
      <c r="I627" s="38"/>
      <c r="J627" s="38"/>
      <c r="K627" s="46"/>
      <c r="L627" s="47"/>
      <c r="M627" s="46"/>
      <c r="N627" s="46"/>
      <c r="O627" s="38"/>
      <c r="P627" s="38"/>
      <c r="Q627" s="12"/>
      <c r="R627" s="50"/>
      <c r="S627" s="50"/>
      <c r="T627" s="50"/>
      <c r="U627" s="53"/>
      <c r="V627" s="54"/>
      <c r="W627" s="56"/>
      <c r="X627" s="119"/>
      <c r="Y627" s="113"/>
      <c r="Z627" s="113"/>
      <c r="AH627" s="106"/>
      <c r="AI627" s="106"/>
      <c r="AJ627" s="106"/>
      <c r="AK627" s="106"/>
      <c r="AL627" s="106"/>
      <c r="AM627" s="106"/>
      <c r="AN627" s="106"/>
    </row>
    <row r="628">
      <c r="A628" s="38"/>
      <c r="B628" s="38"/>
      <c r="C628" s="38"/>
      <c r="D628" s="38"/>
      <c r="E628" s="38"/>
      <c r="F628" s="41"/>
      <c r="G628" s="43"/>
      <c r="H628" s="45"/>
      <c r="I628" s="38"/>
      <c r="J628" s="38"/>
      <c r="K628" s="46"/>
      <c r="L628" s="47"/>
      <c r="M628" s="46"/>
      <c r="N628" s="46"/>
      <c r="O628" s="38"/>
      <c r="P628" s="38"/>
      <c r="Q628" s="12"/>
      <c r="R628" s="50"/>
      <c r="S628" s="50"/>
      <c r="T628" s="50"/>
      <c r="U628" s="53"/>
      <c r="V628" s="54"/>
      <c r="W628" s="56"/>
      <c r="X628" s="119"/>
      <c r="Y628" s="113"/>
      <c r="Z628" s="113"/>
      <c r="AH628" s="106"/>
      <c r="AI628" s="106"/>
      <c r="AJ628" s="106"/>
      <c r="AK628" s="106"/>
      <c r="AL628" s="106"/>
      <c r="AM628" s="106"/>
      <c r="AN628" s="106"/>
    </row>
    <row r="629">
      <c r="A629" s="38"/>
      <c r="B629" s="38"/>
      <c r="C629" s="38"/>
      <c r="D629" s="38"/>
      <c r="E629" s="38"/>
      <c r="F629" s="41"/>
      <c r="G629" s="43"/>
      <c r="H629" s="45"/>
      <c r="I629" s="38"/>
      <c r="J629" s="38"/>
      <c r="K629" s="46"/>
      <c r="L629" s="47"/>
      <c r="M629" s="46"/>
      <c r="N629" s="46"/>
      <c r="O629" s="38"/>
      <c r="P629" s="38"/>
      <c r="Q629" s="12"/>
      <c r="R629" s="50"/>
      <c r="S629" s="50"/>
      <c r="T629" s="50"/>
      <c r="U629" s="53"/>
      <c r="V629" s="54"/>
      <c r="W629" s="56"/>
      <c r="X629" s="119"/>
      <c r="Y629" s="113"/>
      <c r="Z629" s="113"/>
      <c r="AH629" s="106"/>
      <c r="AI629" s="106"/>
      <c r="AJ629" s="106"/>
      <c r="AK629" s="106"/>
      <c r="AL629" s="106"/>
      <c r="AM629" s="106"/>
      <c r="AN629" s="106"/>
    </row>
    <row r="630">
      <c r="A630" s="38"/>
      <c r="B630" s="38"/>
      <c r="C630" s="38"/>
      <c r="D630" s="38"/>
      <c r="E630" s="38"/>
      <c r="F630" s="41"/>
      <c r="G630" s="43"/>
      <c r="H630" s="45"/>
      <c r="I630" s="38"/>
      <c r="J630" s="38"/>
      <c r="K630" s="46"/>
      <c r="L630" s="47"/>
      <c r="M630" s="46"/>
      <c r="N630" s="46"/>
      <c r="O630" s="38"/>
      <c r="P630" s="38"/>
      <c r="Q630" s="12"/>
      <c r="R630" s="50"/>
      <c r="S630" s="50"/>
      <c r="T630" s="50"/>
      <c r="U630" s="53"/>
      <c r="V630" s="54"/>
      <c r="W630" s="56"/>
      <c r="X630" s="119"/>
      <c r="Y630" s="113"/>
      <c r="Z630" s="113"/>
      <c r="AH630" s="106"/>
      <c r="AI630" s="106"/>
      <c r="AJ630" s="106"/>
      <c r="AK630" s="106"/>
      <c r="AL630" s="106"/>
      <c r="AM630" s="106"/>
      <c r="AN630" s="106"/>
    </row>
    <row r="631">
      <c r="A631" s="38"/>
      <c r="B631" s="38"/>
      <c r="C631" s="38"/>
      <c r="D631" s="38"/>
      <c r="E631" s="38"/>
      <c r="F631" s="41"/>
      <c r="G631" s="43"/>
      <c r="H631" s="45"/>
      <c r="I631" s="38"/>
      <c r="J631" s="38"/>
      <c r="K631" s="46"/>
      <c r="L631" s="47"/>
      <c r="M631" s="46"/>
      <c r="N631" s="46"/>
      <c r="O631" s="38"/>
      <c r="P631" s="38"/>
      <c r="Q631" s="12"/>
      <c r="R631" s="50"/>
      <c r="S631" s="50"/>
      <c r="T631" s="50"/>
      <c r="U631" s="53"/>
      <c r="V631" s="54"/>
      <c r="W631" s="56"/>
      <c r="X631" s="119"/>
      <c r="Y631" s="113"/>
      <c r="Z631" s="113"/>
      <c r="AH631" s="106"/>
      <c r="AI631" s="106"/>
      <c r="AJ631" s="106"/>
      <c r="AK631" s="106"/>
      <c r="AL631" s="106"/>
      <c r="AM631" s="106"/>
      <c r="AN631" s="106"/>
    </row>
    <row r="632">
      <c r="A632" s="38"/>
      <c r="B632" s="38"/>
      <c r="C632" s="38"/>
      <c r="D632" s="38"/>
      <c r="E632" s="38"/>
      <c r="F632" s="41"/>
      <c r="G632" s="43"/>
      <c r="H632" s="45"/>
      <c r="I632" s="38"/>
      <c r="J632" s="38"/>
      <c r="K632" s="46"/>
      <c r="L632" s="47"/>
      <c r="M632" s="46"/>
      <c r="N632" s="46"/>
      <c r="O632" s="38"/>
      <c r="P632" s="38"/>
      <c r="Q632" s="12"/>
      <c r="R632" s="50"/>
      <c r="S632" s="50"/>
      <c r="T632" s="50"/>
      <c r="U632" s="53"/>
      <c r="V632" s="54"/>
      <c r="W632" s="56"/>
      <c r="X632" s="119"/>
      <c r="Y632" s="113"/>
      <c r="Z632" s="113"/>
      <c r="AH632" s="106"/>
      <c r="AI632" s="106"/>
      <c r="AJ632" s="106"/>
      <c r="AK632" s="106"/>
      <c r="AL632" s="106"/>
      <c r="AM632" s="106"/>
      <c r="AN632" s="106"/>
    </row>
    <row r="633">
      <c r="A633" s="38"/>
      <c r="B633" s="38"/>
      <c r="C633" s="38"/>
      <c r="D633" s="38"/>
      <c r="E633" s="38"/>
      <c r="F633" s="41"/>
      <c r="G633" s="43"/>
      <c r="H633" s="45"/>
      <c r="I633" s="38"/>
      <c r="J633" s="38"/>
      <c r="K633" s="46"/>
      <c r="L633" s="47"/>
      <c r="M633" s="46"/>
      <c r="N633" s="46"/>
      <c r="O633" s="38"/>
      <c r="P633" s="38"/>
      <c r="Q633" s="12"/>
      <c r="R633" s="50"/>
      <c r="S633" s="50"/>
      <c r="T633" s="50"/>
      <c r="U633" s="53"/>
      <c r="V633" s="54"/>
      <c r="W633" s="56"/>
      <c r="X633" s="119"/>
      <c r="Y633" s="113"/>
      <c r="Z633" s="113"/>
      <c r="AH633" s="106"/>
      <c r="AI633" s="106"/>
      <c r="AJ633" s="106"/>
      <c r="AK633" s="106"/>
      <c r="AL633" s="106"/>
      <c r="AM633" s="106"/>
      <c r="AN633" s="106"/>
    </row>
    <row r="634">
      <c r="A634" s="38"/>
      <c r="B634" s="38"/>
      <c r="C634" s="38"/>
      <c r="D634" s="38"/>
      <c r="E634" s="38"/>
      <c r="F634" s="41"/>
      <c r="G634" s="43"/>
      <c r="H634" s="45"/>
      <c r="I634" s="38"/>
      <c r="J634" s="38"/>
      <c r="K634" s="46"/>
      <c r="L634" s="47"/>
      <c r="M634" s="46"/>
      <c r="N634" s="46"/>
      <c r="O634" s="38"/>
      <c r="P634" s="38"/>
      <c r="Q634" s="12"/>
      <c r="R634" s="50"/>
      <c r="S634" s="50"/>
      <c r="T634" s="50"/>
      <c r="U634" s="53"/>
      <c r="V634" s="54"/>
      <c r="W634" s="56"/>
      <c r="X634" s="119"/>
      <c r="Y634" s="113"/>
      <c r="Z634" s="113"/>
      <c r="AH634" s="106"/>
      <c r="AI634" s="106"/>
      <c r="AJ634" s="106"/>
      <c r="AK634" s="106"/>
      <c r="AL634" s="106"/>
      <c r="AM634" s="106"/>
      <c r="AN634" s="106"/>
    </row>
    <row r="635">
      <c r="A635" s="38"/>
      <c r="B635" s="38"/>
      <c r="C635" s="38"/>
      <c r="D635" s="38"/>
      <c r="E635" s="38"/>
      <c r="F635" s="41"/>
      <c r="G635" s="43"/>
      <c r="H635" s="45"/>
      <c r="I635" s="38"/>
      <c r="J635" s="38"/>
      <c r="K635" s="46"/>
      <c r="L635" s="47"/>
      <c r="M635" s="46"/>
      <c r="N635" s="46"/>
      <c r="O635" s="38"/>
      <c r="P635" s="38"/>
      <c r="Q635" s="12"/>
      <c r="R635" s="50"/>
      <c r="S635" s="50"/>
      <c r="T635" s="50"/>
      <c r="U635" s="53"/>
      <c r="V635" s="54"/>
      <c r="W635" s="56"/>
      <c r="X635" s="119"/>
      <c r="Y635" s="113"/>
      <c r="Z635" s="113"/>
      <c r="AH635" s="106"/>
      <c r="AI635" s="106"/>
      <c r="AJ635" s="106"/>
      <c r="AK635" s="106"/>
      <c r="AL635" s="106"/>
      <c r="AM635" s="106"/>
      <c r="AN635" s="106"/>
    </row>
    <row r="636">
      <c r="A636" s="38"/>
      <c r="B636" s="38"/>
      <c r="C636" s="38"/>
      <c r="D636" s="38"/>
      <c r="E636" s="38"/>
      <c r="F636" s="41"/>
      <c r="G636" s="43"/>
      <c r="H636" s="45"/>
      <c r="I636" s="38"/>
      <c r="J636" s="38"/>
      <c r="K636" s="46"/>
      <c r="L636" s="47"/>
      <c r="M636" s="46"/>
      <c r="N636" s="46"/>
      <c r="O636" s="38"/>
      <c r="P636" s="38"/>
      <c r="Q636" s="12"/>
      <c r="R636" s="50"/>
      <c r="S636" s="50"/>
      <c r="T636" s="50"/>
      <c r="U636" s="53"/>
      <c r="V636" s="54"/>
      <c r="W636" s="56"/>
      <c r="X636" s="119"/>
      <c r="Y636" s="113"/>
      <c r="Z636" s="113"/>
      <c r="AH636" s="106"/>
      <c r="AI636" s="106"/>
      <c r="AJ636" s="106"/>
      <c r="AK636" s="106"/>
      <c r="AL636" s="106"/>
      <c r="AM636" s="106"/>
      <c r="AN636" s="106"/>
    </row>
    <row r="637">
      <c r="A637" s="38"/>
      <c r="B637" s="38"/>
      <c r="C637" s="38"/>
      <c r="D637" s="38"/>
      <c r="E637" s="38"/>
      <c r="F637" s="41"/>
      <c r="G637" s="43"/>
      <c r="H637" s="45"/>
      <c r="I637" s="38"/>
      <c r="J637" s="38"/>
      <c r="K637" s="46"/>
      <c r="L637" s="47"/>
      <c r="M637" s="46"/>
      <c r="N637" s="46"/>
      <c r="O637" s="38"/>
      <c r="P637" s="38"/>
      <c r="Q637" s="12"/>
      <c r="R637" s="50"/>
      <c r="S637" s="50"/>
      <c r="T637" s="50"/>
      <c r="U637" s="53"/>
      <c r="V637" s="54"/>
      <c r="W637" s="56"/>
      <c r="X637" s="119"/>
      <c r="Y637" s="113"/>
      <c r="Z637" s="113"/>
      <c r="AH637" s="106"/>
      <c r="AI637" s="106"/>
      <c r="AJ637" s="106"/>
      <c r="AK637" s="106"/>
      <c r="AL637" s="106"/>
      <c r="AM637" s="106"/>
      <c r="AN637" s="106"/>
    </row>
    <row r="638">
      <c r="A638" s="38"/>
      <c r="B638" s="38"/>
      <c r="C638" s="38"/>
      <c r="D638" s="38"/>
      <c r="E638" s="38"/>
      <c r="F638" s="41"/>
      <c r="G638" s="43"/>
      <c r="H638" s="45"/>
      <c r="I638" s="38"/>
      <c r="J638" s="38"/>
      <c r="K638" s="46"/>
      <c r="L638" s="47"/>
      <c r="M638" s="46"/>
      <c r="N638" s="46"/>
      <c r="O638" s="38"/>
      <c r="P638" s="38"/>
      <c r="Q638" s="12"/>
      <c r="R638" s="50"/>
      <c r="S638" s="50"/>
      <c r="T638" s="50"/>
      <c r="U638" s="53"/>
      <c r="V638" s="54"/>
      <c r="W638" s="56"/>
      <c r="X638" s="119"/>
      <c r="Y638" s="113"/>
      <c r="Z638" s="113"/>
      <c r="AH638" s="106"/>
      <c r="AI638" s="106"/>
      <c r="AJ638" s="106"/>
      <c r="AK638" s="106"/>
      <c r="AL638" s="106"/>
      <c r="AM638" s="106"/>
      <c r="AN638" s="106"/>
    </row>
    <row r="639">
      <c r="A639" s="38"/>
      <c r="B639" s="38"/>
      <c r="C639" s="38"/>
      <c r="D639" s="38"/>
      <c r="E639" s="38"/>
      <c r="F639" s="41"/>
      <c r="G639" s="43"/>
      <c r="H639" s="45"/>
      <c r="I639" s="38"/>
      <c r="J639" s="38"/>
      <c r="K639" s="46"/>
      <c r="L639" s="47"/>
      <c r="M639" s="46"/>
      <c r="N639" s="46"/>
      <c r="O639" s="38"/>
      <c r="P639" s="38"/>
      <c r="Q639" s="12"/>
      <c r="R639" s="50"/>
      <c r="S639" s="50"/>
      <c r="T639" s="50"/>
      <c r="U639" s="53"/>
      <c r="V639" s="54"/>
      <c r="W639" s="56"/>
      <c r="X639" s="119"/>
      <c r="Y639" s="113"/>
      <c r="Z639" s="113"/>
      <c r="AH639" s="106"/>
      <c r="AI639" s="106"/>
      <c r="AJ639" s="106"/>
      <c r="AK639" s="106"/>
      <c r="AL639" s="106"/>
      <c r="AM639" s="106"/>
      <c r="AN639" s="106"/>
    </row>
    <row r="640">
      <c r="A640" s="38"/>
      <c r="B640" s="38"/>
      <c r="C640" s="38"/>
      <c r="D640" s="38"/>
      <c r="E640" s="38"/>
      <c r="F640" s="41"/>
      <c r="G640" s="43"/>
      <c r="H640" s="45"/>
      <c r="I640" s="38"/>
      <c r="J640" s="38"/>
      <c r="K640" s="46"/>
      <c r="L640" s="47"/>
      <c r="M640" s="46"/>
      <c r="N640" s="46"/>
      <c r="O640" s="38"/>
      <c r="P640" s="38"/>
      <c r="Q640" s="12"/>
      <c r="R640" s="50"/>
      <c r="S640" s="50"/>
      <c r="T640" s="50"/>
      <c r="U640" s="53"/>
      <c r="V640" s="54"/>
      <c r="W640" s="56"/>
      <c r="X640" s="119"/>
      <c r="Y640" s="113"/>
      <c r="Z640" s="113"/>
      <c r="AH640" s="106"/>
      <c r="AI640" s="106"/>
      <c r="AJ640" s="106"/>
      <c r="AK640" s="106"/>
      <c r="AL640" s="106"/>
      <c r="AM640" s="106"/>
      <c r="AN640" s="106"/>
    </row>
    <row r="641">
      <c r="A641" s="38"/>
      <c r="B641" s="38"/>
      <c r="C641" s="38"/>
      <c r="D641" s="38"/>
      <c r="E641" s="38"/>
      <c r="F641" s="41"/>
      <c r="G641" s="43"/>
      <c r="H641" s="45"/>
      <c r="I641" s="38"/>
      <c r="J641" s="38"/>
      <c r="K641" s="46"/>
      <c r="L641" s="47"/>
      <c r="M641" s="46"/>
      <c r="N641" s="46"/>
      <c r="O641" s="38"/>
      <c r="P641" s="38"/>
      <c r="Q641" s="12"/>
      <c r="R641" s="50"/>
      <c r="S641" s="50"/>
      <c r="T641" s="50"/>
      <c r="U641" s="53"/>
      <c r="V641" s="54"/>
      <c r="W641" s="56"/>
      <c r="X641" s="119"/>
      <c r="Y641" s="113"/>
      <c r="Z641" s="113"/>
      <c r="AH641" s="106"/>
      <c r="AI641" s="106"/>
      <c r="AJ641" s="106"/>
      <c r="AK641" s="106"/>
      <c r="AL641" s="106"/>
      <c r="AM641" s="106"/>
      <c r="AN641" s="106"/>
    </row>
    <row r="642">
      <c r="A642" s="38"/>
      <c r="B642" s="38"/>
      <c r="C642" s="38"/>
      <c r="D642" s="38"/>
      <c r="E642" s="38"/>
      <c r="F642" s="41"/>
      <c r="G642" s="43"/>
      <c r="H642" s="45"/>
      <c r="I642" s="38"/>
      <c r="J642" s="38"/>
      <c r="K642" s="46"/>
      <c r="L642" s="47"/>
      <c r="M642" s="46"/>
      <c r="N642" s="46"/>
      <c r="O642" s="38"/>
      <c r="P642" s="38"/>
      <c r="Q642" s="12"/>
      <c r="R642" s="50"/>
      <c r="S642" s="50"/>
      <c r="T642" s="50"/>
      <c r="U642" s="53"/>
      <c r="V642" s="54"/>
      <c r="W642" s="56"/>
      <c r="X642" s="119"/>
      <c r="Y642" s="113"/>
      <c r="Z642" s="113"/>
      <c r="AH642" s="106"/>
      <c r="AI642" s="106"/>
      <c r="AJ642" s="106"/>
      <c r="AK642" s="106"/>
      <c r="AL642" s="106"/>
      <c r="AM642" s="106"/>
      <c r="AN642" s="106"/>
    </row>
    <row r="643">
      <c r="A643" s="38"/>
      <c r="B643" s="38"/>
      <c r="C643" s="38"/>
      <c r="D643" s="38"/>
      <c r="E643" s="38"/>
      <c r="F643" s="41"/>
      <c r="G643" s="43"/>
      <c r="H643" s="45"/>
      <c r="I643" s="38"/>
      <c r="J643" s="38"/>
      <c r="K643" s="46"/>
      <c r="L643" s="47"/>
      <c r="M643" s="46"/>
      <c r="N643" s="46"/>
      <c r="O643" s="38"/>
      <c r="P643" s="38"/>
      <c r="Q643" s="12"/>
      <c r="R643" s="50"/>
      <c r="S643" s="50"/>
      <c r="T643" s="50"/>
      <c r="U643" s="53"/>
      <c r="V643" s="54"/>
      <c r="W643" s="56"/>
      <c r="X643" s="119"/>
      <c r="Y643" s="113"/>
      <c r="Z643" s="113"/>
      <c r="AH643" s="106"/>
      <c r="AI643" s="106"/>
      <c r="AJ643" s="106"/>
      <c r="AK643" s="106"/>
      <c r="AL643" s="106"/>
      <c r="AM643" s="106"/>
      <c r="AN643" s="106"/>
    </row>
    <row r="644">
      <c r="A644" s="38"/>
      <c r="B644" s="38"/>
      <c r="C644" s="38"/>
      <c r="D644" s="38"/>
      <c r="E644" s="38"/>
      <c r="F644" s="41"/>
      <c r="G644" s="43"/>
      <c r="H644" s="45"/>
      <c r="I644" s="38"/>
      <c r="J644" s="38"/>
      <c r="K644" s="46"/>
      <c r="L644" s="47"/>
      <c r="M644" s="46"/>
      <c r="N644" s="46"/>
      <c r="O644" s="38"/>
      <c r="P644" s="38"/>
      <c r="Q644" s="12"/>
      <c r="R644" s="50"/>
      <c r="S644" s="50"/>
      <c r="T644" s="50"/>
      <c r="U644" s="53"/>
      <c r="V644" s="54"/>
      <c r="W644" s="56"/>
      <c r="X644" s="119"/>
      <c r="Y644" s="113"/>
      <c r="Z644" s="113"/>
      <c r="AH644" s="106"/>
      <c r="AI644" s="106"/>
      <c r="AJ644" s="106"/>
      <c r="AK644" s="106"/>
      <c r="AL644" s="106"/>
      <c r="AM644" s="106"/>
      <c r="AN644" s="106"/>
    </row>
    <row r="645">
      <c r="A645" s="38"/>
      <c r="B645" s="38"/>
      <c r="C645" s="38"/>
      <c r="D645" s="38"/>
      <c r="E645" s="38"/>
      <c r="F645" s="41"/>
      <c r="G645" s="43"/>
      <c r="H645" s="45"/>
      <c r="I645" s="38"/>
      <c r="J645" s="38"/>
      <c r="K645" s="46"/>
      <c r="L645" s="47"/>
      <c r="M645" s="46"/>
      <c r="N645" s="46"/>
      <c r="O645" s="38"/>
      <c r="P645" s="38"/>
      <c r="Q645" s="12"/>
      <c r="R645" s="50"/>
      <c r="S645" s="50"/>
      <c r="T645" s="50"/>
      <c r="U645" s="53"/>
      <c r="V645" s="54"/>
      <c r="W645" s="56"/>
      <c r="X645" s="119"/>
      <c r="Y645" s="113"/>
      <c r="Z645" s="113"/>
      <c r="AH645" s="106"/>
      <c r="AI645" s="106"/>
      <c r="AJ645" s="106"/>
      <c r="AK645" s="106"/>
      <c r="AL645" s="106"/>
      <c r="AM645" s="106"/>
      <c r="AN645" s="106"/>
    </row>
    <row r="646">
      <c r="A646" s="38"/>
      <c r="B646" s="38"/>
      <c r="C646" s="38"/>
      <c r="D646" s="38"/>
      <c r="E646" s="38"/>
      <c r="F646" s="41"/>
      <c r="G646" s="43"/>
      <c r="H646" s="45"/>
      <c r="I646" s="38"/>
      <c r="J646" s="38"/>
      <c r="K646" s="46"/>
      <c r="L646" s="47"/>
      <c r="M646" s="46"/>
      <c r="N646" s="46"/>
      <c r="O646" s="38"/>
      <c r="P646" s="38"/>
      <c r="Q646" s="12"/>
      <c r="R646" s="50"/>
      <c r="S646" s="50"/>
      <c r="T646" s="50"/>
      <c r="U646" s="53"/>
      <c r="V646" s="54"/>
      <c r="W646" s="56"/>
      <c r="X646" s="119"/>
      <c r="Y646" s="113"/>
      <c r="Z646" s="113"/>
      <c r="AH646" s="106"/>
      <c r="AI646" s="106"/>
      <c r="AJ646" s="106"/>
      <c r="AK646" s="106"/>
      <c r="AL646" s="106"/>
      <c r="AM646" s="106"/>
      <c r="AN646" s="106"/>
    </row>
    <row r="647">
      <c r="A647" s="38"/>
      <c r="B647" s="38"/>
      <c r="C647" s="38"/>
      <c r="D647" s="38"/>
      <c r="E647" s="38"/>
      <c r="F647" s="41"/>
      <c r="G647" s="43"/>
      <c r="H647" s="45"/>
      <c r="I647" s="38"/>
      <c r="J647" s="38"/>
      <c r="K647" s="46"/>
      <c r="L647" s="47"/>
      <c r="M647" s="46"/>
      <c r="N647" s="46"/>
      <c r="O647" s="38"/>
      <c r="P647" s="38"/>
      <c r="Q647" s="12"/>
      <c r="R647" s="50"/>
      <c r="S647" s="50"/>
      <c r="T647" s="50"/>
      <c r="U647" s="53"/>
      <c r="V647" s="54"/>
      <c r="W647" s="56"/>
      <c r="X647" s="119"/>
      <c r="Y647" s="113"/>
      <c r="Z647" s="113"/>
      <c r="AH647" s="106"/>
      <c r="AI647" s="106"/>
      <c r="AJ647" s="106"/>
      <c r="AK647" s="106"/>
      <c r="AL647" s="106"/>
      <c r="AM647" s="106"/>
      <c r="AN647" s="106"/>
    </row>
    <row r="648">
      <c r="A648" s="38"/>
      <c r="B648" s="38"/>
      <c r="C648" s="38"/>
      <c r="D648" s="38"/>
      <c r="E648" s="38"/>
      <c r="F648" s="41"/>
      <c r="G648" s="43"/>
      <c r="H648" s="45"/>
      <c r="I648" s="38"/>
      <c r="J648" s="38"/>
      <c r="K648" s="46"/>
      <c r="L648" s="47"/>
      <c r="M648" s="46"/>
      <c r="N648" s="46"/>
      <c r="O648" s="38"/>
      <c r="P648" s="38"/>
      <c r="Q648" s="12"/>
      <c r="R648" s="50"/>
      <c r="S648" s="50"/>
      <c r="T648" s="50"/>
      <c r="U648" s="53"/>
      <c r="V648" s="54"/>
      <c r="W648" s="56"/>
      <c r="X648" s="119"/>
      <c r="Y648" s="113"/>
      <c r="Z648" s="113"/>
      <c r="AH648" s="106"/>
      <c r="AI648" s="106"/>
      <c r="AJ648" s="106"/>
      <c r="AK648" s="106"/>
      <c r="AL648" s="106"/>
      <c r="AM648" s="106"/>
      <c r="AN648" s="106"/>
    </row>
    <row r="649">
      <c r="A649" s="38"/>
      <c r="B649" s="38"/>
      <c r="C649" s="38"/>
      <c r="D649" s="38"/>
      <c r="E649" s="38"/>
      <c r="F649" s="41"/>
      <c r="G649" s="43"/>
      <c r="H649" s="45"/>
      <c r="I649" s="38"/>
      <c r="J649" s="38"/>
      <c r="K649" s="46"/>
      <c r="L649" s="47"/>
      <c r="M649" s="46"/>
      <c r="N649" s="46"/>
      <c r="O649" s="38"/>
      <c r="P649" s="38"/>
      <c r="Q649" s="12"/>
      <c r="R649" s="50"/>
      <c r="S649" s="50"/>
      <c r="T649" s="50"/>
      <c r="U649" s="53"/>
      <c r="V649" s="54"/>
      <c r="W649" s="56"/>
      <c r="X649" s="119"/>
      <c r="Y649" s="113"/>
      <c r="Z649" s="113"/>
      <c r="AH649" s="106"/>
      <c r="AI649" s="106"/>
      <c r="AJ649" s="106"/>
      <c r="AK649" s="106"/>
      <c r="AL649" s="106"/>
      <c r="AM649" s="106"/>
      <c r="AN649" s="106"/>
    </row>
    <row r="650">
      <c r="A650" s="38"/>
      <c r="B650" s="38"/>
      <c r="C650" s="38"/>
      <c r="D650" s="38"/>
      <c r="E650" s="38"/>
      <c r="F650" s="41"/>
      <c r="G650" s="43"/>
      <c r="H650" s="45"/>
      <c r="I650" s="38"/>
      <c r="J650" s="38"/>
      <c r="K650" s="46"/>
      <c r="L650" s="47"/>
      <c r="M650" s="46"/>
      <c r="N650" s="46"/>
      <c r="O650" s="38"/>
      <c r="P650" s="38"/>
      <c r="Q650" s="12"/>
      <c r="R650" s="50"/>
      <c r="S650" s="50"/>
      <c r="T650" s="50"/>
      <c r="U650" s="53"/>
      <c r="V650" s="54"/>
      <c r="W650" s="56"/>
      <c r="X650" s="119"/>
      <c r="Y650" s="113"/>
      <c r="Z650" s="113"/>
      <c r="AH650" s="106"/>
      <c r="AI650" s="106"/>
      <c r="AJ650" s="106"/>
      <c r="AK650" s="106"/>
      <c r="AL650" s="106"/>
      <c r="AM650" s="106"/>
      <c r="AN650" s="106"/>
    </row>
    <row r="651">
      <c r="A651" s="38"/>
      <c r="B651" s="38"/>
      <c r="C651" s="38"/>
      <c r="D651" s="38"/>
      <c r="E651" s="38"/>
      <c r="F651" s="41"/>
      <c r="G651" s="43"/>
      <c r="H651" s="45"/>
      <c r="I651" s="38"/>
      <c r="J651" s="38"/>
      <c r="K651" s="46"/>
      <c r="L651" s="47"/>
      <c r="M651" s="46"/>
      <c r="N651" s="46"/>
      <c r="O651" s="38"/>
      <c r="P651" s="38"/>
      <c r="Q651" s="12"/>
      <c r="R651" s="50"/>
      <c r="S651" s="50"/>
      <c r="T651" s="50"/>
      <c r="U651" s="53"/>
      <c r="V651" s="54"/>
      <c r="W651" s="56"/>
      <c r="X651" s="119"/>
      <c r="Y651" s="113"/>
      <c r="Z651" s="113"/>
      <c r="AH651" s="106"/>
      <c r="AI651" s="106"/>
      <c r="AJ651" s="106"/>
      <c r="AK651" s="106"/>
      <c r="AL651" s="106"/>
      <c r="AM651" s="106"/>
      <c r="AN651" s="106"/>
    </row>
    <row r="652">
      <c r="A652" s="38"/>
      <c r="B652" s="38"/>
      <c r="C652" s="38"/>
      <c r="D652" s="38"/>
      <c r="E652" s="38"/>
      <c r="F652" s="41"/>
      <c r="G652" s="43"/>
      <c r="H652" s="45"/>
      <c r="I652" s="38"/>
      <c r="J652" s="38"/>
      <c r="K652" s="46"/>
      <c r="L652" s="47"/>
      <c r="M652" s="46"/>
      <c r="N652" s="46"/>
      <c r="O652" s="38"/>
      <c r="P652" s="38"/>
      <c r="Q652" s="12"/>
      <c r="R652" s="50"/>
      <c r="S652" s="50"/>
      <c r="T652" s="50"/>
      <c r="U652" s="53"/>
      <c r="V652" s="54"/>
      <c r="W652" s="56"/>
      <c r="X652" s="119"/>
      <c r="Y652" s="113"/>
      <c r="Z652" s="113"/>
      <c r="AH652" s="106"/>
      <c r="AI652" s="106"/>
      <c r="AJ652" s="106"/>
      <c r="AK652" s="106"/>
      <c r="AL652" s="106"/>
      <c r="AM652" s="106"/>
      <c r="AN652" s="106"/>
    </row>
    <row r="653">
      <c r="A653" s="38"/>
      <c r="B653" s="38"/>
      <c r="C653" s="38"/>
      <c r="D653" s="38"/>
      <c r="E653" s="38"/>
      <c r="F653" s="41"/>
      <c r="G653" s="43"/>
      <c r="H653" s="45"/>
      <c r="I653" s="38"/>
      <c r="J653" s="38"/>
      <c r="K653" s="46"/>
      <c r="L653" s="47"/>
      <c r="M653" s="46"/>
      <c r="N653" s="46"/>
      <c r="O653" s="38"/>
      <c r="P653" s="38"/>
      <c r="Q653" s="12"/>
      <c r="R653" s="50"/>
      <c r="S653" s="50"/>
      <c r="T653" s="50"/>
      <c r="U653" s="53"/>
      <c r="V653" s="54"/>
      <c r="W653" s="56"/>
      <c r="X653" s="119"/>
      <c r="Y653" s="113"/>
      <c r="Z653" s="113"/>
      <c r="AH653" s="106"/>
      <c r="AI653" s="106"/>
      <c r="AJ653" s="106"/>
      <c r="AK653" s="106"/>
      <c r="AL653" s="106"/>
      <c r="AM653" s="106"/>
      <c r="AN653" s="106"/>
    </row>
    <row r="654">
      <c r="A654" s="38"/>
      <c r="B654" s="38"/>
      <c r="C654" s="38"/>
      <c r="D654" s="38"/>
      <c r="E654" s="38"/>
      <c r="F654" s="41"/>
      <c r="G654" s="43"/>
      <c r="H654" s="45"/>
      <c r="I654" s="38"/>
      <c r="J654" s="38"/>
      <c r="K654" s="46"/>
      <c r="L654" s="47"/>
      <c r="M654" s="46"/>
      <c r="N654" s="46"/>
      <c r="O654" s="38"/>
      <c r="P654" s="38"/>
      <c r="Q654" s="12"/>
      <c r="R654" s="50"/>
      <c r="S654" s="50"/>
      <c r="T654" s="50"/>
      <c r="U654" s="53"/>
      <c r="V654" s="54"/>
      <c r="W654" s="56"/>
      <c r="X654" s="119"/>
      <c r="Y654" s="113"/>
      <c r="Z654" s="113"/>
      <c r="AH654" s="106"/>
      <c r="AI654" s="106"/>
      <c r="AJ654" s="106"/>
      <c r="AK654" s="106"/>
      <c r="AL654" s="106"/>
      <c r="AM654" s="106"/>
      <c r="AN654" s="106"/>
    </row>
    <row r="655">
      <c r="A655" s="38"/>
      <c r="B655" s="38"/>
      <c r="C655" s="38"/>
      <c r="D655" s="38"/>
      <c r="E655" s="38"/>
      <c r="F655" s="41"/>
      <c r="G655" s="43"/>
      <c r="H655" s="45"/>
      <c r="I655" s="38"/>
      <c r="J655" s="38"/>
      <c r="K655" s="46"/>
      <c r="L655" s="47"/>
      <c r="M655" s="46"/>
      <c r="N655" s="46"/>
      <c r="O655" s="38"/>
      <c r="P655" s="38"/>
      <c r="Q655" s="12"/>
      <c r="R655" s="50"/>
      <c r="S655" s="50"/>
      <c r="T655" s="50"/>
      <c r="U655" s="53"/>
      <c r="V655" s="54"/>
      <c r="W655" s="56"/>
      <c r="X655" s="119"/>
      <c r="Y655" s="113"/>
      <c r="Z655" s="113"/>
      <c r="AH655" s="106"/>
      <c r="AI655" s="106"/>
      <c r="AJ655" s="106"/>
      <c r="AK655" s="106"/>
      <c r="AL655" s="106"/>
      <c r="AM655" s="106"/>
      <c r="AN655" s="106"/>
    </row>
    <row r="656">
      <c r="A656" s="38"/>
      <c r="B656" s="38"/>
      <c r="C656" s="38"/>
      <c r="D656" s="38"/>
      <c r="E656" s="38"/>
      <c r="F656" s="41"/>
      <c r="G656" s="43"/>
      <c r="H656" s="45"/>
      <c r="I656" s="38"/>
      <c r="J656" s="38"/>
      <c r="K656" s="46"/>
      <c r="L656" s="47"/>
      <c r="M656" s="46"/>
      <c r="N656" s="46"/>
      <c r="O656" s="38"/>
      <c r="P656" s="38"/>
      <c r="Q656" s="12"/>
      <c r="R656" s="50"/>
      <c r="S656" s="50"/>
      <c r="T656" s="50"/>
      <c r="U656" s="53"/>
      <c r="V656" s="54"/>
      <c r="W656" s="56"/>
      <c r="X656" s="119"/>
      <c r="Y656" s="113"/>
      <c r="Z656" s="113"/>
      <c r="AH656" s="106"/>
      <c r="AI656" s="106"/>
      <c r="AJ656" s="106"/>
      <c r="AK656" s="106"/>
      <c r="AL656" s="106"/>
      <c r="AM656" s="106"/>
      <c r="AN656" s="106"/>
    </row>
    <row r="657">
      <c r="A657" s="38"/>
      <c r="B657" s="38"/>
      <c r="C657" s="38"/>
      <c r="D657" s="38"/>
      <c r="E657" s="38"/>
      <c r="F657" s="41"/>
      <c r="G657" s="43"/>
      <c r="H657" s="45"/>
      <c r="I657" s="38"/>
      <c r="J657" s="38"/>
      <c r="K657" s="46"/>
      <c r="L657" s="47"/>
      <c r="M657" s="46"/>
      <c r="N657" s="46"/>
      <c r="O657" s="38"/>
      <c r="P657" s="38"/>
      <c r="Q657" s="12"/>
      <c r="R657" s="50"/>
      <c r="S657" s="50"/>
      <c r="T657" s="50"/>
      <c r="U657" s="53"/>
      <c r="V657" s="54"/>
      <c r="W657" s="56"/>
      <c r="X657" s="119"/>
      <c r="Y657" s="113"/>
      <c r="Z657" s="113"/>
      <c r="AH657" s="106"/>
      <c r="AI657" s="106"/>
      <c r="AJ657" s="106"/>
      <c r="AK657" s="106"/>
      <c r="AL657" s="106"/>
      <c r="AM657" s="106"/>
      <c r="AN657" s="106"/>
    </row>
    <row r="658">
      <c r="A658" s="38"/>
      <c r="B658" s="38"/>
      <c r="C658" s="38"/>
      <c r="D658" s="38"/>
      <c r="E658" s="38"/>
      <c r="F658" s="41"/>
      <c r="G658" s="43"/>
      <c r="H658" s="45"/>
      <c r="I658" s="38"/>
      <c r="J658" s="38"/>
      <c r="K658" s="46"/>
      <c r="L658" s="47"/>
      <c r="M658" s="46"/>
      <c r="N658" s="46"/>
      <c r="O658" s="38"/>
      <c r="P658" s="38"/>
      <c r="Q658" s="12"/>
      <c r="R658" s="50"/>
      <c r="S658" s="50"/>
      <c r="T658" s="50"/>
      <c r="U658" s="53"/>
      <c r="V658" s="54"/>
      <c r="W658" s="56"/>
      <c r="X658" s="119"/>
      <c r="Y658" s="113"/>
      <c r="Z658" s="113"/>
      <c r="AH658" s="106"/>
      <c r="AI658" s="106"/>
      <c r="AJ658" s="106"/>
      <c r="AK658" s="106"/>
      <c r="AL658" s="106"/>
      <c r="AM658" s="106"/>
      <c r="AN658" s="106"/>
    </row>
    <row r="659">
      <c r="A659" s="38"/>
      <c r="B659" s="38"/>
      <c r="C659" s="38"/>
      <c r="D659" s="38"/>
      <c r="E659" s="38"/>
      <c r="F659" s="41"/>
      <c r="G659" s="43"/>
      <c r="H659" s="45"/>
      <c r="I659" s="38"/>
      <c r="J659" s="38"/>
      <c r="K659" s="46"/>
      <c r="L659" s="47"/>
      <c r="M659" s="46"/>
      <c r="N659" s="46"/>
      <c r="O659" s="38"/>
      <c r="P659" s="38"/>
      <c r="Q659" s="12"/>
      <c r="R659" s="50"/>
      <c r="S659" s="50"/>
      <c r="T659" s="50"/>
      <c r="U659" s="53"/>
      <c r="V659" s="54"/>
      <c r="W659" s="56"/>
      <c r="X659" s="119"/>
      <c r="Y659" s="113"/>
      <c r="Z659" s="113"/>
      <c r="AH659" s="106"/>
      <c r="AI659" s="106"/>
      <c r="AJ659" s="106"/>
      <c r="AK659" s="106"/>
      <c r="AL659" s="106"/>
      <c r="AM659" s="106"/>
      <c r="AN659" s="106"/>
    </row>
    <row r="660">
      <c r="A660" s="38"/>
      <c r="B660" s="38"/>
      <c r="C660" s="38"/>
      <c r="D660" s="38"/>
      <c r="E660" s="38"/>
      <c r="F660" s="41"/>
      <c r="G660" s="43"/>
      <c r="H660" s="45"/>
      <c r="I660" s="38"/>
      <c r="J660" s="38"/>
      <c r="K660" s="46"/>
      <c r="L660" s="47"/>
      <c r="M660" s="46"/>
      <c r="N660" s="46"/>
      <c r="O660" s="38"/>
      <c r="P660" s="38"/>
      <c r="Q660" s="12"/>
      <c r="R660" s="50"/>
      <c r="S660" s="50"/>
      <c r="T660" s="50"/>
      <c r="U660" s="53"/>
      <c r="V660" s="54"/>
      <c r="W660" s="56"/>
      <c r="X660" s="119"/>
      <c r="Y660" s="113"/>
      <c r="Z660" s="113"/>
      <c r="AH660" s="106"/>
      <c r="AI660" s="106"/>
      <c r="AJ660" s="106"/>
      <c r="AK660" s="106"/>
      <c r="AL660" s="106"/>
      <c r="AM660" s="106"/>
      <c r="AN660" s="106"/>
    </row>
    <row r="661">
      <c r="A661" s="38"/>
      <c r="B661" s="38"/>
      <c r="C661" s="38"/>
      <c r="D661" s="38"/>
      <c r="E661" s="38"/>
      <c r="F661" s="41"/>
      <c r="G661" s="43"/>
      <c r="H661" s="45"/>
      <c r="I661" s="38"/>
      <c r="J661" s="38"/>
      <c r="K661" s="46"/>
      <c r="L661" s="47"/>
      <c r="M661" s="46"/>
      <c r="N661" s="46"/>
      <c r="O661" s="38"/>
      <c r="P661" s="38"/>
      <c r="Q661" s="12"/>
      <c r="R661" s="50"/>
      <c r="S661" s="50"/>
      <c r="T661" s="50"/>
      <c r="U661" s="53"/>
      <c r="V661" s="54"/>
      <c r="W661" s="56"/>
      <c r="X661" s="119"/>
      <c r="Y661" s="113"/>
      <c r="Z661" s="113"/>
      <c r="AH661" s="106"/>
      <c r="AI661" s="106"/>
      <c r="AJ661" s="106"/>
      <c r="AK661" s="106"/>
      <c r="AL661" s="106"/>
      <c r="AM661" s="106"/>
      <c r="AN661" s="106"/>
    </row>
    <row r="662">
      <c r="A662" s="38"/>
      <c r="B662" s="38"/>
      <c r="C662" s="38"/>
      <c r="D662" s="38"/>
      <c r="E662" s="38"/>
      <c r="F662" s="41"/>
      <c r="G662" s="43"/>
      <c r="H662" s="45"/>
      <c r="I662" s="38"/>
      <c r="J662" s="38"/>
      <c r="K662" s="46"/>
      <c r="L662" s="47"/>
      <c r="M662" s="46"/>
      <c r="N662" s="46"/>
      <c r="O662" s="38"/>
      <c r="P662" s="38"/>
      <c r="Q662" s="12"/>
      <c r="R662" s="50"/>
      <c r="S662" s="50"/>
      <c r="T662" s="50"/>
      <c r="U662" s="53"/>
      <c r="V662" s="54"/>
      <c r="W662" s="56"/>
      <c r="X662" s="119"/>
      <c r="Y662" s="113"/>
      <c r="Z662" s="113"/>
      <c r="AH662" s="106"/>
      <c r="AI662" s="106"/>
      <c r="AJ662" s="106"/>
      <c r="AK662" s="106"/>
      <c r="AL662" s="106"/>
      <c r="AM662" s="106"/>
      <c r="AN662" s="106"/>
    </row>
    <row r="663">
      <c r="A663" s="38"/>
      <c r="B663" s="38"/>
      <c r="C663" s="38"/>
      <c r="D663" s="38"/>
      <c r="E663" s="38"/>
      <c r="F663" s="41"/>
      <c r="G663" s="43"/>
      <c r="H663" s="45"/>
      <c r="I663" s="38"/>
      <c r="J663" s="38"/>
      <c r="K663" s="46"/>
      <c r="L663" s="47"/>
      <c r="M663" s="46"/>
      <c r="N663" s="46"/>
      <c r="O663" s="38"/>
      <c r="P663" s="38"/>
      <c r="Q663" s="12"/>
      <c r="R663" s="50"/>
      <c r="S663" s="50"/>
      <c r="T663" s="50"/>
      <c r="U663" s="53"/>
      <c r="V663" s="54"/>
      <c r="W663" s="56"/>
      <c r="X663" s="119"/>
      <c r="Y663" s="113"/>
      <c r="Z663" s="113"/>
      <c r="AH663" s="106"/>
      <c r="AI663" s="106"/>
      <c r="AJ663" s="106"/>
      <c r="AK663" s="106"/>
      <c r="AL663" s="106"/>
      <c r="AM663" s="106"/>
      <c r="AN663" s="106"/>
    </row>
    <row r="664">
      <c r="A664" s="38"/>
      <c r="B664" s="38"/>
      <c r="C664" s="38"/>
      <c r="D664" s="38"/>
      <c r="E664" s="38"/>
      <c r="F664" s="41"/>
      <c r="G664" s="43"/>
      <c r="H664" s="45"/>
      <c r="I664" s="38"/>
      <c r="J664" s="38"/>
      <c r="K664" s="46"/>
      <c r="L664" s="47"/>
      <c r="M664" s="46"/>
      <c r="N664" s="46"/>
      <c r="O664" s="38"/>
      <c r="P664" s="38"/>
      <c r="Q664" s="12"/>
      <c r="R664" s="50"/>
      <c r="S664" s="50"/>
      <c r="T664" s="50"/>
      <c r="U664" s="53"/>
      <c r="V664" s="54"/>
      <c r="W664" s="56"/>
      <c r="X664" s="119"/>
      <c r="Y664" s="113"/>
      <c r="Z664" s="113"/>
      <c r="AH664" s="106"/>
      <c r="AI664" s="106"/>
      <c r="AJ664" s="106"/>
      <c r="AK664" s="106"/>
      <c r="AL664" s="106"/>
      <c r="AM664" s="106"/>
      <c r="AN664" s="106"/>
    </row>
    <row r="665">
      <c r="A665" s="38"/>
      <c r="B665" s="38"/>
      <c r="C665" s="38"/>
      <c r="D665" s="38"/>
      <c r="E665" s="38"/>
      <c r="F665" s="41"/>
      <c r="G665" s="43"/>
      <c r="H665" s="45"/>
      <c r="I665" s="38"/>
      <c r="J665" s="38"/>
      <c r="K665" s="46"/>
      <c r="L665" s="47"/>
      <c r="M665" s="46"/>
      <c r="N665" s="46"/>
      <c r="O665" s="38"/>
      <c r="P665" s="38"/>
      <c r="Q665" s="12"/>
      <c r="R665" s="50"/>
      <c r="S665" s="50"/>
      <c r="T665" s="50"/>
      <c r="U665" s="53"/>
      <c r="V665" s="54"/>
      <c r="W665" s="56"/>
      <c r="X665" s="119"/>
      <c r="Y665" s="113"/>
      <c r="Z665" s="113"/>
      <c r="AH665" s="106"/>
      <c r="AI665" s="106"/>
      <c r="AJ665" s="106"/>
      <c r="AK665" s="106"/>
      <c r="AL665" s="106"/>
      <c r="AM665" s="106"/>
      <c r="AN665" s="106"/>
    </row>
    <row r="666">
      <c r="A666" s="38"/>
      <c r="B666" s="38"/>
      <c r="C666" s="38"/>
      <c r="D666" s="38"/>
      <c r="E666" s="38"/>
      <c r="F666" s="41"/>
      <c r="G666" s="43"/>
      <c r="H666" s="45"/>
      <c r="I666" s="38"/>
      <c r="J666" s="38"/>
      <c r="K666" s="46"/>
      <c r="L666" s="47"/>
      <c r="M666" s="46"/>
      <c r="N666" s="46"/>
      <c r="O666" s="38"/>
      <c r="P666" s="38"/>
      <c r="Q666" s="12"/>
      <c r="R666" s="50"/>
      <c r="S666" s="50"/>
      <c r="T666" s="50"/>
      <c r="U666" s="53"/>
      <c r="V666" s="54"/>
      <c r="W666" s="56"/>
      <c r="X666" s="119"/>
      <c r="Y666" s="113"/>
      <c r="Z666" s="113"/>
      <c r="AH666" s="106"/>
      <c r="AI666" s="106"/>
      <c r="AJ666" s="106"/>
      <c r="AK666" s="106"/>
      <c r="AL666" s="106"/>
      <c r="AM666" s="106"/>
      <c r="AN666" s="106"/>
    </row>
    <row r="667">
      <c r="A667" s="38"/>
      <c r="B667" s="38"/>
      <c r="C667" s="38"/>
      <c r="D667" s="38"/>
      <c r="E667" s="38"/>
      <c r="F667" s="41"/>
      <c r="G667" s="43"/>
      <c r="H667" s="45"/>
      <c r="I667" s="38"/>
      <c r="J667" s="38"/>
      <c r="K667" s="46"/>
      <c r="L667" s="47"/>
      <c r="M667" s="46"/>
      <c r="N667" s="46"/>
      <c r="O667" s="38"/>
      <c r="P667" s="38"/>
      <c r="Q667" s="12"/>
      <c r="R667" s="50"/>
      <c r="S667" s="50"/>
      <c r="T667" s="50"/>
      <c r="U667" s="53"/>
      <c r="V667" s="54"/>
      <c r="W667" s="56"/>
      <c r="X667" s="119"/>
      <c r="Y667" s="113"/>
      <c r="Z667" s="113"/>
      <c r="AH667" s="106"/>
      <c r="AI667" s="106"/>
      <c r="AJ667" s="106"/>
      <c r="AK667" s="106"/>
      <c r="AL667" s="106"/>
      <c r="AM667" s="106"/>
      <c r="AN667" s="106"/>
    </row>
    <row r="668">
      <c r="A668" s="38"/>
      <c r="B668" s="38"/>
      <c r="C668" s="38"/>
      <c r="D668" s="38"/>
      <c r="E668" s="38"/>
      <c r="F668" s="41"/>
      <c r="G668" s="43"/>
      <c r="H668" s="45"/>
      <c r="I668" s="38"/>
      <c r="J668" s="38"/>
      <c r="K668" s="46"/>
      <c r="L668" s="47"/>
      <c r="M668" s="46"/>
      <c r="N668" s="46"/>
      <c r="O668" s="38"/>
      <c r="P668" s="38"/>
      <c r="Q668" s="12"/>
      <c r="R668" s="50"/>
      <c r="S668" s="50"/>
      <c r="T668" s="50"/>
      <c r="U668" s="53"/>
      <c r="V668" s="54"/>
      <c r="W668" s="56"/>
      <c r="X668" s="119"/>
      <c r="Y668" s="113"/>
      <c r="Z668" s="113"/>
      <c r="AH668" s="106"/>
      <c r="AI668" s="106"/>
      <c r="AJ668" s="106"/>
      <c r="AK668" s="106"/>
      <c r="AL668" s="106"/>
      <c r="AM668" s="106"/>
      <c r="AN668" s="106"/>
    </row>
    <row r="669">
      <c r="A669" s="38"/>
      <c r="B669" s="38"/>
      <c r="C669" s="38"/>
      <c r="D669" s="38"/>
      <c r="E669" s="38"/>
      <c r="F669" s="41"/>
      <c r="G669" s="43"/>
      <c r="H669" s="45"/>
      <c r="I669" s="38"/>
      <c r="J669" s="38"/>
      <c r="K669" s="46"/>
      <c r="L669" s="47"/>
      <c r="M669" s="46"/>
      <c r="N669" s="46"/>
      <c r="O669" s="38"/>
      <c r="P669" s="38"/>
      <c r="Q669" s="12"/>
      <c r="R669" s="50"/>
      <c r="S669" s="50"/>
      <c r="T669" s="50"/>
      <c r="U669" s="53"/>
      <c r="V669" s="54"/>
      <c r="W669" s="56"/>
      <c r="X669" s="119"/>
      <c r="Y669" s="113"/>
      <c r="Z669" s="113"/>
      <c r="AH669" s="106"/>
      <c r="AI669" s="106"/>
      <c r="AJ669" s="106"/>
      <c r="AK669" s="106"/>
      <c r="AL669" s="106"/>
      <c r="AM669" s="106"/>
      <c r="AN669" s="106"/>
    </row>
    <row r="670">
      <c r="A670" s="38"/>
      <c r="B670" s="38"/>
      <c r="C670" s="38"/>
      <c r="D670" s="38"/>
      <c r="E670" s="38"/>
      <c r="F670" s="41"/>
      <c r="G670" s="43"/>
      <c r="H670" s="45"/>
      <c r="I670" s="38"/>
      <c r="J670" s="38"/>
      <c r="K670" s="46"/>
      <c r="L670" s="47"/>
      <c r="M670" s="46"/>
      <c r="N670" s="46"/>
      <c r="O670" s="38"/>
      <c r="P670" s="38"/>
      <c r="Q670" s="12"/>
      <c r="R670" s="50"/>
      <c r="S670" s="50"/>
      <c r="T670" s="50"/>
      <c r="U670" s="53"/>
      <c r="V670" s="54"/>
      <c r="W670" s="56"/>
      <c r="X670" s="119"/>
      <c r="Y670" s="113"/>
      <c r="Z670" s="113"/>
      <c r="AH670" s="106"/>
      <c r="AI670" s="106"/>
      <c r="AJ670" s="106"/>
      <c r="AK670" s="106"/>
      <c r="AL670" s="106"/>
      <c r="AM670" s="106"/>
      <c r="AN670" s="106"/>
    </row>
    <row r="671">
      <c r="A671" s="38"/>
      <c r="B671" s="38"/>
      <c r="C671" s="38"/>
      <c r="D671" s="38"/>
      <c r="E671" s="38"/>
      <c r="F671" s="41"/>
      <c r="G671" s="43"/>
      <c r="H671" s="45"/>
      <c r="I671" s="38"/>
      <c r="J671" s="38"/>
      <c r="K671" s="46"/>
      <c r="L671" s="47"/>
      <c r="M671" s="46"/>
      <c r="N671" s="46"/>
      <c r="O671" s="38"/>
      <c r="P671" s="38"/>
      <c r="Q671" s="12"/>
      <c r="R671" s="50"/>
      <c r="S671" s="50"/>
      <c r="T671" s="50"/>
      <c r="U671" s="53"/>
      <c r="V671" s="54"/>
      <c r="W671" s="56"/>
      <c r="X671" s="119"/>
      <c r="Y671" s="113"/>
      <c r="Z671" s="113"/>
      <c r="AH671" s="106"/>
      <c r="AI671" s="106"/>
      <c r="AJ671" s="106"/>
      <c r="AK671" s="106"/>
      <c r="AL671" s="106"/>
      <c r="AM671" s="106"/>
      <c r="AN671" s="106"/>
    </row>
    <row r="672">
      <c r="A672" s="38"/>
      <c r="B672" s="38"/>
      <c r="C672" s="38"/>
      <c r="D672" s="38"/>
      <c r="E672" s="38"/>
      <c r="F672" s="41"/>
      <c r="G672" s="43"/>
      <c r="H672" s="45"/>
      <c r="I672" s="38"/>
      <c r="J672" s="38"/>
      <c r="K672" s="46"/>
      <c r="L672" s="47"/>
      <c r="M672" s="46"/>
      <c r="N672" s="46"/>
      <c r="O672" s="38"/>
      <c r="P672" s="38"/>
      <c r="Q672" s="12"/>
      <c r="R672" s="50"/>
      <c r="S672" s="50"/>
      <c r="T672" s="50"/>
      <c r="U672" s="53"/>
      <c r="V672" s="54"/>
      <c r="W672" s="56"/>
      <c r="X672" s="119"/>
      <c r="Y672" s="113"/>
      <c r="Z672" s="113"/>
      <c r="AH672" s="106"/>
      <c r="AI672" s="106"/>
      <c r="AJ672" s="106"/>
      <c r="AK672" s="106"/>
      <c r="AL672" s="106"/>
      <c r="AM672" s="106"/>
      <c r="AN672" s="106"/>
    </row>
    <row r="673">
      <c r="A673" s="38"/>
      <c r="B673" s="38"/>
      <c r="C673" s="38"/>
      <c r="D673" s="38"/>
      <c r="E673" s="38"/>
      <c r="F673" s="41"/>
      <c r="G673" s="43"/>
      <c r="H673" s="45"/>
      <c r="I673" s="38"/>
      <c r="J673" s="38"/>
      <c r="K673" s="46"/>
      <c r="L673" s="47"/>
      <c r="M673" s="46"/>
      <c r="N673" s="46"/>
      <c r="O673" s="38"/>
      <c r="P673" s="38"/>
      <c r="Q673" s="12"/>
      <c r="R673" s="50"/>
      <c r="S673" s="50"/>
      <c r="T673" s="50"/>
      <c r="U673" s="53"/>
      <c r="V673" s="54"/>
      <c r="W673" s="56"/>
      <c r="X673" s="119"/>
      <c r="Y673" s="113"/>
      <c r="Z673" s="113"/>
      <c r="AH673" s="106"/>
      <c r="AI673" s="106"/>
      <c r="AJ673" s="106"/>
      <c r="AK673" s="106"/>
      <c r="AL673" s="106"/>
      <c r="AM673" s="106"/>
      <c r="AN673" s="106"/>
    </row>
    <row r="674">
      <c r="A674" s="38"/>
      <c r="B674" s="38"/>
      <c r="C674" s="38"/>
      <c r="D674" s="38"/>
      <c r="E674" s="38"/>
      <c r="F674" s="41"/>
      <c r="G674" s="43"/>
      <c r="H674" s="45"/>
      <c r="I674" s="38"/>
      <c r="J674" s="38"/>
      <c r="K674" s="46"/>
      <c r="L674" s="47"/>
      <c r="M674" s="46"/>
      <c r="N674" s="46"/>
      <c r="O674" s="38"/>
      <c r="P674" s="38"/>
      <c r="Q674" s="12"/>
      <c r="R674" s="50"/>
      <c r="S674" s="50"/>
      <c r="T674" s="50"/>
      <c r="U674" s="53"/>
      <c r="V674" s="54"/>
      <c r="W674" s="56"/>
      <c r="X674" s="119"/>
      <c r="Y674" s="113"/>
      <c r="Z674" s="113"/>
      <c r="AH674" s="106"/>
      <c r="AI674" s="106"/>
      <c r="AJ674" s="106"/>
      <c r="AK674" s="106"/>
      <c r="AL674" s="106"/>
      <c r="AM674" s="106"/>
      <c r="AN674" s="106"/>
    </row>
    <row r="675">
      <c r="A675" s="38"/>
      <c r="B675" s="38"/>
      <c r="C675" s="38"/>
      <c r="D675" s="38"/>
      <c r="E675" s="38"/>
      <c r="F675" s="41"/>
      <c r="G675" s="43"/>
      <c r="H675" s="45"/>
      <c r="I675" s="38"/>
      <c r="J675" s="38"/>
      <c r="K675" s="46"/>
      <c r="L675" s="47"/>
      <c r="M675" s="46"/>
      <c r="N675" s="46"/>
      <c r="O675" s="38"/>
      <c r="P675" s="38"/>
      <c r="Q675" s="12"/>
      <c r="R675" s="50"/>
      <c r="S675" s="50"/>
      <c r="T675" s="50"/>
      <c r="U675" s="53"/>
      <c r="V675" s="54"/>
      <c r="W675" s="56"/>
      <c r="X675" s="119"/>
      <c r="Y675" s="113"/>
      <c r="Z675" s="113"/>
      <c r="AH675" s="106"/>
      <c r="AI675" s="106"/>
      <c r="AJ675" s="106"/>
      <c r="AK675" s="106"/>
      <c r="AL675" s="106"/>
      <c r="AM675" s="106"/>
      <c r="AN675" s="106"/>
    </row>
    <row r="676">
      <c r="A676" s="38"/>
      <c r="B676" s="38"/>
      <c r="C676" s="38"/>
      <c r="D676" s="38"/>
      <c r="E676" s="38"/>
      <c r="F676" s="41"/>
      <c r="G676" s="43"/>
      <c r="H676" s="45"/>
      <c r="I676" s="38"/>
      <c r="J676" s="38"/>
      <c r="K676" s="46"/>
      <c r="L676" s="47"/>
      <c r="M676" s="46"/>
      <c r="N676" s="46"/>
      <c r="O676" s="38"/>
      <c r="P676" s="38"/>
      <c r="Q676" s="12"/>
      <c r="R676" s="50"/>
      <c r="S676" s="50"/>
      <c r="T676" s="50"/>
      <c r="U676" s="53"/>
      <c r="V676" s="54"/>
      <c r="W676" s="56"/>
      <c r="X676" s="119"/>
      <c r="Y676" s="113"/>
      <c r="Z676" s="113"/>
      <c r="AH676" s="106"/>
      <c r="AI676" s="106"/>
      <c r="AJ676" s="106"/>
      <c r="AK676" s="106"/>
      <c r="AL676" s="106"/>
      <c r="AM676" s="106"/>
      <c r="AN676" s="106"/>
    </row>
    <row r="677">
      <c r="A677" s="38"/>
      <c r="B677" s="38"/>
      <c r="C677" s="38"/>
      <c r="D677" s="38"/>
      <c r="E677" s="38"/>
      <c r="F677" s="41"/>
      <c r="G677" s="43"/>
      <c r="H677" s="45"/>
      <c r="I677" s="38"/>
      <c r="J677" s="38"/>
      <c r="K677" s="46"/>
      <c r="L677" s="47"/>
      <c r="M677" s="46"/>
      <c r="N677" s="46"/>
      <c r="O677" s="38"/>
      <c r="P677" s="38"/>
      <c r="Q677" s="12"/>
      <c r="R677" s="50"/>
      <c r="S677" s="50"/>
      <c r="T677" s="50"/>
      <c r="U677" s="53"/>
      <c r="V677" s="54"/>
      <c r="W677" s="56"/>
      <c r="X677" s="119"/>
      <c r="Y677" s="113"/>
      <c r="Z677" s="113"/>
      <c r="AH677" s="106"/>
      <c r="AI677" s="106"/>
      <c r="AJ677" s="106"/>
      <c r="AK677" s="106"/>
      <c r="AL677" s="106"/>
      <c r="AM677" s="106"/>
      <c r="AN677" s="106"/>
    </row>
    <row r="678">
      <c r="A678" s="38"/>
      <c r="B678" s="38"/>
      <c r="C678" s="38"/>
      <c r="D678" s="38"/>
      <c r="E678" s="38"/>
      <c r="F678" s="41"/>
      <c r="G678" s="43"/>
      <c r="H678" s="45"/>
      <c r="I678" s="38"/>
      <c r="J678" s="38"/>
      <c r="K678" s="46"/>
      <c r="L678" s="47"/>
      <c r="M678" s="46"/>
      <c r="N678" s="46"/>
      <c r="O678" s="38"/>
      <c r="P678" s="38"/>
      <c r="Q678" s="12"/>
      <c r="R678" s="50"/>
      <c r="S678" s="50"/>
      <c r="T678" s="50"/>
      <c r="U678" s="53"/>
      <c r="V678" s="54"/>
      <c r="W678" s="56"/>
      <c r="X678" s="119"/>
      <c r="Y678" s="113"/>
      <c r="Z678" s="113"/>
      <c r="AH678" s="106"/>
      <c r="AI678" s="106"/>
      <c r="AJ678" s="106"/>
      <c r="AK678" s="106"/>
      <c r="AL678" s="106"/>
      <c r="AM678" s="106"/>
      <c r="AN678" s="106"/>
    </row>
    <row r="679">
      <c r="A679" s="38"/>
      <c r="B679" s="38"/>
      <c r="C679" s="38"/>
      <c r="D679" s="38"/>
      <c r="E679" s="38"/>
      <c r="F679" s="41"/>
      <c r="G679" s="43"/>
      <c r="H679" s="45"/>
      <c r="I679" s="38"/>
      <c r="J679" s="38"/>
      <c r="K679" s="46"/>
      <c r="L679" s="47"/>
      <c r="M679" s="46"/>
      <c r="N679" s="46"/>
      <c r="O679" s="38"/>
      <c r="P679" s="38"/>
      <c r="Q679" s="12"/>
      <c r="R679" s="50"/>
      <c r="S679" s="50"/>
      <c r="T679" s="50"/>
      <c r="U679" s="53"/>
      <c r="V679" s="54"/>
      <c r="W679" s="56"/>
      <c r="X679" s="119"/>
      <c r="Y679" s="113"/>
      <c r="Z679" s="113"/>
      <c r="AH679" s="106"/>
      <c r="AI679" s="106"/>
      <c r="AJ679" s="106"/>
      <c r="AK679" s="106"/>
      <c r="AL679" s="106"/>
      <c r="AM679" s="106"/>
      <c r="AN679" s="106"/>
    </row>
    <row r="680">
      <c r="A680" s="38"/>
      <c r="B680" s="38"/>
      <c r="C680" s="38"/>
      <c r="D680" s="38"/>
      <c r="E680" s="38"/>
      <c r="F680" s="41"/>
      <c r="G680" s="43"/>
      <c r="H680" s="45"/>
      <c r="I680" s="38"/>
      <c r="J680" s="38"/>
      <c r="K680" s="46"/>
      <c r="L680" s="47"/>
      <c r="M680" s="46"/>
      <c r="N680" s="46"/>
      <c r="O680" s="38"/>
      <c r="P680" s="38"/>
      <c r="Q680" s="12"/>
      <c r="R680" s="50"/>
      <c r="S680" s="50"/>
      <c r="T680" s="50"/>
      <c r="U680" s="53"/>
      <c r="V680" s="54"/>
      <c r="W680" s="56"/>
      <c r="X680" s="119"/>
      <c r="Y680" s="113"/>
      <c r="Z680" s="113"/>
      <c r="AH680" s="106"/>
      <c r="AI680" s="106"/>
      <c r="AJ680" s="106"/>
      <c r="AK680" s="106"/>
      <c r="AL680" s="106"/>
      <c r="AM680" s="106"/>
      <c r="AN680" s="106"/>
    </row>
    <row r="681">
      <c r="A681" s="38"/>
      <c r="B681" s="38"/>
      <c r="C681" s="38"/>
      <c r="D681" s="38"/>
      <c r="E681" s="38"/>
      <c r="F681" s="41"/>
      <c r="G681" s="43"/>
      <c r="H681" s="45"/>
      <c r="I681" s="38"/>
      <c r="J681" s="38"/>
      <c r="K681" s="46"/>
      <c r="L681" s="47"/>
      <c r="M681" s="46"/>
      <c r="N681" s="46"/>
      <c r="O681" s="38"/>
      <c r="P681" s="38"/>
      <c r="Q681" s="12"/>
      <c r="R681" s="50"/>
      <c r="S681" s="50"/>
      <c r="T681" s="50"/>
      <c r="U681" s="53"/>
      <c r="V681" s="54"/>
      <c r="W681" s="56"/>
      <c r="X681" s="119"/>
      <c r="Y681" s="113"/>
      <c r="Z681" s="113"/>
      <c r="AH681" s="106"/>
      <c r="AI681" s="106"/>
      <c r="AJ681" s="106"/>
      <c r="AK681" s="106"/>
      <c r="AL681" s="106"/>
      <c r="AM681" s="106"/>
      <c r="AN681" s="106"/>
    </row>
    <row r="682">
      <c r="A682" s="38"/>
      <c r="B682" s="38"/>
      <c r="C682" s="38"/>
      <c r="D682" s="38"/>
      <c r="E682" s="38"/>
      <c r="F682" s="41"/>
      <c r="G682" s="43"/>
      <c r="H682" s="45"/>
      <c r="I682" s="38"/>
      <c r="J682" s="38"/>
      <c r="K682" s="46"/>
      <c r="L682" s="47"/>
      <c r="M682" s="46"/>
      <c r="N682" s="46"/>
      <c r="O682" s="38"/>
      <c r="P682" s="38"/>
      <c r="Q682" s="12"/>
      <c r="R682" s="50"/>
      <c r="S682" s="50"/>
      <c r="T682" s="50"/>
      <c r="U682" s="53"/>
      <c r="V682" s="54"/>
      <c r="W682" s="56"/>
      <c r="X682" s="119"/>
      <c r="Y682" s="113"/>
      <c r="Z682" s="113"/>
      <c r="AH682" s="106"/>
      <c r="AI682" s="106"/>
      <c r="AJ682" s="106"/>
      <c r="AK682" s="106"/>
      <c r="AL682" s="106"/>
      <c r="AM682" s="106"/>
      <c r="AN682" s="106"/>
    </row>
    <row r="683">
      <c r="A683" s="38"/>
      <c r="B683" s="38"/>
      <c r="C683" s="38"/>
      <c r="D683" s="38"/>
      <c r="E683" s="38"/>
      <c r="F683" s="41"/>
      <c r="G683" s="43"/>
      <c r="H683" s="45"/>
      <c r="I683" s="38"/>
      <c r="J683" s="38"/>
      <c r="K683" s="46"/>
      <c r="L683" s="47"/>
      <c r="M683" s="46"/>
      <c r="N683" s="46"/>
      <c r="O683" s="38"/>
      <c r="P683" s="38"/>
      <c r="Q683" s="12"/>
      <c r="R683" s="50"/>
      <c r="S683" s="50"/>
      <c r="T683" s="50"/>
      <c r="U683" s="53"/>
      <c r="V683" s="54"/>
      <c r="W683" s="56"/>
      <c r="X683" s="119"/>
      <c r="Y683" s="113"/>
      <c r="Z683" s="113"/>
      <c r="AH683" s="106"/>
      <c r="AI683" s="106"/>
      <c r="AJ683" s="106"/>
      <c r="AK683" s="106"/>
      <c r="AL683" s="106"/>
      <c r="AM683" s="106"/>
      <c r="AN683" s="106"/>
    </row>
    <row r="684">
      <c r="A684" s="38"/>
      <c r="B684" s="38"/>
      <c r="C684" s="38"/>
      <c r="D684" s="38"/>
      <c r="E684" s="38"/>
      <c r="F684" s="41"/>
      <c r="G684" s="43"/>
      <c r="H684" s="45"/>
      <c r="I684" s="38"/>
      <c r="J684" s="38"/>
      <c r="K684" s="46"/>
      <c r="L684" s="47"/>
      <c r="M684" s="46"/>
      <c r="N684" s="46"/>
      <c r="O684" s="38"/>
      <c r="P684" s="38"/>
      <c r="Q684" s="12"/>
      <c r="R684" s="50"/>
      <c r="S684" s="50"/>
      <c r="T684" s="50"/>
      <c r="U684" s="53"/>
      <c r="V684" s="54"/>
      <c r="W684" s="56"/>
      <c r="X684" s="119"/>
      <c r="Y684" s="113"/>
      <c r="Z684" s="113"/>
      <c r="AH684" s="106"/>
      <c r="AI684" s="106"/>
      <c r="AJ684" s="106"/>
      <c r="AK684" s="106"/>
      <c r="AL684" s="106"/>
      <c r="AM684" s="106"/>
      <c r="AN684" s="106"/>
    </row>
    <row r="685">
      <c r="A685" s="38"/>
      <c r="B685" s="38"/>
      <c r="C685" s="38"/>
      <c r="D685" s="38"/>
      <c r="E685" s="38"/>
      <c r="F685" s="41"/>
      <c r="G685" s="43"/>
      <c r="H685" s="45"/>
      <c r="I685" s="38"/>
      <c r="J685" s="38"/>
      <c r="K685" s="46"/>
      <c r="L685" s="47"/>
      <c r="M685" s="46"/>
      <c r="N685" s="46"/>
      <c r="O685" s="38"/>
      <c r="P685" s="38"/>
      <c r="Q685" s="12"/>
      <c r="R685" s="50"/>
      <c r="S685" s="50"/>
      <c r="T685" s="50"/>
      <c r="U685" s="53"/>
      <c r="V685" s="54"/>
      <c r="W685" s="56"/>
      <c r="X685" s="119"/>
      <c r="Y685" s="113"/>
      <c r="Z685" s="113"/>
      <c r="AH685" s="106"/>
      <c r="AI685" s="106"/>
      <c r="AJ685" s="106"/>
      <c r="AK685" s="106"/>
      <c r="AL685" s="106"/>
      <c r="AM685" s="106"/>
      <c r="AN685" s="106"/>
    </row>
    <row r="686">
      <c r="A686" s="38"/>
      <c r="B686" s="38"/>
      <c r="C686" s="38"/>
      <c r="D686" s="38"/>
      <c r="E686" s="38"/>
      <c r="F686" s="41"/>
      <c r="G686" s="43"/>
      <c r="H686" s="45"/>
      <c r="I686" s="38"/>
      <c r="J686" s="38"/>
      <c r="K686" s="46"/>
      <c r="L686" s="47"/>
      <c r="M686" s="46"/>
      <c r="N686" s="46"/>
      <c r="O686" s="38"/>
      <c r="P686" s="38"/>
      <c r="Q686" s="12"/>
      <c r="R686" s="50"/>
      <c r="S686" s="50"/>
      <c r="T686" s="50"/>
      <c r="U686" s="53"/>
      <c r="V686" s="54"/>
      <c r="W686" s="56"/>
      <c r="X686" s="119"/>
      <c r="Y686" s="113"/>
      <c r="Z686" s="113"/>
      <c r="AH686" s="106"/>
      <c r="AI686" s="106"/>
      <c r="AJ686" s="106"/>
      <c r="AK686" s="106"/>
      <c r="AL686" s="106"/>
      <c r="AM686" s="106"/>
      <c r="AN686" s="106"/>
    </row>
    <row r="687">
      <c r="A687" s="38"/>
      <c r="B687" s="38"/>
      <c r="C687" s="38"/>
      <c r="D687" s="38"/>
      <c r="E687" s="38"/>
      <c r="F687" s="41"/>
      <c r="G687" s="43"/>
      <c r="H687" s="45"/>
      <c r="I687" s="38"/>
      <c r="J687" s="38"/>
      <c r="K687" s="46"/>
      <c r="L687" s="47"/>
      <c r="M687" s="46"/>
      <c r="N687" s="46"/>
      <c r="O687" s="38"/>
      <c r="P687" s="38"/>
      <c r="Q687" s="12"/>
      <c r="R687" s="50"/>
      <c r="S687" s="50"/>
      <c r="T687" s="50"/>
      <c r="U687" s="53"/>
      <c r="V687" s="54"/>
      <c r="W687" s="56"/>
      <c r="X687" s="119"/>
      <c r="Y687" s="113"/>
      <c r="Z687" s="113"/>
      <c r="AH687" s="106"/>
      <c r="AI687" s="106"/>
      <c r="AJ687" s="106"/>
      <c r="AK687" s="106"/>
      <c r="AL687" s="106"/>
      <c r="AM687" s="106"/>
      <c r="AN687" s="106"/>
    </row>
    <row r="688">
      <c r="A688" s="38"/>
      <c r="B688" s="38"/>
      <c r="C688" s="38"/>
      <c r="D688" s="38"/>
      <c r="E688" s="38"/>
      <c r="F688" s="41"/>
      <c r="G688" s="43"/>
      <c r="H688" s="45"/>
      <c r="I688" s="38"/>
      <c r="J688" s="38"/>
      <c r="K688" s="46"/>
      <c r="L688" s="47"/>
      <c r="M688" s="46"/>
      <c r="N688" s="46"/>
      <c r="O688" s="38"/>
      <c r="P688" s="38"/>
      <c r="Q688" s="12"/>
      <c r="R688" s="50"/>
      <c r="S688" s="50"/>
      <c r="T688" s="50"/>
      <c r="U688" s="53"/>
      <c r="V688" s="54"/>
      <c r="W688" s="56"/>
      <c r="X688" s="119"/>
      <c r="Y688" s="113"/>
      <c r="Z688" s="113"/>
      <c r="AH688" s="106"/>
      <c r="AI688" s="106"/>
      <c r="AJ688" s="106"/>
      <c r="AK688" s="106"/>
      <c r="AL688" s="106"/>
      <c r="AM688" s="106"/>
      <c r="AN688" s="106"/>
    </row>
    <row r="689">
      <c r="A689" s="38"/>
      <c r="B689" s="38"/>
      <c r="C689" s="38"/>
      <c r="D689" s="38"/>
      <c r="E689" s="38"/>
      <c r="F689" s="41"/>
      <c r="G689" s="43"/>
      <c r="H689" s="45"/>
      <c r="I689" s="38"/>
      <c r="J689" s="38"/>
      <c r="K689" s="46"/>
      <c r="L689" s="47"/>
      <c r="M689" s="46"/>
      <c r="N689" s="46"/>
      <c r="O689" s="38"/>
      <c r="P689" s="38"/>
      <c r="Q689" s="12"/>
      <c r="R689" s="50"/>
      <c r="S689" s="50"/>
      <c r="T689" s="50"/>
      <c r="U689" s="53"/>
      <c r="V689" s="54"/>
      <c r="W689" s="56"/>
      <c r="X689" s="119"/>
      <c r="Y689" s="113"/>
      <c r="Z689" s="113"/>
      <c r="AH689" s="106"/>
      <c r="AI689" s="106"/>
      <c r="AJ689" s="106"/>
      <c r="AK689" s="106"/>
      <c r="AL689" s="106"/>
      <c r="AM689" s="106"/>
      <c r="AN689" s="106"/>
    </row>
    <row r="690">
      <c r="A690" s="38"/>
      <c r="B690" s="38"/>
      <c r="C690" s="38"/>
      <c r="D690" s="38"/>
      <c r="E690" s="38"/>
      <c r="F690" s="41"/>
      <c r="G690" s="43"/>
      <c r="H690" s="45"/>
      <c r="I690" s="38"/>
      <c r="J690" s="38"/>
      <c r="K690" s="46"/>
      <c r="L690" s="47"/>
      <c r="M690" s="46"/>
      <c r="N690" s="46"/>
      <c r="O690" s="38"/>
      <c r="P690" s="38"/>
      <c r="Q690" s="12"/>
      <c r="R690" s="50"/>
      <c r="S690" s="50"/>
      <c r="T690" s="50"/>
      <c r="U690" s="53"/>
      <c r="V690" s="54"/>
      <c r="W690" s="56"/>
      <c r="X690" s="119"/>
      <c r="Y690" s="113"/>
      <c r="Z690" s="113"/>
      <c r="AH690" s="106"/>
      <c r="AI690" s="106"/>
      <c r="AJ690" s="106"/>
      <c r="AK690" s="106"/>
      <c r="AL690" s="106"/>
      <c r="AM690" s="106"/>
      <c r="AN690" s="106"/>
    </row>
    <row r="691">
      <c r="A691" s="38"/>
      <c r="B691" s="38"/>
      <c r="C691" s="38"/>
      <c r="D691" s="38"/>
      <c r="E691" s="38"/>
      <c r="F691" s="41"/>
      <c r="G691" s="43"/>
      <c r="H691" s="45"/>
      <c r="I691" s="38"/>
      <c r="J691" s="38"/>
      <c r="K691" s="46"/>
      <c r="L691" s="47"/>
      <c r="M691" s="46"/>
      <c r="N691" s="46"/>
      <c r="O691" s="38"/>
      <c r="P691" s="38"/>
      <c r="Q691" s="12"/>
      <c r="R691" s="50"/>
      <c r="S691" s="50"/>
      <c r="T691" s="50"/>
      <c r="U691" s="53"/>
      <c r="V691" s="54"/>
      <c r="W691" s="56"/>
      <c r="X691" s="119"/>
      <c r="Y691" s="113"/>
      <c r="Z691" s="113"/>
      <c r="AH691" s="106"/>
      <c r="AI691" s="106"/>
      <c r="AJ691" s="106"/>
      <c r="AK691" s="106"/>
      <c r="AL691" s="106"/>
      <c r="AM691" s="106"/>
      <c r="AN691" s="106"/>
    </row>
    <row r="692">
      <c r="A692" s="38"/>
      <c r="B692" s="38"/>
      <c r="C692" s="38"/>
      <c r="D692" s="38"/>
      <c r="E692" s="38"/>
      <c r="F692" s="41"/>
      <c r="G692" s="43"/>
      <c r="H692" s="45"/>
      <c r="I692" s="38"/>
      <c r="J692" s="38"/>
      <c r="K692" s="46"/>
      <c r="L692" s="47"/>
      <c r="M692" s="46"/>
      <c r="N692" s="46"/>
      <c r="O692" s="38"/>
      <c r="P692" s="38"/>
      <c r="Q692" s="12"/>
      <c r="R692" s="50"/>
      <c r="S692" s="50"/>
      <c r="T692" s="50"/>
      <c r="U692" s="53"/>
      <c r="V692" s="54"/>
      <c r="W692" s="56"/>
      <c r="X692" s="119"/>
      <c r="Y692" s="113"/>
      <c r="Z692" s="113"/>
      <c r="AH692" s="106"/>
      <c r="AI692" s="106"/>
      <c r="AJ692" s="106"/>
      <c r="AK692" s="106"/>
      <c r="AL692" s="106"/>
      <c r="AM692" s="106"/>
      <c r="AN692" s="106"/>
    </row>
    <row r="693">
      <c r="A693" s="38"/>
      <c r="B693" s="38"/>
      <c r="C693" s="38"/>
      <c r="D693" s="38"/>
      <c r="E693" s="38"/>
      <c r="F693" s="41"/>
      <c r="G693" s="43"/>
      <c r="H693" s="45"/>
      <c r="I693" s="38"/>
      <c r="J693" s="38"/>
      <c r="K693" s="46"/>
      <c r="L693" s="47"/>
      <c r="M693" s="46"/>
      <c r="N693" s="46"/>
      <c r="O693" s="38"/>
      <c r="P693" s="38"/>
      <c r="Q693" s="12"/>
      <c r="R693" s="50"/>
      <c r="S693" s="50"/>
      <c r="T693" s="50"/>
      <c r="U693" s="53"/>
      <c r="V693" s="54"/>
      <c r="W693" s="56"/>
      <c r="X693" s="119"/>
      <c r="Y693" s="113"/>
      <c r="Z693" s="113"/>
      <c r="AH693" s="106"/>
      <c r="AI693" s="106"/>
      <c r="AJ693" s="106"/>
      <c r="AK693" s="106"/>
      <c r="AL693" s="106"/>
      <c r="AM693" s="106"/>
      <c r="AN693" s="106"/>
    </row>
    <row r="694">
      <c r="A694" s="38"/>
      <c r="B694" s="38"/>
      <c r="C694" s="38"/>
      <c r="D694" s="38"/>
      <c r="E694" s="38"/>
      <c r="F694" s="41"/>
      <c r="G694" s="43"/>
      <c r="H694" s="45"/>
      <c r="I694" s="38"/>
      <c r="J694" s="38"/>
      <c r="K694" s="46"/>
      <c r="L694" s="47"/>
      <c r="M694" s="46"/>
      <c r="N694" s="46"/>
      <c r="O694" s="38"/>
      <c r="P694" s="38"/>
      <c r="Q694" s="12"/>
      <c r="R694" s="50"/>
      <c r="S694" s="50"/>
      <c r="T694" s="50"/>
      <c r="U694" s="53"/>
      <c r="V694" s="54"/>
      <c r="W694" s="56"/>
      <c r="X694" s="119"/>
      <c r="Y694" s="113"/>
      <c r="Z694" s="113"/>
      <c r="AH694" s="106"/>
      <c r="AI694" s="106"/>
      <c r="AJ694" s="106"/>
      <c r="AK694" s="106"/>
      <c r="AL694" s="106"/>
      <c r="AM694" s="106"/>
      <c r="AN694" s="106"/>
    </row>
    <row r="695">
      <c r="A695" s="38"/>
      <c r="B695" s="38"/>
      <c r="C695" s="38"/>
      <c r="D695" s="38"/>
      <c r="E695" s="38"/>
      <c r="F695" s="41"/>
      <c r="G695" s="43"/>
      <c r="H695" s="45"/>
      <c r="I695" s="38"/>
      <c r="J695" s="38"/>
      <c r="K695" s="46"/>
      <c r="L695" s="47"/>
      <c r="M695" s="46"/>
      <c r="N695" s="46"/>
      <c r="O695" s="38"/>
      <c r="P695" s="38"/>
      <c r="Q695" s="12"/>
      <c r="R695" s="50"/>
      <c r="S695" s="50"/>
      <c r="T695" s="50"/>
      <c r="U695" s="53"/>
      <c r="V695" s="54"/>
      <c r="W695" s="56"/>
      <c r="X695" s="119"/>
      <c r="Y695" s="113"/>
      <c r="Z695" s="113"/>
      <c r="AH695" s="106"/>
      <c r="AI695" s="106"/>
      <c r="AJ695" s="106"/>
      <c r="AK695" s="106"/>
      <c r="AL695" s="106"/>
      <c r="AM695" s="106"/>
      <c r="AN695" s="106"/>
    </row>
    <row r="696">
      <c r="A696" s="38"/>
      <c r="B696" s="38"/>
      <c r="C696" s="38"/>
      <c r="D696" s="38"/>
      <c r="E696" s="38"/>
      <c r="F696" s="41"/>
      <c r="G696" s="43"/>
      <c r="H696" s="45"/>
      <c r="I696" s="38"/>
      <c r="J696" s="38"/>
      <c r="K696" s="46"/>
      <c r="L696" s="47"/>
      <c r="M696" s="46"/>
      <c r="N696" s="46"/>
      <c r="O696" s="38"/>
      <c r="P696" s="38"/>
      <c r="Q696" s="12"/>
      <c r="R696" s="50"/>
      <c r="S696" s="50"/>
      <c r="T696" s="50"/>
      <c r="U696" s="53"/>
      <c r="V696" s="54"/>
      <c r="W696" s="56"/>
      <c r="X696" s="119"/>
      <c r="Y696" s="113"/>
      <c r="Z696" s="113"/>
      <c r="AH696" s="106"/>
      <c r="AI696" s="106"/>
      <c r="AJ696" s="106"/>
      <c r="AK696" s="106"/>
      <c r="AL696" s="106"/>
      <c r="AM696" s="106"/>
      <c r="AN696" s="106"/>
    </row>
    <row r="697">
      <c r="A697" s="38"/>
      <c r="B697" s="38"/>
      <c r="C697" s="38"/>
      <c r="D697" s="38"/>
      <c r="E697" s="38"/>
      <c r="F697" s="41"/>
      <c r="G697" s="43"/>
      <c r="H697" s="45"/>
      <c r="I697" s="38"/>
      <c r="J697" s="38"/>
      <c r="K697" s="46"/>
      <c r="L697" s="47"/>
      <c r="M697" s="46"/>
      <c r="N697" s="46"/>
      <c r="O697" s="38"/>
      <c r="P697" s="38"/>
      <c r="Q697" s="12"/>
      <c r="R697" s="50"/>
      <c r="S697" s="50"/>
      <c r="T697" s="50"/>
      <c r="U697" s="53"/>
      <c r="V697" s="54"/>
      <c r="W697" s="56"/>
      <c r="X697" s="119"/>
      <c r="Y697" s="113"/>
      <c r="Z697" s="113"/>
      <c r="AH697" s="106"/>
      <c r="AI697" s="106"/>
      <c r="AJ697" s="106"/>
      <c r="AK697" s="106"/>
      <c r="AL697" s="106"/>
      <c r="AM697" s="106"/>
      <c r="AN697" s="106"/>
    </row>
    <row r="698">
      <c r="A698" s="38"/>
      <c r="B698" s="38"/>
      <c r="C698" s="38"/>
      <c r="D698" s="38"/>
      <c r="E698" s="38"/>
      <c r="F698" s="41"/>
      <c r="G698" s="43"/>
      <c r="H698" s="45"/>
      <c r="I698" s="38"/>
      <c r="J698" s="38"/>
      <c r="K698" s="46"/>
      <c r="L698" s="47"/>
      <c r="M698" s="46"/>
      <c r="N698" s="46"/>
      <c r="O698" s="38"/>
      <c r="P698" s="38"/>
      <c r="Q698" s="12"/>
      <c r="R698" s="50"/>
      <c r="S698" s="50"/>
      <c r="T698" s="50"/>
      <c r="U698" s="53"/>
      <c r="V698" s="54"/>
      <c r="W698" s="56"/>
      <c r="X698" s="119"/>
      <c r="Y698" s="113"/>
      <c r="Z698" s="113"/>
      <c r="AH698" s="106"/>
      <c r="AI698" s="106"/>
      <c r="AJ698" s="106"/>
      <c r="AK698" s="106"/>
      <c r="AL698" s="106"/>
      <c r="AM698" s="106"/>
      <c r="AN698" s="106"/>
    </row>
    <row r="699">
      <c r="A699" s="38"/>
      <c r="B699" s="38"/>
      <c r="C699" s="38"/>
      <c r="D699" s="38"/>
      <c r="E699" s="38"/>
      <c r="F699" s="41"/>
      <c r="G699" s="43"/>
      <c r="H699" s="45"/>
      <c r="I699" s="38"/>
      <c r="J699" s="38"/>
      <c r="K699" s="46"/>
      <c r="L699" s="47"/>
      <c r="M699" s="46"/>
      <c r="N699" s="46"/>
      <c r="O699" s="38"/>
      <c r="P699" s="38"/>
      <c r="Q699" s="12"/>
      <c r="R699" s="50"/>
      <c r="S699" s="50"/>
      <c r="T699" s="50"/>
      <c r="U699" s="53"/>
      <c r="V699" s="54"/>
      <c r="W699" s="56"/>
      <c r="X699" s="119"/>
      <c r="Y699" s="113"/>
      <c r="Z699" s="113"/>
      <c r="AH699" s="106"/>
      <c r="AI699" s="106"/>
      <c r="AJ699" s="106"/>
      <c r="AK699" s="106"/>
      <c r="AL699" s="106"/>
      <c r="AM699" s="106"/>
      <c r="AN699" s="106"/>
    </row>
    <row r="700">
      <c r="A700" s="38"/>
      <c r="B700" s="38"/>
      <c r="C700" s="38"/>
      <c r="D700" s="38"/>
      <c r="E700" s="38"/>
      <c r="F700" s="41"/>
      <c r="G700" s="43"/>
      <c r="H700" s="45"/>
      <c r="I700" s="38"/>
      <c r="J700" s="38"/>
      <c r="K700" s="46"/>
      <c r="L700" s="47"/>
      <c r="M700" s="46"/>
      <c r="N700" s="46"/>
      <c r="O700" s="38"/>
      <c r="P700" s="38"/>
      <c r="Q700" s="12"/>
      <c r="R700" s="50"/>
      <c r="S700" s="50"/>
      <c r="T700" s="50"/>
      <c r="U700" s="53"/>
      <c r="V700" s="54"/>
      <c r="W700" s="56"/>
      <c r="X700" s="119"/>
      <c r="Y700" s="113"/>
      <c r="Z700" s="113"/>
      <c r="AH700" s="106"/>
      <c r="AI700" s="106"/>
      <c r="AJ700" s="106"/>
      <c r="AK700" s="106"/>
      <c r="AL700" s="106"/>
      <c r="AM700" s="106"/>
      <c r="AN700" s="106"/>
    </row>
    <row r="701">
      <c r="A701" s="38"/>
      <c r="B701" s="38"/>
      <c r="C701" s="38"/>
      <c r="D701" s="38"/>
      <c r="E701" s="38"/>
      <c r="F701" s="41"/>
      <c r="G701" s="43"/>
      <c r="H701" s="45"/>
      <c r="I701" s="38"/>
      <c r="J701" s="38"/>
      <c r="K701" s="46"/>
      <c r="L701" s="47"/>
      <c r="M701" s="46"/>
      <c r="N701" s="46"/>
      <c r="O701" s="38"/>
      <c r="P701" s="38"/>
      <c r="Q701" s="12"/>
      <c r="R701" s="50"/>
      <c r="S701" s="50"/>
      <c r="T701" s="50"/>
      <c r="U701" s="53"/>
      <c r="V701" s="54"/>
      <c r="W701" s="56"/>
      <c r="X701" s="119"/>
      <c r="Y701" s="113"/>
      <c r="Z701" s="113"/>
      <c r="AH701" s="106"/>
      <c r="AI701" s="106"/>
      <c r="AJ701" s="106"/>
      <c r="AK701" s="106"/>
      <c r="AL701" s="106"/>
      <c r="AM701" s="106"/>
      <c r="AN701" s="106"/>
    </row>
    <row r="702">
      <c r="A702" s="38"/>
      <c r="B702" s="38"/>
      <c r="C702" s="38"/>
      <c r="D702" s="38"/>
      <c r="E702" s="38"/>
      <c r="F702" s="41"/>
      <c r="G702" s="43"/>
      <c r="H702" s="45"/>
      <c r="I702" s="38"/>
      <c r="J702" s="38"/>
      <c r="K702" s="46"/>
      <c r="L702" s="47"/>
      <c r="M702" s="46"/>
      <c r="N702" s="46"/>
      <c r="O702" s="38"/>
      <c r="P702" s="38"/>
      <c r="Q702" s="12"/>
      <c r="R702" s="50"/>
      <c r="S702" s="50"/>
      <c r="T702" s="50"/>
      <c r="U702" s="53"/>
      <c r="V702" s="54"/>
      <c r="W702" s="56"/>
      <c r="X702" s="119"/>
      <c r="Y702" s="113"/>
      <c r="Z702" s="113"/>
      <c r="AH702" s="106"/>
      <c r="AI702" s="106"/>
      <c r="AJ702" s="106"/>
      <c r="AK702" s="106"/>
      <c r="AL702" s="106"/>
      <c r="AM702" s="106"/>
      <c r="AN702" s="106"/>
    </row>
    <row r="703">
      <c r="A703" s="38"/>
      <c r="B703" s="38"/>
      <c r="C703" s="38"/>
      <c r="D703" s="38"/>
      <c r="E703" s="38"/>
      <c r="F703" s="41"/>
      <c r="G703" s="43"/>
      <c r="H703" s="45"/>
      <c r="I703" s="38"/>
      <c r="J703" s="38"/>
      <c r="K703" s="46"/>
      <c r="L703" s="47"/>
      <c r="M703" s="46"/>
      <c r="N703" s="46"/>
      <c r="O703" s="38"/>
      <c r="P703" s="38"/>
      <c r="Q703" s="12"/>
      <c r="R703" s="50"/>
      <c r="S703" s="50"/>
      <c r="T703" s="50"/>
      <c r="U703" s="53"/>
      <c r="V703" s="54"/>
      <c r="W703" s="56"/>
      <c r="X703" s="119"/>
      <c r="Y703" s="113"/>
      <c r="Z703" s="113"/>
      <c r="AH703" s="106"/>
      <c r="AI703" s="106"/>
      <c r="AJ703" s="106"/>
      <c r="AK703" s="106"/>
      <c r="AL703" s="106"/>
      <c r="AM703" s="106"/>
      <c r="AN703" s="106"/>
    </row>
    <row r="704">
      <c r="A704" s="38"/>
      <c r="B704" s="38"/>
      <c r="C704" s="38"/>
      <c r="D704" s="38"/>
      <c r="E704" s="38"/>
      <c r="F704" s="41"/>
      <c r="G704" s="43"/>
      <c r="H704" s="45"/>
      <c r="I704" s="38"/>
      <c r="J704" s="38"/>
      <c r="K704" s="46"/>
      <c r="L704" s="47"/>
      <c r="M704" s="46"/>
      <c r="N704" s="46"/>
      <c r="O704" s="38"/>
      <c r="P704" s="38"/>
      <c r="Q704" s="12"/>
      <c r="R704" s="50"/>
      <c r="S704" s="50"/>
      <c r="T704" s="50"/>
      <c r="U704" s="53"/>
      <c r="V704" s="54"/>
      <c r="W704" s="56"/>
      <c r="X704" s="119"/>
      <c r="Y704" s="113"/>
      <c r="Z704" s="113"/>
      <c r="AH704" s="106"/>
      <c r="AI704" s="106"/>
      <c r="AJ704" s="106"/>
      <c r="AK704" s="106"/>
      <c r="AL704" s="106"/>
      <c r="AM704" s="106"/>
      <c r="AN704" s="106"/>
    </row>
    <row r="705">
      <c r="A705" s="38"/>
      <c r="B705" s="38"/>
      <c r="C705" s="38"/>
      <c r="D705" s="38"/>
      <c r="E705" s="38"/>
      <c r="F705" s="41"/>
      <c r="G705" s="43"/>
      <c r="H705" s="45"/>
      <c r="I705" s="38"/>
      <c r="J705" s="38"/>
      <c r="K705" s="46"/>
      <c r="L705" s="47"/>
      <c r="M705" s="46"/>
      <c r="N705" s="46"/>
      <c r="O705" s="38"/>
      <c r="P705" s="38"/>
      <c r="Q705" s="12"/>
      <c r="R705" s="50"/>
      <c r="S705" s="50"/>
      <c r="T705" s="50"/>
      <c r="U705" s="53"/>
      <c r="V705" s="54"/>
      <c r="W705" s="56"/>
      <c r="X705" s="119"/>
      <c r="Y705" s="113"/>
      <c r="Z705" s="113"/>
      <c r="AH705" s="106"/>
      <c r="AI705" s="106"/>
      <c r="AJ705" s="106"/>
      <c r="AK705" s="106"/>
      <c r="AL705" s="106"/>
      <c r="AM705" s="106"/>
      <c r="AN705" s="106"/>
    </row>
    <row r="706">
      <c r="A706" s="38"/>
      <c r="B706" s="38"/>
      <c r="C706" s="38"/>
      <c r="D706" s="38"/>
      <c r="E706" s="38"/>
      <c r="F706" s="41"/>
      <c r="G706" s="43"/>
      <c r="H706" s="45"/>
      <c r="I706" s="38"/>
      <c r="J706" s="38"/>
      <c r="K706" s="46"/>
      <c r="L706" s="47"/>
      <c r="M706" s="46"/>
      <c r="N706" s="46"/>
      <c r="O706" s="38"/>
      <c r="P706" s="38"/>
      <c r="Q706" s="12"/>
      <c r="R706" s="50"/>
      <c r="S706" s="50"/>
      <c r="T706" s="50"/>
      <c r="U706" s="53"/>
      <c r="V706" s="54"/>
      <c r="W706" s="56"/>
      <c r="X706" s="119"/>
      <c r="Y706" s="113"/>
      <c r="Z706" s="113"/>
      <c r="AH706" s="106"/>
      <c r="AI706" s="106"/>
      <c r="AJ706" s="106"/>
      <c r="AK706" s="106"/>
      <c r="AL706" s="106"/>
      <c r="AM706" s="106"/>
      <c r="AN706" s="106"/>
    </row>
    <row r="707">
      <c r="A707" s="38"/>
      <c r="B707" s="38"/>
      <c r="C707" s="38"/>
      <c r="D707" s="38"/>
      <c r="E707" s="38"/>
      <c r="F707" s="41"/>
      <c r="G707" s="43"/>
      <c r="H707" s="45"/>
      <c r="I707" s="38"/>
      <c r="J707" s="38"/>
      <c r="K707" s="46"/>
      <c r="L707" s="47"/>
      <c r="M707" s="46"/>
      <c r="N707" s="46"/>
      <c r="O707" s="38"/>
      <c r="P707" s="38"/>
      <c r="Q707" s="12"/>
      <c r="R707" s="50"/>
      <c r="S707" s="50"/>
      <c r="T707" s="50"/>
      <c r="U707" s="53"/>
      <c r="V707" s="54"/>
      <c r="W707" s="56"/>
      <c r="X707" s="119"/>
      <c r="Y707" s="113"/>
      <c r="Z707" s="113"/>
      <c r="AH707" s="106"/>
      <c r="AI707" s="106"/>
      <c r="AJ707" s="106"/>
      <c r="AK707" s="106"/>
      <c r="AL707" s="106"/>
      <c r="AM707" s="106"/>
      <c r="AN707" s="106"/>
    </row>
    <row r="708">
      <c r="A708" s="38"/>
      <c r="B708" s="38"/>
      <c r="C708" s="38"/>
      <c r="D708" s="38"/>
      <c r="E708" s="38"/>
      <c r="F708" s="41"/>
      <c r="G708" s="43"/>
      <c r="H708" s="45"/>
      <c r="I708" s="38"/>
      <c r="J708" s="38"/>
      <c r="K708" s="46"/>
      <c r="L708" s="47"/>
      <c r="M708" s="46"/>
      <c r="N708" s="46"/>
      <c r="O708" s="38"/>
      <c r="P708" s="38"/>
      <c r="Q708" s="12"/>
      <c r="R708" s="50"/>
      <c r="S708" s="50"/>
      <c r="T708" s="50"/>
      <c r="U708" s="53"/>
      <c r="V708" s="54"/>
      <c r="W708" s="56"/>
      <c r="X708" s="119"/>
      <c r="Y708" s="113"/>
      <c r="Z708" s="113"/>
      <c r="AH708" s="106"/>
      <c r="AI708" s="106"/>
      <c r="AJ708" s="106"/>
      <c r="AK708" s="106"/>
      <c r="AL708" s="106"/>
      <c r="AM708" s="106"/>
      <c r="AN708" s="106"/>
    </row>
    <row r="709">
      <c r="A709" s="38"/>
      <c r="B709" s="38"/>
      <c r="C709" s="38"/>
      <c r="D709" s="38"/>
      <c r="E709" s="38"/>
      <c r="F709" s="41"/>
      <c r="G709" s="43"/>
      <c r="H709" s="45"/>
      <c r="I709" s="38"/>
      <c r="J709" s="38"/>
      <c r="K709" s="46"/>
      <c r="L709" s="47"/>
      <c r="M709" s="46"/>
      <c r="N709" s="46"/>
      <c r="O709" s="38"/>
      <c r="P709" s="38"/>
      <c r="Q709" s="12"/>
      <c r="R709" s="50"/>
      <c r="S709" s="50"/>
      <c r="T709" s="50"/>
      <c r="U709" s="53"/>
      <c r="V709" s="54"/>
      <c r="W709" s="56"/>
      <c r="X709" s="119"/>
      <c r="Y709" s="113"/>
      <c r="Z709" s="113"/>
      <c r="AH709" s="106"/>
      <c r="AI709" s="106"/>
      <c r="AJ709" s="106"/>
      <c r="AK709" s="106"/>
      <c r="AL709" s="106"/>
      <c r="AM709" s="106"/>
      <c r="AN709" s="106"/>
    </row>
    <row r="710">
      <c r="A710" s="38"/>
      <c r="B710" s="38"/>
      <c r="C710" s="38"/>
      <c r="D710" s="38"/>
      <c r="E710" s="38"/>
      <c r="F710" s="41"/>
      <c r="G710" s="43"/>
      <c r="H710" s="45"/>
      <c r="I710" s="38"/>
      <c r="J710" s="38"/>
      <c r="K710" s="46"/>
      <c r="L710" s="47"/>
      <c r="M710" s="46"/>
      <c r="N710" s="46"/>
      <c r="O710" s="38"/>
      <c r="P710" s="38"/>
      <c r="Q710" s="12"/>
      <c r="R710" s="50"/>
      <c r="S710" s="50"/>
      <c r="T710" s="50"/>
      <c r="U710" s="53"/>
      <c r="V710" s="54"/>
      <c r="W710" s="56"/>
      <c r="X710" s="119"/>
      <c r="Y710" s="113"/>
      <c r="Z710" s="113"/>
      <c r="AH710" s="106"/>
      <c r="AI710" s="106"/>
      <c r="AJ710" s="106"/>
      <c r="AK710" s="106"/>
      <c r="AL710" s="106"/>
      <c r="AM710" s="106"/>
      <c r="AN710" s="106"/>
    </row>
    <row r="711">
      <c r="A711" s="38"/>
      <c r="B711" s="38"/>
      <c r="C711" s="38"/>
      <c r="D711" s="38"/>
      <c r="E711" s="38"/>
      <c r="F711" s="41"/>
      <c r="G711" s="43"/>
      <c r="H711" s="45"/>
      <c r="I711" s="38"/>
      <c r="J711" s="38"/>
      <c r="K711" s="46"/>
      <c r="L711" s="47"/>
      <c r="M711" s="46"/>
      <c r="N711" s="46"/>
      <c r="O711" s="38"/>
      <c r="P711" s="38"/>
      <c r="Q711" s="12"/>
      <c r="R711" s="50"/>
      <c r="S711" s="50"/>
      <c r="T711" s="50"/>
      <c r="U711" s="53"/>
      <c r="V711" s="54"/>
      <c r="W711" s="56"/>
      <c r="X711" s="119"/>
      <c r="Y711" s="113"/>
      <c r="Z711" s="113"/>
      <c r="AH711" s="106"/>
      <c r="AI711" s="106"/>
      <c r="AJ711" s="106"/>
      <c r="AK711" s="106"/>
      <c r="AL711" s="106"/>
      <c r="AM711" s="106"/>
      <c r="AN711" s="106"/>
    </row>
    <row r="712">
      <c r="A712" s="38"/>
      <c r="B712" s="38"/>
      <c r="C712" s="38"/>
      <c r="D712" s="38"/>
      <c r="E712" s="38"/>
      <c r="F712" s="41"/>
      <c r="G712" s="43"/>
      <c r="H712" s="45"/>
      <c r="I712" s="38"/>
      <c r="J712" s="38"/>
      <c r="K712" s="46"/>
      <c r="L712" s="47"/>
      <c r="M712" s="46"/>
      <c r="N712" s="46"/>
      <c r="O712" s="38"/>
      <c r="P712" s="38"/>
      <c r="Q712" s="12"/>
      <c r="R712" s="50"/>
      <c r="S712" s="50"/>
      <c r="T712" s="50"/>
      <c r="U712" s="53"/>
      <c r="V712" s="54"/>
      <c r="W712" s="56"/>
      <c r="X712" s="119"/>
      <c r="Y712" s="113"/>
      <c r="Z712" s="113"/>
      <c r="AH712" s="106"/>
      <c r="AI712" s="106"/>
      <c r="AJ712" s="106"/>
      <c r="AK712" s="106"/>
      <c r="AL712" s="106"/>
      <c r="AM712" s="106"/>
      <c r="AN712" s="106"/>
    </row>
    <row r="713">
      <c r="A713" s="38"/>
      <c r="B713" s="38"/>
      <c r="C713" s="38"/>
      <c r="D713" s="38"/>
      <c r="E713" s="38"/>
      <c r="F713" s="41"/>
      <c r="G713" s="43"/>
      <c r="H713" s="45"/>
      <c r="I713" s="38"/>
      <c r="J713" s="38"/>
      <c r="K713" s="46"/>
      <c r="L713" s="47"/>
      <c r="M713" s="46"/>
      <c r="N713" s="46"/>
      <c r="O713" s="38"/>
      <c r="P713" s="38"/>
      <c r="Q713" s="12"/>
      <c r="R713" s="50"/>
      <c r="S713" s="50"/>
      <c r="T713" s="50"/>
      <c r="U713" s="53"/>
      <c r="V713" s="54"/>
      <c r="W713" s="56"/>
      <c r="X713" s="119"/>
      <c r="Y713" s="113"/>
      <c r="Z713" s="113"/>
      <c r="AH713" s="106"/>
      <c r="AI713" s="106"/>
      <c r="AJ713" s="106"/>
      <c r="AK713" s="106"/>
      <c r="AL713" s="106"/>
      <c r="AM713" s="106"/>
      <c r="AN713" s="106"/>
    </row>
    <row r="714">
      <c r="A714" s="38"/>
      <c r="B714" s="38"/>
      <c r="C714" s="38"/>
      <c r="D714" s="38"/>
      <c r="E714" s="38"/>
      <c r="F714" s="41"/>
      <c r="G714" s="43"/>
      <c r="H714" s="45"/>
      <c r="I714" s="38"/>
      <c r="J714" s="38"/>
      <c r="K714" s="46"/>
      <c r="L714" s="47"/>
      <c r="M714" s="46"/>
      <c r="N714" s="46"/>
      <c r="O714" s="38"/>
      <c r="P714" s="38"/>
      <c r="Q714" s="12"/>
      <c r="R714" s="50"/>
      <c r="S714" s="50"/>
      <c r="T714" s="50"/>
      <c r="U714" s="53"/>
      <c r="V714" s="54"/>
      <c r="W714" s="56"/>
      <c r="X714" s="119"/>
      <c r="Y714" s="113"/>
      <c r="Z714" s="113"/>
      <c r="AH714" s="106"/>
      <c r="AI714" s="106"/>
      <c r="AJ714" s="106"/>
      <c r="AK714" s="106"/>
      <c r="AL714" s="106"/>
      <c r="AM714" s="106"/>
      <c r="AN714" s="106"/>
    </row>
    <row r="715">
      <c r="A715" s="38"/>
      <c r="B715" s="38"/>
      <c r="C715" s="38"/>
      <c r="D715" s="38"/>
      <c r="E715" s="38"/>
      <c r="F715" s="41"/>
      <c r="G715" s="43"/>
      <c r="H715" s="45"/>
      <c r="I715" s="38"/>
      <c r="J715" s="38"/>
      <c r="K715" s="46"/>
      <c r="L715" s="47"/>
      <c r="M715" s="46"/>
      <c r="N715" s="46"/>
      <c r="O715" s="38"/>
      <c r="P715" s="38"/>
      <c r="Q715" s="12"/>
      <c r="R715" s="50"/>
      <c r="S715" s="50"/>
      <c r="T715" s="50"/>
      <c r="U715" s="53"/>
      <c r="V715" s="54"/>
      <c r="W715" s="56"/>
      <c r="X715" s="119"/>
      <c r="Y715" s="113"/>
      <c r="Z715" s="113"/>
      <c r="AH715" s="106"/>
      <c r="AI715" s="106"/>
      <c r="AJ715" s="106"/>
      <c r="AK715" s="106"/>
      <c r="AL715" s="106"/>
      <c r="AM715" s="106"/>
      <c r="AN715" s="106"/>
    </row>
    <row r="716">
      <c r="A716" s="38"/>
      <c r="B716" s="38"/>
      <c r="C716" s="38"/>
      <c r="D716" s="38"/>
      <c r="E716" s="38"/>
      <c r="F716" s="41"/>
      <c r="G716" s="43"/>
      <c r="H716" s="45"/>
      <c r="I716" s="38"/>
      <c r="J716" s="38"/>
      <c r="K716" s="46"/>
      <c r="L716" s="47"/>
      <c r="M716" s="46"/>
      <c r="N716" s="46"/>
      <c r="O716" s="38"/>
      <c r="P716" s="38"/>
      <c r="Q716" s="12"/>
      <c r="R716" s="50"/>
      <c r="S716" s="50"/>
      <c r="T716" s="50"/>
      <c r="U716" s="53"/>
      <c r="V716" s="54"/>
      <c r="W716" s="56"/>
      <c r="X716" s="119"/>
      <c r="Y716" s="113"/>
      <c r="Z716" s="113"/>
      <c r="AH716" s="106"/>
      <c r="AI716" s="106"/>
      <c r="AJ716" s="106"/>
      <c r="AK716" s="106"/>
      <c r="AL716" s="106"/>
      <c r="AM716" s="106"/>
      <c r="AN716" s="106"/>
    </row>
    <row r="717">
      <c r="A717" s="38"/>
      <c r="B717" s="38"/>
      <c r="C717" s="38"/>
      <c r="D717" s="38"/>
      <c r="E717" s="38"/>
      <c r="F717" s="41"/>
      <c r="G717" s="43"/>
      <c r="H717" s="45"/>
      <c r="I717" s="38"/>
      <c r="J717" s="38"/>
      <c r="K717" s="46"/>
      <c r="L717" s="47"/>
      <c r="M717" s="46"/>
      <c r="N717" s="46"/>
      <c r="O717" s="38"/>
      <c r="P717" s="38"/>
      <c r="Q717" s="12"/>
      <c r="R717" s="50"/>
      <c r="S717" s="50"/>
      <c r="T717" s="50"/>
      <c r="U717" s="53"/>
      <c r="V717" s="54"/>
      <c r="W717" s="56"/>
      <c r="X717" s="119"/>
      <c r="Y717" s="113"/>
      <c r="Z717" s="113"/>
      <c r="AH717" s="106"/>
      <c r="AI717" s="106"/>
      <c r="AJ717" s="106"/>
      <c r="AK717" s="106"/>
      <c r="AL717" s="106"/>
      <c r="AM717" s="106"/>
      <c r="AN717" s="106"/>
    </row>
    <row r="718">
      <c r="A718" s="38"/>
      <c r="B718" s="38"/>
      <c r="C718" s="38"/>
      <c r="D718" s="38"/>
      <c r="E718" s="38"/>
      <c r="F718" s="41"/>
      <c r="G718" s="43"/>
      <c r="H718" s="45"/>
      <c r="I718" s="38"/>
      <c r="J718" s="38"/>
      <c r="K718" s="46"/>
      <c r="L718" s="47"/>
      <c r="M718" s="46"/>
      <c r="N718" s="46"/>
      <c r="O718" s="38"/>
      <c r="P718" s="38"/>
      <c r="Q718" s="12"/>
      <c r="R718" s="50"/>
      <c r="S718" s="50"/>
      <c r="T718" s="50"/>
      <c r="U718" s="53"/>
      <c r="V718" s="54"/>
      <c r="W718" s="56"/>
      <c r="X718" s="119"/>
      <c r="Y718" s="113"/>
      <c r="Z718" s="113"/>
      <c r="AH718" s="106"/>
      <c r="AI718" s="106"/>
      <c r="AJ718" s="106"/>
      <c r="AK718" s="106"/>
      <c r="AL718" s="106"/>
      <c r="AM718" s="106"/>
      <c r="AN718" s="106"/>
    </row>
    <row r="719">
      <c r="A719" s="38"/>
      <c r="B719" s="38"/>
      <c r="C719" s="38"/>
      <c r="D719" s="38"/>
      <c r="E719" s="38"/>
      <c r="F719" s="41"/>
      <c r="G719" s="43"/>
      <c r="H719" s="45"/>
      <c r="I719" s="38"/>
      <c r="J719" s="38"/>
      <c r="K719" s="46"/>
      <c r="L719" s="47"/>
      <c r="M719" s="46"/>
      <c r="N719" s="46"/>
      <c r="O719" s="38"/>
      <c r="P719" s="38"/>
      <c r="Q719" s="12"/>
      <c r="R719" s="50"/>
      <c r="S719" s="50"/>
      <c r="T719" s="50"/>
      <c r="U719" s="53"/>
      <c r="V719" s="54"/>
      <c r="W719" s="56"/>
      <c r="X719" s="119"/>
      <c r="Y719" s="113"/>
      <c r="Z719" s="113"/>
      <c r="AH719" s="106"/>
      <c r="AI719" s="106"/>
      <c r="AJ719" s="106"/>
      <c r="AK719" s="106"/>
      <c r="AL719" s="106"/>
      <c r="AM719" s="106"/>
      <c r="AN719" s="106"/>
    </row>
    <row r="720">
      <c r="A720" s="38"/>
      <c r="B720" s="38"/>
      <c r="C720" s="38"/>
      <c r="D720" s="38"/>
      <c r="E720" s="38"/>
      <c r="F720" s="41"/>
      <c r="G720" s="43"/>
      <c r="H720" s="45"/>
      <c r="I720" s="38"/>
      <c r="J720" s="38"/>
      <c r="K720" s="46"/>
      <c r="L720" s="47"/>
      <c r="M720" s="46"/>
      <c r="N720" s="46"/>
      <c r="O720" s="38"/>
      <c r="P720" s="38"/>
      <c r="Q720" s="12"/>
      <c r="R720" s="50"/>
      <c r="S720" s="50"/>
      <c r="T720" s="50"/>
      <c r="U720" s="53"/>
      <c r="V720" s="54"/>
      <c r="W720" s="56"/>
      <c r="X720" s="119"/>
      <c r="Y720" s="113"/>
      <c r="Z720" s="113"/>
      <c r="AH720" s="106"/>
      <c r="AI720" s="106"/>
      <c r="AJ720" s="106"/>
      <c r="AK720" s="106"/>
      <c r="AL720" s="106"/>
      <c r="AM720" s="106"/>
      <c r="AN720" s="106"/>
    </row>
    <row r="721">
      <c r="A721" s="38"/>
      <c r="B721" s="38"/>
      <c r="C721" s="38"/>
      <c r="D721" s="38"/>
      <c r="E721" s="38"/>
      <c r="F721" s="41"/>
      <c r="G721" s="43"/>
      <c r="H721" s="45"/>
      <c r="I721" s="38"/>
      <c r="J721" s="38"/>
      <c r="K721" s="46"/>
      <c r="L721" s="47"/>
      <c r="M721" s="46"/>
      <c r="N721" s="46"/>
      <c r="O721" s="38"/>
      <c r="P721" s="38"/>
      <c r="Q721" s="12"/>
      <c r="R721" s="50"/>
      <c r="S721" s="50"/>
      <c r="T721" s="50"/>
      <c r="U721" s="53"/>
      <c r="V721" s="54"/>
      <c r="W721" s="56"/>
      <c r="X721" s="119"/>
      <c r="Y721" s="113"/>
      <c r="Z721" s="113"/>
      <c r="AH721" s="106"/>
      <c r="AI721" s="106"/>
      <c r="AJ721" s="106"/>
      <c r="AK721" s="106"/>
      <c r="AL721" s="106"/>
      <c r="AM721" s="106"/>
      <c r="AN721" s="106"/>
    </row>
    <row r="722">
      <c r="A722" s="38"/>
      <c r="B722" s="38"/>
      <c r="C722" s="38"/>
      <c r="D722" s="38"/>
      <c r="E722" s="38"/>
      <c r="F722" s="41"/>
      <c r="G722" s="43"/>
      <c r="H722" s="45"/>
      <c r="I722" s="38"/>
      <c r="J722" s="38"/>
      <c r="K722" s="46"/>
      <c r="L722" s="47"/>
      <c r="M722" s="46"/>
      <c r="N722" s="46"/>
      <c r="O722" s="38"/>
      <c r="P722" s="38"/>
      <c r="Q722" s="12"/>
      <c r="R722" s="50"/>
      <c r="S722" s="50"/>
      <c r="T722" s="50"/>
      <c r="U722" s="53"/>
      <c r="V722" s="54"/>
      <c r="W722" s="56"/>
      <c r="X722" s="119"/>
      <c r="Y722" s="113"/>
      <c r="Z722" s="113"/>
      <c r="AH722" s="106"/>
      <c r="AI722" s="106"/>
      <c r="AJ722" s="106"/>
      <c r="AK722" s="106"/>
      <c r="AL722" s="106"/>
      <c r="AM722" s="106"/>
      <c r="AN722" s="106"/>
    </row>
    <row r="723">
      <c r="A723" s="38"/>
      <c r="B723" s="38"/>
      <c r="C723" s="38"/>
      <c r="D723" s="38"/>
      <c r="E723" s="38"/>
      <c r="F723" s="41"/>
      <c r="G723" s="43"/>
      <c r="H723" s="45"/>
      <c r="I723" s="38"/>
      <c r="J723" s="38"/>
      <c r="K723" s="46"/>
      <c r="L723" s="47"/>
      <c r="M723" s="46"/>
      <c r="N723" s="46"/>
      <c r="O723" s="38"/>
      <c r="P723" s="38"/>
      <c r="Q723" s="12"/>
      <c r="R723" s="50"/>
      <c r="S723" s="50"/>
      <c r="T723" s="50"/>
      <c r="U723" s="53"/>
      <c r="V723" s="54"/>
      <c r="W723" s="56"/>
      <c r="X723" s="119"/>
      <c r="Y723" s="113"/>
      <c r="Z723" s="113"/>
      <c r="AH723" s="106"/>
      <c r="AI723" s="106"/>
      <c r="AJ723" s="106"/>
      <c r="AK723" s="106"/>
      <c r="AL723" s="106"/>
      <c r="AM723" s="106"/>
      <c r="AN723" s="106"/>
    </row>
    <row r="724">
      <c r="A724" s="38"/>
      <c r="B724" s="38"/>
      <c r="C724" s="38"/>
      <c r="D724" s="38"/>
      <c r="E724" s="38"/>
      <c r="F724" s="41"/>
      <c r="G724" s="43"/>
      <c r="H724" s="45"/>
      <c r="I724" s="38"/>
      <c r="J724" s="38"/>
      <c r="K724" s="46"/>
      <c r="L724" s="47"/>
      <c r="M724" s="46"/>
      <c r="N724" s="46"/>
      <c r="O724" s="38"/>
      <c r="P724" s="38"/>
      <c r="Q724" s="12"/>
      <c r="R724" s="50"/>
      <c r="S724" s="50"/>
      <c r="T724" s="50"/>
      <c r="U724" s="53"/>
      <c r="V724" s="54"/>
      <c r="W724" s="56"/>
      <c r="X724" s="119"/>
      <c r="Y724" s="113"/>
      <c r="Z724" s="113"/>
      <c r="AH724" s="106"/>
      <c r="AI724" s="106"/>
      <c r="AJ724" s="106"/>
      <c r="AK724" s="106"/>
      <c r="AL724" s="106"/>
      <c r="AM724" s="106"/>
      <c r="AN724" s="106"/>
    </row>
    <row r="725">
      <c r="A725" s="38"/>
      <c r="B725" s="38"/>
      <c r="C725" s="38"/>
      <c r="D725" s="38"/>
      <c r="E725" s="38"/>
      <c r="F725" s="41"/>
      <c r="G725" s="43"/>
      <c r="H725" s="45"/>
      <c r="I725" s="38"/>
      <c r="J725" s="38"/>
      <c r="K725" s="46"/>
      <c r="L725" s="47"/>
      <c r="M725" s="46"/>
      <c r="N725" s="46"/>
      <c r="O725" s="38"/>
      <c r="P725" s="38"/>
      <c r="Q725" s="12"/>
      <c r="R725" s="50"/>
      <c r="S725" s="50"/>
      <c r="T725" s="50"/>
      <c r="U725" s="53"/>
      <c r="V725" s="54"/>
      <c r="W725" s="56"/>
      <c r="X725" s="119"/>
      <c r="Y725" s="113"/>
      <c r="Z725" s="113"/>
      <c r="AH725" s="106"/>
      <c r="AI725" s="106"/>
      <c r="AJ725" s="106"/>
      <c r="AK725" s="106"/>
      <c r="AL725" s="106"/>
      <c r="AM725" s="106"/>
      <c r="AN725" s="106"/>
    </row>
    <row r="726">
      <c r="A726" s="38"/>
      <c r="B726" s="38"/>
      <c r="C726" s="38"/>
      <c r="D726" s="38"/>
      <c r="E726" s="38"/>
      <c r="F726" s="41"/>
      <c r="G726" s="43"/>
      <c r="H726" s="45"/>
      <c r="I726" s="38"/>
      <c r="J726" s="38"/>
      <c r="K726" s="46"/>
      <c r="L726" s="47"/>
      <c r="M726" s="46"/>
      <c r="N726" s="46"/>
      <c r="O726" s="38"/>
      <c r="P726" s="38"/>
      <c r="Q726" s="12"/>
      <c r="R726" s="50"/>
      <c r="S726" s="50"/>
      <c r="T726" s="50"/>
      <c r="U726" s="53"/>
      <c r="V726" s="54"/>
      <c r="W726" s="56"/>
      <c r="X726" s="119"/>
      <c r="Y726" s="113"/>
      <c r="Z726" s="113"/>
      <c r="AH726" s="106"/>
      <c r="AI726" s="106"/>
      <c r="AJ726" s="106"/>
      <c r="AK726" s="106"/>
      <c r="AL726" s="106"/>
      <c r="AM726" s="106"/>
      <c r="AN726" s="106"/>
    </row>
    <row r="727">
      <c r="A727" s="38"/>
      <c r="B727" s="38"/>
      <c r="C727" s="38"/>
      <c r="D727" s="38"/>
      <c r="E727" s="38"/>
      <c r="F727" s="41"/>
      <c r="G727" s="43"/>
      <c r="H727" s="45"/>
      <c r="I727" s="38"/>
      <c r="J727" s="38"/>
      <c r="K727" s="46"/>
      <c r="L727" s="47"/>
      <c r="M727" s="46"/>
      <c r="N727" s="46"/>
      <c r="O727" s="38"/>
      <c r="P727" s="38"/>
      <c r="Q727" s="12"/>
      <c r="R727" s="50"/>
      <c r="S727" s="50"/>
      <c r="T727" s="50"/>
      <c r="U727" s="53"/>
      <c r="V727" s="54"/>
      <c r="W727" s="56"/>
      <c r="X727" s="119"/>
      <c r="Y727" s="113"/>
      <c r="Z727" s="113"/>
      <c r="AH727" s="106"/>
      <c r="AI727" s="106"/>
      <c r="AJ727" s="106"/>
      <c r="AK727" s="106"/>
      <c r="AL727" s="106"/>
      <c r="AM727" s="106"/>
      <c r="AN727" s="106"/>
    </row>
    <row r="728">
      <c r="A728" s="38"/>
      <c r="B728" s="38"/>
      <c r="C728" s="38"/>
      <c r="D728" s="38"/>
      <c r="E728" s="38"/>
      <c r="F728" s="41"/>
      <c r="G728" s="43"/>
      <c r="H728" s="45"/>
      <c r="I728" s="38"/>
      <c r="J728" s="38"/>
      <c r="K728" s="46"/>
      <c r="L728" s="47"/>
      <c r="M728" s="46"/>
      <c r="N728" s="46"/>
      <c r="O728" s="38"/>
      <c r="P728" s="38"/>
      <c r="Q728" s="12"/>
      <c r="R728" s="50"/>
      <c r="S728" s="50"/>
      <c r="T728" s="50"/>
      <c r="U728" s="53"/>
      <c r="V728" s="54"/>
      <c r="W728" s="56"/>
      <c r="X728" s="119"/>
      <c r="Y728" s="113"/>
      <c r="Z728" s="113"/>
      <c r="AH728" s="106"/>
      <c r="AI728" s="106"/>
      <c r="AJ728" s="106"/>
      <c r="AK728" s="106"/>
      <c r="AL728" s="106"/>
      <c r="AM728" s="106"/>
      <c r="AN728" s="106"/>
    </row>
    <row r="729">
      <c r="A729" s="38"/>
      <c r="B729" s="38"/>
      <c r="C729" s="38"/>
      <c r="D729" s="38"/>
      <c r="E729" s="38"/>
      <c r="F729" s="41"/>
      <c r="G729" s="43"/>
      <c r="H729" s="45"/>
      <c r="I729" s="38"/>
      <c r="J729" s="38"/>
      <c r="K729" s="46"/>
      <c r="L729" s="47"/>
      <c r="M729" s="46"/>
      <c r="N729" s="46"/>
      <c r="O729" s="38"/>
      <c r="P729" s="38"/>
      <c r="Q729" s="12"/>
      <c r="R729" s="50"/>
      <c r="S729" s="50"/>
      <c r="T729" s="50"/>
      <c r="U729" s="53"/>
      <c r="V729" s="54"/>
      <c r="W729" s="56"/>
      <c r="X729" s="119"/>
      <c r="Y729" s="113"/>
      <c r="Z729" s="113"/>
      <c r="AH729" s="106"/>
      <c r="AI729" s="106"/>
      <c r="AJ729" s="106"/>
      <c r="AK729" s="106"/>
      <c r="AL729" s="106"/>
      <c r="AM729" s="106"/>
      <c r="AN729" s="106"/>
    </row>
    <row r="730">
      <c r="A730" s="38"/>
      <c r="B730" s="38"/>
      <c r="C730" s="38"/>
      <c r="D730" s="38"/>
      <c r="E730" s="38"/>
      <c r="F730" s="41"/>
      <c r="G730" s="43"/>
      <c r="H730" s="45"/>
      <c r="I730" s="38"/>
      <c r="J730" s="38"/>
      <c r="K730" s="46"/>
      <c r="L730" s="47"/>
      <c r="M730" s="46"/>
      <c r="N730" s="46"/>
      <c r="O730" s="38"/>
      <c r="P730" s="38"/>
      <c r="Q730" s="12"/>
      <c r="R730" s="50"/>
      <c r="S730" s="50"/>
      <c r="T730" s="50"/>
      <c r="U730" s="53"/>
      <c r="V730" s="54"/>
      <c r="W730" s="56"/>
      <c r="X730" s="119"/>
      <c r="Y730" s="113"/>
      <c r="Z730" s="113"/>
      <c r="AH730" s="106"/>
      <c r="AI730" s="106"/>
      <c r="AJ730" s="106"/>
      <c r="AK730" s="106"/>
      <c r="AL730" s="106"/>
      <c r="AM730" s="106"/>
      <c r="AN730" s="106"/>
    </row>
    <row r="731">
      <c r="A731" s="38"/>
      <c r="B731" s="38"/>
      <c r="C731" s="38"/>
      <c r="D731" s="38"/>
      <c r="E731" s="38"/>
      <c r="F731" s="41"/>
      <c r="G731" s="43"/>
      <c r="H731" s="45"/>
      <c r="I731" s="38"/>
      <c r="J731" s="38"/>
      <c r="K731" s="46"/>
      <c r="L731" s="47"/>
      <c r="M731" s="46"/>
      <c r="N731" s="46"/>
      <c r="O731" s="38"/>
      <c r="P731" s="38"/>
      <c r="Q731" s="12"/>
      <c r="R731" s="50"/>
      <c r="S731" s="50"/>
      <c r="T731" s="50"/>
      <c r="U731" s="53"/>
      <c r="V731" s="54"/>
      <c r="W731" s="56"/>
      <c r="X731" s="119"/>
      <c r="Y731" s="113"/>
      <c r="Z731" s="113"/>
      <c r="AH731" s="106"/>
      <c r="AI731" s="106"/>
      <c r="AJ731" s="106"/>
      <c r="AK731" s="106"/>
      <c r="AL731" s="106"/>
      <c r="AM731" s="106"/>
      <c r="AN731" s="106"/>
    </row>
    <row r="732">
      <c r="A732" s="38"/>
      <c r="B732" s="38"/>
      <c r="C732" s="38"/>
      <c r="D732" s="38"/>
      <c r="E732" s="38"/>
      <c r="F732" s="41"/>
      <c r="G732" s="43"/>
      <c r="H732" s="45"/>
      <c r="I732" s="38"/>
      <c r="J732" s="38"/>
      <c r="K732" s="46"/>
      <c r="L732" s="47"/>
      <c r="M732" s="46"/>
      <c r="N732" s="46"/>
      <c r="O732" s="38"/>
      <c r="P732" s="38"/>
      <c r="Q732" s="12"/>
      <c r="R732" s="50"/>
      <c r="S732" s="50"/>
      <c r="T732" s="50"/>
      <c r="U732" s="53"/>
      <c r="V732" s="54"/>
      <c r="W732" s="56"/>
      <c r="X732" s="119"/>
      <c r="Y732" s="113"/>
      <c r="Z732" s="113"/>
      <c r="AH732" s="106"/>
      <c r="AI732" s="106"/>
      <c r="AJ732" s="106"/>
      <c r="AK732" s="106"/>
      <c r="AL732" s="106"/>
      <c r="AM732" s="106"/>
      <c r="AN732" s="106"/>
    </row>
    <row r="733">
      <c r="A733" s="38"/>
      <c r="B733" s="38"/>
      <c r="C733" s="38"/>
      <c r="D733" s="38"/>
      <c r="E733" s="38"/>
      <c r="F733" s="41"/>
      <c r="G733" s="43"/>
      <c r="H733" s="45"/>
      <c r="I733" s="38"/>
      <c r="J733" s="38"/>
      <c r="K733" s="46"/>
      <c r="L733" s="47"/>
      <c r="M733" s="46"/>
      <c r="N733" s="46"/>
      <c r="O733" s="38"/>
      <c r="P733" s="38"/>
      <c r="Q733" s="12"/>
      <c r="R733" s="50"/>
      <c r="S733" s="50"/>
      <c r="T733" s="50"/>
      <c r="U733" s="53"/>
      <c r="V733" s="54"/>
      <c r="W733" s="56"/>
      <c r="X733" s="119"/>
      <c r="Y733" s="113"/>
      <c r="Z733" s="113"/>
      <c r="AH733" s="106"/>
      <c r="AI733" s="106"/>
      <c r="AJ733" s="106"/>
      <c r="AK733" s="106"/>
      <c r="AL733" s="106"/>
      <c r="AM733" s="106"/>
      <c r="AN733" s="106"/>
    </row>
    <row r="734">
      <c r="A734" s="38"/>
      <c r="B734" s="38"/>
      <c r="C734" s="38"/>
      <c r="D734" s="38"/>
      <c r="E734" s="38"/>
      <c r="F734" s="41"/>
      <c r="G734" s="43"/>
      <c r="H734" s="45"/>
      <c r="I734" s="38"/>
      <c r="J734" s="38"/>
      <c r="K734" s="46"/>
      <c r="L734" s="47"/>
      <c r="M734" s="46"/>
      <c r="N734" s="46"/>
      <c r="O734" s="38"/>
      <c r="P734" s="38"/>
      <c r="Q734" s="12"/>
      <c r="R734" s="50"/>
      <c r="S734" s="50"/>
      <c r="T734" s="50"/>
      <c r="U734" s="53"/>
      <c r="V734" s="54"/>
      <c r="W734" s="56"/>
      <c r="X734" s="119"/>
      <c r="Y734" s="113"/>
      <c r="Z734" s="113"/>
      <c r="AH734" s="106"/>
      <c r="AI734" s="106"/>
      <c r="AJ734" s="106"/>
      <c r="AK734" s="106"/>
      <c r="AL734" s="106"/>
      <c r="AM734" s="106"/>
      <c r="AN734" s="106"/>
    </row>
    <row r="735">
      <c r="A735" s="38"/>
      <c r="B735" s="38"/>
      <c r="C735" s="38"/>
      <c r="D735" s="38"/>
      <c r="E735" s="38"/>
      <c r="F735" s="41"/>
      <c r="G735" s="43"/>
      <c r="H735" s="45"/>
      <c r="I735" s="38"/>
      <c r="J735" s="38"/>
      <c r="K735" s="46"/>
      <c r="L735" s="47"/>
      <c r="M735" s="46"/>
      <c r="N735" s="46"/>
      <c r="O735" s="38"/>
      <c r="P735" s="38"/>
      <c r="Q735" s="12"/>
      <c r="R735" s="50"/>
      <c r="S735" s="50"/>
      <c r="T735" s="50"/>
      <c r="U735" s="53"/>
      <c r="V735" s="54"/>
      <c r="W735" s="56"/>
      <c r="X735" s="119"/>
      <c r="Y735" s="113"/>
      <c r="Z735" s="113"/>
      <c r="AH735" s="106"/>
      <c r="AI735" s="106"/>
      <c r="AJ735" s="106"/>
      <c r="AK735" s="106"/>
      <c r="AL735" s="106"/>
      <c r="AM735" s="106"/>
      <c r="AN735" s="106"/>
    </row>
    <row r="736">
      <c r="A736" s="38"/>
      <c r="B736" s="38"/>
      <c r="C736" s="38"/>
      <c r="D736" s="38"/>
      <c r="E736" s="38"/>
      <c r="F736" s="41"/>
      <c r="G736" s="43"/>
      <c r="H736" s="45"/>
      <c r="I736" s="38"/>
      <c r="J736" s="38"/>
      <c r="K736" s="46"/>
      <c r="L736" s="47"/>
      <c r="M736" s="46"/>
      <c r="N736" s="46"/>
      <c r="O736" s="38"/>
      <c r="P736" s="38"/>
      <c r="Q736" s="12"/>
      <c r="R736" s="50"/>
      <c r="S736" s="50"/>
      <c r="T736" s="50"/>
      <c r="U736" s="53"/>
      <c r="V736" s="54"/>
      <c r="W736" s="56"/>
      <c r="X736" s="119"/>
      <c r="Y736" s="113"/>
      <c r="Z736" s="113"/>
      <c r="AH736" s="106"/>
      <c r="AI736" s="106"/>
      <c r="AJ736" s="106"/>
      <c r="AK736" s="106"/>
      <c r="AL736" s="106"/>
      <c r="AM736" s="106"/>
      <c r="AN736" s="106"/>
    </row>
    <row r="737">
      <c r="A737" s="38"/>
      <c r="B737" s="38"/>
      <c r="C737" s="38"/>
      <c r="D737" s="38"/>
      <c r="E737" s="38"/>
      <c r="F737" s="41"/>
      <c r="G737" s="43"/>
      <c r="H737" s="45"/>
      <c r="I737" s="38"/>
      <c r="J737" s="38"/>
      <c r="K737" s="46"/>
      <c r="L737" s="47"/>
      <c r="M737" s="46"/>
      <c r="N737" s="46"/>
      <c r="O737" s="38"/>
      <c r="P737" s="38"/>
      <c r="Q737" s="12"/>
      <c r="R737" s="50"/>
      <c r="S737" s="50"/>
      <c r="T737" s="50"/>
      <c r="U737" s="53"/>
      <c r="V737" s="54"/>
      <c r="W737" s="56"/>
      <c r="X737" s="119"/>
      <c r="Y737" s="113"/>
      <c r="Z737" s="113"/>
      <c r="AH737" s="106"/>
      <c r="AI737" s="106"/>
      <c r="AJ737" s="106"/>
      <c r="AK737" s="106"/>
      <c r="AL737" s="106"/>
      <c r="AM737" s="106"/>
      <c r="AN737" s="106"/>
    </row>
    <row r="738">
      <c r="A738" s="38"/>
      <c r="B738" s="38"/>
      <c r="C738" s="38"/>
      <c r="D738" s="38"/>
      <c r="E738" s="38"/>
      <c r="F738" s="41"/>
      <c r="G738" s="43"/>
      <c r="H738" s="45"/>
      <c r="I738" s="38"/>
      <c r="J738" s="38"/>
      <c r="K738" s="46"/>
      <c r="L738" s="47"/>
      <c r="M738" s="46"/>
      <c r="N738" s="46"/>
      <c r="O738" s="38"/>
      <c r="P738" s="38"/>
      <c r="Q738" s="12"/>
      <c r="R738" s="50"/>
      <c r="S738" s="50"/>
      <c r="T738" s="50"/>
      <c r="U738" s="53"/>
      <c r="V738" s="54"/>
      <c r="W738" s="56"/>
      <c r="X738" s="119"/>
      <c r="Y738" s="113"/>
      <c r="Z738" s="113"/>
      <c r="AH738" s="106"/>
      <c r="AI738" s="106"/>
      <c r="AJ738" s="106"/>
      <c r="AK738" s="106"/>
      <c r="AL738" s="106"/>
      <c r="AM738" s="106"/>
      <c r="AN738" s="106"/>
    </row>
    <row r="739">
      <c r="A739" s="38"/>
      <c r="B739" s="38"/>
      <c r="C739" s="38"/>
      <c r="D739" s="38"/>
      <c r="E739" s="38"/>
      <c r="F739" s="41"/>
      <c r="G739" s="43"/>
      <c r="H739" s="45"/>
      <c r="I739" s="38"/>
      <c r="J739" s="38"/>
      <c r="K739" s="46"/>
      <c r="L739" s="47"/>
      <c r="M739" s="46"/>
      <c r="N739" s="46"/>
      <c r="O739" s="38"/>
      <c r="P739" s="38"/>
      <c r="Q739" s="12"/>
      <c r="R739" s="50"/>
      <c r="S739" s="50"/>
      <c r="T739" s="50"/>
      <c r="U739" s="53"/>
      <c r="V739" s="54"/>
      <c r="W739" s="56"/>
      <c r="X739" s="119"/>
      <c r="Y739" s="113"/>
      <c r="Z739" s="113"/>
      <c r="AH739" s="106"/>
      <c r="AI739" s="106"/>
      <c r="AJ739" s="106"/>
      <c r="AK739" s="106"/>
      <c r="AL739" s="106"/>
      <c r="AM739" s="106"/>
      <c r="AN739" s="106"/>
    </row>
    <row r="740">
      <c r="A740" s="38"/>
      <c r="B740" s="38"/>
      <c r="C740" s="38"/>
      <c r="D740" s="38"/>
      <c r="E740" s="38"/>
      <c r="F740" s="41"/>
      <c r="G740" s="43"/>
      <c r="H740" s="45"/>
      <c r="I740" s="38"/>
      <c r="J740" s="38"/>
      <c r="K740" s="46"/>
      <c r="L740" s="47"/>
      <c r="M740" s="46"/>
      <c r="N740" s="46"/>
      <c r="O740" s="38"/>
      <c r="P740" s="38"/>
      <c r="Q740" s="12"/>
      <c r="R740" s="50"/>
      <c r="S740" s="50"/>
      <c r="T740" s="50"/>
      <c r="U740" s="53"/>
      <c r="V740" s="54"/>
      <c r="W740" s="56"/>
      <c r="X740" s="119"/>
      <c r="Y740" s="113"/>
      <c r="Z740" s="113"/>
      <c r="AH740" s="106"/>
      <c r="AI740" s="106"/>
      <c r="AJ740" s="106"/>
      <c r="AK740" s="106"/>
      <c r="AL740" s="106"/>
      <c r="AM740" s="106"/>
      <c r="AN740" s="106"/>
    </row>
    <row r="741">
      <c r="A741" s="38"/>
      <c r="B741" s="38"/>
      <c r="C741" s="38"/>
      <c r="D741" s="38"/>
      <c r="E741" s="38"/>
      <c r="F741" s="41"/>
      <c r="G741" s="43"/>
      <c r="H741" s="45"/>
      <c r="I741" s="38"/>
      <c r="J741" s="38"/>
      <c r="K741" s="46"/>
      <c r="L741" s="47"/>
      <c r="M741" s="46"/>
      <c r="N741" s="46"/>
      <c r="O741" s="38"/>
      <c r="P741" s="38"/>
      <c r="Q741" s="12"/>
      <c r="R741" s="50"/>
      <c r="S741" s="50"/>
      <c r="T741" s="50"/>
      <c r="U741" s="53"/>
      <c r="V741" s="54"/>
      <c r="W741" s="56"/>
      <c r="X741" s="119"/>
      <c r="Y741" s="113"/>
      <c r="Z741" s="113"/>
      <c r="AH741" s="106"/>
      <c r="AI741" s="106"/>
      <c r="AJ741" s="106"/>
      <c r="AK741" s="106"/>
      <c r="AL741" s="106"/>
      <c r="AM741" s="106"/>
      <c r="AN741" s="106"/>
    </row>
    <row r="742">
      <c r="A742" s="38"/>
      <c r="B742" s="38"/>
      <c r="C742" s="38"/>
      <c r="D742" s="38"/>
      <c r="E742" s="38"/>
      <c r="F742" s="41"/>
      <c r="G742" s="43"/>
      <c r="H742" s="45"/>
      <c r="I742" s="38"/>
      <c r="J742" s="38"/>
      <c r="K742" s="46"/>
      <c r="L742" s="47"/>
      <c r="M742" s="46"/>
      <c r="N742" s="46"/>
      <c r="O742" s="38"/>
      <c r="P742" s="38"/>
      <c r="Q742" s="12"/>
      <c r="R742" s="50"/>
      <c r="S742" s="50"/>
      <c r="T742" s="50"/>
      <c r="U742" s="53"/>
      <c r="V742" s="54"/>
      <c r="W742" s="56"/>
      <c r="X742" s="119"/>
      <c r="Y742" s="113"/>
      <c r="Z742" s="113"/>
      <c r="AH742" s="106"/>
      <c r="AI742" s="106"/>
      <c r="AJ742" s="106"/>
      <c r="AK742" s="106"/>
      <c r="AL742" s="106"/>
      <c r="AM742" s="106"/>
      <c r="AN742" s="106"/>
    </row>
    <row r="743">
      <c r="A743" s="38"/>
      <c r="B743" s="38"/>
      <c r="C743" s="38"/>
      <c r="D743" s="38"/>
      <c r="E743" s="38"/>
      <c r="F743" s="41"/>
      <c r="G743" s="43"/>
      <c r="H743" s="45"/>
      <c r="I743" s="38"/>
      <c r="J743" s="38"/>
      <c r="K743" s="46"/>
      <c r="L743" s="47"/>
      <c r="M743" s="46"/>
      <c r="N743" s="46"/>
      <c r="O743" s="38"/>
      <c r="P743" s="38"/>
      <c r="Q743" s="12"/>
      <c r="R743" s="50"/>
      <c r="S743" s="50"/>
      <c r="T743" s="50"/>
      <c r="U743" s="53"/>
      <c r="V743" s="54"/>
      <c r="W743" s="56"/>
      <c r="X743" s="119"/>
      <c r="Y743" s="113"/>
      <c r="Z743" s="113"/>
      <c r="AH743" s="106"/>
      <c r="AI743" s="106"/>
      <c r="AJ743" s="106"/>
      <c r="AK743" s="106"/>
      <c r="AL743" s="106"/>
      <c r="AM743" s="106"/>
      <c r="AN743" s="106"/>
    </row>
    <row r="744">
      <c r="A744" s="38"/>
      <c r="B744" s="38"/>
      <c r="C744" s="38"/>
      <c r="D744" s="38"/>
      <c r="E744" s="38"/>
      <c r="F744" s="41"/>
      <c r="G744" s="43"/>
      <c r="H744" s="45"/>
      <c r="I744" s="38"/>
      <c r="J744" s="38"/>
      <c r="K744" s="46"/>
      <c r="L744" s="47"/>
      <c r="M744" s="46"/>
      <c r="N744" s="46"/>
      <c r="O744" s="38"/>
      <c r="P744" s="38"/>
      <c r="Q744" s="12"/>
      <c r="R744" s="50"/>
      <c r="S744" s="50"/>
      <c r="T744" s="50"/>
      <c r="U744" s="53"/>
      <c r="V744" s="54"/>
      <c r="W744" s="56"/>
      <c r="X744" s="119"/>
      <c r="Y744" s="113"/>
      <c r="Z744" s="113"/>
      <c r="AH744" s="106"/>
      <c r="AI744" s="106"/>
      <c r="AJ744" s="106"/>
      <c r="AK744" s="106"/>
      <c r="AL744" s="106"/>
      <c r="AM744" s="106"/>
      <c r="AN744" s="106"/>
    </row>
    <row r="745">
      <c r="A745" s="38"/>
      <c r="B745" s="38"/>
      <c r="C745" s="38"/>
      <c r="D745" s="38"/>
      <c r="E745" s="38"/>
      <c r="F745" s="41"/>
      <c r="G745" s="43"/>
      <c r="H745" s="45"/>
      <c r="I745" s="38"/>
      <c r="J745" s="38"/>
      <c r="K745" s="46"/>
      <c r="L745" s="47"/>
      <c r="M745" s="46"/>
      <c r="N745" s="46"/>
      <c r="O745" s="38"/>
      <c r="P745" s="38"/>
      <c r="Q745" s="12"/>
      <c r="R745" s="50"/>
      <c r="S745" s="50"/>
      <c r="T745" s="50"/>
      <c r="U745" s="53"/>
      <c r="V745" s="54"/>
      <c r="W745" s="56"/>
      <c r="X745" s="119"/>
      <c r="Y745" s="113"/>
      <c r="Z745" s="113"/>
      <c r="AH745" s="106"/>
      <c r="AI745" s="106"/>
      <c r="AJ745" s="106"/>
      <c r="AK745" s="106"/>
      <c r="AL745" s="106"/>
      <c r="AM745" s="106"/>
      <c r="AN745" s="106"/>
    </row>
    <row r="746">
      <c r="A746" s="38"/>
      <c r="B746" s="38"/>
      <c r="C746" s="38"/>
      <c r="D746" s="38"/>
      <c r="E746" s="38"/>
      <c r="F746" s="41"/>
      <c r="G746" s="43"/>
      <c r="H746" s="45"/>
      <c r="I746" s="38"/>
      <c r="J746" s="38"/>
      <c r="K746" s="46"/>
      <c r="L746" s="47"/>
      <c r="M746" s="46"/>
      <c r="N746" s="46"/>
      <c r="O746" s="38"/>
      <c r="P746" s="38"/>
      <c r="Q746" s="12"/>
      <c r="R746" s="50"/>
      <c r="S746" s="50"/>
      <c r="T746" s="50"/>
      <c r="U746" s="53"/>
      <c r="V746" s="54"/>
      <c r="W746" s="56"/>
      <c r="X746" s="119"/>
      <c r="Y746" s="113"/>
      <c r="Z746" s="113"/>
      <c r="AH746" s="106"/>
      <c r="AI746" s="106"/>
      <c r="AJ746" s="106"/>
      <c r="AK746" s="106"/>
      <c r="AL746" s="106"/>
      <c r="AM746" s="106"/>
      <c r="AN746" s="106"/>
    </row>
    <row r="747">
      <c r="A747" s="38"/>
      <c r="B747" s="38"/>
      <c r="C747" s="38"/>
      <c r="D747" s="38"/>
      <c r="E747" s="38"/>
      <c r="F747" s="41"/>
      <c r="G747" s="43"/>
      <c r="H747" s="45"/>
      <c r="I747" s="38"/>
      <c r="J747" s="38"/>
      <c r="K747" s="46"/>
      <c r="L747" s="47"/>
      <c r="M747" s="46"/>
      <c r="N747" s="46"/>
      <c r="O747" s="38"/>
      <c r="P747" s="38"/>
      <c r="Q747" s="12"/>
      <c r="R747" s="50"/>
      <c r="S747" s="50"/>
      <c r="T747" s="50"/>
      <c r="U747" s="53"/>
      <c r="V747" s="54"/>
      <c r="W747" s="56"/>
      <c r="X747" s="119"/>
      <c r="Y747" s="113"/>
      <c r="Z747" s="113"/>
      <c r="AH747" s="106"/>
      <c r="AI747" s="106"/>
      <c r="AJ747" s="106"/>
      <c r="AK747" s="106"/>
      <c r="AL747" s="106"/>
      <c r="AM747" s="106"/>
      <c r="AN747" s="106"/>
    </row>
    <row r="748">
      <c r="A748" s="38"/>
      <c r="B748" s="38"/>
      <c r="C748" s="38"/>
      <c r="D748" s="38"/>
      <c r="E748" s="38"/>
      <c r="F748" s="41"/>
      <c r="G748" s="43"/>
      <c r="H748" s="45"/>
      <c r="I748" s="38"/>
      <c r="J748" s="38"/>
      <c r="K748" s="46"/>
      <c r="L748" s="47"/>
      <c r="M748" s="46"/>
      <c r="N748" s="46"/>
      <c r="O748" s="38"/>
      <c r="P748" s="38"/>
      <c r="Q748" s="12"/>
      <c r="R748" s="50"/>
      <c r="S748" s="50"/>
      <c r="T748" s="50"/>
      <c r="U748" s="53"/>
      <c r="V748" s="54"/>
      <c r="W748" s="56"/>
      <c r="X748" s="119"/>
      <c r="Y748" s="113"/>
      <c r="Z748" s="113"/>
      <c r="AH748" s="106"/>
      <c r="AI748" s="106"/>
      <c r="AJ748" s="106"/>
      <c r="AK748" s="106"/>
      <c r="AL748" s="106"/>
      <c r="AM748" s="106"/>
      <c r="AN748" s="106"/>
    </row>
    <row r="749">
      <c r="A749" s="38"/>
      <c r="B749" s="38"/>
      <c r="C749" s="38"/>
      <c r="D749" s="38"/>
      <c r="E749" s="38"/>
      <c r="F749" s="41"/>
      <c r="G749" s="43"/>
      <c r="H749" s="45"/>
      <c r="I749" s="38"/>
      <c r="J749" s="38"/>
      <c r="K749" s="46"/>
      <c r="L749" s="47"/>
      <c r="M749" s="46"/>
      <c r="N749" s="46"/>
      <c r="O749" s="38"/>
      <c r="P749" s="38"/>
      <c r="Q749" s="12"/>
      <c r="R749" s="50"/>
      <c r="S749" s="50"/>
      <c r="T749" s="50"/>
      <c r="U749" s="53"/>
      <c r="V749" s="54"/>
      <c r="W749" s="56"/>
      <c r="X749" s="119"/>
      <c r="Y749" s="113"/>
      <c r="Z749" s="113"/>
      <c r="AH749" s="106"/>
      <c r="AI749" s="106"/>
      <c r="AJ749" s="106"/>
      <c r="AK749" s="106"/>
      <c r="AL749" s="106"/>
      <c r="AM749" s="106"/>
      <c r="AN749" s="106"/>
    </row>
    <row r="750">
      <c r="A750" s="38"/>
      <c r="B750" s="38"/>
      <c r="C750" s="38"/>
      <c r="D750" s="38"/>
      <c r="E750" s="38"/>
      <c r="F750" s="41"/>
      <c r="G750" s="43"/>
      <c r="H750" s="45"/>
      <c r="I750" s="38"/>
      <c r="J750" s="38"/>
      <c r="K750" s="46"/>
      <c r="L750" s="47"/>
      <c r="M750" s="46"/>
      <c r="N750" s="46"/>
      <c r="O750" s="38"/>
      <c r="P750" s="38"/>
      <c r="Q750" s="12"/>
      <c r="R750" s="50"/>
      <c r="S750" s="50"/>
      <c r="T750" s="50"/>
      <c r="U750" s="53"/>
      <c r="V750" s="54"/>
      <c r="W750" s="56"/>
      <c r="X750" s="119"/>
      <c r="Y750" s="113"/>
      <c r="Z750" s="113"/>
      <c r="AH750" s="106"/>
      <c r="AI750" s="106"/>
      <c r="AJ750" s="106"/>
      <c r="AK750" s="106"/>
      <c r="AL750" s="106"/>
      <c r="AM750" s="106"/>
      <c r="AN750" s="106"/>
    </row>
    <row r="751">
      <c r="A751" s="38"/>
      <c r="B751" s="38"/>
      <c r="C751" s="38"/>
      <c r="D751" s="38"/>
      <c r="E751" s="38"/>
      <c r="F751" s="41"/>
      <c r="G751" s="43"/>
      <c r="H751" s="45"/>
      <c r="I751" s="38"/>
      <c r="J751" s="38"/>
      <c r="K751" s="46"/>
      <c r="L751" s="47"/>
      <c r="M751" s="46"/>
      <c r="N751" s="46"/>
      <c r="O751" s="38"/>
      <c r="P751" s="38"/>
      <c r="Q751" s="12"/>
      <c r="R751" s="50"/>
      <c r="S751" s="50"/>
      <c r="T751" s="50"/>
      <c r="U751" s="53"/>
      <c r="V751" s="54"/>
      <c r="W751" s="56"/>
      <c r="X751" s="119"/>
      <c r="Y751" s="113"/>
      <c r="Z751" s="113"/>
      <c r="AH751" s="106"/>
      <c r="AI751" s="106"/>
      <c r="AJ751" s="106"/>
      <c r="AK751" s="106"/>
      <c r="AL751" s="106"/>
      <c r="AM751" s="106"/>
      <c r="AN751" s="106"/>
    </row>
    <row r="752">
      <c r="A752" s="38"/>
      <c r="B752" s="38"/>
      <c r="C752" s="38"/>
      <c r="D752" s="38"/>
      <c r="E752" s="38"/>
      <c r="F752" s="41"/>
      <c r="G752" s="43"/>
      <c r="H752" s="45"/>
      <c r="I752" s="38"/>
      <c r="J752" s="38"/>
      <c r="K752" s="46"/>
      <c r="L752" s="47"/>
      <c r="M752" s="46"/>
      <c r="N752" s="46"/>
      <c r="O752" s="38"/>
      <c r="P752" s="38"/>
      <c r="Q752" s="12"/>
      <c r="R752" s="50"/>
      <c r="S752" s="50"/>
      <c r="T752" s="50"/>
      <c r="U752" s="53"/>
      <c r="V752" s="54"/>
      <c r="W752" s="56"/>
      <c r="X752" s="119"/>
      <c r="Y752" s="113"/>
      <c r="Z752" s="113"/>
      <c r="AH752" s="106"/>
      <c r="AI752" s="106"/>
      <c r="AJ752" s="106"/>
      <c r="AK752" s="106"/>
      <c r="AL752" s="106"/>
      <c r="AM752" s="106"/>
      <c r="AN752" s="106"/>
    </row>
    <row r="753">
      <c r="A753" s="38"/>
      <c r="B753" s="38"/>
      <c r="C753" s="38"/>
      <c r="D753" s="38"/>
      <c r="E753" s="38"/>
      <c r="F753" s="41"/>
      <c r="G753" s="43"/>
      <c r="H753" s="45"/>
      <c r="I753" s="38"/>
      <c r="J753" s="38"/>
      <c r="K753" s="46"/>
      <c r="L753" s="47"/>
      <c r="M753" s="46"/>
      <c r="N753" s="46"/>
      <c r="O753" s="38"/>
      <c r="P753" s="38"/>
      <c r="Q753" s="12"/>
      <c r="R753" s="50"/>
      <c r="S753" s="50"/>
      <c r="T753" s="50"/>
      <c r="U753" s="53"/>
      <c r="V753" s="54"/>
      <c r="W753" s="56"/>
      <c r="X753" s="119"/>
      <c r="Y753" s="113"/>
      <c r="Z753" s="113"/>
      <c r="AH753" s="106"/>
      <c r="AI753" s="106"/>
      <c r="AJ753" s="106"/>
      <c r="AK753" s="106"/>
      <c r="AL753" s="106"/>
      <c r="AM753" s="106"/>
      <c r="AN753" s="106"/>
    </row>
    <row r="754">
      <c r="A754" s="38"/>
      <c r="B754" s="38"/>
      <c r="C754" s="38"/>
      <c r="D754" s="38"/>
      <c r="E754" s="38"/>
      <c r="F754" s="41"/>
      <c r="G754" s="43"/>
      <c r="H754" s="45"/>
      <c r="I754" s="38"/>
      <c r="J754" s="38"/>
      <c r="K754" s="46"/>
      <c r="L754" s="47"/>
      <c r="M754" s="46"/>
      <c r="N754" s="46"/>
      <c r="O754" s="38"/>
      <c r="P754" s="38"/>
      <c r="Q754" s="12"/>
      <c r="R754" s="50"/>
      <c r="S754" s="50"/>
      <c r="T754" s="50"/>
      <c r="U754" s="53"/>
      <c r="V754" s="54"/>
      <c r="W754" s="56"/>
      <c r="X754" s="119"/>
      <c r="Y754" s="113"/>
      <c r="Z754" s="113"/>
      <c r="AH754" s="106"/>
      <c r="AI754" s="106"/>
      <c r="AJ754" s="106"/>
      <c r="AK754" s="106"/>
      <c r="AL754" s="106"/>
      <c r="AM754" s="106"/>
      <c r="AN754" s="106"/>
    </row>
    <row r="755">
      <c r="A755" s="38"/>
      <c r="B755" s="38"/>
      <c r="C755" s="38"/>
      <c r="D755" s="38"/>
      <c r="E755" s="38"/>
      <c r="F755" s="41"/>
      <c r="G755" s="43"/>
      <c r="H755" s="45"/>
      <c r="I755" s="38"/>
      <c r="J755" s="38"/>
      <c r="K755" s="46"/>
      <c r="L755" s="47"/>
      <c r="M755" s="46"/>
      <c r="N755" s="46"/>
      <c r="O755" s="38"/>
      <c r="P755" s="38"/>
      <c r="Q755" s="12"/>
      <c r="R755" s="50"/>
      <c r="S755" s="50"/>
      <c r="T755" s="50"/>
      <c r="U755" s="53"/>
      <c r="V755" s="54"/>
      <c r="W755" s="56"/>
      <c r="X755" s="119"/>
      <c r="Y755" s="113"/>
      <c r="Z755" s="113"/>
      <c r="AH755" s="106"/>
      <c r="AI755" s="106"/>
      <c r="AJ755" s="106"/>
      <c r="AK755" s="106"/>
      <c r="AL755" s="106"/>
      <c r="AM755" s="106"/>
      <c r="AN755" s="106"/>
    </row>
    <row r="756">
      <c r="A756" s="38"/>
      <c r="B756" s="38"/>
      <c r="C756" s="38"/>
      <c r="D756" s="38"/>
      <c r="E756" s="38"/>
      <c r="F756" s="41"/>
      <c r="G756" s="43"/>
      <c r="H756" s="45"/>
      <c r="I756" s="38"/>
      <c r="J756" s="38"/>
      <c r="K756" s="46"/>
      <c r="L756" s="47"/>
      <c r="M756" s="46"/>
      <c r="N756" s="46"/>
      <c r="O756" s="38"/>
      <c r="P756" s="38"/>
      <c r="Q756" s="12"/>
      <c r="R756" s="50"/>
      <c r="S756" s="50"/>
      <c r="T756" s="50"/>
      <c r="U756" s="53"/>
      <c r="V756" s="54"/>
      <c r="W756" s="56"/>
      <c r="X756" s="119"/>
      <c r="Y756" s="113"/>
      <c r="Z756" s="113"/>
      <c r="AH756" s="106"/>
      <c r="AI756" s="106"/>
      <c r="AJ756" s="106"/>
      <c r="AK756" s="106"/>
      <c r="AL756" s="106"/>
      <c r="AM756" s="106"/>
      <c r="AN756" s="106"/>
    </row>
    <row r="757">
      <c r="A757" s="38"/>
      <c r="B757" s="38"/>
      <c r="C757" s="38"/>
      <c r="D757" s="38"/>
      <c r="E757" s="38"/>
      <c r="F757" s="41"/>
      <c r="G757" s="43"/>
      <c r="H757" s="45"/>
      <c r="I757" s="38"/>
      <c r="J757" s="38"/>
      <c r="K757" s="46"/>
      <c r="L757" s="47"/>
      <c r="M757" s="46"/>
      <c r="N757" s="46"/>
      <c r="O757" s="38"/>
      <c r="P757" s="38"/>
      <c r="Q757" s="12"/>
      <c r="R757" s="50"/>
      <c r="S757" s="50"/>
      <c r="T757" s="50"/>
      <c r="U757" s="53"/>
      <c r="V757" s="54"/>
      <c r="W757" s="56"/>
      <c r="X757" s="119"/>
      <c r="Y757" s="113"/>
      <c r="Z757" s="113"/>
      <c r="AH757" s="106"/>
      <c r="AI757" s="106"/>
      <c r="AJ757" s="106"/>
      <c r="AK757" s="106"/>
      <c r="AL757" s="106"/>
      <c r="AM757" s="106"/>
      <c r="AN757" s="106"/>
    </row>
    <row r="758">
      <c r="A758" s="38"/>
      <c r="B758" s="38"/>
      <c r="C758" s="38"/>
      <c r="D758" s="38"/>
      <c r="E758" s="38"/>
      <c r="F758" s="41"/>
      <c r="G758" s="43"/>
      <c r="H758" s="45"/>
      <c r="I758" s="38"/>
      <c r="J758" s="38"/>
      <c r="K758" s="46"/>
      <c r="L758" s="47"/>
      <c r="M758" s="46"/>
      <c r="N758" s="46"/>
      <c r="O758" s="38"/>
      <c r="P758" s="38"/>
      <c r="Q758" s="12"/>
      <c r="R758" s="50"/>
      <c r="S758" s="50"/>
      <c r="T758" s="50"/>
      <c r="U758" s="53"/>
      <c r="V758" s="54"/>
      <c r="W758" s="56"/>
      <c r="X758" s="119"/>
      <c r="Y758" s="113"/>
      <c r="Z758" s="113"/>
      <c r="AH758" s="106"/>
      <c r="AI758" s="106"/>
      <c r="AJ758" s="106"/>
      <c r="AK758" s="106"/>
      <c r="AL758" s="106"/>
      <c r="AM758" s="106"/>
      <c r="AN758" s="106"/>
    </row>
    <row r="759">
      <c r="A759" s="38"/>
      <c r="B759" s="38"/>
      <c r="C759" s="38"/>
      <c r="D759" s="38"/>
      <c r="E759" s="38"/>
      <c r="F759" s="41"/>
      <c r="G759" s="43"/>
      <c r="H759" s="45"/>
      <c r="I759" s="38"/>
      <c r="J759" s="38"/>
      <c r="K759" s="46"/>
      <c r="L759" s="47"/>
      <c r="M759" s="46"/>
      <c r="N759" s="46"/>
      <c r="O759" s="38"/>
      <c r="P759" s="38"/>
      <c r="Q759" s="12"/>
      <c r="R759" s="50"/>
      <c r="S759" s="50"/>
      <c r="T759" s="50"/>
      <c r="U759" s="53"/>
      <c r="V759" s="54"/>
      <c r="W759" s="56"/>
      <c r="X759" s="119"/>
      <c r="Y759" s="113"/>
      <c r="Z759" s="113"/>
      <c r="AH759" s="106"/>
      <c r="AI759" s="106"/>
      <c r="AJ759" s="106"/>
      <c r="AK759" s="106"/>
      <c r="AL759" s="106"/>
      <c r="AM759" s="106"/>
      <c r="AN759" s="106"/>
    </row>
    <row r="760">
      <c r="A760" s="38"/>
      <c r="B760" s="38"/>
      <c r="C760" s="38"/>
      <c r="D760" s="38"/>
      <c r="E760" s="38"/>
      <c r="F760" s="41"/>
      <c r="G760" s="43"/>
      <c r="H760" s="45"/>
      <c r="I760" s="38"/>
      <c r="J760" s="38"/>
      <c r="K760" s="46"/>
      <c r="L760" s="47"/>
      <c r="M760" s="46"/>
      <c r="N760" s="46"/>
      <c r="O760" s="38"/>
      <c r="P760" s="38"/>
      <c r="Q760" s="12"/>
      <c r="R760" s="50"/>
      <c r="S760" s="50"/>
      <c r="T760" s="50"/>
      <c r="U760" s="53"/>
      <c r="V760" s="54"/>
      <c r="W760" s="56"/>
      <c r="X760" s="119"/>
      <c r="Y760" s="113"/>
      <c r="Z760" s="113"/>
      <c r="AH760" s="106"/>
      <c r="AI760" s="106"/>
      <c r="AJ760" s="106"/>
      <c r="AK760" s="106"/>
      <c r="AL760" s="106"/>
      <c r="AM760" s="106"/>
      <c r="AN760" s="106"/>
    </row>
    <row r="761">
      <c r="A761" s="38"/>
      <c r="B761" s="38"/>
      <c r="C761" s="38"/>
      <c r="D761" s="38"/>
      <c r="E761" s="38"/>
      <c r="F761" s="41"/>
      <c r="G761" s="43"/>
      <c r="H761" s="45"/>
      <c r="I761" s="38"/>
      <c r="J761" s="38"/>
      <c r="K761" s="46"/>
      <c r="L761" s="47"/>
      <c r="M761" s="46"/>
      <c r="N761" s="46"/>
      <c r="O761" s="38"/>
      <c r="P761" s="38"/>
      <c r="Q761" s="12"/>
      <c r="R761" s="50"/>
      <c r="S761" s="50"/>
      <c r="T761" s="50"/>
      <c r="U761" s="53"/>
      <c r="V761" s="54"/>
      <c r="W761" s="56"/>
      <c r="X761" s="119"/>
      <c r="Y761" s="113"/>
      <c r="Z761" s="113"/>
      <c r="AH761" s="106"/>
      <c r="AI761" s="106"/>
      <c r="AJ761" s="106"/>
      <c r="AK761" s="106"/>
      <c r="AL761" s="106"/>
      <c r="AM761" s="106"/>
      <c r="AN761" s="106"/>
    </row>
    <row r="762">
      <c r="A762" s="38"/>
      <c r="B762" s="38"/>
      <c r="C762" s="38"/>
      <c r="D762" s="38"/>
      <c r="E762" s="38"/>
      <c r="F762" s="41"/>
      <c r="G762" s="43"/>
      <c r="H762" s="45"/>
      <c r="I762" s="38"/>
      <c r="J762" s="38"/>
      <c r="K762" s="46"/>
      <c r="L762" s="47"/>
      <c r="M762" s="46"/>
      <c r="N762" s="46"/>
      <c r="O762" s="38"/>
      <c r="P762" s="38"/>
      <c r="Q762" s="12"/>
      <c r="R762" s="50"/>
      <c r="S762" s="50"/>
      <c r="T762" s="50"/>
      <c r="U762" s="53"/>
      <c r="V762" s="54"/>
      <c r="W762" s="56"/>
      <c r="X762" s="119"/>
      <c r="Y762" s="113"/>
      <c r="Z762" s="113"/>
      <c r="AH762" s="106"/>
      <c r="AI762" s="106"/>
      <c r="AJ762" s="106"/>
      <c r="AK762" s="106"/>
      <c r="AL762" s="106"/>
      <c r="AM762" s="106"/>
      <c r="AN762" s="106"/>
    </row>
    <row r="763">
      <c r="A763" s="38"/>
      <c r="B763" s="38"/>
      <c r="C763" s="38"/>
      <c r="D763" s="38"/>
      <c r="E763" s="38"/>
      <c r="F763" s="41"/>
      <c r="G763" s="43"/>
      <c r="H763" s="45"/>
      <c r="I763" s="38"/>
      <c r="J763" s="38"/>
      <c r="K763" s="46"/>
      <c r="L763" s="47"/>
      <c r="M763" s="46"/>
      <c r="N763" s="46"/>
      <c r="O763" s="38"/>
      <c r="P763" s="38"/>
      <c r="Q763" s="12"/>
      <c r="R763" s="50"/>
      <c r="S763" s="50"/>
      <c r="T763" s="50"/>
      <c r="U763" s="53"/>
      <c r="V763" s="54"/>
      <c r="W763" s="56"/>
      <c r="X763" s="119"/>
      <c r="Y763" s="113"/>
      <c r="Z763" s="113"/>
      <c r="AH763" s="106"/>
      <c r="AI763" s="106"/>
      <c r="AJ763" s="106"/>
      <c r="AK763" s="106"/>
      <c r="AL763" s="106"/>
      <c r="AM763" s="106"/>
      <c r="AN763" s="106"/>
    </row>
    <row r="764">
      <c r="A764" s="38"/>
      <c r="B764" s="38"/>
      <c r="C764" s="38"/>
      <c r="D764" s="38"/>
      <c r="E764" s="38"/>
      <c r="F764" s="41"/>
      <c r="G764" s="43"/>
      <c r="H764" s="45"/>
      <c r="I764" s="38"/>
      <c r="J764" s="38"/>
      <c r="K764" s="46"/>
      <c r="L764" s="47"/>
      <c r="M764" s="46"/>
      <c r="N764" s="46"/>
      <c r="O764" s="38"/>
      <c r="P764" s="38"/>
      <c r="Q764" s="12"/>
      <c r="R764" s="50"/>
      <c r="S764" s="50"/>
      <c r="T764" s="50"/>
      <c r="U764" s="53"/>
      <c r="V764" s="54"/>
      <c r="W764" s="56"/>
      <c r="X764" s="119"/>
      <c r="Y764" s="113"/>
      <c r="Z764" s="113"/>
      <c r="AH764" s="106"/>
      <c r="AI764" s="106"/>
      <c r="AJ764" s="106"/>
      <c r="AK764" s="106"/>
      <c r="AL764" s="106"/>
      <c r="AM764" s="106"/>
      <c r="AN764" s="106"/>
    </row>
    <row r="765">
      <c r="A765" s="38"/>
      <c r="B765" s="38"/>
      <c r="C765" s="38"/>
      <c r="D765" s="38"/>
      <c r="E765" s="38"/>
      <c r="F765" s="41"/>
      <c r="G765" s="43"/>
      <c r="H765" s="45"/>
      <c r="I765" s="38"/>
      <c r="J765" s="38"/>
      <c r="K765" s="46"/>
      <c r="L765" s="47"/>
      <c r="M765" s="46"/>
      <c r="N765" s="46"/>
      <c r="O765" s="38"/>
      <c r="P765" s="38"/>
      <c r="Q765" s="12"/>
      <c r="R765" s="50"/>
      <c r="S765" s="50"/>
      <c r="T765" s="50"/>
      <c r="U765" s="53"/>
      <c r="V765" s="54"/>
      <c r="W765" s="56"/>
      <c r="X765" s="119"/>
      <c r="Y765" s="113"/>
      <c r="Z765" s="113"/>
      <c r="AH765" s="106"/>
      <c r="AI765" s="106"/>
      <c r="AJ765" s="106"/>
      <c r="AK765" s="106"/>
      <c r="AL765" s="106"/>
      <c r="AM765" s="106"/>
      <c r="AN765" s="106"/>
    </row>
    <row r="766">
      <c r="A766" s="38"/>
      <c r="B766" s="38"/>
      <c r="C766" s="38"/>
      <c r="D766" s="38"/>
      <c r="E766" s="38"/>
      <c r="F766" s="41"/>
      <c r="G766" s="43"/>
      <c r="H766" s="45"/>
      <c r="I766" s="38"/>
      <c r="J766" s="38"/>
      <c r="K766" s="46"/>
      <c r="L766" s="47"/>
      <c r="M766" s="46"/>
      <c r="N766" s="46"/>
      <c r="O766" s="38"/>
      <c r="P766" s="38"/>
      <c r="Q766" s="12"/>
      <c r="R766" s="50"/>
      <c r="S766" s="50"/>
      <c r="T766" s="50"/>
      <c r="U766" s="53"/>
      <c r="V766" s="54"/>
      <c r="W766" s="56"/>
      <c r="X766" s="119"/>
      <c r="Y766" s="113"/>
      <c r="Z766" s="113"/>
      <c r="AH766" s="106"/>
      <c r="AI766" s="106"/>
      <c r="AJ766" s="106"/>
      <c r="AK766" s="106"/>
      <c r="AL766" s="106"/>
      <c r="AM766" s="106"/>
      <c r="AN766" s="106"/>
    </row>
    <row r="767">
      <c r="A767" s="38"/>
      <c r="B767" s="38"/>
      <c r="C767" s="38"/>
      <c r="D767" s="38"/>
      <c r="E767" s="38"/>
      <c r="F767" s="41"/>
      <c r="G767" s="43"/>
      <c r="H767" s="45"/>
      <c r="I767" s="38"/>
      <c r="J767" s="38"/>
      <c r="K767" s="46"/>
      <c r="L767" s="47"/>
      <c r="M767" s="46"/>
      <c r="N767" s="46"/>
      <c r="O767" s="38"/>
      <c r="P767" s="38"/>
      <c r="Q767" s="12"/>
      <c r="R767" s="50"/>
      <c r="S767" s="50"/>
      <c r="T767" s="50"/>
      <c r="U767" s="53"/>
      <c r="V767" s="54"/>
      <c r="W767" s="56"/>
      <c r="X767" s="119"/>
      <c r="Y767" s="113"/>
      <c r="Z767" s="113"/>
      <c r="AH767" s="106"/>
      <c r="AI767" s="106"/>
      <c r="AJ767" s="106"/>
      <c r="AK767" s="106"/>
      <c r="AL767" s="106"/>
      <c r="AM767" s="106"/>
      <c r="AN767" s="106"/>
    </row>
    <row r="768">
      <c r="A768" s="38"/>
      <c r="B768" s="38"/>
      <c r="C768" s="38"/>
      <c r="D768" s="38"/>
      <c r="E768" s="38"/>
      <c r="F768" s="41"/>
      <c r="G768" s="43"/>
      <c r="H768" s="45"/>
      <c r="I768" s="38"/>
      <c r="J768" s="38"/>
      <c r="K768" s="46"/>
      <c r="L768" s="47"/>
      <c r="M768" s="46"/>
      <c r="N768" s="46"/>
      <c r="O768" s="38"/>
      <c r="P768" s="38"/>
      <c r="Q768" s="12"/>
      <c r="R768" s="50"/>
      <c r="S768" s="50"/>
      <c r="T768" s="50"/>
      <c r="U768" s="53"/>
      <c r="V768" s="54"/>
      <c r="W768" s="56"/>
      <c r="X768" s="119"/>
      <c r="Y768" s="113"/>
      <c r="Z768" s="113"/>
      <c r="AH768" s="106"/>
      <c r="AI768" s="106"/>
      <c r="AJ768" s="106"/>
      <c r="AK768" s="106"/>
      <c r="AL768" s="106"/>
      <c r="AM768" s="106"/>
      <c r="AN768" s="106"/>
    </row>
    <row r="769">
      <c r="A769" s="38"/>
      <c r="B769" s="38"/>
      <c r="C769" s="38"/>
      <c r="D769" s="38"/>
      <c r="E769" s="38"/>
      <c r="F769" s="41"/>
      <c r="G769" s="43"/>
      <c r="H769" s="45"/>
      <c r="I769" s="38"/>
      <c r="J769" s="38"/>
      <c r="K769" s="46"/>
      <c r="L769" s="47"/>
      <c r="M769" s="46"/>
      <c r="N769" s="46"/>
      <c r="O769" s="38"/>
      <c r="P769" s="38"/>
      <c r="Q769" s="12"/>
      <c r="R769" s="50"/>
      <c r="S769" s="50"/>
      <c r="T769" s="50"/>
      <c r="U769" s="53"/>
      <c r="V769" s="54"/>
      <c r="W769" s="56"/>
      <c r="X769" s="119"/>
      <c r="Y769" s="113"/>
      <c r="Z769" s="113"/>
      <c r="AH769" s="106"/>
      <c r="AI769" s="106"/>
      <c r="AJ769" s="106"/>
      <c r="AK769" s="106"/>
      <c r="AL769" s="106"/>
      <c r="AM769" s="106"/>
      <c r="AN769" s="106"/>
    </row>
    <row r="770">
      <c r="A770" s="38"/>
      <c r="B770" s="38"/>
      <c r="C770" s="38"/>
      <c r="D770" s="38"/>
      <c r="E770" s="38"/>
      <c r="F770" s="41"/>
      <c r="G770" s="43"/>
      <c r="H770" s="45"/>
      <c r="I770" s="38"/>
      <c r="J770" s="38"/>
      <c r="K770" s="46"/>
      <c r="L770" s="47"/>
      <c r="M770" s="46"/>
      <c r="N770" s="46"/>
      <c r="O770" s="38"/>
      <c r="P770" s="38"/>
      <c r="Q770" s="12"/>
      <c r="R770" s="50"/>
      <c r="S770" s="50"/>
      <c r="T770" s="50"/>
      <c r="U770" s="53"/>
      <c r="V770" s="54"/>
      <c r="W770" s="56"/>
      <c r="X770" s="119"/>
      <c r="Y770" s="113"/>
      <c r="Z770" s="113"/>
      <c r="AH770" s="106"/>
      <c r="AI770" s="106"/>
      <c r="AJ770" s="106"/>
      <c r="AK770" s="106"/>
      <c r="AL770" s="106"/>
      <c r="AM770" s="106"/>
      <c r="AN770" s="106"/>
    </row>
    <row r="771">
      <c r="A771" s="38"/>
      <c r="B771" s="38"/>
      <c r="C771" s="38"/>
      <c r="D771" s="38"/>
      <c r="E771" s="38"/>
      <c r="F771" s="41"/>
      <c r="G771" s="43"/>
      <c r="H771" s="45"/>
      <c r="I771" s="38"/>
      <c r="J771" s="38"/>
      <c r="K771" s="46"/>
      <c r="L771" s="47"/>
      <c r="M771" s="46"/>
      <c r="N771" s="46"/>
      <c r="O771" s="38"/>
      <c r="P771" s="38"/>
      <c r="Q771" s="12"/>
      <c r="R771" s="50"/>
      <c r="S771" s="50"/>
      <c r="T771" s="50"/>
      <c r="U771" s="53"/>
      <c r="V771" s="54"/>
      <c r="W771" s="56"/>
      <c r="X771" s="119"/>
      <c r="Y771" s="113"/>
      <c r="Z771" s="113"/>
      <c r="AH771" s="106"/>
      <c r="AI771" s="106"/>
      <c r="AJ771" s="106"/>
      <c r="AK771" s="106"/>
      <c r="AL771" s="106"/>
      <c r="AM771" s="106"/>
      <c r="AN771" s="106"/>
    </row>
    <row r="772">
      <c r="A772" s="38"/>
      <c r="B772" s="38"/>
      <c r="C772" s="38"/>
      <c r="D772" s="38"/>
      <c r="E772" s="38"/>
      <c r="F772" s="41"/>
      <c r="G772" s="43"/>
      <c r="H772" s="45"/>
      <c r="I772" s="38"/>
      <c r="J772" s="38"/>
      <c r="K772" s="46"/>
      <c r="L772" s="47"/>
      <c r="M772" s="46"/>
      <c r="N772" s="46"/>
      <c r="O772" s="38"/>
      <c r="P772" s="38"/>
      <c r="Q772" s="12"/>
      <c r="R772" s="50"/>
      <c r="S772" s="50"/>
      <c r="T772" s="50"/>
      <c r="U772" s="53"/>
      <c r="V772" s="54"/>
      <c r="W772" s="56"/>
      <c r="X772" s="119"/>
      <c r="Y772" s="113"/>
      <c r="Z772" s="113"/>
      <c r="AH772" s="106"/>
      <c r="AI772" s="106"/>
      <c r="AJ772" s="106"/>
      <c r="AK772" s="106"/>
      <c r="AL772" s="106"/>
      <c r="AM772" s="106"/>
      <c r="AN772" s="106"/>
    </row>
    <row r="773">
      <c r="A773" s="38"/>
      <c r="B773" s="38"/>
      <c r="C773" s="38"/>
      <c r="D773" s="38"/>
      <c r="E773" s="38"/>
      <c r="F773" s="41"/>
      <c r="G773" s="43"/>
      <c r="H773" s="45"/>
      <c r="I773" s="38"/>
      <c r="J773" s="38"/>
      <c r="K773" s="46"/>
      <c r="L773" s="47"/>
      <c r="M773" s="46"/>
      <c r="N773" s="46"/>
      <c r="O773" s="38"/>
      <c r="P773" s="38"/>
      <c r="Q773" s="12"/>
      <c r="R773" s="50"/>
      <c r="S773" s="50"/>
      <c r="T773" s="50"/>
      <c r="U773" s="53"/>
      <c r="V773" s="54"/>
      <c r="W773" s="56"/>
      <c r="X773" s="119"/>
      <c r="Y773" s="113"/>
      <c r="Z773" s="113"/>
      <c r="AH773" s="106"/>
      <c r="AI773" s="106"/>
      <c r="AJ773" s="106"/>
      <c r="AK773" s="106"/>
      <c r="AL773" s="106"/>
      <c r="AM773" s="106"/>
      <c r="AN773" s="106"/>
    </row>
    <row r="774">
      <c r="A774" s="38"/>
      <c r="B774" s="38"/>
      <c r="C774" s="38"/>
      <c r="D774" s="38"/>
      <c r="E774" s="38"/>
      <c r="F774" s="41"/>
      <c r="G774" s="43"/>
      <c r="H774" s="45"/>
      <c r="I774" s="38"/>
      <c r="J774" s="38"/>
      <c r="K774" s="46"/>
      <c r="L774" s="47"/>
      <c r="M774" s="46"/>
      <c r="N774" s="46"/>
      <c r="O774" s="38"/>
      <c r="P774" s="38"/>
      <c r="Q774" s="12"/>
      <c r="R774" s="50"/>
      <c r="S774" s="50"/>
      <c r="T774" s="50"/>
      <c r="U774" s="53"/>
      <c r="V774" s="54"/>
      <c r="W774" s="56"/>
      <c r="X774" s="119"/>
      <c r="Y774" s="113"/>
      <c r="Z774" s="113"/>
      <c r="AH774" s="106"/>
      <c r="AI774" s="106"/>
      <c r="AJ774" s="106"/>
      <c r="AK774" s="106"/>
      <c r="AL774" s="106"/>
      <c r="AM774" s="106"/>
      <c r="AN774" s="106"/>
    </row>
    <row r="775">
      <c r="A775" s="38"/>
      <c r="B775" s="38"/>
      <c r="C775" s="39"/>
      <c r="D775" s="38"/>
      <c r="E775" s="38"/>
      <c r="F775" s="41"/>
      <c r="G775" s="43"/>
      <c r="H775" s="45"/>
      <c r="I775" s="38"/>
      <c r="J775" s="38"/>
      <c r="K775" s="46"/>
      <c r="L775" s="47"/>
      <c r="M775" s="46"/>
      <c r="N775" s="46"/>
      <c r="O775" s="38"/>
      <c r="P775" s="38"/>
      <c r="Q775" s="12"/>
      <c r="R775" s="50"/>
      <c r="S775" s="50"/>
      <c r="T775" s="50"/>
      <c r="U775" s="53"/>
      <c r="V775" s="54"/>
      <c r="W775" s="56"/>
      <c r="X775" s="119"/>
      <c r="Y775" s="113"/>
      <c r="Z775" s="113"/>
      <c r="AH775" s="106"/>
      <c r="AI775" s="106"/>
      <c r="AJ775" s="106"/>
      <c r="AK775" s="106"/>
      <c r="AL775" s="106"/>
      <c r="AM775" s="106"/>
      <c r="AN775" s="106"/>
    </row>
    <row r="776">
      <c r="A776" s="38"/>
      <c r="B776" s="38"/>
      <c r="C776" s="38"/>
      <c r="D776" s="38"/>
      <c r="E776" s="38"/>
      <c r="F776" s="41"/>
      <c r="G776" s="43"/>
      <c r="H776" s="45"/>
      <c r="I776" s="38"/>
      <c r="J776" s="38"/>
      <c r="K776" s="46"/>
      <c r="L776" s="47"/>
      <c r="M776" s="46"/>
      <c r="N776" s="46"/>
      <c r="O776" s="38"/>
      <c r="P776" s="38"/>
      <c r="Q776" s="12"/>
      <c r="R776" s="50"/>
      <c r="S776" s="50"/>
      <c r="T776" s="50"/>
      <c r="U776" s="53"/>
      <c r="V776" s="54"/>
      <c r="W776" s="56"/>
      <c r="X776" s="119"/>
      <c r="Y776" s="113"/>
      <c r="Z776" s="113"/>
      <c r="AH776" s="106"/>
      <c r="AI776" s="106"/>
      <c r="AJ776" s="106"/>
      <c r="AK776" s="106"/>
      <c r="AL776" s="106"/>
      <c r="AM776" s="106"/>
      <c r="AN776" s="106"/>
    </row>
    <row r="777">
      <c r="A777" s="38"/>
      <c r="B777" s="38"/>
      <c r="C777" s="38"/>
      <c r="D777" s="38"/>
      <c r="E777" s="38"/>
      <c r="F777" s="41"/>
      <c r="G777" s="43"/>
      <c r="H777" s="45"/>
      <c r="I777" s="38"/>
      <c r="J777" s="38"/>
      <c r="K777" s="46"/>
      <c r="L777" s="47"/>
      <c r="M777" s="46"/>
      <c r="N777" s="46"/>
      <c r="O777" s="38"/>
      <c r="P777" s="38"/>
      <c r="Q777" s="12"/>
      <c r="R777" s="50"/>
      <c r="S777" s="50"/>
      <c r="T777" s="50"/>
      <c r="U777" s="53"/>
      <c r="V777" s="54"/>
      <c r="W777" s="56"/>
      <c r="X777" s="119"/>
      <c r="Y777" s="113"/>
      <c r="Z777" s="113"/>
      <c r="AH777" s="106"/>
      <c r="AI777" s="106"/>
      <c r="AJ777" s="106"/>
      <c r="AK777" s="106"/>
      <c r="AL777" s="106"/>
      <c r="AM777" s="106"/>
      <c r="AN777" s="106"/>
    </row>
    <row r="778">
      <c r="A778" s="38"/>
      <c r="B778" s="38"/>
      <c r="C778" s="38"/>
      <c r="D778" s="38"/>
      <c r="E778" s="38"/>
      <c r="F778" s="41"/>
      <c r="G778" s="43"/>
      <c r="H778" s="45"/>
      <c r="I778" s="38"/>
      <c r="J778" s="38"/>
      <c r="K778" s="46"/>
      <c r="L778" s="47"/>
      <c r="M778" s="46"/>
      <c r="N778" s="46"/>
      <c r="O778" s="38"/>
      <c r="P778" s="38"/>
      <c r="Q778" s="12"/>
      <c r="R778" s="50"/>
      <c r="S778" s="50"/>
      <c r="T778" s="50"/>
      <c r="U778" s="53"/>
      <c r="V778" s="54"/>
      <c r="W778" s="56"/>
      <c r="X778" s="119"/>
      <c r="Y778" s="113"/>
      <c r="Z778" s="113"/>
      <c r="AH778" s="106"/>
      <c r="AI778" s="106"/>
      <c r="AJ778" s="106"/>
      <c r="AK778" s="106"/>
      <c r="AL778" s="106"/>
      <c r="AM778" s="106"/>
      <c r="AN778" s="106"/>
    </row>
    <row r="779">
      <c r="A779" s="38"/>
      <c r="B779" s="38"/>
      <c r="C779" s="38"/>
      <c r="D779" s="38"/>
      <c r="E779" s="38"/>
      <c r="F779" s="41"/>
      <c r="G779" s="43"/>
      <c r="H779" s="45"/>
      <c r="I779" s="38"/>
      <c r="J779" s="38"/>
      <c r="K779" s="46"/>
      <c r="L779" s="47"/>
      <c r="M779" s="46"/>
      <c r="N779" s="46"/>
      <c r="O779" s="38"/>
      <c r="P779" s="38"/>
      <c r="Q779" s="12"/>
      <c r="R779" s="50"/>
      <c r="S779" s="50"/>
      <c r="T779" s="50"/>
      <c r="U779" s="53"/>
      <c r="V779" s="54"/>
      <c r="W779" s="56"/>
      <c r="X779" s="119"/>
      <c r="Y779" s="113"/>
      <c r="Z779" s="113"/>
      <c r="AH779" s="106"/>
      <c r="AI779" s="106"/>
      <c r="AJ779" s="106"/>
      <c r="AK779" s="106"/>
      <c r="AL779" s="106"/>
      <c r="AM779" s="106"/>
      <c r="AN779" s="106"/>
    </row>
    <row r="780">
      <c r="A780" s="38"/>
      <c r="B780" s="38"/>
      <c r="C780" s="38"/>
      <c r="D780" s="38"/>
      <c r="E780" s="38"/>
      <c r="F780" s="41"/>
      <c r="G780" s="43"/>
      <c r="H780" s="45"/>
      <c r="I780" s="38"/>
      <c r="J780" s="38"/>
      <c r="K780" s="46"/>
      <c r="L780" s="47"/>
      <c r="M780" s="46"/>
      <c r="N780" s="46"/>
      <c r="O780" s="38"/>
      <c r="P780" s="38"/>
      <c r="Q780" s="12"/>
      <c r="R780" s="50"/>
      <c r="S780" s="50"/>
      <c r="T780" s="50"/>
      <c r="U780" s="53"/>
      <c r="V780" s="54"/>
      <c r="W780" s="56"/>
      <c r="X780" s="119"/>
      <c r="Y780" s="113"/>
      <c r="Z780" s="113"/>
      <c r="AH780" s="106"/>
      <c r="AI780" s="106"/>
      <c r="AJ780" s="106"/>
      <c r="AK780" s="106"/>
      <c r="AL780" s="106"/>
      <c r="AM780" s="106"/>
      <c r="AN780" s="106"/>
    </row>
    <row r="781">
      <c r="A781" s="38"/>
      <c r="B781" s="38"/>
      <c r="C781" s="38"/>
      <c r="D781" s="38"/>
      <c r="E781" s="38"/>
      <c r="F781" s="41"/>
      <c r="G781" s="43"/>
      <c r="H781" s="45"/>
      <c r="I781" s="38"/>
      <c r="J781" s="38"/>
      <c r="K781" s="46"/>
      <c r="L781" s="47"/>
      <c r="M781" s="46"/>
      <c r="N781" s="46"/>
      <c r="O781" s="38"/>
      <c r="P781" s="38"/>
      <c r="Q781" s="12"/>
      <c r="R781" s="50"/>
      <c r="S781" s="50"/>
      <c r="T781" s="50"/>
      <c r="U781" s="53"/>
      <c r="V781" s="54"/>
      <c r="W781" s="56"/>
      <c r="X781" s="119"/>
      <c r="Y781" s="113"/>
      <c r="Z781" s="113"/>
      <c r="AH781" s="106"/>
      <c r="AI781" s="106"/>
      <c r="AJ781" s="106"/>
      <c r="AK781" s="106"/>
      <c r="AL781" s="106"/>
      <c r="AM781" s="106"/>
      <c r="AN781" s="106"/>
    </row>
    <row r="782">
      <c r="A782" s="38"/>
      <c r="B782" s="38"/>
      <c r="C782" s="38"/>
      <c r="D782" s="38"/>
      <c r="E782" s="38"/>
      <c r="F782" s="41"/>
      <c r="G782" s="43"/>
      <c r="H782" s="45"/>
      <c r="I782" s="38"/>
      <c r="J782" s="38"/>
      <c r="K782" s="46"/>
      <c r="L782" s="47"/>
      <c r="M782" s="46"/>
      <c r="N782" s="46"/>
      <c r="O782" s="38"/>
      <c r="P782" s="38"/>
      <c r="Q782" s="12"/>
      <c r="R782" s="50"/>
      <c r="S782" s="50"/>
      <c r="T782" s="50"/>
      <c r="U782" s="53"/>
      <c r="V782" s="54"/>
      <c r="W782" s="56"/>
      <c r="X782" s="119"/>
      <c r="Y782" s="113"/>
      <c r="Z782" s="113"/>
      <c r="AH782" s="106"/>
      <c r="AI782" s="106"/>
      <c r="AJ782" s="106"/>
      <c r="AK782" s="106"/>
      <c r="AL782" s="106"/>
      <c r="AM782" s="106"/>
      <c r="AN782" s="106"/>
    </row>
    <row r="783">
      <c r="A783" s="38"/>
      <c r="B783" s="38"/>
      <c r="C783" s="38"/>
      <c r="D783" s="38"/>
      <c r="E783" s="38"/>
      <c r="F783" s="41"/>
      <c r="G783" s="43"/>
      <c r="H783" s="45"/>
      <c r="I783" s="38"/>
      <c r="J783" s="38"/>
      <c r="K783" s="46"/>
      <c r="L783" s="47"/>
      <c r="M783" s="46"/>
      <c r="N783" s="46"/>
      <c r="O783" s="38"/>
      <c r="P783" s="38"/>
      <c r="Q783" s="12"/>
      <c r="R783" s="50"/>
      <c r="S783" s="50"/>
      <c r="T783" s="50"/>
      <c r="U783" s="53"/>
      <c r="V783" s="54"/>
      <c r="W783" s="56"/>
      <c r="X783" s="119"/>
      <c r="Y783" s="113"/>
      <c r="Z783" s="113"/>
      <c r="AH783" s="106"/>
      <c r="AI783" s="106"/>
      <c r="AJ783" s="106"/>
      <c r="AK783" s="106"/>
      <c r="AL783" s="106"/>
      <c r="AM783" s="106"/>
      <c r="AN783" s="106"/>
    </row>
    <row r="784">
      <c r="A784" s="38"/>
      <c r="B784" s="38"/>
      <c r="C784" s="38"/>
      <c r="D784" s="38"/>
      <c r="E784" s="38"/>
      <c r="F784" s="41"/>
      <c r="G784" s="43"/>
      <c r="H784" s="45"/>
      <c r="I784" s="38"/>
      <c r="J784" s="38"/>
      <c r="K784" s="46"/>
      <c r="L784" s="47"/>
      <c r="M784" s="46"/>
      <c r="N784" s="46"/>
      <c r="O784" s="38"/>
      <c r="P784" s="38"/>
      <c r="Q784" s="12"/>
      <c r="R784" s="50"/>
      <c r="S784" s="50"/>
      <c r="T784" s="50"/>
      <c r="U784" s="53"/>
      <c r="V784" s="54"/>
      <c r="W784" s="56"/>
      <c r="X784" s="119"/>
      <c r="Y784" s="113"/>
      <c r="Z784" s="113"/>
      <c r="AH784" s="106"/>
      <c r="AI784" s="106"/>
      <c r="AJ784" s="106"/>
      <c r="AK784" s="106"/>
      <c r="AL784" s="106"/>
      <c r="AM784" s="106"/>
      <c r="AN784" s="106"/>
    </row>
    <row r="785">
      <c r="A785" s="38"/>
      <c r="B785" s="38"/>
      <c r="C785" s="38"/>
      <c r="D785" s="38"/>
      <c r="E785" s="38"/>
      <c r="F785" s="41"/>
      <c r="G785" s="43"/>
      <c r="H785" s="45"/>
      <c r="I785" s="38"/>
      <c r="J785" s="38"/>
      <c r="K785" s="46"/>
      <c r="L785" s="47"/>
      <c r="M785" s="46"/>
      <c r="N785" s="46"/>
      <c r="O785" s="38"/>
      <c r="P785" s="38"/>
      <c r="Q785" s="12"/>
      <c r="R785" s="50"/>
      <c r="S785" s="50"/>
      <c r="T785" s="50"/>
      <c r="U785" s="53"/>
      <c r="V785" s="54"/>
      <c r="W785" s="56"/>
      <c r="X785" s="119"/>
      <c r="Y785" s="113"/>
      <c r="Z785" s="113"/>
      <c r="AH785" s="106"/>
      <c r="AI785" s="106"/>
      <c r="AJ785" s="106"/>
      <c r="AK785" s="106"/>
      <c r="AL785" s="106"/>
      <c r="AM785" s="106"/>
      <c r="AN785" s="106"/>
    </row>
    <row r="786">
      <c r="A786" s="38"/>
      <c r="B786" s="38"/>
      <c r="C786" s="38"/>
      <c r="D786" s="38"/>
      <c r="E786" s="38"/>
      <c r="F786" s="41"/>
      <c r="G786" s="43"/>
      <c r="H786" s="45"/>
      <c r="I786" s="38"/>
      <c r="J786" s="38"/>
      <c r="K786" s="46"/>
      <c r="L786" s="47"/>
      <c r="M786" s="46"/>
      <c r="N786" s="46"/>
      <c r="O786" s="38"/>
      <c r="P786" s="38"/>
      <c r="Q786" s="12"/>
      <c r="R786" s="50"/>
      <c r="S786" s="50"/>
      <c r="T786" s="50"/>
      <c r="U786" s="53"/>
      <c r="V786" s="54"/>
      <c r="W786" s="56"/>
      <c r="X786" s="119"/>
      <c r="Y786" s="113"/>
      <c r="Z786" s="113"/>
      <c r="AH786" s="106"/>
      <c r="AI786" s="106"/>
      <c r="AJ786" s="106"/>
      <c r="AK786" s="106"/>
      <c r="AL786" s="106"/>
      <c r="AM786" s="106"/>
      <c r="AN786" s="106"/>
    </row>
    <row r="787">
      <c r="A787" s="38"/>
      <c r="B787" s="38"/>
      <c r="C787" s="38"/>
      <c r="D787" s="38"/>
      <c r="E787" s="38"/>
      <c r="F787" s="41"/>
      <c r="G787" s="43"/>
      <c r="H787" s="45"/>
      <c r="I787" s="38"/>
      <c r="J787" s="38"/>
      <c r="K787" s="46"/>
      <c r="L787" s="47"/>
      <c r="M787" s="46"/>
      <c r="N787" s="46"/>
      <c r="O787" s="38"/>
      <c r="P787" s="38"/>
      <c r="Q787" s="12"/>
      <c r="R787" s="50"/>
      <c r="S787" s="50"/>
      <c r="T787" s="50"/>
      <c r="U787" s="53"/>
      <c r="V787" s="54"/>
      <c r="W787" s="56"/>
      <c r="X787" s="119"/>
      <c r="Y787" s="113"/>
      <c r="Z787" s="113"/>
      <c r="AH787" s="106"/>
      <c r="AI787" s="106"/>
      <c r="AJ787" s="106"/>
      <c r="AK787" s="106"/>
      <c r="AL787" s="106"/>
      <c r="AM787" s="106"/>
      <c r="AN787" s="106"/>
    </row>
    <row r="788">
      <c r="A788" s="38"/>
      <c r="B788" s="38"/>
      <c r="C788" s="38"/>
      <c r="D788" s="38"/>
      <c r="E788" s="38"/>
      <c r="F788" s="41"/>
      <c r="G788" s="43"/>
      <c r="H788" s="45"/>
      <c r="I788" s="38"/>
      <c r="J788" s="38"/>
      <c r="K788" s="46"/>
      <c r="L788" s="47"/>
      <c r="M788" s="46"/>
      <c r="N788" s="46"/>
      <c r="O788" s="38"/>
      <c r="P788" s="38"/>
      <c r="Q788" s="12"/>
      <c r="R788" s="50"/>
      <c r="S788" s="50"/>
      <c r="T788" s="50"/>
      <c r="U788" s="53"/>
      <c r="V788" s="54"/>
      <c r="W788" s="56"/>
      <c r="X788" s="119"/>
      <c r="Y788" s="113"/>
      <c r="Z788" s="113"/>
      <c r="AH788" s="106"/>
      <c r="AI788" s="106"/>
      <c r="AJ788" s="106"/>
      <c r="AK788" s="106"/>
      <c r="AL788" s="106"/>
      <c r="AM788" s="106"/>
      <c r="AN788" s="106"/>
    </row>
    <row r="789">
      <c r="A789" s="38"/>
      <c r="B789" s="38"/>
      <c r="C789" s="38"/>
      <c r="D789" s="38"/>
      <c r="E789" s="38"/>
      <c r="F789" s="41"/>
      <c r="G789" s="43"/>
      <c r="H789" s="45"/>
      <c r="I789" s="38"/>
      <c r="J789" s="38"/>
      <c r="K789" s="46"/>
      <c r="L789" s="47"/>
      <c r="M789" s="46"/>
      <c r="N789" s="46"/>
      <c r="O789" s="38"/>
      <c r="P789" s="38"/>
      <c r="Q789" s="12"/>
      <c r="R789" s="50"/>
      <c r="S789" s="50"/>
      <c r="T789" s="50"/>
      <c r="U789" s="53"/>
      <c r="V789" s="54"/>
      <c r="W789" s="56"/>
      <c r="X789" s="119"/>
      <c r="Y789" s="113"/>
      <c r="Z789" s="113"/>
      <c r="AH789" s="106"/>
      <c r="AI789" s="106"/>
      <c r="AJ789" s="106"/>
      <c r="AK789" s="106"/>
      <c r="AL789" s="106"/>
      <c r="AM789" s="106"/>
      <c r="AN789" s="106"/>
    </row>
    <row r="790">
      <c r="A790" s="38"/>
      <c r="B790" s="38"/>
      <c r="C790" s="38"/>
      <c r="D790" s="38"/>
      <c r="E790" s="38"/>
      <c r="F790" s="41"/>
      <c r="G790" s="43"/>
      <c r="H790" s="45"/>
      <c r="I790" s="38"/>
      <c r="J790" s="38"/>
      <c r="K790" s="46"/>
      <c r="L790" s="47"/>
      <c r="M790" s="46"/>
      <c r="N790" s="46"/>
      <c r="O790" s="38"/>
      <c r="P790" s="38"/>
      <c r="Q790" s="12"/>
      <c r="R790" s="50"/>
      <c r="S790" s="50"/>
      <c r="T790" s="50"/>
      <c r="U790" s="53"/>
      <c r="V790" s="54"/>
      <c r="W790" s="56"/>
      <c r="X790" s="119"/>
      <c r="Y790" s="113"/>
      <c r="Z790" s="113"/>
      <c r="AH790" s="106"/>
      <c r="AI790" s="106"/>
      <c r="AJ790" s="106"/>
      <c r="AK790" s="106"/>
      <c r="AL790" s="106"/>
      <c r="AM790" s="106"/>
      <c r="AN790" s="106"/>
    </row>
    <row r="791">
      <c r="A791" s="38"/>
      <c r="B791" s="38"/>
      <c r="C791" s="38"/>
      <c r="D791" s="38"/>
      <c r="E791" s="38"/>
      <c r="F791" s="41"/>
      <c r="G791" s="43"/>
      <c r="H791" s="45"/>
      <c r="I791" s="38"/>
      <c r="J791" s="38"/>
      <c r="K791" s="46"/>
      <c r="L791" s="47"/>
      <c r="M791" s="46"/>
      <c r="N791" s="46"/>
      <c r="O791" s="38"/>
      <c r="P791" s="38"/>
      <c r="Q791" s="12"/>
      <c r="R791" s="50"/>
      <c r="S791" s="50"/>
      <c r="T791" s="50"/>
      <c r="U791" s="53"/>
      <c r="V791" s="54"/>
      <c r="W791" s="56"/>
      <c r="X791" s="119"/>
      <c r="Y791" s="113"/>
      <c r="Z791" s="113"/>
      <c r="AH791" s="106"/>
      <c r="AI791" s="106"/>
      <c r="AJ791" s="106"/>
      <c r="AK791" s="106"/>
      <c r="AL791" s="106"/>
      <c r="AM791" s="106"/>
      <c r="AN791" s="106"/>
    </row>
    <row r="792">
      <c r="A792" s="38"/>
      <c r="B792" s="38"/>
      <c r="C792" s="38"/>
      <c r="D792" s="38"/>
      <c r="E792" s="38"/>
      <c r="F792" s="41"/>
      <c r="G792" s="43"/>
      <c r="H792" s="45"/>
      <c r="I792" s="38"/>
      <c r="J792" s="38"/>
      <c r="K792" s="46"/>
      <c r="L792" s="47"/>
      <c r="M792" s="46"/>
      <c r="N792" s="46"/>
      <c r="O792" s="38"/>
      <c r="P792" s="38"/>
      <c r="Q792" s="12"/>
      <c r="R792" s="50"/>
      <c r="S792" s="50"/>
      <c r="T792" s="50"/>
      <c r="U792" s="53"/>
      <c r="V792" s="54"/>
      <c r="W792" s="56"/>
      <c r="X792" s="119"/>
      <c r="Y792" s="113"/>
      <c r="Z792" s="113"/>
      <c r="AH792" s="106"/>
      <c r="AI792" s="106"/>
      <c r="AJ792" s="106"/>
      <c r="AK792" s="106"/>
      <c r="AL792" s="106"/>
      <c r="AM792" s="106"/>
      <c r="AN792" s="106"/>
    </row>
    <row r="793">
      <c r="A793" s="38"/>
      <c r="B793" s="38"/>
      <c r="C793" s="38"/>
      <c r="D793" s="38"/>
      <c r="E793" s="38"/>
      <c r="F793" s="41"/>
      <c r="G793" s="43"/>
      <c r="H793" s="45"/>
      <c r="I793" s="38"/>
      <c r="J793" s="38"/>
      <c r="K793" s="46"/>
      <c r="L793" s="47"/>
      <c r="M793" s="46"/>
      <c r="N793" s="46"/>
      <c r="O793" s="38"/>
      <c r="P793" s="38"/>
      <c r="Q793" s="12"/>
      <c r="R793" s="50"/>
      <c r="S793" s="50"/>
      <c r="T793" s="50"/>
      <c r="U793" s="53"/>
      <c r="V793" s="54"/>
      <c r="W793" s="56"/>
      <c r="X793" s="119"/>
      <c r="Y793" s="113"/>
      <c r="Z793" s="113"/>
      <c r="AH793" s="106"/>
      <c r="AI793" s="106"/>
      <c r="AJ793" s="106"/>
      <c r="AK793" s="106"/>
      <c r="AL793" s="106"/>
      <c r="AM793" s="106"/>
      <c r="AN793" s="106"/>
    </row>
    <row r="794">
      <c r="A794" s="38"/>
      <c r="B794" s="38"/>
      <c r="C794" s="38"/>
      <c r="D794" s="38"/>
      <c r="E794" s="38"/>
      <c r="F794" s="41"/>
      <c r="G794" s="43"/>
      <c r="H794" s="45"/>
      <c r="I794" s="38"/>
      <c r="J794" s="38"/>
      <c r="K794" s="46"/>
      <c r="L794" s="47"/>
      <c r="M794" s="46"/>
      <c r="N794" s="46"/>
      <c r="O794" s="38"/>
      <c r="P794" s="38"/>
      <c r="Q794" s="12"/>
      <c r="R794" s="50"/>
      <c r="S794" s="50"/>
      <c r="T794" s="50"/>
      <c r="U794" s="53"/>
      <c r="V794" s="54"/>
      <c r="W794" s="56"/>
      <c r="X794" s="119"/>
      <c r="Y794" s="113"/>
      <c r="Z794" s="113"/>
      <c r="AH794" s="7"/>
      <c r="AI794" s="7"/>
      <c r="AJ794" s="7"/>
      <c r="AK794" s="7"/>
      <c r="AL794" s="7"/>
      <c r="AM794" s="7"/>
      <c r="AN794" s="7"/>
    </row>
    <row r="795">
      <c r="A795" s="38"/>
      <c r="B795" s="38"/>
      <c r="C795" s="7"/>
      <c r="D795" s="38"/>
      <c r="E795" s="38"/>
      <c r="F795" s="41"/>
      <c r="G795" s="43"/>
      <c r="H795" s="45"/>
      <c r="I795" s="38"/>
      <c r="J795" s="38"/>
      <c r="K795" s="128"/>
      <c r="L795" s="47"/>
      <c r="M795" s="128"/>
      <c r="N795" s="128"/>
      <c r="O795" s="38"/>
      <c r="P795" s="38"/>
      <c r="Q795" s="12"/>
      <c r="R795" s="50"/>
      <c r="S795" s="50"/>
      <c r="T795" s="50"/>
      <c r="U795" s="53"/>
      <c r="V795" s="54"/>
      <c r="W795" s="56"/>
      <c r="X795" s="119"/>
      <c r="Y795" s="113"/>
      <c r="Z795" s="113"/>
      <c r="AH795" s="7"/>
      <c r="AI795" s="7"/>
      <c r="AJ795" s="7"/>
      <c r="AK795" s="7"/>
      <c r="AL795" s="7"/>
      <c r="AM795" s="7"/>
      <c r="AN795" s="7"/>
    </row>
    <row r="796">
      <c r="A796" s="38"/>
      <c r="B796" s="38"/>
      <c r="C796" s="7"/>
      <c r="D796" s="38"/>
      <c r="E796" s="38"/>
      <c r="F796" s="41"/>
      <c r="G796" s="43"/>
      <c r="H796" s="45"/>
      <c r="I796" s="38"/>
      <c r="J796" s="38"/>
      <c r="K796" s="128"/>
      <c r="L796" s="47"/>
      <c r="M796" s="128"/>
      <c r="N796" s="128"/>
      <c r="O796" s="38"/>
      <c r="P796" s="38"/>
      <c r="Q796" s="12"/>
      <c r="R796" s="50"/>
      <c r="S796" s="50"/>
      <c r="T796" s="50"/>
      <c r="U796" s="53"/>
      <c r="V796" s="54"/>
      <c r="W796" s="56"/>
      <c r="X796" s="119"/>
      <c r="Y796" s="113"/>
      <c r="Z796" s="113"/>
      <c r="AH796" s="7"/>
      <c r="AI796" s="7"/>
      <c r="AJ796" s="7"/>
      <c r="AK796" s="7"/>
      <c r="AL796" s="7"/>
      <c r="AM796" s="7"/>
      <c r="AN796" s="7"/>
    </row>
    <row r="797">
      <c r="A797" s="38"/>
      <c r="B797" s="38"/>
      <c r="C797" s="7"/>
      <c r="D797" s="38"/>
      <c r="E797" s="38"/>
      <c r="F797" s="41"/>
      <c r="G797" s="43"/>
      <c r="H797" s="45"/>
      <c r="I797" s="38"/>
      <c r="J797" s="38"/>
      <c r="K797" s="128"/>
      <c r="L797" s="47"/>
      <c r="M797" s="128"/>
      <c r="N797" s="128"/>
      <c r="O797" s="38"/>
      <c r="P797" s="38"/>
      <c r="Q797" s="12"/>
      <c r="R797" s="50"/>
      <c r="S797" s="50"/>
      <c r="T797" s="50"/>
      <c r="U797" s="53"/>
      <c r="V797" s="54"/>
      <c r="W797" s="56"/>
      <c r="X797" s="119"/>
      <c r="Y797" s="113"/>
      <c r="Z797" s="113"/>
      <c r="AH797" s="7"/>
      <c r="AI797" s="7"/>
      <c r="AJ797" s="7"/>
      <c r="AK797" s="7"/>
      <c r="AL797" s="7"/>
      <c r="AM797" s="7"/>
      <c r="AN797" s="7"/>
    </row>
    <row r="798">
      <c r="A798" s="38"/>
      <c r="B798" s="38"/>
      <c r="C798" s="7"/>
      <c r="D798" s="38"/>
      <c r="E798" s="38"/>
      <c r="F798" s="41"/>
      <c r="G798" s="43"/>
      <c r="H798" s="45"/>
      <c r="I798" s="38"/>
      <c r="J798" s="38"/>
      <c r="K798" s="128"/>
      <c r="L798" s="47"/>
      <c r="M798" s="128"/>
      <c r="N798" s="128"/>
      <c r="O798" s="38"/>
      <c r="P798" s="38"/>
      <c r="Q798" s="12"/>
      <c r="R798" s="50"/>
      <c r="S798" s="50"/>
      <c r="T798" s="50"/>
      <c r="U798" s="53"/>
      <c r="V798" s="54"/>
      <c r="W798" s="56"/>
      <c r="X798" s="119"/>
      <c r="Y798" s="113"/>
      <c r="Z798" s="113"/>
      <c r="AH798" s="7"/>
      <c r="AI798" s="7"/>
      <c r="AJ798" s="7"/>
      <c r="AK798" s="7"/>
      <c r="AL798" s="7"/>
      <c r="AM798" s="7"/>
      <c r="AN798" s="7"/>
    </row>
    <row r="799">
      <c r="A799" s="38"/>
      <c r="B799" s="38"/>
      <c r="C799" s="7"/>
      <c r="D799" s="38"/>
      <c r="E799" s="38"/>
      <c r="F799" s="41"/>
      <c r="G799" s="43"/>
      <c r="H799" s="45"/>
      <c r="I799" s="38"/>
      <c r="J799" s="38"/>
      <c r="K799" s="128"/>
      <c r="L799" s="47"/>
      <c r="M799" s="128"/>
      <c r="N799" s="128"/>
      <c r="O799" s="38"/>
      <c r="P799" s="38"/>
      <c r="Q799" s="12"/>
      <c r="R799" s="50"/>
      <c r="S799" s="50"/>
      <c r="T799" s="50"/>
      <c r="U799" s="53"/>
      <c r="V799" s="54"/>
      <c r="W799" s="56"/>
      <c r="X799" s="119"/>
      <c r="Y799" s="113"/>
      <c r="Z799" s="113"/>
      <c r="AH799" s="7"/>
      <c r="AI799" s="7"/>
      <c r="AJ799" s="7"/>
      <c r="AK799" s="7"/>
      <c r="AL799" s="7"/>
      <c r="AM799" s="7"/>
      <c r="AN799" s="7"/>
    </row>
    <row r="800">
      <c r="A800" s="38"/>
      <c r="B800" s="38"/>
      <c r="C800" s="7"/>
      <c r="D800" s="38"/>
      <c r="E800" s="38"/>
      <c r="F800" s="41"/>
      <c r="G800" s="43"/>
      <c r="H800" s="45"/>
      <c r="I800" s="38"/>
      <c r="J800" s="38"/>
      <c r="K800" s="128"/>
      <c r="L800" s="47"/>
      <c r="M800" s="128"/>
      <c r="N800" s="128"/>
      <c r="O800" s="38"/>
      <c r="P800" s="38"/>
      <c r="Q800" s="12"/>
      <c r="R800" s="50"/>
      <c r="S800" s="50"/>
      <c r="T800" s="50"/>
      <c r="U800" s="53"/>
      <c r="V800" s="54"/>
      <c r="W800" s="56"/>
      <c r="X800" s="119"/>
      <c r="Y800" s="113"/>
      <c r="Z800" s="113"/>
      <c r="AH800" s="7"/>
      <c r="AI800" s="7"/>
      <c r="AJ800" s="7"/>
      <c r="AK800" s="7"/>
      <c r="AL800" s="7"/>
      <c r="AM800" s="7"/>
      <c r="AN800" s="7"/>
    </row>
    <row r="801">
      <c r="A801" s="38"/>
      <c r="B801" s="38"/>
      <c r="C801" s="7"/>
      <c r="D801" s="38"/>
      <c r="E801" s="38"/>
      <c r="F801" s="41"/>
      <c r="G801" s="43"/>
      <c r="H801" s="45"/>
      <c r="I801" s="38"/>
      <c r="J801" s="38"/>
      <c r="K801" s="128"/>
      <c r="L801" s="47"/>
      <c r="M801" s="128"/>
      <c r="N801" s="128"/>
      <c r="O801" s="38"/>
      <c r="P801" s="38"/>
      <c r="Q801" s="12"/>
      <c r="R801" s="50"/>
      <c r="S801" s="50"/>
      <c r="T801" s="50"/>
      <c r="U801" s="53"/>
      <c r="V801" s="54"/>
      <c r="W801" s="56"/>
      <c r="X801" s="119"/>
      <c r="Y801" s="113"/>
      <c r="Z801" s="113"/>
      <c r="AH801" s="7"/>
      <c r="AI801" s="7"/>
      <c r="AJ801" s="7"/>
      <c r="AK801" s="7"/>
      <c r="AL801" s="7"/>
      <c r="AM801" s="7"/>
      <c r="AN801" s="7"/>
    </row>
    <row r="802">
      <c r="A802" s="38"/>
      <c r="B802" s="38"/>
      <c r="C802" s="7"/>
      <c r="D802" s="38"/>
      <c r="E802" s="38"/>
      <c r="F802" s="41"/>
      <c r="G802" s="43"/>
      <c r="H802" s="45"/>
      <c r="I802" s="38"/>
      <c r="J802" s="38"/>
      <c r="K802" s="128"/>
      <c r="L802" s="47"/>
      <c r="M802" s="128"/>
      <c r="N802" s="128"/>
      <c r="O802" s="38"/>
      <c r="P802" s="38"/>
      <c r="Q802" s="12"/>
      <c r="R802" s="50"/>
      <c r="S802" s="50"/>
      <c r="T802" s="50"/>
      <c r="U802" s="53"/>
      <c r="V802" s="54"/>
      <c r="W802" s="56"/>
      <c r="X802" s="119"/>
      <c r="Y802" s="113"/>
      <c r="Z802" s="113"/>
      <c r="AH802" s="7"/>
      <c r="AI802" s="7"/>
      <c r="AJ802" s="7"/>
      <c r="AK802" s="7"/>
      <c r="AL802" s="7"/>
      <c r="AM802" s="7"/>
      <c r="AN802" s="7"/>
    </row>
    <row r="803">
      <c r="A803" s="38"/>
      <c r="B803" s="38"/>
      <c r="C803" s="7"/>
      <c r="D803" s="38"/>
      <c r="E803" s="38"/>
      <c r="F803" s="41"/>
      <c r="G803" s="43"/>
      <c r="H803" s="45"/>
      <c r="I803" s="38"/>
      <c r="J803" s="38"/>
      <c r="K803" s="128"/>
      <c r="L803" s="47"/>
      <c r="M803" s="128"/>
      <c r="N803" s="128"/>
      <c r="O803" s="38"/>
      <c r="P803" s="38"/>
      <c r="Q803" s="12"/>
      <c r="R803" s="50"/>
      <c r="S803" s="50"/>
      <c r="T803" s="50"/>
      <c r="U803" s="53"/>
      <c r="V803" s="54"/>
      <c r="W803" s="56"/>
      <c r="X803" s="119"/>
      <c r="Y803" s="113"/>
      <c r="Z803" s="113"/>
      <c r="AH803" s="7"/>
      <c r="AI803" s="7"/>
      <c r="AJ803" s="7"/>
      <c r="AK803" s="7"/>
      <c r="AL803" s="7"/>
      <c r="AM803" s="7"/>
      <c r="AN803" s="7"/>
    </row>
    <row r="804">
      <c r="A804" s="38"/>
      <c r="B804" s="38"/>
      <c r="C804" s="7"/>
      <c r="D804" s="38"/>
      <c r="E804" s="38"/>
      <c r="F804" s="41"/>
      <c r="G804" s="43"/>
      <c r="H804" s="45"/>
      <c r="I804" s="38"/>
      <c r="J804" s="38"/>
      <c r="K804" s="128"/>
      <c r="L804" s="47"/>
      <c r="M804" s="128"/>
      <c r="N804" s="128"/>
      <c r="O804" s="38"/>
      <c r="P804" s="38"/>
      <c r="Q804" s="12"/>
      <c r="R804" s="50"/>
      <c r="S804" s="50"/>
      <c r="T804" s="50"/>
      <c r="U804" s="53"/>
      <c r="V804" s="54"/>
      <c r="W804" s="56"/>
      <c r="X804" s="119"/>
      <c r="Y804" s="113"/>
      <c r="Z804" s="113"/>
      <c r="AH804" s="7"/>
      <c r="AI804" s="7"/>
      <c r="AJ804" s="7"/>
      <c r="AK804" s="7"/>
      <c r="AL804" s="7"/>
      <c r="AM804" s="7"/>
      <c r="AN804" s="7"/>
    </row>
    <row r="805">
      <c r="A805" s="38"/>
      <c r="B805" s="38"/>
      <c r="C805" s="7"/>
      <c r="D805" s="38"/>
      <c r="E805" s="38"/>
      <c r="F805" s="41"/>
      <c r="G805" s="43"/>
      <c r="H805" s="45"/>
      <c r="I805" s="38"/>
      <c r="J805" s="38"/>
      <c r="K805" s="128"/>
      <c r="L805" s="47"/>
      <c r="M805" s="128"/>
      <c r="N805" s="128"/>
      <c r="O805" s="38"/>
      <c r="P805" s="38"/>
      <c r="Q805" s="12"/>
      <c r="R805" s="50"/>
      <c r="S805" s="50"/>
      <c r="T805" s="50"/>
      <c r="U805" s="53"/>
      <c r="V805" s="54"/>
      <c r="W805" s="56"/>
      <c r="X805" s="119"/>
      <c r="Y805" s="113"/>
      <c r="Z805" s="113"/>
      <c r="AH805" s="7"/>
      <c r="AI805" s="7"/>
      <c r="AJ805" s="7"/>
      <c r="AK805" s="7"/>
      <c r="AL805" s="7"/>
      <c r="AM805" s="7"/>
      <c r="AN805" s="7"/>
    </row>
    <row r="806">
      <c r="A806" s="38"/>
      <c r="B806" s="38"/>
      <c r="C806" s="7"/>
      <c r="D806" s="38"/>
      <c r="E806" s="38"/>
      <c r="F806" s="41"/>
      <c r="G806" s="43"/>
      <c r="H806" s="45"/>
      <c r="I806" s="38"/>
      <c r="J806" s="38"/>
      <c r="K806" s="128"/>
      <c r="L806" s="47"/>
      <c r="M806" s="128"/>
      <c r="N806" s="128"/>
      <c r="O806" s="38"/>
      <c r="P806" s="38"/>
      <c r="Q806" s="12"/>
      <c r="R806" s="50"/>
      <c r="S806" s="50"/>
      <c r="T806" s="50"/>
      <c r="U806" s="53"/>
      <c r="V806" s="54"/>
      <c r="W806" s="56"/>
      <c r="X806" s="119"/>
      <c r="Y806" s="113"/>
      <c r="Z806" s="113"/>
      <c r="AH806" s="7"/>
      <c r="AI806" s="7"/>
      <c r="AJ806" s="7"/>
      <c r="AK806" s="7"/>
      <c r="AL806" s="7"/>
      <c r="AM806" s="7"/>
      <c r="AN806" s="7"/>
    </row>
    <row r="807">
      <c r="A807" s="38"/>
      <c r="B807" s="38"/>
      <c r="C807" s="7"/>
      <c r="D807" s="38"/>
      <c r="E807" s="38"/>
      <c r="F807" s="41"/>
      <c r="G807" s="43"/>
      <c r="H807" s="45"/>
      <c r="I807" s="38"/>
      <c r="J807" s="38"/>
      <c r="K807" s="128"/>
      <c r="L807" s="47"/>
      <c r="M807" s="128"/>
      <c r="N807" s="128"/>
      <c r="O807" s="38"/>
      <c r="P807" s="38"/>
      <c r="Q807" s="12"/>
      <c r="R807" s="50"/>
      <c r="S807" s="50"/>
      <c r="T807" s="50"/>
      <c r="U807" s="53"/>
      <c r="V807" s="54"/>
      <c r="W807" s="56"/>
      <c r="X807" s="119"/>
      <c r="Y807" s="113"/>
      <c r="Z807" s="113"/>
      <c r="AH807" s="7"/>
      <c r="AI807" s="7"/>
      <c r="AJ807" s="7"/>
      <c r="AK807" s="7"/>
      <c r="AL807" s="7"/>
      <c r="AM807" s="7"/>
      <c r="AN807" s="7"/>
    </row>
    <row r="808">
      <c r="A808" s="38"/>
      <c r="B808" s="38"/>
      <c r="C808" s="7"/>
      <c r="D808" s="38"/>
      <c r="E808" s="38"/>
      <c r="F808" s="41"/>
      <c r="G808" s="43"/>
      <c r="H808" s="45"/>
      <c r="I808" s="38"/>
      <c r="J808" s="38"/>
      <c r="K808" s="128"/>
      <c r="L808" s="47"/>
      <c r="M808" s="128"/>
      <c r="N808" s="128"/>
      <c r="O808" s="38"/>
      <c r="P808" s="38"/>
      <c r="Q808" s="12"/>
      <c r="R808" s="50"/>
      <c r="S808" s="50"/>
      <c r="T808" s="50"/>
      <c r="U808" s="53"/>
      <c r="V808" s="54"/>
      <c r="W808" s="56"/>
      <c r="X808" s="119"/>
      <c r="Y808" s="113"/>
      <c r="Z808" s="113"/>
      <c r="AH808" s="7"/>
      <c r="AI808" s="7"/>
      <c r="AJ808" s="7"/>
      <c r="AK808" s="7"/>
      <c r="AL808" s="7"/>
      <c r="AM808" s="7"/>
      <c r="AN808" s="7"/>
    </row>
    <row r="809">
      <c r="A809" s="38"/>
      <c r="B809" s="38"/>
      <c r="C809" s="7"/>
      <c r="D809" s="38"/>
      <c r="E809" s="38"/>
      <c r="F809" s="41"/>
      <c r="G809" s="43"/>
      <c r="H809" s="45"/>
      <c r="I809" s="38"/>
      <c r="J809" s="38"/>
      <c r="K809" s="128"/>
      <c r="L809" s="47"/>
      <c r="M809" s="128"/>
      <c r="N809" s="128"/>
      <c r="O809" s="38"/>
      <c r="P809" s="38"/>
      <c r="Q809" s="12"/>
      <c r="R809" s="50"/>
      <c r="S809" s="50"/>
      <c r="T809" s="50"/>
      <c r="U809" s="53"/>
      <c r="V809" s="54"/>
      <c r="W809" s="56"/>
      <c r="X809" s="119"/>
      <c r="Y809" s="113"/>
      <c r="Z809" s="113"/>
      <c r="AH809" s="7"/>
      <c r="AI809" s="7"/>
      <c r="AJ809" s="7"/>
      <c r="AK809" s="7"/>
      <c r="AL809" s="7"/>
      <c r="AM809" s="7"/>
      <c r="AN809" s="7"/>
    </row>
    <row r="810">
      <c r="A810" s="38"/>
      <c r="B810" s="38"/>
      <c r="C810" s="7"/>
      <c r="D810" s="38"/>
      <c r="E810" s="38"/>
      <c r="F810" s="41"/>
      <c r="G810" s="43"/>
      <c r="H810" s="45"/>
      <c r="I810" s="38"/>
      <c r="J810" s="38"/>
      <c r="K810" s="128"/>
      <c r="L810" s="47"/>
      <c r="M810" s="128"/>
      <c r="N810" s="128"/>
      <c r="O810" s="38"/>
      <c r="P810" s="38"/>
      <c r="Q810" s="12"/>
      <c r="R810" s="50"/>
      <c r="S810" s="50"/>
      <c r="T810" s="50"/>
      <c r="U810" s="53"/>
      <c r="V810" s="54"/>
      <c r="W810" s="56"/>
      <c r="X810" s="119"/>
      <c r="Y810" s="113"/>
      <c r="Z810" s="113"/>
      <c r="AH810" s="7"/>
      <c r="AI810" s="7"/>
      <c r="AJ810" s="7"/>
      <c r="AK810" s="7"/>
      <c r="AL810" s="7"/>
      <c r="AM810" s="7"/>
      <c r="AN810" s="7"/>
    </row>
    <row r="811">
      <c r="A811" s="38"/>
      <c r="B811" s="38"/>
      <c r="C811" s="7"/>
      <c r="D811" s="38"/>
      <c r="E811" s="38"/>
      <c r="F811" s="41"/>
      <c r="G811" s="43"/>
      <c r="H811" s="45"/>
      <c r="I811" s="38"/>
      <c r="J811" s="38"/>
      <c r="K811" s="128"/>
      <c r="L811" s="47"/>
      <c r="M811" s="128"/>
      <c r="N811" s="128"/>
      <c r="O811" s="38"/>
      <c r="P811" s="38"/>
      <c r="Q811" s="12"/>
      <c r="R811" s="50"/>
      <c r="S811" s="50"/>
      <c r="T811" s="50"/>
      <c r="U811" s="53"/>
      <c r="V811" s="54"/>
      <c r="W811" s="56"/>
      <c r="X811" s="119"/>
      <c r="Y811" s="113"/>
      <c r="Z811" s="113"/>
      <c r="AH811" s="7"/>
      <c r="AI811" s="7"/>
      <c r="AJ811" s="7"/>
      <c r="AK811" s="7"/>
      <c r="AL811" s="7"/>
      <c r="AM811" s="7"/>
      <c r="AN811" s="7"/>
    </row>
    <row r="812">
      <c r="A812" s="38"/>
      <c r="B812" s="38"/>
      <c r="C812" s="7"/>
      <c r="D812" s="38"/>
      <c r="E812" s="38"/>
      <c r="F812" s="41"/>
      <c r="G812" s="43"/>
      <c r="H812" s="45"/>
      <c r="I812" s="38"/>
      <c r="J812" s="38"/>
      <c r="K812" s="128"/>
      <c r="L812" s="47"/>
      <c r="M812" s="128"/>
      <c r="N812" s="128"/>
      <c r="O812" s="38"/>
      <c r="P812" s="38"/>
      <c r="Q812" s="12"/>
      <c r="R812" s="50"/>
      <c r="S812" s="50"/>
      <c r="T812" s="50"/>
      <c r="U812" s="53"/>
      <c r="V812" s="54"/>
      <c r="W812" s="56"/>
      <c r="X812" s="119"/>
      <c r="Y812" s="113"/>
      <c r="Z812" s="113"/>
      <c r="AH812" s="7"/>
      <c r="AI812" s="7"/>
      <c r="AJ812" s="7"/>
      <c r="AK812" s="7"/>
      <c r="AL812" s="7"/>
      <c r="AM812" s="7"/>
      <c r="AN812" s="7"/>
    </row>
    <row r="813">
      <c r="A813" s="38"/>
      <c r="B813" s="38"/>
      <c r="C813" s="7"/>
      <c r="D813" s="38"/>
      <c r="E813" s="38"/>
      <c r="F813" s="41"/>
      <c r="G813" s="43"/>
      <c r="H813" s="45"/>
      <c r="I813" s="38"/>
      <c r="J813" s="38"/>
      <c r="K813" s="128"/>
      <c r="L813" s="47"/>
      <c r="M813" s="128"/>
      <c r="N813" s="128"/>
      <c r="O813" s="38"/>
      <c r="P813" s="38"/>
      <c r="Q813" s="12"/>
      <c r="R813" s="50"/>
      <c r="S813" s="50"/>
      <c r="T813" s="50"/>
      <c r="U813" s="53"/>
      <c r="V813" s="54"/>
      <c r="W813" s="56"/>
      <c r="X813" s="119"/>
      <c r="Y813" s="113"/>
      <c r="Z813" s="113"/>
      <c r="AH813" s="7"/>
      <c r="AI813" s="7"/>
      <c r="AJ813" s="7"/>
      <c r="AK813" s="7"/>
      <c r="AL813" s="7"/>
      <c r="AM813" s="7"/>
      <c r="AN813" s="7"/>
    </row>
    <row r="814">
      <c r="A814" s="38"/>
      <c r="B814" s="38"/>
      <c r="C814" s="7"/>
      <c r="D814" s="38"/>
      <c r="E814" s="38"/>
      <c r="F814" s="41"/>
      <c r="G814" s="43"/>
      <c r="H814" s="45"/>
      <c r="I814" s="38"/>
      <c r="J814" s="38"/>
      <c r="K814" s="128"/>
      <c r="L814" s="47"/>
      <c r="M814" s="128"/>
      <c r="N814" s="128"/>
      <c r="O814" s="38"/>
      <c r="P814" s="38"/>
      <c r="Q814" s="12"/>
      <c r="R814" s="50"/>
      <c r="S814" s="50"/>
      <c r="T814" s="50"/>
      <c r="U814" s="53"/>
      <c r="V814" s="54"/>
      <c r="W814" s="56"/>
      <c r="X814" s="119"/>
      <c r="Y814" s="113"/>
      <c r="Z814" s="113"/>
      <c r="AH814" s="7"/>
      <c r="AI814" s="7"/>
      <c r="AJ814" s="7"/>
      <c r="AK814" s="7"/>
      <c r="AL814" s="7"/>
      <c r="AM814" s="7"/>
      <c r="AN814" s="7"/>
    </row>
    <row r="815">
      <c r="A815" s="38"/>
      <c r="B815" s="38"/>
      <c r="C815" s="7"/>
      <c r="D815" s="38"/>
      <c r="E815" s="38"/>
      <c r="F815" s="41"/>
      <c r="G815" s="43"/>
      <c r="H815" s="45"/>
      <c r="I815" s="38"/>
      <c r="J815" s="38"/>
      <c r="K815" s="128"/>
      <c r="L815" s="47"/>
      <c r="M815" s="128"/>
      <c r="N815" s="128"/>
      <c r="O815" s="38"/>
      <c r="P815" s="38"/>
      <c r="Q815" s="12"/>
      <c r="R815" s="50"/>
      <c r="S815" s="50"/>
      <c r="T815" s="50"/>
      <c r="U815" s="53"/>
      <c r="V815" s="54"/>
      <c r="W815" s="56"/>
      <c r="X815" s="119"/>
      <c r="Y815" s="113"/>
      <c r="Z815" s="113"/>
      <c r="AH815" s="7"/>
      <c r="AI815" s="7"/>
      <c r="AJ815" s="7"/>
      <c r="AK815" s="7"/>
      <c r="AL815" s="7"/>
      <c r="AM815" s="7"/>
      <c r="AN815" s="7"/>
    </row>
    <row r="816">
      <c r="A816" s="38"/>
      <c r="B816" s="38"/>
      <c r="C816" s="7"/>
      <c r="D816" s="38"/>
      <c r="E816" s="38"/>
      <c r="F816" s="41"/>
      <c r="G816" s="43"/>
      <c r="H816" s="45"/>
      <c r="I816" s="38"/>
      <c r="J816" s="38"/>
      <c r="K816" s="128"/>
      <c r="L816" s="47"/>
      <c r="M816" s="128"/>
      <c r="N816" s="128"/>
      <c r="O816" s="38"/>
      <c r="P816" s="38"/>
      <c r="Q816" s="12"/>
      <c r="R816" s="50"/>
      <c r="S816" s="50"/>
      <c r="T816" s="50"/>
      <c r="U816" s="53"/>
      <c r="V816" s="54"/>
      <c r="W816" s="56"/>
      <c r="X816" s="119"/>
      <c r="Y816" s="113"/>
      <c r="Z816" s="113"/>
      <c r="AH816" s="7"/>
      <c r="AI816" s="7"/>
      <c r="AJ816" s="7"/>
      <c r="AK816" s="7"/>
      <c r="AL816" s="7"/>
      <c r="AM816" s="7"/>
      <c r="AN816" s="7"/>
    </row>
    <row r="817">
      <c r="A817" s="38"/>
      <c r="B817" s="38"/>
      <c r="C817" s="7"/>
      <c r="D817" s="38"/>
      <c r="E817" s="38"/>
      <c r="F817" s="41"/>
      <c r="G817" s="43"/>
      <c r="H817" s="45"/>
      <c r="I817" s="38"/>
      <c r="J817" s="38"/>
      <c r="K817" s="128"/>
      <c r="L817" s="47"/>
      <c r="M817" s="128"/>
      <c r="N817" s="128"/>
      <c r="O817" s="38"/>
      <c r="P817" s="38"/>
      <c r="Q817" s="12"/>
      <c r="R817" s="50"/>
      <c r="S817" s="50"/>
      <c r="T817" s="50"/>
      <c r="U817" s="53"/>
      <c r="V817" s="54"/>
      <c r="W817" s="56"/>
      <c r="X817" s="119"/>
      <c r="Y817" s="113"/>
      <c r="Z817" s="113"/>
      <c r="AH817" s="7"/>
      <c r="AI817" s="7"/>
      <c r="AJ817" s="7"/>
      <c r="AK817" s="7"/>
      <c r="AL817" s="7"/>
      <c r="AM817" s="7"/>
      <c r="AN817" s="7"/>
    </row>
    <row r="818">
      <c r="A818" s="38"/>
      <c r="B818" s="38"/>
      <c r="C818" s="7"/>
      <c r="D818" s="38"/>
      <c r="E818" s="38"/>
      <c r="F818" s="41"/>
      <c r="G818" s="43"/>
      <c r="H818" s="45"/>
      <c r="I818" s="38"/>
      <c r="J818" s="38"/>
      <c r="K818" s="128"/>
      <c r="L818" s="47"/>
      <c r="M818" s="128"/>
      <c r="N818" s="128"/>
      <c r="O818" s="38"/>
      <c r="P818" s="38"/>
      <c r="Q818" s="12"/>
      <c r="R818" s="50"/>
      <c r="S818" s="50"/>
      <c r="T818" s="50"/>
      <c r="U818" s="53"/>
      <c r="V818" s="54"/>
      <c r="W818" s="56"/>
      <c r="X818" s="119"/>
      <c r="Y818" s="113"/>
      <c r="Z818" s="113"/>
      <c r="AH818" s="7"/>
      <c r="AI818" s="7"/>
      <c r="AJ818" s="7"/>
      <c r="AK818" s="7"/>
      <c r="AL818" s="7"/>
      <c r="AM818" s="7"/>
      <c r="AN818" s="7"/>
    </row>
    <row r="819">
      <c r="A819" s="38"/>
      <c r="B819" s="38"/>
      <c r="C819" s="7"/>
      <c r="D819" s="38"/>
      <c r="E819" s="38"/>
      <c r="F819" s="41"/>
      <c r="G819" s="43"/>
      <c r="H819" s="45"/>
      <c r="I819" s="38"/>
      <c r="J819" s="38"/>
      <c r="K819" s="128"/>
      <c r="L819" s="47"/>
      <c r="M819" s="128"/>
      <c r="N819" s="128"/>
      <c r="O819" s="38"/>
      <c r="P819" s="38"/>
      <c r="Q819" s="12"/>
      <c r="R819" s="50"/>
      <c r="S819" s="50"/>
      <c r="T819" s="50"/>
      <c r="U819" s="53"/>
      <c r="V819" s="54"/>
      <c r="W819" s="56"/>
      <c r="X819" s="119"/>
      <c r="Y819" s="113"/>
      <c r="Z819" s="113"/>
      <c r="AH819" s="7"/>
      <c r="AI819" s="7"/>
      <c r="AJ819" s="7"/>
      <c r="AK819" s="7"/>
      <c r="AL819" s="7"/>
      <c r="AM819" s="7"/>
      <c r="AN819" s="7"/>
    </row>
    <row r="820">
      <c r="A820" s="38"/>
      <c r="B820" s="38"/>
      <c r="C820" s="7"/>
      <c r="D820" s="38"/>
      <c r="E820" s="38"/>
      <c r="F820" s="41"/>
      <c r="G820" s="43"/>
      <c r="H820" s="45"/>
      <c r="I820" s="38"/>
      <c r="J820" s="38"/>
      <c r="K820" s="128"/>
      <c r="L820" s="47"/>
      <c r="M820" s="128"/>
      <c r="N820" s="128"/>
      <c r="O820" s="38"/>
      <c r="P820" s="38"/>
      <c r="Q820" s="12"/>
      <c r="R820" s="50"/>
      <c r="S820" s="50"/>
      <c r="T820" s="50"/>
      <c r="U820" s="53"/>
      <c r="V820" s="54"/>
      <c r="W820" s="56"/>
      <c r="X820" s="119"/>
      <c r="Y820" s="113"/>
      <c r="Z820" s="113"/>
      <c r="AH820" s="7"/>
      <c r="AI820" s="7"/>
      <c r="AJ820" s="7"/>
      <c r="AK820" s="7"/>
      <c r="AL820" s="7"/>
      <c r="AM820" s="7"/>
      <c r="AN820" s="7"/>
    </row>
    <row r="821">
      <c r="A821" s="38"/>
      <c r="B821" s="38"/>
      <c r="C821" s="7"/>
      <c r="D821" s="38"/>
      <c r="E821" s="38"/>
      <c r="F821" s="41"/>
      <c r="G821" s="43"/>
      <c r="H821" s="45"/>
      <c r="I821" s="38"/>
      <c r="J821" s="38"/>
      <c r="K821" s="128"/>
      <c r="L821" s="47"/>
      <c r="M821" s="128"/>
      <c r="N821" s="128"/>
      <c r="O821" s="38"/>
      <c r="P821" s="38"/>
      <c r="Q821" s="12"/>
      <c r="R821" s="50"/>
      <c r="S821" s="50"/>
      <c r="T821" s="50"/>
      <c r="U821" s="53"/>
      <c r="V821" s="54"/>
      <c r="W821" s="56"/>
      <c r="X821" s="119"/>
      <c r="Y821" s="113"/>
      <c r="Z821" s="113"/>
      <c r="AH821" s="7"/>
      <c r="AI821" s="7"/>
      <c r="AJ821" s="7"/>
      <c r="AK821" s="7"/>
      <c r="AL821" s="7"/>
      <c r="AM821" s="7"/>
      <c r="AN821" s="7"/>
    </row>
    <row r="822">
      <c r="A822" s="38"/>
      <c r="B822" s="38"/>
      <c r="C822" s="7"/>
      <c r="D822" s="38"/>
      <c r="E822" s="38"/>
      <c r="F822" s="41"/>
      <c r="G822" s="43"/>
      <c r="H822" s="45"/>
      <c r="I822" s="38"/>
      <c r="J822" s="38"/>
      <c r="K822" s="128"/>
      <c r="L822" s="47"/>
      <c r="M822" s="128"/>
      <c r="N822" s="128"/>
      <c r="O822" s="38"/>
      <c r="P822" s="38"/>
      <c r="Q822" s="12"/>
      <c r="R822" s="50"/>
      <c r="S822" s="50"/>
      <c r="T822" s="50"/>
      <c r="U822" s="53"/>
      <c r="V822" s="54"/>
      <c r="W822" s="56"/>
      <c r="X822" s="119"/>
      <c r="Y822" s="113"/>
      <c r="Z822" s="113"/>
      <c r="AH822" s="7"/>
      <c r="AI822" s="7"/>
      <c r="AJ822" s="7"/>
      <c r="AK822" s="7"/>
      <c r="AL822" s="7"/>
      <c r="AM822" s="7"/>
      <c r="AN822" s="7"/>
    </row>
    <row r="823">
      <c r="A823" s="38"/>
      <c r="B823" s="38"/>
      <c r="C823" s="7"/>
      <c r="D823" s="38"/>
      <c r="E823" s="38"/>
      <c r="F823" s="41"/>
      <c r="G823" s="43"/>
      <c r="H823" s="45"/>
      <c r="I823" s="38"/>
      <c r="J823" s="38"/>
      <c r="K823" s="128"/>
      <c r="L823" s="47"/>
      <c r="M823" s="128"/>
      <c r="N823" s="128"/>
      <c r="O823" s="38"/>
      <c r="P823" s="38"/>
      <c r="Q823" s="12"/>
      <c r="R823" s="50"/>
      <c r="S823" s="50"/>
      <c r="T823" s="50"/>
      <c r="U823" s="53"/>
      <c r="V823" s="54"/>
      <c r="W823" s="56"/>
      <c r="X823" s="119"/>
      <c r="Y823" s="113"/>
      <c r="Z823" s="113"/>
      <c r="AH823" s="7"/>
      <c r="AI823" s="7"/>
      <c r="AJ823" s="7"/>
      <c r="AK823" s="7"/>
      <c r="AL823" s="7"/>
      <c r="AM823" s="7"/>
      <c r="AN823" s="7"/>
    </row>
    <row r="824">
      <c r="A824" s="38"/>
      <c r="B824" s="38"/>
      <c r="C824" s="7"/>
      <c r="D824" s="38"/>
      <c r="E824" s="38"/>
      <c r="F824" s="41"/>
      <c r="G824" s="43"/>
      <c r="H824" s="45"/>
      <c r="I824" s="38"/>
      <c r="J824" s="38"/>
      <c r="K824" s="128"/>
      <c r="L824" s="47"/>
      <c r="M824" s="128"/>
      <c r="N824" s="128"/>
      <c r="O824" s="38"/>
      <c r="P824" s="38"/>
      <c r="Q824" s="12"/>
      <c r="R824" s="50"/>
      <c r="S824" s="50"/>
      <c r="T824" s="50"/>
      <c r="U824" s="53"/>
      <c r="V824" s="54"/>
      <c r="W824" s="56"/>
      <c r="X824" s="119"/>
      <c r="Y824" s="113"/>
      <c r="Z824" s="113"/>
      <c r="AH824" s="7"/>
      <c r="AI824" s="7"/>
      <c r="AJ824" s="7"/>
      <c r="AK824" s="7"/>
      <c r="AL824" s="7"/>
      <c r="AM824" s="7"/>
      <c r="AN824" s="7"/>
    </row>
    <row r="825">
      <c r="A825" s="38"/>
      <c r="B825" s="38"/>
      <c r="C825" s="7"/>
      <c r="D825" s="38"/>
      <c r="E825" s="38"/>
      <c r="F825" s="41"/>
      <c r="G825" s="43"/>
      <c r="H825" s="45"/>
      <c r="I825" s="38"/>
      <c r="J825" s="38"/>
      <c r="K825" s="128"/>
      <c r="L825" s="47"/>
      <c r="M825" s="128"/>
      <c r="N825" s="128"/>
      <c r="O825" s="38"/>
      <c r="P825" s="38"/>
      <c r="Q825" s="12"/>
      <c r="R825" s="50"/>
      <c r="S825" s="50"/>
      <c r="T825" s="50"/>
      <c r="U825" s="53"/>
      <c r="V825" s="54"/>
      <c r="W825" s="56"/>
      <c r="X825" s="119"/>
      <c r="Y825" s="113"/>
      <c r="Z825" s="113"/>
      <c r="AH825" s="7"/>
      <c r="AI825" s="7"/>
      <c r="AJ825" s="7"/>
      <c r="AK825" s="7"/>
      <c r="AL825" s="7"/>
      <c r="AM825" s="7"/>
      <c r="AN825" s="7"/>
    </row>
    <row r="826">
      <c r="A826" s="38"/>
      <c r="B826" s="38"/>
      <c r="C826" s="7"/>
      <c r="D826" s="38"/>
      <c r="E826" s="38"/>
      <c r="F826" s="41"/>
      <c r="G826" s="43"/>
      <c r="H826" s="45"/>
      <c r="I826" s="38"/>
      <c r="J826" s="38"/>
      <c r="K826" s="128"/>
      <c r="L826" s="47"/>
      <c r="M826" s="128"/>
      <c r="N826" s="128"/>
      <c r="O826" s="38"/>
      <c r="P826" s="38"/>
      <c r="Q826" s="12"/>
      <c r="R826" s="50"/>
      <c r="S826" s="50"/>
      <c r="T826" s="50"/>
      <c r="U826" s="53"/>
      <c r="V826" s="54"/>
      <c r="W826" s="56"/>
      <c r="X826" s="119"/>
      <c r="Y826" s="113"/>
      <c r="Z826" s="113"/>
      <c r="AH826" s="7"/>
      <c r="AI826" s="7"/>
      <c r="AJ826" s="7"/>
      <c r="AK826" s="7"/>
      <c r="AL826" s="7"/>
      <c r="AM826" s="7"/>
      <c r="AN826" s="7"/>
    </row>
    <row r="827">
      <c r="A827" s="38"/>
      <c r="B827" s="38"/>
      <c r="C827" s="7"/>
      <c r="D827" s="38"/>
      <c r="E827" s="38"/>
      <c r="F827" s="41"/>
      <c r="G827" s="43"/>
      <c r="H827" s="45"/>
      <c r="I827" s="38"/>
      <c r="J827" s="38"/>
      <c r="K827" s="128"/>
      <c r="L827" s="47"/>
      <c r="M827" s="128"/>
      <c r="N827" s="128"/>
      <c r="O827" s="38"/>
      <c r="P827" s="38"/>
      <c r="Q827" s="12"/>
      <c r="R827" s="50"/>
      <c r="S827" s="50"/>
      <c r="T827" s="50"/>
      <c r="U827" s="53"/>
      <c r="V827" s="54"/>
      <c r="W827" s="56"/>
      <c r="X827" s="119"/>
      <c r="Y827" s="113"/>
      <c r="Z827" s="113"/>
      <c r="AH827" s="7"/>
      <c r="AI827" s="7"/>
      <c r="AJ827" s="7"/>
      <c r="AK827" s="7"/>
      <c r="AL827" s="7"/>
      <c r="AM827" s="7"/>
      <c r="AN827" s="7"/>
    </row>
    <row r="828">
      <c r="A828" s="38"/>
      <c r="B828" s="38"/>
      <c r="C828" s="7"/>
      <c r="D828" s="38"/>
      <c r="E828" s="38"/>
      <c r="F828" s="41"/>
      <c r="G828" s="43"/>
      <c r="H828" s="45"/>
      <c r="I828" s="38"/>
      <c r="J828" s="38"/>
      <c r="K828" s="128"/>
      <c r="L828" s="47"/>
      <c r="M828" s="128"/>
      <c r="N828" s="128"/>
      <c r="O828" s="38"/>
      <c r="P828" s="38"/>
      <c r="Q828" s="12"/>
      <c r="R828" s="50"/>
      <c r="S828" s="50"/>
      <c r="T828" s="50"/>
      <c r="U828" s="53"/>
      <c r="V828" s="54"/>
      <c r="W828" s="56"/>
      <c r="X828" s="119"/>
      <c r="Y828" s="113"/>
      <c r="Z828" s="113"/>
      <c r="AH828" s="7"/>
      <c r="AI828" s="7"/>
      <c r="AJ828" s="7"/>
      <c r="AK828" s="7"/>
      <c r="AL828" s="7"/>
      <c r="AM828" s="7"/>
      <c r="AN828" s="7"/>
    </row>
    <row r="829">
      <c r="A829" s="38"/>
      <c r="B829" s="38"/>
      <c r="C829" s="7"/>
      <c r="D829" s="38"/>
      <c r="E829" s="38"/>
      <c r="F829" s="41"/>
      <c r="G829" s="43"/>
      <c r="H829" s="45"/>
      <c r="I829" s="38"/>
      <c r="J829" s="38"/>
      <c r="K829" s="128"/>
      <c r="L829" s="47"/>
      <c r="M829" s="128"/>
      <c r="N829" s="128"/>
      <c r="O829" s="38"/>
      <c r="P829" s="38"/>
      <c r="Q829" s="12"/>
      <c r="R829" s="50"/>
      <c r="S829" s="50"/>
      <c r="T829" s="50"/>
      <c r="U829" s="53"/>
      <c r="V829" s="54"/>
      <c r="W829" s="56"/>
      <c r="X829" s="119"/>
      <c r="Y829" s="113"/>
      <c r="Z829" s="113"/>
      <c r="AH829" s="7"/>
      <c r="AI829" s="7"/>
      <c r="AJ829" s="7"/>
      <c r="AK829" s="7"/>
      <c r="AL829" s="7"/>
      <c r="AM829" s="7"/>
      <c r="AN829" s="7"/>
    </row>
    <row r="830">
      <c r="A830" s="38"/>
      <c r="B830" s="38"/>
      <c r="C830" s="7"/>
      <c r="D830" s="38"/>
      <c r="E830" s="38"/>
      <c r="F830" s="41"/>
      <c r="G830" s="43"/>
      <c r="H830" s="45"/>
      <c r="I830" s="38"/>
      <c r="J830" s="38"/>
      <c r="K830" s="128"/>
      <c r="L830" s="47"/>
      <c r="M830" s="128"/>
      <c r="N830" s="128"/>
      <c r="O830" s="38"/>
      <c r="P830" s="38"/>
      <c r="Q830" s="12"/>
      <c r="R830" s="50"/>
      <c r="S830" s="50"/>
      <c r="T830" s="50"/>
      <c r="U830" s="53"/>
      <c r="V830" s="54"/>
      <c r="W830" s="56"/>
      <c r="X830" s="119"/>
      <c r="Y830" s="113"/>
      <c r="Z830" s="113"/>
      <c r="AH830" s="7"/>
      <c r="AI830" s="7"/>
      <c r="AJ830" s="7"/>
      <c r="AK830" s="7"/>
      <c r="AL830" s="7"/>
      <c r="AM830" s="7"/>
      <c r="AN830" s="7"/>
    </row>
    <row r="831">
      <c r="A831" s="38"/>
      <c r="B831" s="38"/>
      <c r="C831" s="7"/>
      <c r="D831" s="38"/>
      <c r="E831" s="38"/>
      <c r="F831" s="41"/>
      <c r="G831" s="43"/>
      <c r="H831" s="45"/>
      <c r="I831" s="38"/>
      <c r="J831" s="38"/>
      <c r="K831" s="128"/>
      <c r="L831" s="47"/>
      <c r="M831" s="128"/>
      <c r="N831" s="128"/>
      <c r="O831" s="38"/>
      <c r="P831" s="38"/>
      <c r="Q831" s="12"/>
      <c r="R831" s="50"/>
      <c r="S831" s="50"/>
      <c r="T831" s="50"/>
      <c r="U831" s="53"/>
      <c r="V831" s="54"/>
      <c r="W831" s="56"/>
      <c r="X831" s="119"/>
      <c r="Y831" s="113"/>
      <c r="Z831" s="113"/>
      <c r="AH831" s="7"/>
      <c r="AI831" s="7"/>
      <c r="AJ831" s="7"/>
      <c r="AK831" s="7"/>
      <c r="AL831" s="7"/>
      <c r="AM831" s="7"/>
      <c r="AN831" s="7"/>
    </row>
    <row r="832">
      <c r="A832" s="38"/>
      <c r="B832" s="38"/>
      <c r="C832" s="7"/>
      <c r="D832" s="38"/>
      <c r="E832" s="38"/>
      <c r="F832" s="41"/>
      <c r="G832" s="43"/>
      <c r="H832" s="45"/>
      <c r="I832" s="38"/>
      <c r="J832" s="38"/>
      <c r="K832" s="128"/>
      <c r="L832" s="47"/>
      <c r="M832" s="128"/>
      <c r="N832" s="128"/>
      <c r="O832" s="38"/>
      <c r="P832" s="38"/>
      <c r="Q832" s="12"/>
      <c r="R832" s="50"/>
      <c r="S832" s="50"/>
      <c r="T832" s="50"/>
      <c r="U832" s="53"/>
      <c r="V832" s="54"/>
      <c r="W832" s="56"/>
      <c r="X832" s="119"/>
      <c r="Y832" s="113"/>
      <c r="Z832" s="113"/>
      <c r="AH832" s="7"/>
      <c r="AI832" s="7"/>
      <c r="AJ832" s="7"/>
      <c r="AK832" s="7"/>
      <c r="AL832" s="7"/>
      <c r="AM832" s="7"/>
      <c r="AN832" s="7"/>
    </row>
    <row r="833">
      <c r="A833" s="38"/>
      <c r="B833" s="38"/>
      <c r="C833" s="7"/>
      <c r="D833" s="38"/>
      <c r="E833" s="38"/>
      <c r="F833" s="41"/>
      <c r="G833" s="43"/>
      <c r="H833" s="45"/>
      <c r="I833" s="38"/>
      <c r="J833" s="38"/>
      <c r="K833" s="128"/>
      <c r="L833" s="47"/>
      <c r="M833" s="128"/>
      <c r="N833" s="128"/>
      <c r="O833" s="38"/>
      <c r="P833" s="38"/>
      <c r="Q833" s="12"/>
      <c r="R833" s="50"/>
      <c r="S833" s="50"/>
      <c r="T833" s="50"/>
      <c r="U833" s="53"/>
      <c r="V833" s="54"/>
      <c r="W833" s="56"/>
      <c r="X833" s="119"/>
      <c r="Y833" s="113"/>
      <c r="Z833" s="113"/>
      <c r="AH833" s="7"/>
      <c r="AI833" s="7"/>
      <c r="AJ833" s="7"/>
      <c r="AK833" s="7"/>
      <c r="AL833" s="7"/>
      <c r="AM833" s="7"/>
      <c r="AN833" s="7"/>
    </row>
    <row r="834">
      <c r="A834" s="38"/>
      <c r="B834" s="38"/>
      <c r="C834" s="7"/>
      <c r="D834" s="38"/>
      <c r="E834" s="38"/>
      <c r="F834" s="41"/>
      <c r="G834" s="43"/>
      <c r="H834" s="45"/>
      <c r="I834" s="38"/>
      <c r="J834" s="38"/>
      <c r="K834" s="128"/>
      <c r="L834" s="47"/>
      <c r="M834" s="128"/>
      <c r="N834" s="128"/>
      <c r="O834" s="38"/>
      <c r="P834" s="38"/>
      <c r="Q834" s="12"/>
      <c r="R834" s="50"/>
      <c r="S834" s="50"/>
      <c r="T834" s="50"/>
      <c r="U834" s="53"/>
      <c r="V834" s="54"/>
      <c r="W834" s="56"/>
      <c r="X834" s="119"/>
      <c r="Y834" s="113"/>
      <c r="Z834" s="113"/>
      <c r="AH834" s="7"/>
      <c r="AI834" s="7"/>
      <c r="AJ834" s="7"/>
      <c r="AK834" s="7"/>
      <c r="AL834" s="7"/>
      <c r="AM834" s="7"/>
      <c r="AN834" s="7"/>
    </row>
    <row r="835">
      <c r="A835" s="38"/>
      <c r="B835" s="38"/>
      <c r="C835" s="7"/>
      <c r="D835" s="38"/>
      <c r="E835" s="38"/>
      <c r="F835" s="41"/>
      <c r="G835" s="43"/>
      <c r="H835" s="45"/>
      <c r="I835" s="38"/>
      <c r="J835" s="38"/>
      <c r="K835" s="128"/>
      <c r="L835" s="47"/>
      <c r="M835" s="128"/>
      <c r="N835" s="128"/>
      <c r="O835" s="38"/>
      <c r="P835" s="38"/>
      <c r="Q835" s="12"/>
      <c r="R835" s="50"/>
      <c r="S835" s="50"/>
      <c r="T835" s="50"/>
      <c r="U835" s="53"/>
      <c r="V835" s="54"/>
      <c r="W835" s="56"/>
      <c r="X835" s="119"/>
      <c r="Y835" s="113"/>
      <c r="Z835" s="113"/>
      <c r="AH835" s="7"/>
      <c r="AI835" s="7"/>
      <c r="AJ835" s="7"/>
      <c r="AK835" s="7"/>
      <c r="AL835" s="7"/>
      <c r="AM835" s="7"/>
      <c r="AN835" s="7"/>
    </row>
    <row r="836">
      <c r="A836" s="38"/>
      <c r="B836" s="38"/>
      <c r="C836" s="7"/>
      <c r="D836" s="38"/>
      <c r="E836" s="38"/>
      <c r="F836" s="41"/>
      <c r="G836" s="43"/>
      <c r="H836" s="45"/>
      <c r="I836" s="38"/>
      <c r="J836" s="38"/>
      <c r="K836" s="128"/>
      <c r="L836" s="47"/>
      <c r="M836" s="128"/>
      <c r="N836" s="128"/>
      <c r="O836" s="38"/>
      <c r="P836" s="38"/>
      <c r="Q836" s="12"/>
      <c r="R836" s="50"/>
      <c r="S836" s="50"/>
      <c r="T836" s="50"/>
      <c r="U836" s="53"/>
      <c r="V836" s="54"/>
      <c r="W836" s="56"/>
      <c r="X836" s="119"/>
      <c r="Y836" s="113"/>
      <c r="Z836" s="113"/>
      <c r="AH836" s="7"/>
      <c r="AI836" s="7"/>
      <c r="AJ836" s="7"/>
      <c r="AK836" s="7"/>
      <c r="AL836" s="7"/>
      <c r="AM836" s="7"/>
      <c r="AN836" s="7"/>
    </row>
    <row r="837">
      <c r="A837" s="38"/>
      <c r="B837" s="38"/>
      <c r="C837" s="7"/>
      <c r="D837" s="38"/>
      <c r="E837" s="38"/>
      <c r="F837" s="41"/>
      <c r="G837" s="43"/>
      <c r="H837" s="45"/>
      <c r="I837" s="38"/>
      <c r="J837" s="38"/>
      <c r="K837" s="128"/>
      <c r="L837" s="47"/>
      <c r="M837" s="128"/>
      <c r="N837" s="128"/>
      <c r="O837" s="38"/>
      <c r="P837" s="38"/>
      <c r="Q837" s="12"/>
      <c r="R837" s="50"/>
      <c r="S837" s="50"/>
      <c r="T837" s="50"/>
      <c r="U837" s="53"/>
      <c r="V837" s="54"/>
      <c r="W837" s="56"/>
      <c r="X837" s="119"/>
      <c r="Y837" s="113"/>
      <c r="Z837" s="113"/>
      <c r="AH837" s="7"/>
      <c r="AI837" s="7"/>
      <c r="AJ837" s="7"/>
      <c r="AK837" s="7"/>
      <c r="AL837" s="7"/>
      <c r="AM837" s="7"/>
      <c r="AN837" s="7"/>
    </row>
    <row r="838">
      <c r="A838" s="38"/>
      <c r="B838" s="38"/>
      <c r="C838" s="7"/>
      <c r="D838" s="38"/>
      <c r="E838" s="38"/>
      <c r="F838" s="41"/>
      <c r="G838" s="43"/>
      <c r="H838" s="45"/>
      <c r="I838" s="38"/>
      <c r="J838" s="38"/>
      <c r="K838" s="128"/>
      <c r="L838" s="47"/>
      <c r="M838" s="128"/>
      <c r="N838" s="128"/>
      <c r="O838" s="38"/>
      <c r="P838" s="38"/>
      <c r="Q838" s="12"/>
      <c r="R838" s="50"/>
      <c r="S838" s="50"/>
      <c r="T838" s="50"/>
      <c r="U838" s="53"/>
      <c r="V838" s="54"/>
      <c r="W838" s="56"/>
      <c r="X838" s="119"/>
      <c r="Y838" s="113"/>
      <c r="Z838" s="113"/>
      <c r="AH838" s="7"/>
      <c r="AI838" s="7"/>
      <c r="AJ838" s="7"/>
      <c r="AK838" s="7"/>
      <c r="AL838" s="7"/>
      <c r="AM838" s="7"/>
      <c r="AN838" s="7"/>
    </row>
    <row r="839">
      <c r="A839" s="38"/>
      <c r="B839" s="38"/>
      <c r="C839" s="7"/>
      <c r="D839" s="38"/>
      <c r="E839" s="38"/>
      <c r="F839" s="41"/>
      <c r="G839" s="43"/>
      <c r="H839" s="45"/>
      <c r="I839" s="38"/>
      <c r="J839" s="38"/>
      <c r="K839" s="128"/>
      <c r="L839" s="47"/>
      <c r="M839" s="128"/>
      <c r="N839" s="128"/>
      <c r="O839" s="38"/>
      <c r="P839" s="38"/>
      <c r="Q839" s="12"/>
      <c r="R839" s="50"/>
      <c r="S839" s="50"/>
      <c r="T839" s="50"/>
      <c r="U839" s="53"/>
      <c r="V839" s="54"/>
      <c r="W839" s="56"/>
      <c r="X839" s="119"/>
      <c r="Y839" s="113"/>
      <c r="Z839" s="113"/>
      <c r="AH839" s="7"/>
      <c r="AI839" s="7"/>
      <c r="AJ839" s="7"/>
      <c r="AK839" s="7"/>
      <c r="AL839" s="7"/>
      <c r="AM839" s="7"/>
      <c r="AN839" s="7"/>
    </row>
    <row r="840">
      <c r="A840" s="38"/>
      <c r="B840" s="38"/>
      <c r="C840" s="7"/>
      <c r="D840" s="38"/>
      <c r="E840" s="38"/>
      <c r="F840" s="41"/>
      <c r="G840" s="43"/>
      <c r="H840" s="45"/>
      <c r="I840" s="38"/>
      <c r="J840" s="38"/>
      <c r="K840" s="128"/>
      <c r="L840" s="47"/>
      <c r="M840" s="128"/>
      <c r="N840" s="128"/>
      <c r="O840" s="38"/>
      <c r="P840" s="38"/>
      <c r="Q840" s="12"/>
      <c r="R840" s="50"/>
      <c r="S840" s="50"/>
      <c r="T840" s="50"/>
      <c r="U840" s="53"/>
      <c r="V840" s="54"/>
      <c r="W840" s="56"/>
      <c r="X840" s="119"/>
      <c r="Y840" s="113"/>
      <c r="Z840" s="113"/>
      <c r="AH840" s="7"/>
      <c r="AI840" s="7"/>
      <c r="AJ840" s="7"/>
      <c r="AK840" s="7"/>
      <c r="AL840" s="7"/>
      <c r="AM840" s="7"/>
      <c r="AN840" s="7"/>
    </row>
    <row r="841">
      <c r="A841" s="38"/>
      <c r="B841" s="38"/>
      <c r="C841" s="7"/>
      <c r="D841" s="38"/>
      <c r="E841" s="38"/>
      <c r="F841" s="41"/>
      <c r="G841" s="43"/>
      <c r="H841" s="45"/>
      <c r="I841" s="38"/>
      <c r="J841" s="38"/>
      <c r="K841" s="128"/>
      <c r="L841" s="47"/>
      <c r="M841" s="128"/>
      <c r="N841" s="128"/>
      <c r="O841" s="38"/>
      <c r="P841" s="38"/>
      <c r="Q841" s="12"/>
      <c r="R841" s="50"/>
      <c r="S841" s="50"/>
      <c r="T841" s="50"/>
      <c r="U841" s="53"/>
      <c r="V841" s="54"/>
      <c r="W841" s="56"/>
      <c r="X841" s="119"/>
      <c r="Y841" s="113"/>
      <c r="Z841" s="113"/>
      <c r="AH841" s="7"/>
      <c r="AI841" s="7"/>
      <c r="AJ841" s="7"/>
      <c r="AK841" s="7"/>
      <c r="AL841" s="7"/>
      <c r="AM841" s="7"/>
      <c r="AN841" s="7"/>
    </row>
    <row r="842">
      <c r="A842" s="38"/>
      <c r="B842" s="38"/>
      <c r="C842" s="7"/>
      <c r="D842" s="38"/>
      <c r="E842" s="38"/>
      <c r="F842" s="41"/>
      <c r="G842" s="43"/>
      <c r="H842" s="45"/>
      <c r="I842" s="38"/>
      <c r="J842" s="38"/>
      <c r="K842" s="128"/>
      <c r="L842" s="47"/>
      <c r="M842" s="128"/>
      <c r="N842" s="128"/>
      <c r="O842" s="38"/>
      <c r="P842" s="38"/>
      <c r="Q842" s="12"/>
      <c r="R842" s="50"/>
      <c r="S842" s="50"/>
      <c r="T842" s="50"/>
      <c r="U842" s="53"/>
      <c r="V842" s="54"/>
      <c r="W842" s="56"/>
      <c r="X842" s="119"/>
      <c r="Y842" s="113"/>
      <c r="Z842" s="113"/>
      <c r="AH842" s="7"/>
      <c r="AI842" s="7"/>
      <c r="AJ842" s="7"/>
      <c r="AK842" s="7"/>
      <c r="AL842" s="7"/>
      <c r="AM842" s="7"/>
      <c r="AN842" s="7"/>
    </row>
    <row r="843">
      <c r="A843" s="38"/>
      <c r="B843" s="38"/>
      <c r="C843" s="7"/>
      <c r="D843" s="38"/>
      <c r="E843" s="38"/>
      <c r="F843" s="41"/>
      <c r="G843" s="43"/>
      <c r="H843" s="45"/>
      <c r="I843" s="38"/>
      <c r="J843" s="38"/>
      <c r="K843" s="128"/>
      <c r="L843" s="47"/>
      <c r="M843" s="128"/>
      <c r="N843" s="128"/>
      <c r="O843" s="38"/>
      <c r="P843" s="38"/>
      <c r="Q843" s="12"/>
      <c r="R843" s="50"/>
      <c r="S843" s="50"/>
      <c r="T843" s="50"/>
      <c r="U843" s="53"/>
      <c r="V843" s="54"/>
      <c r="W843" s="56"/>
      <c r="X843" s="119"/>
      <c r="Y843" s="113"/>
      <c r="Z843" s="113"/>
      <c r="AH843" s="7"/>
      <c r="AI843" s="7"/>
      <c r="AJ843" s="7"/>
      <c r="AK843" s="7"/>
      <c r="AL843" s="7"/>
      <c r="AM843" s="7"/>
      <c r="AN843" s="7"/>
    </row>
    <row r="844">
      <c r="A844" s="38"/>
      <c r="B844" s="38"/>
      <c r="C844" s="7"/>
      <c r="D844" s="38"/>
      <c r="E844" s="38"/>
      <c r="F844" s="41"/>
      <c r="G844" s="43"/>
      <c r="H844" s="45"/>
      <c r="I844" s="38"/>
      <c r="J844" s="38"/>
      <c r="K844" s="128"/>
      <c r="L844" s="47"/>
      <c r="M844" s="128"/>
      <c r="N844" s="128"/>
      <c r="O844" s="38"/>
      <c r="P844" s="38"/>
      <c r="Q844" s="12"/>
      <c r="R844" s="50"/>
      <c r="S844" s="50"/>
      <c r="T844" s="50"/>
      <c r="U844" s="53"/>
      <c r="V844" s="54"/>
      <c r="W844" s="56"/>
      <c r="X844" s="119"/>
      <c r="Y844" s="113"/>
      <c r="Z844" s="113"/>
      <c r="AH844" s="7"/>
      <c r="AI844" s="7"/>
      <c r="AJ844" s="7"/>
      <c r="AK844" s="7"/>
      <c r="AL844" s="7"/>
      <c r="AM844" s="7"/>
      <c r="AN844" s="7"/>
    </row>
    <row r="845">
      <c r="A845" s="38"/>
      <c r="B845" s="38"/>
      <c r="C845" s="7"/>
      <c r="D845" s="38"/>
      <c r="E845" s="38"/>
      <c r="F845" s="41"/>
      <c r="G845" s="43"/>
      <c r="H845" s="45"/>
      <c r="I845" s="38"/>
      <c r="J845" s="38"/>
      <c r="K845" s="128"/>
      <c r="L845" s="47"/>
      <c r="M845" s="128"/>
      <c r="N845" s="128"/>
      <c r="O845" s="38"/>
      <c r="P845" s="38"/>
      <c r="Q845" s="12"/>
      <c r="R845" s="50"/>
      <c r="S845" s="50"/>
      <c r="T845" s="50"/>
      <c r="U845" s="53"/>
      <c r="V845" s="54"/>
      <c r="W845" s="56"/>
      <c r="X845" s="119"/>
      <c r="Y845" s="113"/>
      <c r="Z845" s="113"/>
      <c r="AH845" s="7"/>
      <c r="AI845" s="7"/>
      <c r="AJ845" s="7"/>
      <c r="AK845" s="7"/>
      <c r="AL845" s="7"/>
      <c r="AM845" s="7"/>
      <c r="AN845" s="7"/>
    </row>
    <row r="846">
      <c r="A846" s="38"/>
      <c r="B846" s="38"/>
      <c r="C846" s="7"/>
      <c r="D846" s="38"/>
      <c r="E846" s="38"/>
      <c r="F846" s="41"/>
      <c r="G846" s="43"/>
      <c r="H846" s="45"/>
      <c r="I846" s="38"/>
      <c r="J846" s="38"/>
      <c r="K846" s="128"/>
      <c r="L846" s="47"/>
      <c r="M846" s="128"/>
      <c r="N846" s="128"/>
      <c r="O846" s="38"/>
      <c r="P846" s="38"/>
      <c r="Q846" s="12"/>
      <c r="R846" s="50"/>
      <c r="S846" s="50"/>
      <c r="T846" s="50"/>
      <c r="U846" s="53"/>
      <c r="V846" s="54"/>
      <c r="W846" s="56"/>
      <c r="X846" s="119"/>
      <c r="Y846" s="113"/>
      <c r="Z846" s="113"/>
      <c r="AH846" s="7"/>
      <c r="AI846" s="7"/>
      <c r="AJ846" s="7"/>
      <c r="AK846" s="7"/>
      <c r="AL846" s="7"/>
      <c r="AM846" s="7"/>
      <c r="AN846" s="7"/>
    </row>
    <row r="847">
      <c r="A847" s="38"/>
      <c r="B847" s="38"/>
      <c r="C847" s="7"/>
      <c r="D847" s="38"/>
      <c r="E847" s="38"/>
      <c r="F847" s="41"/>
      <c r="G847" s="43"/>
      <c r="H847" s="45"/>
      <c r="I847" s="38"/>
      <c r="J847" s="38"/>
      <c r="K847" s="128"/>
      <c r="L847" s="47"/>
      <c r="M847" s="128"/>
      <c r="N847" s="128"/>
      <c r="O847" s="38"/>
      <c r="P847" s="38"/>
      <c r="Q847" s="12"/>
      <c r="R847" s="50"/>
      <c r="S847" s="50"/>
      <c r="T847" s="50"/>
      <c r="U847" s="53"/>
      <c r="V847" s="54"/>
      <c r="W847" s="56"/>
      <c r="X847" s="119"/>
      <c r="Y847" s="113"/>
      <c r="Z847" s="113"/>
      <c r="AH847" s="7"/>
      <c r="AI847" s="7"/>
      <c r="AJ847" s="7"/>
      <c r="AK847" s="7"/>
      <c r="AL847" s="7"/>
      <c r="AM847" s="7"/>
      <c r="AN847" s="7"/>
    </row>
    <row r="848">
      <c r="A848" s="38"/>
      <c r="B848" s="38"/>
      <c r="C848" s="7"/>
      <c r="D848" s="38"/>
      <c r="E848" s="38"/>
      <c r="F848" s="41"/>
      <c r="G848" s="43"/>
      <c r="H848" s="45"/>
      <c r="I848" s="38"/>
      <c r="J848" s="38"/>
      <c r="K848" s="128"/>
      <c r="L848" s="47"/>
      <c r="M848" s="128"/>
      <c r="N848" s="128"/>
      <c r="O848" s="38"/>
      <c r="P848" s="38"/>
      <c r="Q848" s="12"/>
      <c r="R848" s="50"/>
      <c r="S848" s="50"/>
      <c r="T848" s="50"/>
      <c r="U848" s="53"/>
      <c r="V848" s="54"/>
      <c r="W848" s="56"/>
      <c r="X848" s="119"/>
      <c r="Y848" s="113"/>
      <c r="Z848" s="113"/>
      <c r="AH848" s="7"/>
      <c r="AI848" s="7"/>
      <c r="AJ848" s="7"/>
      <c r="AK848" s="7"/>
      <c r="AL848" s="7"/>
      <c r="AM848" s="7"/>
      <c r="AN848" s="7"/>
    </row>
    <row r="849">
      <c r="A849" s="38"/>
      <c r="B849" s="38"/>
      <c r="C849" s="7"/>
      <c r="D849" s="38"/>
      <c r="E849" s="38"/>
      <c r="F849" s="41"/>
      <c r="G849" s="43"/>
      <c r="H849" s="45"/>
      <c r="I849" s="38"/>
      <c r="J849" s="38"/>
      <c r="K849" s="128"/>
      <c r="L849" s="47"/>
      <c r="M849" s="128"/>
      <c r="N849" s="128"/>
      <c r="O849" s="38"/>
      <c r="P849" s="38"/>
      <c r="Q849" s="12"/>
      <c r="R849" s="50"/>
      <c r="S849" s="50"/>
      <c r="T849" s="50"/>
      <c r="U849" s="53"/>
      <c r="V849" s="54"/>
      <c r="W849" s="56"/>
      <c r="X849" s="119"/>
      <c r="Y849" s="113"/>
      <c r="Z849" s="113"/>
      <c r="AH849" s="7"/>
      <c r="AI849" s="7"/>
      <c r="AJ849" s="7"/>
      <c r="AK849" s="7"/>
      <c r="AL849" s="7"/>
      <c r="AM849" s="7"/>
      <c r="AN849" s="7"/>
    </row>
    <row r="850">
      <c r="A850" s="38"/>
      <c r="B850" s="38"/>
      <c r="C850" s="7"/>
      <c r="D850" s="38"/>
      <c r="E850" s="38"/>
      <c r="F850" s="41"/>
      <c r="G850" s="43"/>
      <c r="H850" s="45"/>
      <c r="I850" s="38"/>
      <c r="J850" s="38"/>
      <c r="K850" s="128"/>
      <c r="L850" s="47"/>
      <c r="M850" s="128"/>
      <c r="N850" s="128"/>
      <c r="O850" s="38"/>
      <c r="P850" s="38"/>
      <c r="Q850" s="12"/>
      <c r="R850" s="50"/>
      <c r="S850" s="50"/>
      <c r="T850" s="50"/>
      <c r="U850" s="53"/>
      <c r="V850" s="54"/>
      <c r="W850" s="56"/>
      <c r="X850" s="119"/>
      <c r="Y850" s="113"/>
      <c r="Z850" s="113"/>
      <c r="AH850" s="7"/>
      <c r="AI850" s="7"/>
      <c r="AJ850" s="7"/>
      <c r="AK850" s="7"/>
      <c r="AL850" s="7"/>
      <c r="AM850" s="7"/>
      <c r="AN850" s="7"/>
    </row>
    <row r="851">
      <c r="A851" s="38"/>
      <c r="B851" s="38"/>
      <c r="C851" s="7"/>
      <c r="D851" s="38"/>
      <c r="E851" s="38"/>
      <c r="F851" s="41"/>
      <c r="G851" s="43"/>
      <c r="H851" s="45"/>
      <c r="I851" s="38"/>
      <c r="J851" s="38"/>
      <c r="K851" s="128"/>
      <c r="L851" s="47"/>
      <c r="M851" s="128"/>
      <c r="N851" s="128"/>
      <c r="O851" s="38"/>
      <c r="P851" s="38"/>
      <c r="Q851" s="12"/>
      <c r="R851" s="50"/>
      <c r="S851" s="50"/>
      <c r="T851" s="50"/>
      <c r="U851" s="53"/>
      <c r="V851" s="54"/>
      <c r="W851" s="56"/>
      <c r="X851" s="119"/>
      <c r="Y851" s="113"/>
      <c r="Z851" s="113"/>
      <c r="AH851" s="7"/>
      <c r="AI851" s="7"/>
      <c r="AJ851" s="7"/>
      <c r="AK851" s="7"/>
      <c r="AL851" s="7"/>
      <c r="AM851" s="7"/>
      <c r="AN851" s="7"/>
    </row>
    <row r="852">
      <c r="A852" s="38"/>
      <c r="B852" s="38"/>
      <c r="C852" s="7"/>
      <c r="D852" s="38"/>
      <c r="E852" s="38"/>
      <c r="F852" s="41"/>
      <c r="G852" s="43"/>
      <c r="H852" s="45"/>
      <c r="I852" s="38"/>
      <c r="J852" s="38"/>
      <c r="K852" s="128"/>
      <c r="L852" s="47"/>
      <c r="M852" s="128"/>
      <c r="N852" s="128"/>
      <c r="O852" s="38"/>
      <c r="P852" s="38"/>
      <c r="Q852" s="12"/>
      <c r="R852" s="50"/>
      <c r="S852" s="50"/>
      <c r="T852" s="50"/>
      <c r="U852" s="53"/>
      <c r="V852" s="54"/>
      <c r="W852" s="56"/>
      <c r="X852" s="119"/>
      <c r="Y852" s="113"/>
      <c r="Z852" s="113"/>
      <c r="AH852" s="7"/>
      <c r="AI852" s="7"/>
      <c r="AJ852" s="7"/>
      <c r="AK852" s="7"/>
      <c r="AL852" s="7"/>
      <c r="AM852" s="7"/>
      <c r="AN852" s="7"/>
    </row>
    <row r="853">
      <c r="A853" s="38"/>
      <c r="B853" s="38"/>
      <c r="C853" s="7"/>
      <c r="D853" s="38"/>
      <c r="E853" s="38"/>
      <c r="F853" s="41"/>
      <c r="G853" s="43"/>
      <c r="H853" s="45"/>
      <c r="I853" s="38"/>
      <c r="J853" s="38"/>
      <c r="K853" s="128"/>
      <c r="L853" s="47"/>
      <c r="M853" s="128"/>
      <c r="N853" s="128"/>
      <c r="O853" s="38"/>
      <c r="P853" s="38"/>
      <c r="Q853" s="12"/>
      <c r="R853" s="50"/>
      <c r="S853" s="50"/>
      <c r="T853" s="50"/>
      <c r="U853" s="53"/>
      <c r="V853" s="54"/>
      <c r="W853" s="56"/>
      <c r="X853" s="119"/>
      <c r="Y853" s="113"/>
      <c r="Z853" s="113"/>
      <c r="AH853" s="7"/>
      <c r="AI853" s="7"/>
      <c r="AJ853" s="7"/>
      <c r="AK853" s="7"/>
      <c r="AL853" s="7"/>
      <c r="AM853" s="7"/>
      <c r="AN853" s="7"/>
    </row>
    <row r="854">
      <c r="A854" s="38"/>
      <c r="B854" s="38"/>
      <c r="C854" s="7"/>
      <c r="D854" s="38"/>
      <c r="E854" s="38"/>
      <c r="F854" s="41"/>
      <c r="G854" s="43"/>
      <c r="H854" s="45"/>
      <c r="I854" s="38"/>
      <c r="J854" s="38"/>
      <c r="K854" s="128"/>
      <c r="L854" s="47"/>
      <c r="M854" s="128"/>
      <c r="N854" s="128"/>
      <c r="O854" s="38"/>
      <c r="P854" s="38"/>
      <c r="Q854" s="12"/>
      <c r="R854" s="50"/>
      <c r="S854" s="50"/>
      <c r="T854" s="50"/>
      <c r="U854" s="53"/>
      <c r="V854" s="54"/>
      <c r="W854" s="56"/>
      <c r="X854" s="119"/>
      <c r="Y854" s="113"/>
      <c r="Z854" s="113"/>
      <c r="AH854" s="7"/>
      <c r="AI854" s="7"/>
      <c r="AJ854" s="7"/>
      <c r="AK854" s="7"/>
      <c r="AL854" s="7"/>
      <c r="AM854" s="7"/>
      <c r="AN854" s="7"/>
    </row>
    <row r="855">
      <c r="A855" s="38"/>
      <c r="B855" s="38"/>
      <c r="C855" s="7"/>
      <c r="D855" s="38"/>
      <c r="E855" s="38"/>
      <c r="F855" s="41"/>
      <c r="G855" s="43"/>
      <c r="H855" s="45"/>
      <c r="I855" s="38"/>
      <c r="J855" s="38"/>
      <c r="K855" s="128"/>
      <c r="L855" s="47"/>
      <c r="M855" s="128"/>
      <c r="N855" s="128"/>
      <c r="O855" s="38"/>
      <c r="P855" s="38"/>
      <c r="Q855" s="12"/>
      <c r="R855" s="50"/>
      <c r="S855" s="50"/>
      <c r="T855" s="50"/>
      <c r="U855" s="53"/>
      <c r="V855" s="54"/>
      <c r="W855" s="56"/>
      <c r="X855" s="119"/>
      <c r="Y855" s="113"/>
      <c r="Z855" s="113"/>
      <c r="AH855" s="7"/>
      <c r="AI855" s="7"/>
      <c r="AJ855" s="7"/>
      <c r="AK855" s="7"/>
      <c r="AL855" s="7"/>
      <c r="AM855" s="7"/>
      <c r="AN855" s="7"/>
    </row>
    <row r="856">
      <c r="A856" s="38"/>
      <c r="B856" s="38"/>
      <c r="C856" s="7"/>
      <c r="D856" s="38"/>
      <c r="E856" s="38"/>
      <c r="F856" s="41"/>
      <c r="G856" s="43"/>
      <c r="H856" s="45"/>
      <c r="I856" s="38"/>
      <c r="J856" s="38"/>
      <c r="K856" s="128"/>
      <c r="L856" s="47"/>
      <c r="M856" s="128"/>
      <c r="N856" s="128"/>
      <c r="O856" s="38"/>
      <c r="P856" s="38"/>
      <c r="Q856" s="12"/>
      <c r="R856" s="50"/>
      <c r="S856" s="50"/>
      <c r="T856" s="50"/>
      <c r="U856" s="53"/>
      <c r="V856" s="54"/>
      <c r="W856" s="56"/>
      <c r="X856" s="119"/>
      <c r="Y856" s="113"/>
      <c r="Z856" s="113"/>
      <c r="AH856" s="7"/>
      <c r="AI856" s="7"/>
      <c r="AJ856" s="7"/>
      <c r="AK856" s="7"/>
      <c r="AL856" s="7"/>
      <c r="AM856" s="7"/>
      <c r="AN856" s="7"/>
    </row>
    <row r="857">
      <c r="A857" s="38"/>
      <c r="B857" s="38"/>
      <c r="C857" s="7"/>
      <c r="D857" s="38"/>
      <c r="E857" s="38"/>
      <c r="F857" s="41"/>
      <c r="G857" s="43"/>
      <c r="H857" s="45"/>
      <c r="I857" s="38"/>
      <c r="J857" s="38"/>
      <c r="K857" s="128"/>
      <c r="L857" s="47"/>
      <c r="M857" s="128"/>
      <c r="N857" s="128"/>
      <c r="O857" s="38"/>
      <c r="P857" s="38"/>
      <c r="Q857" s="12"/>
      <c r="R857" s="50"/>
      <c r="S857" s="50"/>
      <c r="T857" s="50"/>
      <c r="U857" s="53"/>
      <c r="V857" s="54"/>
      <c r="W857" s="56"/>
      <c r="X857" s="119"/>
      <c r="Y857" s="113"/>
      <c r="Z857" s="113"/>
      <c r="AH857" s="7"/>
      <c r="AI857" s="7"/>
      <c r="AJ857" s="7"/>
      <c r="AK857" s="7"/>
      <c r="AL857" s="7"/>
      <c r="AM857" s="7"/>
      <c r="AN857" s="7"/>
    </row>
    <row r="858">
      <c r="A858" s="38"/>
      <c r="B858" s="38"/>
      <c r="C858" s="7"/>
      <c r="D858" s="38"/>
      <c r="E858" s="38"/>
      <c r="F858" s="41"/>
      <c r="G858" s="43"/>
      <c r="H858" s="45"/>
      <c r="I858" s="38"/>
      <c r="J858" s="38"/>
      <c r="K858" s="128"/>
      <c r="L858" s="47"/>
      <c r="M858" s="128"/>
      <c r="N858" s="128"/>
      <c r="O858" s="38"/>
      <c r="P858" s="38"/>
      <c r="Q858" s="12"/>
      <c r="R858" s="50"/>
      <c r="S858" s="50"/>
      <c r="T858" s="50"/>
      <c r="U858" s="53"/>
      <c r="V858" s="54"/>
      <c r="W858" s="56"/>
      <c r="X858" s="119"/>
      <c r="Y858" s="113"/>
      <c r="Z858" s="113"/>
      <c r="AH858" s="7"/>
      <c r="AI858" s="7"/>
      <c r="AJ858" s="7"/>
      <c r="AK858" s="7"/>
      <c r="AL858" s="7"/>
      <c r="AM858" s="7"/>
      <c r="AN858" s="7"/>
    </row>
    <row r="859">
      <c r="A859" s="38"/>
      <c r="B859" s="38"/>
      <c r="C859" s="7"/>
      <c r="D859" s="38"/>
      <c r="E859" s="38"/>
      <c r="F859" s="41"/>
      <c r="G859" s="43"/>
      <c r="H859" s="45"/>
      <c r="I859" s="38"/>
      <c r="J859" s="38"/>
      <c r="K859" s="128"/>
      <c r="L859" s="47"/>
      <c r="M859" s="128"/>
      <c r="N859" s="128"/>
      <c r="O859" s="38"/>
      <c r="P859" s="38"/>
      <c r="Q859" s="12"/>
      <c r="R859" s="50"/>
      <c r="S859" s="50"/>
      <c r="T859" s="50"/>
      <c r="U859" s="53"/>
      <c r="V859" s="54"/>
      <c r="W859" s="56"/>
      <c r="X859" s="119"/>
      <c r="Y859" s="113"/>
      <c r="Z859" s="113"/>
      <c r="AH859" s="7"/>
      <c r="AI859" s="7"/>
      <c r="AJ859" s="7"/>
      <c r="AK859" s="7"/>
      <c r="AL859" s="7"/>
      <c r="AM859" s="7"/>
      <c r="AN859" s="7"/>
    </row>
    <row r="860">
      <c r="A860" s="38"/>
      <c r="B860" s="38"/>
      <c r="C860" s="7"/>
      <c r="D860" s="38"/>
      <c r="E860" s="38"/>
      <c r="F860" s="41"/>
      <c r="G860" s="43"/>
      <c r="H860" s="45"/>
      <c r="I860" s="38"/>
      <c r="J860" s="38"/>
      <c r="K860" s="128"/>
      <c r="L860" s="47"/>
      <c r="M860" s="128"/>
      <c r="N860" s="128"/>
      <c r="O860" s="38"/>
      <c r="P860" s="38"/>
      <c r="Q860" s="12"/>
      <c r="R860" s="50"/>
      <c r="S860" s="50"/>
      <c r="T860" s="50"/>
      <c r="U860" s="53"/>
      <c r="V860" s="54"/>
      <c r="W860" s="56"/>
      <c r="X860" s="119"/>
      <c r="Y860" s="113"/>
      <c r="Z860" s="113"/>
      <c r="AH860" s="7"/>
      <c r="AI860" s="7"/>
      <c r="AJ860" s="7"/>
      <c r="AK860" s="7"/>
      <c r="AL860" s="7"/>
      <c r="AM860" s="7"/>
      <c r="AN860" s="7"/>
    </row>
    <row r="861">
      <c r="A861" s="38"/>
      <c r="B861" s="38"/>
      <c r="C861" s="7"/>
      <c r="D861" s="38"/>
      <c r="E861" s="38"/>
      <c r="F861" s="41"/>
      <c r="G861" s="43"/>
      <c r="H861" s="45"/>
      <c r="I861" s="38"/>
      <c r="J861" s="38"/>
      <c r="K861" s="128"/>
      <c r="L861" s="47"/>
      <c r="M861" s="128"/>
      <c r="N861" s="128"/>
      <c r="O861" s="38"/>
      <c r="P861" s="38"/>
      <c r="Q861" s="12"/>
      <c r="R861" s="50"/>
      <c r="S861" s="50"/>
      <c r="T861" s="50"/>
      <c r="U861" s="53"/>
      <c r="V861" s="54"/>
      <c r="W861" s="56"/>
      <c r="X861" s="119"/>
      <c r="Y861" s="113"/>
      <c r="Z861" s="113"/>
      <c r="AH861" s="7"/>
      <c r="AI861" s="7"/>
      <c r="AJ861" s="7"/>
      <c r="AK861" s="7"/>
      <c r="AL861" s="7"/>
      <c r="AM861" s="7"/>
      <c r="AN861" s="7"/>
    </row>
    <row r="862">
      <c r="A862" s="38"/>
      <c r="B862" s="38"/>
      <c r="C862" s="7"/>
      <c r="D862" s="38"/>
      <c r="E862" s="38"/>
      <c r="F862" s="41"/>
      <c r="G862" s="43"/>
      <c r="H862" s="45"/>
      <c r="I862" s="38"/>
      <c r="J862" s="38"/>
      <c r="K862" s="128"/>
      <c r="L862" s="47"/>
      <c r="M862" s="128"/>
      <c r="N862" s="128"/>
      <c r="O862" s="38"/>
      <c r="P862" s="38"/>
      <c r="Q862" s="12"/>
      <c r="R862" s="50"/>
      <c r="S862" s="50"/>
      <c r="T862" s="50"/>
      <c r="U862" s="53"/>
      <c r="V862" s="54"/>
      <c r="W862" s="56"/>
      <c r="X862" s="119"/>
      <c r="Y862" s="113"/>
      <c r="Z862" s="113"/>
      <c r="AH862" s="7"/>
      <c r="AI862" s="7"/>
      <c r="AJ862" s="7"/>
      <c r="AK862" s="7"/>
      <c r="AL862" s="7"/>
      <c r="AM862" s="7"/>
      <c r="AN862" s="7"/>
    </row>
    <row r="863">
      <c r="A863" s="38"/>
      <c r="B863" s="38"/>
      <c r="C863" s="7"/>
      <c r="D863" s="38"/>
      <c r="E863" s="38"/>
      <c r="F863" s="41"/>
      <c r="G863" s="43"/>
      <c r="H863" s="45"/>
      <c r="I863" s="38"/>
      <c r="J863" s="38"/>
      <c r="K863" s="128"/>
      <c r="L863" s="47"/>
      <c r="M863" s="128"/>
      <c r="N863" s="128"/>
      <c r="O863" s="38"/>
      <c r="P863" s="38"/>
      <c r="Q863" s="12"/>
      <c r="R863" s="50"/>
      <c r="S863" s="50"/>
      <c r="T863" s="50"/>
      <c r="U863" s="53"/>
      <c r="V863" s="54"/>
      <c r="W863" s="56"/>
      <c r="X863" s="119"/>
      <c r="Y863" s="113"/>
      <c r="Z863" s="113"/>
      <c r="AH863" s="7"/>
      <c r="AI863" s="7"/>
      <c r="AJ863" s="7"/>
      <c r="AK863" s="7"/>
      <c r="AL863" s="7"/>
      <c r="AM863" s="7"/>
      <c r="AN863" s="7"/>
    </row>
    <row r="864">
      <c r="A864" s="38"/>
      <c r="B864" s="38"/>
      <c r="C864" s="7"/>
      <c r="D864" s="38"/>
      <c r="E864" s="38"/>
      <c r="F864" s="41"/>
      <c r="G864" s="43"/>
      <c r="H864" s="45"/>
      <c r="I864" s="38"/>
      <c r="J864" s="38"/>
      <c r="K864" s="128"/>
      <c r="L864" s="47"/>
      <c r="M864" s="128"/>
      <c r="N864" s="128"/>
      <c r="O864" s="38"/>
      <c r="P864" s="38"/>
      <c r="Q864" s="12"/>
      <c r="R864" s="50"/>
      <c r="S864" s="50"/>
      <c r="T864" s="50"/>
      <c r="U864" s="53"/>
      <c r="V864" s="54"/>
      <c r="W864" s="56"/>
      <c r="X864" s="119"/>
      <c r="Y864" s="113"/>
      <c r="Z864" s="113"/>
      <c r="AH864" s="7"/>
      <c r="AI864" s="7"/>
      <c r="AJ864" s="7"/>
      <c r="AK864" s="7"/>
      <c r="AL864" s="7"/>
      <c r="AM864" s="7"/>
      <c r="AN864" s="7"/>
    </row>
    <row r="865">
      <c r="A865" s="38"/>
      <c r="B865" s="38"/>
      <c r="C865" s="7"/>
      <c r="D865" s="38"/>
      <c r="E865" s="38"/>
      <c r="F865" s="41"/>
      <c r="G865" s="43"/>
      <c r="H865" s="45"/>
      <c r="I865" s="38"/>
      <c r="J865" s="38"/>
      <c r="K865" s="128"/>
      <c r="L865" s="47"/>
      <c r="M865" s="128"/>
      <c r="N865" s="128"/>
      <c r="O865" s="38"/>
      <c r="P865" s="38"/>
      <c r="Q865" s="12"/>
      <c r="R865" s="50"/>
      <c r="S865" s="50"/>
      <c r="T865" s="50"/>
      <c r="U865" s="53"/>
      <c r="V865" s="54"/>
      <c r="W865" s="56"/>
      <c r="X865" s="119"/>
      <c r="Y865" s="113"/>
      <c r="Z865" s="113"/>
      <c r="AH865" s="7"/>
      <c r="AI865" s="7"/>
      <c r="AJ865" s="7"/>
      <c r="AK865" s="7"/>
      <c r="AL865" s="7"/>
      <c r="AM865" s="7"/>
      <c r="AN865" s="7"/>
    </row>
    <row r="866">
      <c r="A866" s="38"/>
      <c r="B866" s="38"/>
      <c r="C866" s="7"/>
      <c r="D866" s="38"/>
      <c r="E866" s="38"/>
      <c r="F866" s="41"/>
      <c r="G866" s="43"/>
      <c r="H866" s="45"/>
      <c r="I866" s="38"/>
      <c r="J866" s="38"/>
      <c r="K866" s="128"/>
      <c r="L866" s="47"/>
      <c r="M866" s="128"/>
      <c r="N866" s="128"/>
      <c r="O866" s="38"/>
      <c r="P866" s="38"/>
      <c r="Q866" s="12"/>
      <c r="R866" s="50"/>
      <c r="S866" s="50"/>
      <c r="T866" s="50"/>
      <c r="U866" s="53"/>
      <c r="V866" s="54"/>
      <c r="W866" s="56"/>
      <c r="X866" s="119"/>
      <c r="Y866" s="113"/>
      <c r="Z866" s="113"/>
      <c r="AH866" s="7"/>
      <c r="AI866" s="7"/>
      <c r="AJ866" s="7"/>
      <c r="AK866" s="7"/>
      <c r="AL866" s="7"/>
      <c r="AM866" s="7"/>
      <c r="AN866" s="7"/>
    </row>
    <row r="867">
      <c r="A867" s="38"/>
      <c r="B867" s="38"/>
      <c r="C867" s="7"/>
      <c r="D867" s="38"/>
      <c r="E867" s="38"/>
      <c r="F867" s="41"/>
      <c r="G867" s="43"/>
      <c r="H867" s="45"/>
      <c r="I867" s="38"/>
      <c r="J867" s="38"/>
      <c r="K867" s="128"/>
      <c r="L867" s="47"/>
      <c r="M867" s="128"/>
      <c r="N867" s="128"/>
      <c r="O867" s="38"/>
      <c r="P867" s="38"/>
      <c r="Q867" s="12"/>
      <c r="R867" s="50"/>
      <c r="S867" s="50"/>
      <c r="T867" s="50"/>
      <c r="U867" s="53"/>
      <c r="V867" s="54"/>
      <c r="W867" s="56"/>
      <c r="X867" s="119"/>
      <c r="Y867" s="113"/>
      <c r="Z867" s="113"/>
      <c r="AH867" s="7"/>
      <c r="AI867" s="7"/>
      <c r="AJ867" s="7"/>
      <c r="AK867" s="7"/>
      <c r="AL867" s="7"/>
      <c r="AM867" s="7"/>
      <c r="AN867" s="7"/>
    </row>
    <row r="868">
      <c r="A868" s="38"/>
      <c r="B868" s="38"/>
      <c r="C868" s="7"/>
      <c r="D868" s="38"/>
      <c r="E868" s="38"/>
      <c r="F868" s="41"/>
      <c r="G868" s="43"/>
      <c r="H868" s="45"/>
      <c r="I868" s="38"/>
      <c r="J868" s="38"/>
      <c r="K868" s="128"/>
      <c r="L868" s="47"/>
      <c r="M868" s="128"/>
      <c r="N868" s="128"/>
      <c r="O868" s="38"/>
      <c r="P868" s="38"/>
      <c r="Q868" s="12"/>
      <c r="R868" s="50"/>
      <c r="S868" s="50"/>
      <c r="T868" s="50"/>
      <c r="U868" s="53"/>
      <c r="V868" s="54"/>
      <c r="W868" s="56"/>
      <c r="X868" s="119"/>
      <c r="Y868" s="113"/>
      <c r="Z868" s="113"/>
      <c r="AH868" s="7"/>
      <c r="AI868" s="7"/>
      <c r="AJ868" s="7"/>
      <c r="AK868" s="7"/>
      <c r="AL868" s="7"/>
      <c r="AM868" s="7"/>
      <c r="AN868" s="7"/>
    </row>
    <row r="869">
      <c r="A869" s="38"/>
      <c r="B869" s="38"/>
      <c r="C869" s="7"/>
      <c r="D869" s="38"/>
      <c r="E869" s="38"/>
      <c r="F869" s="41"/>
      <c r="G869" s="43"/>
      <c r="H869" s="45"/>
      <c r="I869" s="38"/>
      <c r="J869" s="38"/>
      <c r="K869" s="128"/>
      <c r="L869" s="47"/>
      <c r="M869" s="128"/>
      <c r="N869" s="128"/>
      <c r="O869" s="38"/>
      <c r="P869" s="38"/>
      <c r="Q869" s="12"/>
      <c r="R869" s="50"/>
      <c r="S869" s="50"/>
      <c r="T869" s="50"/>
      <c r="U869" s="53"/>
      <c r="V869" s="54"/>
      <c r="W869" s="56"/>
      <c r="X869" s="119"/>
      <c r="Y869" s="113"/>
      <c r="Z869" s="113"/>
      <c r="AH869" s="7"/>
      <c r="AI869" s="7"/>
      <c r="AJ869" s="7"/>
      <c r="AK869" s="7"/>
      <c r="AL869" s="7"/>
      <c r="AM869" s="7"/>
      <c r="AN869" s="7"/>
    </row>
    <row r="870">
      <c r="A870" s="38"/>
      <c r="B870" s="38"/>
      <c r="C870" s="7"/>
      <c r="D870" s="38"/>
      <c r="E870" s="38"/>
      <c r="F870" s="41"/>
      <c r="G870" s="43"/>
      <c r="H870" s="45"/>
      <c r="I870" s="38"/>
      <c r="J870" s="38"/>
      <c r="K870" s="128"/>
      <c r="L870" s="47"/>
      <c r="M870" s="128"/>
      <c r="N870" s="128"/>
      <c r="O870" s="38"/>
      <c r="P870" s="38"/>
      <c r="Q870" s="12"/>
      <c r="R870" s="50"/>
      <c r="S870" s="50"/>
      <c r="T870" s="50"/>
      <c r="U870" s="53"/>
      <c r="V870" s="54"/>
      <c r="W870" s="56"/>
      <c r="X870" s="119"/>
      <c r="Y870" s="113"/>
      <c r="Z870" s="113"/>
      <c r="AH870" s="7"/>
      <c r="AI870" s="7"/>
      <c r="AJ870" s="7"/>
      <c r="AK870" s="7"/>
      <c r="AL870" s="7"/>
      <c r="AM870" s="7"/>
      <c r="AN870" s="7"/>
    </row>
    <row r="871">
      <c r="A871" s="38"/>
      <c r="B871" s="38"/>
      <c r="C871" s="7"/>
      <c r="D871" s="38"/>
      <c r="E871" s="38"/>
      <c r="F871" s="41"/>
      <c r="G871" s="43"/>
      <c r="H871" s="45"/>
      <c r="I871" s="38"/>
      <c r="J871" s="38"/>
      <c r="K871" s="128"/>
      <c r="L871" s="47"/>
      <c r="M871" s="128"/>
      <c r="N871" s="128"/>
      <c r="O871" s="38"/>
      <c r="P871" s="38"/>
      <c r="Q871" s="12"/>
      <c r="R871" s="50"/>
      <c r="S871" s="50"/>
      <c r="T871" s="50"/>
      <c r="U871" s="53"/>
      <c r="V871" s="54"/>
      <c r="W871" s="56"/>
      <c r="X871" s="119"/>
      <c r="Y871" s="113"/>
      <c r="Z871" s="113"/>
      <c r="AH871" s="7"/>
      <c r="AI871" s="7"/>
      <c r="AJ871" s="7"/>
      <c r="AK871" s="7"/>
      <c r="AL871" s="7"/>
      <c r="AM871" s="7"/>
      <c r="AN871" s="7"/>
    </row>
    <row r="872">
      <c r="A872" s="38"/>
      <c r="B872" s="38"/>
      <c r="C872" s="7"/>
      <c r="D872" s="38"/>
      <c r="E872" s="38"/>
      <c r="F872" s="41"/>
      <c r="G872" s="43"/>
      <c r="H872" s="45"/>
      <c r="I872" s="38"/>
      <c r="J872" s="38"/>
      <c r="K872" s="128"/>
      <c r="L872" s="47"/>
      <c r="M872" s="128"/>
      <c r="N872" s="128"/>
      <c r="O872" s="38"/>
      <c r="P872" s="38"/>
      <c r="Q872" s="12"/>
      <c r="R872" s="50"/>
      <c r="S872" s="50"/>
      <c r="T872" s="50"/>
      <c r="U872" s="53"/>
      <c r="V872" s="54"/>
      <c r="W872" s="56"/>
      <c r="X872" s="119"/>
      <c r="Y872" s="113"/>
      <c r="Z872" s="113"/>
      <c r="AH872" s="7"/>
      <c r="AI872" s="7"/>
      <c r="AJ872" s="7"/>
      <c r="AK872" s="7"/>
      <c r="AL872" s="7"/>
      <c r="AM872" s="7"/>
      <c r="AN872" s="7"/>
    </row>
    <row r="873">
      <c r="A873" s="38"/>
      <c r="B873" s="38"/>
      <c r="C873" s="7"/>
      <c r="D873" s="38"/>
      <c r="E873" s="38"/>
      <c r="F873" s="41"/>
      <c r="G873" s="43"/>
      <c r="H873" s="45"/>
      <c r="I873" s="38"/>
      <c r="J873" s="38"/>
      <c r="K873" s="128"/>
      <c r="L873" s="47"/>
      <c r="M873" s="128"/>
      <c r="N873" s="128"/>
      <c r="O873" s="38"/>
      <c r="P873" s="38"/>
      <c r="Q873" s="12"/>
      <c r="R873" s="50"/>
      <c r="S873" s="50"/>
      <c r="T873" s="50"/>
      <c r="U873" s="53"/>
      <c r="V873" s="54"/>
      <c r="W873" s="56"/>
      <c r="X873" s="119"/>
      <c r="Y873" s="113"/>
      <c r="Z873" s="113"/>
      <c r="AH873" s="7"/>
      <c r="AI873" s="7"/>
      <c r="AJ873" s="7"/>
      <c r="AK873" s="7"/>
      <c r="AL873" s="7"/>
      <c r="AM873" s="7"/>
      <c r="AN873" s="7"/>
    </row>
    <row r="874">
      <c r="A874" s="38"/>
      <c r="B874" s="38"/>
      <c r="C874" s="7"/>
      <c r="D874" s="38"/>
      <c r="E874" s="38"/>
      <c r="F874" s="41"/>
      <c r="G874" s="43"/>
      <c r="H874" s="45"/>
      <c r="I874" s="38"/>
      <c r="J874" s="38"/>
      <c r="K874" s="128"/>
      <c r="L874" s="47"/>
      <c r="M874" s="128"/>
      <c r="N874" s="128"/>
      <c r="O874" s="38"/>
      <c r="P874" s="38"/>
      <c r="Q874" s="12"/>
      <c r="R874" s="50"/>
      <c r="S874" s="50"/>
      <c r="T874" s="50"/>
      <c r="U874" s="53"/>
      <c r="V874" s="54"/>
      <c r="W874" s="56"/>
      <c r="X874" s="119"/>
      <c r="Y874" s="113"/>
      <c r="Z874" s="113"/>
      <c r="AH874" s="7"/>
      <c r="AI874" s="7"/>
      <c r="AJ874" s="7"/>
      <c r="AK874" s="7"/>
      <c r="AL874" s="7"/>
      <c r="AM874" s="7"/>
      <c r="AN874" s="7"/>
    </row>
    <row r="875">
      <c r="A875" s="38"/>
      <c r="B875" s="38"/>
      <c r="C875" s="7"/>
      <c r="D875" s="38"/>
      <c r="E875" s="38"/>
      <c r="F875" s="41"/>
      <c r="G875" s="43"/>
      <c r="H875" s="45"/>
      <c r="I875" s="38"/>
      <c r="J875" s="38"/>
      <c r="K875" s="128"/>
      <c r="L875" s="47"/>
      <c r="M875" s="128"/>
      <c r="N875" s="128"/>
      <c r="O875" s="38"/>
      <c r="P875" s="38"/>
      <c r="Q875" s="12"/>
      <c r="R875" s="50"/>
      <c r="S875" s="50"/>
      <c r="T875" s="50"/>
      <c r="U875" s="53"/>
      <c r="V875" s="54"/>
      <c r="W875" s="56"/>
      <c r="X875" s="119"/>
      <c r="Y875" s="113"/>
      <c r="Z875" s="113"/>
      <c r="AH875" s="7"/>
      <c r="AI875" s="7"/>
      <c r="AJ875" s="7"/>
      <c r="AK875" s="7"/>
      <c r="AL875" s="7"/>
      <c r="AM875" s="7"/>
      <c r="AN875" s="7"/>
    </row>
    <row r="876">
      <c r="A876" s="38"/>
      <c r="B876" s="38"/>
      <c r="C876" s="7"/>
      <c r="D876" s="38"/>
      <c r="E876" s="38"/>
      <c r="F876" s="41"/>
      <c r="G876" s="43"/>
      <c r="H876" s="45"/>
      <c r="I876" s="38"/>
      <c r="J876" s="38"/>
      <c r="K876" s="128"/>
      <c r="L876" s="47"/>
      <c r="M876" s="128"/>
      <c r="N876" s="128"/>
      <c r="O876" s="38"/>
      <c r="P876" s="38"/>
      <c r="Q876" s="12"/>
      <c r="R876" s="50"/>
      <c r="S876" s="50"/>
      <c r="T876" s="50"/>
      <c r="U876" s="53"/>
      <c r="V876" s="54"/>
      <c r="W876" s="56"/>
      <c r="X876" s="119"/>
      <c r="Y876" s="113"/>
      <c r="Z876" s="113"/>
      <c r="AH876" s="7"/>
      <c r="AI876" s="7"/>
      <c r="AJ876" s="7"/>
      <c r="AK876" s="7"/>
      <c r="AL876" s="7"/>
      <c r="AM876" s="7"/>
      <c r="AN876" s="7"/>
    </row>
    <row r="877">
      <c r="A877" s="38"/>
      <c r="B877" s="38"/>
      <c r="C877" s="7"/>
      <c r="D877" s="38"/>
      <c r="E877" s="38"/>
      <c r="F877" s="41"/>
      <c r="G877" s="43"/>
      <c r="H877" s="45"/>
      <c r="I877" s="38"/>
      <c r="J877" s="38"/>
      <c r="K877" s="128"/>
      <c r="L877" s="47"/>
      <c r="M877" s="128"/>
      <c r="N877" s="128"/>
      <c r="O877" s="38"/>
      <c r="P877" s="38"/>
      <c r="Q877" s="12"/>
      <c r="R877" s="50"/>
      <c r="S877" s="50"/>
      <c r="T877" s="50"/>
      <c r="U877" s="53"/>
      <c r="V877" s="54"/>
      <c r="W877" s="56"/>
      <c r="X877" s="119"/>
      <c r="Y877" s="113"/>
      <c r="Z877" s="113"/>
      <c r="AH877" s="7"/>
      <c r="AI877" s="7"/>
      <c r="AJ877" s="7"/>
      <c r="AK877" s="7"/>
      <c r="AL877" s="7"/>
      <c r="AM877" s="7"/>
      <c r="AN877" s="7"/>
    </row>
    <row r="878">
      <c r="A878" s="38"/>
      <c r="B878" s="38"/>
      <c r="C878" s="7"/>
      <c r="D878" s="38"/>
      <c r="E878" s="38"/>
      <c r="F878" s="41"/>
      <c r="G878" s="43"/>
      <c r="H878" s="45"/>
      <c r="I878" s="38"/>
      <c r="J878" s="38"/>
      <c r="K878" s="128"/>
      <c r="L878" s="47"/>
      <c r="M878" s="128"/>
      <c r="N878" s="128"/>
      <c r="O878" s="38"/>
      <c r="P878" s="38"/>
      <c r="Q878" s="12"/>
      <c r="R878" s="50"/>
      <c r="S878" s="50"/>
      <c r="T878" s="50"/>
      <c r="U878" s="53"/>
      <c r="V878" s="54"/>
      <c r="W878" s="56"/>
      <c r="X878" s="119"/>
      <c r="Y878" s="113"/>
      <c r="Z878" s="113"/>
      <c r="AH878" s="7"/>
      <c r="AI878" s="7"/>
      <c r="AJ878" s="7"/>
      <c r="AK878" s="7"/>
      <c r="AL878" s="7"/>
      <c r="AM878" s="7"/>
      <c r="AN878" s="7"/>
    </row>
    <row r="879">
      <c r="A879" s="38"/>
      <c r="B879" s="38"/>
      <c r="C879" s="7"/>
      <c r="D879" s="38"/>
      <c r="E879" s="38"/>
      <c r="F879" s="41"/>
      <c r="G879" s="43"/>
      <c r="H879" s="45"/>
      <c r="I879" s="38"/>
      <c r="J879" s="38"/>
      <c r="K879" s="128"/>
      <c r="L879" s="47"/>
      <c r="M879" s="128"/>
      <c r="N879" s="128"/>
      <c r="O879" s="38"/>
      <c r="P879" s="38"/>
      <c r="Q879" s="12"/>
      <c r="R879" s="50"/>
      <c r="S879" s="50"/>
      <c r="T879" s="50"/>
      <c r="U879" s="53"/>
      <c r="V879" s="54"/>
      <c r="W879" s="56"/>
      <c r="X879" s="119"/>
      <c r="Y879" s="113"/>
      <c r="Z879" s="113"/>
      <c r="AH879" s="7"/>
      <c r="AI879" s="7"/>
      <c r="AJ879" s="7"/>
      <c r="AK879" s="7"/>
      <c r="AL879" s="7"/>
      <c r="AM879" s="7"/>
      <c r="AN879" s="7"/>
    </row>
    <row r="880">
      <c r="A880" s="38"/>
      <c r="B880" s="38"/>
      <c r="C880" s="7"/>
      <c r="D880" s="38"/>
      <c r="E880" s="38"/>
      <c r="F880" s="41"/>
      <c r="G880" s="43"/>
      <c r="H880" s="45"/>
      <c r="I880" s="38"/>
      <c r="J880" s="38"/>
      <c r="K880" s="128"/>
      <c r="L880" s="47"/>
      <c r="M880" s="128"/>
      <c r="N880" s="128"/>
      <c r="O880" s="38"/>
      <c r="P880" s="38"/>
      <c r="Q880" s="12"/>
      <c r="R880" s="50"/>
      <c r="S880" s="50"/>
      <c r="T880" s="50"/>
      <c r="U880" s="53"/>
      <c r="V880" s="54"/>
      <c r="W880" s="56"/>
      <c r="X880" s="119"/>
      <c r="Y880" s="113"/>
      <c r="Z880" s="113"/>
      <c r="AH880" s="7"/>
      <c r="AI880" s="7"/>
      <c r="AJ880" s="7"/>
      <c r="AK880" s="7"/>
      <c r="AL880" s="7"/>
      <c r="AM880" s="7"/>
      <c r="AN880" s="7"/>
    </row>
    <row r="881">
      <c r="A881" s="38"/>
      <c r="B881" s="38"/>
      <c r="C881" s="7"/>
      <c r="D881" s="38"/>
      <c r="E881" s="38"/>
      <c r="F881" s="41"/>
      <c r="G881" s="43"/>
      <c r="H881" s="45"/>
      <c r="I881" s="38"/>
      <c r="J881" s="38"/>
      <c r="K881" s="128"/>
      <c r="L881" s="47"/>
      <c r="M881" s="128"/>
      <c r="N881" s="128"/>
      <c r="O881" s="38"/>
      <c r="P881" s="38"/>
      <c r="Q881" s="12"/>
      <c r="R881" s="50"/>
      <c r="S881" s="50"/>
      <c r="T881" s="50"/>
      <c r="U881" s="53"/>
      <c r="V881" s="54"/>
      <c r="W881" s="56"/>
      <c r="X881" s="119"/>
      <c r="Y881" s="113"/>
      <c r="Z881" s="113"/>
      <c r="AH881" s="7"/>
      <c r="AI881" s="7"/>
      <c r="AJ881" s="7"/>
      <c r="AK881" s="7"/>
      <c r="AL881" s="7"/>
      <c r="AM881" s="7"/>
      <c r="AN881" s="7"/>
    </row>
    <row r="882">
      <c r="A882" s="38"/>
      <c r="B882" s="38"/>
      <c r="C882" s="7"/>
      <c r="D882" s="38"/>
      <c r="E882" s="38"/>
      <c r="F882" s="41"/>
      <c r="G882" s="43"/>
      <c r="H882" s="45"/>
      <c r="I882" s="38"/>
      <c r="J882" s="38"/>
      <c r="K882" s="128"/>
      <c r="L882" s="47"/>
      <c r="M882" s="128"/>
      <c r="N882" s="128"/>
      <c r="O882" s="38"/>
      <c r="P882" s="38"/>
      <c r="Q882" s="12"/>
      <c r="R882" s="50"/>
      <c r="S882" s="50"/>
      <c r="T882" s="50"/>
      <c r="U882" s="53"/>
      <c r="V882" s="54"/>
      <c r="W882" s="56"/>
      <c r="X882" s="119"/>
      <c r="Y882" s="113"/>
      <c r="Z882" s="113"/>
      <c r="AH882" s="7"/>
      <c r="AI882" s="7"/>
      <c r="AJ882" s="7"/>
      <c r="AK882" s="7"/>
      <c r="AL882" s="7"/>
      <c r="AM882" s="7"/>
      <c r="AN882" s="7"/>
    </row>
    <row r="883">
      <c r="A883" s="38"/>
      <c r="B883" s="38"/>
      <c r="C883" s="7"/>
      <c r="D883" s="38"/>
      <c r="E883" s="38"/>
      <c r="F883" s="41"/>
      <c r="G883" s="43"/>
      <c r="H883" s="45"/>
      <c r="I883" s="38"/>
      <c r="J883" s="38"/>
      <c r="K883" s="128"/>
      <c r="L883" s="47"/>
      <c r="M883" s="128"/>
      <c r="N883" s="128"/>
      <c r="O883" s="38"/>
      <c r="P883" s="38"/>
      <c r="Q883" s="12"/>
      <c r="R883" s="50"/>
      <c r="S883" s="50"/>
      <c r="T883" s="50"/>
      <c r="U883" s="53"/>
      <c r="V883" s="54"/>
      <c r="W883" s="56"/>
      <c r="X883" s="119"/>
      <c r="Y883" s="113"/>
      <c r="Z883" s="113"/>
      <c r="AH883" s="7"/>
      <c r="AI883" s="7"/>
      <c r="AJ883" s="7"/>
      <c r="AK883" s="7"/>
      <c r="AL883" s="7"/>
      <c r="AM883" s="7"/>
      <c r="AN883" s="7"/>
    </row>
    <row r="884">
      <c r="A884" s="38"/>
      <c r="B884" s="38"/>
      <c r="C884" s="7"/>
      <c r="D884" s="38"/>
      <c r="E884" s="38"/>
      <c r="F884" s="41"/>
      <c r="G884" s="43"/>
      <c r="H884" s="45"/>
      <c r="I884" s="38"/>
      <c r="J884" s="38"/>
      <c r="K884" s="128"/>
      <c r="L884" s="47"/>
      <c r="M884" s="128"/>
      <c r="N884" s="128"/>
      <c r="O884" s="38"/>
      <c r="P884" s="38"/>
      <c r="Q884" s="12"/>
      <c r="R884" s="50"/>
      <c r="S884" s="50"/>
      <c r="T884" s="50"/>
      <c r="U884" s="53"/>
      <c r="V884" s="54"/>
      <c r="W884" s="56"/>
      <c r="X884" s="119"/>
      <c r="Y884" s="113"/>
      <c r="Z884" s="113"/>
      <c r="AH884" s="7"/>
      <c r="AI884" s="7"/>
      <c r="AJ884" s="7"/>
      <c r="AK884" s="7"/>
      <c r="AL884" s="7"/>
      <c r="AM884" s="7"/>
      <c r="AN884" s="7"/>
    </row>
    <row r="885">
      <c r="A885" s="38"/>
      <c r="B885" s="38"/>
      <c r="C885" s="7"/>
      <c r="D885" s="38"/>
      <c r="E885" s="38"/>
      <c r="F885" s="41"/>
      <c r="G885" s="43"/>
      <c r="H885" s="45"/>
      <c r="I885" s="38"/>
      <c r="J885" s="38"/>
      <c r="K885" s="128"/>
      <c r="L885" s="47"/>
      <c r="M885" s="128"/>
      <c r="N885" s="128"/>
      <c r="O885" s="38"/>
      <c r="P885" s="38"/>
      <c r="Q885" s="12"/>
      <c r="R885" s="50"/>
      <c r="S885" s="50"/>
      <c r="T885" s="50"/>
      <c r="U885" s="53"/>
      <c r="V885" s="54"/>
      <c r="W885" s="56"/>
      <c r="X885" s="119"/>
      <c r="Y885" s="113"/>
      <c r="Z885" s="113"/>
      <c r="AH885" s="7"/>
      <c r="AI885" s="7"/>
      <c r="AJ885" s="7"/>
      <c r="AK885" s="7"/>
      <c r="AL885" s="7"/>
      <c r="AM885" s="7"/>
      <c r="AN885" s="7"/>
    </row>
    <row r="886">
      <c r="A886" s="38"/>
      <c r="B886" s="38"/>
      <c r="C886" s="7"/>
      <c r="D886" s="38"/>
      <c r="E886" s="38"/>
      <c r="F886" s="41"/>
      <c r="G886" s="43"/>
      <c r="H886" s="45"/>
      <c r="I886" s="38"/>
      <c r="J886" s="38"/>
      <c r="K886" s="128"/>
      <c r="L886" s="47"/>
      <c r="M886" s="128"/>
      <c r="N886" s="128"/>
      <c r="O886" s="38"/>
      <c r="P886" s="38"/>
      <c r="Q886" s="12"/>
      <c r="R886" s="50"/>
      <c r="S886" s="50"/>
      <c r="T886" s="50"/>
      <c r="U886" s="53"/>
      <c r="V886" s="54"/>
      <c r="W886" s="56"/>
      <c r="X886" s="119"/>
      <c r="Y886" s="113"/>
      <c r="Z886" s="113"/>
      <c r="AH886" s="7"/>
      <c r="AI886" s="7"/>
      <c r="AJ886" s="7"/>
      <c r="AK886" s="7"/>
      <c r="AL886" s="7"/>
      <c r="AM886" s="7"/>
      <c r="AN886" s="7"/>
    </row>
    <row r="887">
      <c r="A887" s="38"/>
      <c r="B887" s="38"/>
      <c r="C887" s="7"/>
      <c r="D887" s="38"/>
      <c r="E887" s="38"/>
      <c r="F887" s="41"/>
      <c r="G887" s="43"/>
      <c r="H887" s="45"/>
      <c r="I887" s="38"/>
      <c r="J887" s="38"/>
      <c r="K887" s="128"/>
      <c r="L887" s="47"/>
      <c r="M887" s="128"/>
      <c r="N887" s="128"/>
      <c r="O887" s="38"/>
      <c r="P887" s="38"/>
      <c r="Q887" s="12"/>
      <c r="R887" s="50"/>
      <c r="S887" s="50"/>
      <c r="T887" s="50"/>
      <c r="U887" s="53"/>
      <c r="V887" s="54"/>
      <c r="W887" s="56"/>
      <c r="X887" s="119"/>
      <c r="Y887" s="113"/>
      <c r="Z887" s="113"/>
      <c r="AH887" s="7"/>
      <c r="AI887" s="7"/>
      <c r="AJ887" s="7"/>
      <c r="AK887" s="7"/>
      <c r="AL887" s="7"/>
      <c r="AM887" s="7"/>
      <c r="AN887" s="7"/>
    </row>
    <row r="888">
      <c r="A888" s="38"/>
      <c r="B888" s="38"/>
      <c r="C888" s="7"/>
      <c r="D888" s="38"/>
      <c r="E888" s="38"/>
      <c r="F888" s="41"/>
      <c r="G888" s="43"/>
      <c r="H888" s="45"/>
      <c r="I888" s="38"/>
      <c r="J888" s="38"/>
      <c r="K888" s="128"/>
      <c r="L888" s="47"/>
      <c r="M888" s="128"/>
      <c r="N888" s="128"/>
      <c r="O888" s="38"/>
      <c r="P888" s="38"/>
      <c r="Q888" s="12"/>
      <c r="R888" s="50"/>
      <c r="S888" s="50"/>
      <c r="T888" s="50"/>
      <c r="U888" s="53"/>
      <c r="V888" s="54"/>
      <c r="W888" s="56"/>
      <c r="X888" s="119"/>
      <c r="Y888" s="113"/>
      <c r="Z888" s="113"/>
      <c r="AH888" s="7"/>
      <c r="AI888" s="7"/>
      <c r="AJ888" s="7"/>
      <c r="AK888" s="7"/>
      <c r="AL888" s="7"/>
      <c r="AM888" s="7"/>
      <c r="AN888" s="7"/>
    </row>
    <row r="889">
      <c r="A889" s="38"/>
      <c r="B889" s="39"/>
      <c r="C889" s="7"/>
      <c r="D889" s="39"/>
      <c r="E889" s="38"/>
      <c r="F889" s="41"/>
      <c r="G889" s="43"/>
      <c r="H889" s="45"/>
      <c r="I889" s="38"/>
      <c r="J889" s="38"/>
      <c r="K889" s="128"/>
      <c r="L889" s="129"/>
      <c r="M889" s="128"/>
      <c r="N889" s="128"/>
      <c r="O889" s="38"/>
      <c r="P889" s="130"/>
      <c r="Q889" s="12"/>
      <c r="R889" s="50"/>
      <c r="S889" s="50"/>
      <c r="T889" s="50"/>
      <c r="U889" s="53"/>
      <c r="V889" s="54"/>
      <c r="W889" s="85"/>
      <c r="X889" s="119"/>
      <c r="Y889" s="113"/>
      <c r="Z889" s="113"/>
      <c r="AH889" s="7"/>
      <c r="AI889" s="7"/>
      <c r="AJ889" s="7"/>
      <c r="AK889" s="7"/>
      <c r="AL889" s="7"/>
      <c r="AM889" s="7"/>
      <c r="AN889" s="7"/>
    </row>
    <row r="890">
      <c r="A890" s="39"/>
      <c r="B890" s="39"/>
      <c r="C890" s="7"/>
      <c r="D890" s="39"/>
      <c r="E890" s="38"/>
      <c r="F890" s="109"/>
      <c r="G890" s="62"/>
      <c r="H890" s="58"/>
      <c r="I890" s="38"/>
      <c r="J890" s="38"/>
      <c r="K890" s="128"/>
      <c r="L890" s="129"/>
      <c r="M890" s="128"/>
      <c r="N890" s="128"/>
      <c r="O890" s="46"/>
      <c r="P890" s="130"/>
      <c r="Q890" s="12"/>
      <c r="R890" s="63"/>
      <c r="S890" s="63"/>
      <c r="T890" s="63"/>
      <c r="U890" s="51"/>
      <c r="V890" s="52"/>
      <c r="W890" s="81"/>
      <c r="X890" s="69"/>
      <c r="Y890" s="39"/>
      <c r="Z890" s="39"/>
      <c r="AH890" s="7"/>
      <c r="AI890" s="7"/>
      <c r="AJ890" s="7"/>
      <c r="AK890" s="7"/>
      <c r="AL890" s="7"/>
      <c r="AM890" s="7"/>
      <c r="AN890" s="7"/>
    </row>
    <row r="891">
      <c r="A891" s="39"/>
      <c r="B891" s="39"/>
      <c r="C891" s="7"/>
      <c r="D891" s="39"/>
      <c r="E891" s="38"/>
      <c r="F891" s="109"/>
      <c r="G891" s="62"/>
      <c r="H891" s="58"/>
      <c r="I891" s="38"/>
      <c r="J891" s="38"/>
      <c r="K891" s="128"/>
      <c r="L891" s="47"/>
      <c r="M891" s="128"/>
      <c r="N891" s="128"/>
      <c r="O891" s="46"/>
      <c r="P891" s="130"/>
      <c r="Q891" s="12"/>
      <c r="R891" s="67"/>
      <c r="S891" s="67"/>
      <c r="T891" s="67"/>
      <c r="U891" s="53"/>
      <c r="V891" s="54"/>
      <c r="W891" s="56"/>
      <c r="X891" s="69"/>
      <c r="Y891" s="39"/>
      <c r="Z891" s="39"/>
      <c r="AH891" s="7"/>
      <c r="AI891" s="7"/>
      <c r="AJ891" s="7"/>
      <c r="AK891" s="7"/>
      <c r="AL891" s="7"/>
      <c r="AM891" s="7"/>
      <c r="AN891" s="7"/>
    </row>
    <row r="892">
      <c r="A892" s="39"/>
      <c r="B892" s="39"/>
      <c r="C892" s="7"/>
      <c r="D892" s="39"/>
      <c r="E892" s="38"/>
      <c r="F892" s="109"/>
      <c r="G892" s="62"/>
      <c r="H892" s="58"/>
      <c r="I892" s="38"/>
      <c r="J892" s="38"/>
      <c r="K892" s="128"/>
      <c r="L892" s="47"/>
      <c r="M892" s="128"/>
      <c r="N892" s="128"/>
      <c r="O892" s="46"/>
      <c r="P892" s="130"/>
      <c r="Q892" s="12"/>
      <c r="R892" s="67"/>
      <c r="S892" s="67"/>
      <c r="T892" s="67"/>
      <c r="U892" s="53"/>
      <c r="V892" s="54"/>
      <c r="W892" s="56"/>
      <c r="X892" s="69"/>
      <c r="Y892" s="39"/>
      <c r="Z892" s="39"/>
      <c r="AH892" s="7"/>
      <c r="AI892" s="7"/>
      <c r="AJ892" s="7"/>
      <c r="AK892" s="7"/>
      <c r="AL892" s="7"/>
      <c r="AM892" s="7"/>
      <c r="AN892" s="7"/>
    </row>
    <row r="893">
      <c r="A893" s="39"/>
      <c r="B893" s="39"/>
      <c r="C893" s="7"/>
      <c r="D893" s="39"/>
      <c r="E893" s="38"/>
      <c r="F893" s="109"/>
      <c r="G893" s="62"/>
      <c r="H893" s="58"/>
      <c r="I893" s="38"/>
      <c r="J893" s="38"/>
      <c r="K893" s="128"/>
      <c r="L893" s="47"/>
      <c r="M893" s="128"/>
      <c r="N893" s="128"/>
      <c r="O893" s="46"/>
      <c r="P893" s="130"/>
      <c r="Q893" s="12"/>
      <c r="R893" s="67"/>
      <c r="S893" s="67"/>
      <c r="T893" s="67"/>
      <c r="U893" s="53"/>
      <c r="V893" s="54"/>
      <c r="W893" s="56"/>
      <c r="X893" s="69"/>
      <c r="Y893" s="39"/>
      <c r="Z893" s="39"/>
      <c r="AH893" s="7"/>
      <c r="AI893" s="7"/>
      <c r="AJ893" s="7"/>
      <c r="AK893" s="7"/>
      <c r="AL893" s="7"/>
      <c r="AM893" s="7"/>
      <c r="AN893" s="7"/>
    </row>
    <row r="894">
      <c r="A894" s="39"/>
      <c r="B894" s="39"/>
      <c r="C894" s="7"/>
      <c r="D894" s="39"/>
      <c r="E894" s="38"/>
      <c r="F894" s="58"/>
      <c r="G894" s="58"/>
      <c r="H894" s="58"/>
      <c r="I894" s="38"/>
      <c r="J894" s="38"/>
      <c r="K894" s="128"/>
      <c r="L894" s="47"/>
      <c r="M894" s="128"/>
      <c r="N894" s="128"/>
      <c r="O894" s="46"/>
      <c r="P894" s="130"/>
      <c r="Q894" s="12"/>
      <c r="R894" s="67"/>
      <c r="S894" s="67"/>
      <c r="T894" s="67"/>
      <c r="U894" s="53"/>
      <c r="V894" s="54"/>
      <c r="W894" s="56"/>
      <c r="X894" s="69"/>
      <c r="Y894" s="39"/>
      <c r="Z894" s="39"/>
      <c r="AH894" s="7"/>
      <c r="AI894" s="7"/>
      <c r="AJ894" s="7"/>
      <c r="AK894" s="7"/>
      <c r="AL894" s="7"/>
      <c r="AM894" s="7"/>
      <c r="AN894" s="7"/>
    </row>
    <row r="895">
      <c r="A895" s="39"/>
      <c r="B895" s="39"/>
      <c r="C895" s="7"/>
      <c r="D895" s="39"/>
      <c r="E895" s="38"/>
      <c r="F895" s="109"/>
      <c r="G895" s="58"/>
      <c r="H895" s="58"/>
      <c r="I895" s="38"/>
      <c r="J895" s="38"/>
      <c r="K895" s="128"/>
      <c r="L895" s="47"/>
      <c r="M895" s="128"/>
      <c r="N895" s="128"/>
      <c r="O895" s="46"/>
      <c r="P895" s="130"/>
      <c r="Q895" s="12"/>
      <c r="R895" s="67"/>
      <c r="S895" s="67"/>
      <c r="T895" s="67"/>
      <c r="U895" s="53"/>
      <c r="V895" s="54"/>
      <c r="W895" s="56"/>
      <c r="X895" s="69"/>
      <c r="Y895" s="39"/>
      <c r="Z895" s="39"/>
      <c r="AH895" s="7"/>
      <c r="AI895" s="7"/>
      <c r="AJ895" s="7"/>
      <c r="AK895" s="7"/>
      <c r="AL895" s="7"/>
      <c r="AM895" s="7"/>
      <c r="AN895" s="7"/>
    </row>
    <row r="896">
      <c r="A896" s="39"/>
      <c r="B896" s="39"/>
      <c r="C896" s="7"/>
      <c r="D896" s="39"/>
      <c r="E896" s="38"/>
      <c r="F896" s="109"/>
      <c r="G896" s="62"/>
      <c r="H896" s="45"/>
      <c r="I896" s="38"/>
      <c r="J896" s="38"/>
      <c r="K896" s="128"/>
      <c r="L896" s="47"/>
      <c r="M896" s="128"/>
      <c r="N896" s="128"/>
      <c r="O896" s="46"/>
      <c r="P896" s="130"/>
      <c r="Q896" s="12"/>
      <c r="R896" s="67"/>
      <c r="S896" s="67"/>
      <c r="T896" s="67"/>
      <c r="U896" s="53"/>
      <c r="V896" s="54"/>
      <c r="W896" s="56"/>
      <c r="X896" s="69"/>
      <c r="Y896" s="39"/>
      <c r="Z896" s="39"/>
      <c r="AH896" s="7"/>
      <c r="AI896" s="7"/>
      <c r="AJ896" s="7"/>
      <c r="AK896" s="7"/>
      <c r="AL896" s="7"/>
      <c r="AM896" s="7"/>
      <c r="AN896" s="7"/>
    </row>
    <row r="897">
      <c r="A897" s="39"/>
      <c r="B897" s="39"/>
      <c r="C897" s="7"/>
      <c r="D897" s="39"/>
      <c r="E897" s="38"/>
      <c r="F897" s="109"/>
      <c r="G897" s="62"/>
      <c r="H897" s="58"/>
      <c r="I897" s="38"/>
      <c r="J897" s="38"/>
      <c r="K897" s="128"/>
      <c r="L897" s="47"/>
      <c r="M897" s="128"/>
      <c r="N897" s="128"/>
      <c r="O897" s="46"/>
      <c r="P897" s="130"/>
      <c r="Q897" s="12"/>
      <c r="R897" s="67"/>
      <c r="S897" s="67"/>
      <c r="T897" s="67"/>
      <c r="U897" s="53"/>
      <c r="V897" s="54"/>
      <c r="W897" s="56"/>
      <c r="X897" s="69"/>
      <c r="Y897" s="39"/>
      <c r="Z897" s="39"/>
      <c r="AH897" s="7"/>
      <c r="AI897" s="7"/>
      <c r="AJ897" s="7"/>
      <c r="AK897" s="7"/>
      <c r="AL897" s="7"/>
      <c r="AM897" s="7"/>
      <c r="AN897" s="7"/>
    </row>
    <row r="898">
      <c r="A898" s="39"/>
      <c r="B898" s="39"/>
      <c r="C898" s="7"/>
      <c r="D898" s="39"/>
      <c r="E898" s="38"/>
      <c r="F898" s="109"/>
      <c r="G898" s="62"/>
      <c r="H898" s="58"/>
      <c r="I898" s="38"/>
      <c r="J898" s="38"/>
      <c r="K898" s="128"/>
      <c r="L898" s="47"/>
      <c r="M898" s="128"/>
      <c r="N898" s="128"/>
      <c r="O898" s="46"/>
      <c r="P898" s="130"/>
      <c r="Q898" s="12"/>
      <c r="R898" s="67"/>
      <c r="S898" s="67"/>
      <c r="T898" s="67"/>
      <c r="U898" s="53"/>
      <c r="V898" s="54"/>
      <c r="W898" s="56"/>
      <c r="X898" s="69"/>
      <c r="Y898" s="39"/>
      <c r="Z898" s="39"/>
      <c r="AH898" s="7"/>
      <c r="AI898" s="7"/>
      <c r="AJ898" s="7"/>
      <c r="AK898" s="7"/>
      <c r="AL898" s="7"/>
      <c r="AM898" s="7"/>
      <c r="AN898" s="7"/>
    </row>
    <row r="899">
      <c r="A899" s="107"/>
      <c r="B899" s="39"/>
      <c r="C899" s="7"/>
      <c r="D899" s="39"/>
      <c r="E899" s="38"/>
      <c r="F899" s="109"/>
      <c r="G899" s="39"/>
      <c r="H899" s="45"/>
      <c r="I899" s="38"/>
      <c r="J899" s="38"/>
      <c r="K899" s="128"/>
      <c r="L899" s="47"/>
      <c r="M899" s="128"/>
      <c r="N899" s="128"/>
      <c r="O899" s="46"/>
      <c r="P899" s="130"/>
      <c r="Q899" s="12"/>
      <c r="R899" s="67"/>
      <c r="S899" s="67"/>
      <c r="T899" s="67"/>
      <c r="U899" s="53"/>
      <c r="V899" s="54"/>
      <c r="W899" s="56"/>
      <c r="X899" s="131"/>
      <c r="AH899" s="7"/>
      <c r="AI899" s="7"/>
      <c r="AJ899" s="7"/>
      <c r="AK899" s="7"/>
      <c r="AL899" s="7"/>
      <c r="AM899" s="7"/>
      <c r="AN899" s="7"/>
    </row>
    <row r="900">
      <c r="A900" s="39"/>
      <c r="B900" s="39"/>
      <c r="C900" s="7"/>
      <c r="D900" s="39"/>
      <c r="E900" s="38"/>
      <c r="F900" s="109"/>
      <c r="G900" s="39"/>
      <c r="H900" s="45"/>
      <c r="I900" s="38"/>
      <c r="J900" s="38"/>
      <c r="K900" s="128"/>
      <c r="L900" s="47"/>
      <c r="M900" s="128"/>
      <c r="N900" s="128"/>
      <c r="O900" s="46"/>
      <c r="P900" s="130"/>
      <c r="Q900" s="12"/>
      <c r="R900" s="67"/>
      <c r="S900" s="67"/>
      <c r="T900" s="67"/>
      <c r="U900" s="53"/>
      <c r="V900" s="54"/>
      <c r="W900" s="56"/>
      <c r="X900" s="131"/>
      <c r="AH900" s="7"/>
      <c r="AI900" s="7"/>
      <c r="AJ900" s="7"/>
      <c r="AK900" s="7"/>
      <c r="AL900" s="7"/>
      <c r="AM900" s="7"/>
      <c r="AN900" s="7"/>
    </row>
    <row r="901">
      <c r="A901" s="107"/>
      <c r="B901" s="39"/>
      <c r="C901" s="7"/>
      <c r="D901" s="39"/>
      <c r="E901" s="38"/>
      <c r="F901" s="109"/>
      <c r="G901" s="39"/>
      <c r="H901" s="58"/>
      <c r="I901" s="38"/>
      <c r="J901" s="38"/>
      <c r="K901" s="128"/>
      <c r="L901" s="47"/>
      <c r="M901" s="128"/>
      <c r="N901" s="128"/>
      <c r="O901" s="105"/>
      <c r="P901" s="130"/>
      <c r="Q901" s="12"/>
      <c r="R901" s="67"/>
      <c r="S901" s="67"/>
      <c r="T901" s="67"/>
      <c r="U901" s="53"/>
      <c r="V901" s="54"/>
      <c r="W901" s="56"/>
      <c r="X901" s="131"/>
      <c r="AH901" s="7"/>
      <c r="AI901" s="7"/>
      <c r="AJ901" s="7"/>
      <c r="AK901" s="7"/>
      <c r="AL901" s="7"/>
      <c r="AM901" s="7"/>
      <c r="AN901" s="7"/>
    </row>
    <row r="902">
      <c r="A902" s="38"/>
      <c r="B902" s="38"/>
      <c r="C902" s="7"/>
      <c r="D902" s="113"/>
      <c r="E902" s="38"/>
      <c r="F902" s="43"/>
      <c r="G902" s="38"/>
      <c r="H902" s="12"/>
      <c r="I902" s="38"/>
      <c r="J902" s="38"/>
      <c r="K902" s="128"/>
      <c r="L902" s="47"/>
      <c r="M902" s="128"/>
      <c r="N902" s="128"/>
      <c r="O902" s="113"/>
      <c r="P902" s="113"/>
      <c r="Q902" s="132"/>
      <c r="R902" s="115"/>
      <c r="S902" s="115"/>
      <c r="T902" s="115"/>
      <c r="U902" s="116"/>
      <c r="V902" s="117"/>
      <c r="W902" s="118"/>
      <c r="X902" s="119"/>
      <c r="Y902" s="113"/>
      <c r="Z902" s="113"/>
      <c r="AH902" s="7"/>
      <c r="AI902" s="7"/>
      <c r="AJ902" s="7"/>
      <c r="AK902" s="7"/>
      <c r="AL902" s="7"/>
      <c r="AM902" s="7"/>
      <c r="AN902" s="7"/>
    </row>
    <row r="903">
      <c r="A903" s="38"/>
      <c r="B903" s="38"/>
      <c r="C903" s="7"/>
      <c r="D903" s="113"/>
      <c r="E903" s="38"/>
      <c r="F903" s="43"/>
      <c r="G903" s="38"/>
      <c r="H903" s="12"/>
      <c r="I903" s="38"/>
      <c r="J903" s="38"/>
      <c r="K903" s="128"/>
      <c r="L903" s="47"/>
      <c r="M903" s="128"/>
      <c r="N903" s="128"/>
      <c r="O903" s="113"/>
      <c r="P903" s="113"/>
      <c r="Q903" s="132"/>
      <c r="R903" s="115"/>
      <c r="S903" s="115"/>
      <c r="T903" s="115"/>
      <c r="U903" s="116"/>
      <c r="V903" s="117"/>
      <c r="W903" s="118"/>
      <c r="X903" s="119"/>
      <c r="Y903" s="113"/>
      <c r="Z903" s="113"/>
      <c r="AH903" s="7"/>
      <c r="AI903" s="7"/>
      <c r="AJ903" s="7"/>
      <c r="AK903" s="7"/>
      <c r="AL903" s="7"/>
      <c r="AM903" s="7"/>
      <c r="AN903" s="7"/>
    </row>
    <row r="904">
      <c r="A904" s="38"/>
      <c r="B904" s="38"/>
      <c r="C904" s="7"/>
      <c r="D904" s="113"/>
      <c r="E904" s="38"/>
      <c r="F904" s="43"/>
      <c r="G904" s="38"/>
      <c r="H904" s="12"/>
      <c r="I904" s="38"/>
      <c r="J904" s="38"/>
      <c r="K904" s="128"/>
      <c r="L904" s="47"/>
      <c r="M904" s="128"/>
      <c r="N904" s="128"/>
      <c r="O904" s="113"/>
      <c r="P904" s="113"/>
      <c r="Q904" s="132"/>
      <c r="R904" s="115"/>
      <c r="S904" s="115"/>
      <c r="T904" s="115"/>
      <c r="U904" s="116"/>
      <c r="V904" s="117"/>
      <c r="W904" s="118"/>
      <c r="X904" s="119"/>
      <c r="Y904" s="113"/>
      <c r="Z904" s="113"/>
      <c r="AH904" s="7"/>
      <c r="AI904" s="7"/>
      <c r="AJ904" s="7"/>
      <c r="AK904" s="7"/>
      <c r="AL904" s="7"/>
      <c r="AM904" s="7"/>
      <c r="AN904" s="7"/>
    </row>
    <row r="905">
      <c r="A905" s="38"/>
      <c r="B905" s="38"/>
      <c r="C905" s="7"/>
      <c r="D905" s="113"/>
      <c r="E905" s="38"/>
      <c r="F905" s="43"/>
      <c r="G905" s="38"/>
      <c r="H905" s="12"/>
      <c r="I905" s="38"/>
      <c r="J905" s="38"/>
      <c r="K905" s="128"/>
      <c r="L905" s="47"/>
      <c r="M905" s="128"/>
      <c r="N905" s="128"/>
      <c r="O905" s="113"/>
      <c r="P905" s="113"/>
      <c r="Q905" s="132"/>
      <c r="R905" s="115"/>
      <c r="S905" s="115"/>
      <c r="T905" s="115"/>
      <c r="U905" s="116"/>
      <c r="V905" s="117"/>
      <c r="W905" s="118"/>
      <c r="X905" s="119"/>
      <c r="Y905" s="113"/>
      <c r="Z905" s="113"/>
      <c r="AH905" s="7"/>
      <c r="AI905" s="7"/>
      <c r="AJ905" s="7"/>
      <c r="AK905" s="7"/>
      <c r="AL905" s="7"/>
      <c r="AM905" s="7"/>
      <c r="AN905" s="7"/>
    </row>
    <row r="906">
      <c r="A906" s="38"/>
      <c r="B906" s="38"/>
      <c r="C906" s="7"/>
      <c r="D906" s="113"/>
      <c r="E906" s="38"/>
      <c r="F906" s="43"/>
      <c r="G906" s="38"/>
      <c r="H906" s="12"/>
      <c r="I906" s="38"/>
      <c r="J906" s="38"/>
      <c r="K906" s="128"/>
      <c r="L906" s="47"/>
      <c r="M906" s="128"/>
      <c r="N906" s="128"/>
      <c r="O906" s="113"/>
      <c r="P906" s="113"/>
      <c r="Q906" s="132"/>
      <c r="R906" s="115"/>
      <c r="S906" s="115"/>
      <c r="T906" s="115"/>
      <c r="U906" s="116"/>
      <c r="V906" s="117"/>
      <c r="W906" s="118"/>
      <c r="X906" s="119"/>
      <c r="Y906" s="113"/>
      <c r="Z906" s="113"/>
      <c r="AH906" s="7"/>
      <c r="AI906" s="7"/>
      <c r="AJ906" s="7"/>
      <c r="AK906" s="7"/>
      <c r="AL906" s="7"/>
      <c r="AM906" s="7"/>
      <c r="AN906" s="7"/>
    </row>
    <row r="907">
      <c r="A907" s="38"/>
      <c r="B907" s="38"/>
      <c r="C907" s="7"/>
      <c r="D907" s="113"/>
      <c r="E907" s="38"/>
      <c r="F907" s="43"/>
      <c r="G907" s="38"/>
      <c r="H907" s="12"/>
      <c r="I907" s="38"/>
      <c r="J907" s="38"/>
      <c r="K907" s="128"/>
      <c r="L907" s="47"/>
      <c r="M907" s="128"/>
      <c r="N907" s="128"/>
      <c r="O907" s="113"/>
      <c r="P907" s="113"/>
      <c r="Q907" s="132"/>
      <c r="R907" s="115"/>
      <c r="S907" s="115"/>
      <c r="T907" s="115"/>
      <c r="U907" s="116"/>
      <c r="V907" s="117"/>
      <c r="W907" s="118"/>
      <c r="X907" s="119"/>
      <c r="Y907" s="113"/>
      <c r="Z907" s="113"/>
      <c r="AH907" s="7"/>
      <c r="AI907" s="7"/>
      <c r="AJ907" s="7"/>
      <c r="AK907" s="7"/>
      <c r="AL907" s="7"/>
      <c r="AM907" s="7"/>
      <c r="AN907" s="7"/>
    </row>
    <row r="908">
      <c r="A908" s="38"/>
      <c r="B908" s="38"/>
      <c r="C908" s="7"/>
      <c r="D908" s="113"/>
      <c r="E908" s="38"/>
      <c r="F908" s="38"/>
      <c r="G908" s="38"/>
      <c r="H908" s="12"/>
      <c r="I908" s="38"/>
      <c r="J908" s="38"/>
      <c r="K908" s="128"/>
      <c r="L908" s="47"/>
      <c r="M908" s="128"/>
      <c r="N908" s="128"/>
      <c r="O908" s="113"/>
      <c r="P908" s="113"/>
      <c r="Q908" s="132"/>
      <c r="R908" s="115"/>
      <c r="S908" s="115"/>
      <c r="T908" s="115"/>
      <c r="U908" s="116"/>
      <c r="V908" s="117"/>
      <c r="W908" s="118"/>
      <c r="X908" s="119"/>
      <c r="Y908" s="113"/>
      <c r="Z908" s="113"/>
      <c r="AH908" s="7"/>
      <c r="AI908" s="7"/>
      <c r="AJ908" s="7"/>
      <c r="AK908" s="7"/>
      <c r="AL908" s="7"/>
      <c r="AM908" s="7"/>
      <c r="AN908" s="7"/>
    </row>
    <row r="909">
      <c r="A909" s="113"/>
      <c r="B909" s="113"/>
      <c r="C909" s="7"/>
      <c r="D909" s="113"/>
      <c r="E909" s="113"/>
      <c r="F909" s="113"/>
      <c r="G909" s="113"/>
      <c r="H909" s="113"/>
      <c r="I909" s="113"/>
      <c r="J909" s="113"/>
      <c r="K909" s="128"/>
      <c r="L909" s="113"/>
      <c r="M909" s="128"/>
      <c r="N909" s="128"/>
      <c r="O909" s="113"/>
      <c r="P909" s="113"/>
      <c r="Q909" s="132"/>
      <c r="R909" s="115"/>
      <c r="S909" s="115"/>
      <c r="T909" s="115"/>
      <c r="U909" s="116"/>
      <c r="V909" s="117"/>
      <c r="W909" s="118"/>
      <c r="X909" s="119"/>
      <c r="Y909" s="113"/>
      <c r="Z909" s="113"/>
      <c r="AH909" s="7"/>
      <c r="AI909" s="7"/>
      <c r="AJ909" s="7"/>
      <c r="AK909" s="7"/>
      <c r="AL909" s="7"/>
      <c r="AM909" s="7"/>
      <c r="AN909" s="7"/>
    </row>
    <row r="910">
      <c r="A910" s="113"/>
      <c r="B910" s="113"/>
      <c r="C910" s="7"/>
      <c r="D910" s="113"/>
      <c r="E910" s="113"/>
      <c r="F910" s="113"/>
      <c r="G910" s="113"/>
      <c r="H910" s="113"/>
      <c r="I910" s="113"/>
      <c r="J910" s="113"/>
      <c r="K910" s="128"/>
      <c r="L910" s="113"/>
      <c r="M910" s="128"/>
      <c r="N910" s="128"/>
      <c r="O910" s="113"/>
      <c r="P910" s="113"/>
      <c r="Q910" s="132"/>
      <c r="R910" s="115"/>
      <c r="S910" s="115"/>
      <c r="T910" s="115"/>
      <c r="U910" s="116"/>
      <c r="V910" s="117"/>
      <c r="W910" s="118"/>
      <c r="X910" s="119"/>
      <c r="Y910" s="113"/>
      <c r="Z910" s="113"/>
      <c r="AH910" s="7"/>
      <c r="AI910" s="7"/>
      <c r="AJ910" s="7"/>
      <c r="AK910" s="7"/>
      <c r="AL910" s="7"/>
      <c r="AM910" s="7"/>
      <c r="AN910" s="7"/>
    </row>
    <row r="911">
      <c r="A911" s="113"/>
      <c r="B911" s="113"/>
      <c r="C911" s="7"/>
      <c r="D911" s="113"/>
      <c r="E911" s="113"/>
      <c r="F911" s="113"/>
      <c r="G911" s="113"/>
      <c r="H911" s="113"/>
      <c r="I911" s="113"/>
      <c r="J911" s="113"/>
      <c r="K911" s="128"/>
      <c r="L911" s="113"/>
      <c r="M911" s="128"/>
      <c r="N911" s="128"/>
      <c r="O911" s="113"/>
      <c r="P911" s="113"/>
      <c r="Q911" s="132"/>
      <c r="R911" s="115"/>
      <c r="S911" s="115"/>
      <c r="T911" s="115"/>
      <c r="U911" s="116"/>
      <c r="V911" s="117"/>
      <c r="W911" s="118"/>
      <c r="X911" s="119"/>
      <c r="Y911" s="113"/>
      <c r="Z911" s="113"/>
      <c r="AH911" s="7"/>
      <c r="AI911" s="7"/>
      <c r="AJ911" s="7"/>
      <c r="AK911" s="7"/>
      <c r="AL911" s="7"/>
      <c r="AM911" s="7"/>
      <c r="AN911" s="7"/>
    </row>
    <row r="912">
      <c r="A912" s="113"/>
      <c r="B912" s="113"/>
      <c r="C912" s="7"/>
      <c r="D912" s="113"/>
      <c r="E912" s="113"/>
      <c r="F912" s="113"/>
      <c r="G912" s="113"/>
      <c r="H912" s="113"/>
      <c r="I912" s="113"/>
      <c r="J912" s="113"/>
      <c r="K912" s="128"/>
      <c r="L912" s="113"/>
      <c r="M912" s="128"/>
      <c r="N912" s="128"/>
      <c r="O912" s="113"/>
      <c r="P912" s="113"/>
      <c r="Q912" s="132"/>
      <c r="R912" s="115"/>
      <c r="S912" s="115"/>
      <c r="T912" s="115"/>
      <c r="U912" s="116"/>
      <c r="V912" s="117"/>
      <c r="W912" s="118"/>
      <c r="X912" s="119"/>
      <c r="Y912" s="113"/>
      <c r="Z912" s="113"/>
      <c r="AH912" s="7"/>
      <c r="AI912" s="7"/>
      <c r="AJ912" s="7"/>
      <c r="AK912" s="7"/>
      <c r="AL912" s="7"/>
      <c r="AM912" s="7"/>
      <c r="AN912" s="7"/>
    </row>
    <row r="913">
      <c r="A913" s="113"/>
      <c r="B913" s="113"/>
      <c r="C913" s="7"/>
      <c r="D913" s="113"/>
      <c r="E913" s="113"/>
      <c r="F913" s="113"/>
      <c r="G913" s="113"/>
      <c r="H913" s="113"/>
      <c r="I913" s="113"/>
      <c r="J913" s="113"/>
      <c r="K913" s="128"/>
      <c r="L913" s="113"/>
      <c r="M913" s="128"/>
      <c r="N913" s="128"/>
      <c r="O913" s="113"/>
      <c r="P913" s="113"/>
      <c r="Q913" s="132"/>
      <c r="R913" s="115"/>
      <c r="S913" s="115"/>
      <c r="T913" s="115"/>
      <c r="U913" s="116"/>
      <c r="V913" s="117"/>
      <c r="W913" s="118"/>
      <c r="X913" s="119"/>
      <c r="Y913" s="113"/>
      <c r="Z913" s="113"/>
      <c r="AH913" s="7"/>
      <c r="AI913" s="7"/>
      <c r="AJ913" s="7"/>
      <c r="AK913" s="7"/>
      <c r="AL913" s="7"/>
      <c r="AM913" s="7"/>
      <c r="AN913" s="7"/>
    </row>
    <row r="914">
      <c r="A914" s="113"/>
      <c r="B914" s="113"/>
      <c r="C914" s="7"/>
      <c r="D914" s="113"/>
      <c r="E914" s="113"/>
      <c r="F914" s="113"/>
      <c r="G914" s="113"/>
      <c r="H914" s="113"/>
      <c r="I914" s="113"/>
      <c r="J914" s="113"/>
      <c r="K914" s="128"/>
      <c r="L914" s="113"/>
      <c r="M914" s="128"/>
      <c r="N914" s="128"/>
      <c r="O914" s="113"/>
      <c r="P914" s="113"/>
      <c r="Q914" s="132"/>
      <c r="R914" s="115"/>
      <c r="S914" s="115"/>
      <c r="T914" s="115"/>
      <c r="U914" s="116"/>
      <c r="V914" s="117"/>
      <c r="W914" s="118"/>
      <c r="X914" s="119"/>
      <c r="Y914" s="113"/>
      <c r="Z914" s="113"/>
      <c r="AH914" s="7"/>
      <c r="AI914" s="7"/>
      <c r="AJ914" s="7"/>
      <c r="AK914" s="7"/>
      <c r="AL914" s="7"/>
      <c r="AM914" s="7"/>
      <c r="AN914" s="7"/>
    </row>
    <row r="915">
      <c r="A915" s="113"/>
      <c r="B915" s="113"/>
      <c r="C915" s="7"/>
      <c r="D915" s="113"/>
      <c r="E915" s="113"/>
      <c r="F915" s="113"/>
      <c r="G915" s="113"/>
      <c r="H915" s="113"/>
      <c r="I915" s="113"/>
      <c r="J915" s="113"/>
      <c r="K915" s="128"/>
      <c r="L915" s="113"/>
      <c r="M915" s="128"/>
      <c r="N915" s="128"/>
      <c r="O915" s="113"/>
      <c r="P915" s="113"/>
      <c r="Q915" s="132"/>
      <c r="R915" s="115"/>
      <c r="S915" s="115"/>
      <c r="T915" s="115"/>
      <c r="U915" s="116"/>
      <c r="V915" s="117"/>
      <c r="W915" s="118"/>
      <c r="X915" s="119"/>
      <c r="Y915" s="113"/>
      <c r="Z915" s="113"/>
      <c r="AH915" s="7"/>
      <c r="AI915" s="7"/>
      <c r="AJ915" s="7"/>
      <c r="AK915" s="7"/>
      <c r="AL915" s="7"/>
      <c r="AM915" s="7"/>
      <c r="AN915" s="7"/>
    </row>
    <row r="916">
      <c r="A916" s="113"/>
      <c r="B916" s="113"/>
      <c r="C916" s="7"/>
      <c r="D916" s="113"/>
      <c r="E916" s="113"/>
      <c r="F916" s="113"/>
      <c r="G916" s="113"/>
      <c r="H916" s="113"/>
      <c r="I916" s="113"/>
      <c r="J916" s="113"/>
      <c r="K916" s="128"/>
      <c r="L916" s="113"/>
      <c r="M916" s="128"/>
      <c r="N916" s="128"/>
      <c r="O916" s="113"/>
      <c r="P916" s="113"/>
      <c r="Q916" s="132"/>
      <c r="R916" s="115"/>
      <c r="S916" s="115"/>
      <c r="T916" s="115"/>
      <c r="U916" s="116"/>
      <c r="V916" s="117"/>
      <c r="W916" s="118"/>
      <c r="X916" s="119"/>
      <c r="Y916" s="113"/>
      <c r="Z916" s="113"/>
      <c r="AH916" s="7"/>
      <c r="AI916" s="7"/>
      <c r="AJ916" s="7"/>
      <c r="AK916" s="7"/>
      <c r="AL916" s="7"/>
      <c r="AM916" s="7"/>
      <c r="AN916" s="7"/>
    </row>
    <row r="917">
      <c r="A917" s="113"/>
      <c r="B917" s="113"/>
      <c r="C917" s="7"/>
      <c r="D917" s="113"/>
      <c r="E917" s="113"/>
      <c r="F917" s="113"/>
      <c r="G917" s="113"/>
      <c r="H917" s="113"/>
      <c r="I917" s="113"/>
      <c r="J917" s="113"/>
      <c r="K917" s="128"/>
      <c r="L917" s="113"/>
      <c r="M917" s="128"/>
      <c r="N917" s="128"/>
      <c r="O917" s="113"/>
      <c r="P917" s="113"/>
      <c r="Q917" s="132"/>
      <c r="R917" s="115"/>
      <c r="S917" s="115"/>
      <c r="T917" s="115"/>
      <c r="U917" s="116"/>
      <c r="V917" s="117"/>
      <c r="W917" s="118"/>
      <c r="X917" s="119"/>
      <c r="Y917" s="113"/>
      <c r="Z917" s="113"/>
      <c r="AH917" s="7"/>
      <c r="AI917" s="7"/>
      <c r="AJ917" s="7"/>
      <c r="AK917" s="7"/>
      <c r="AL917" s="7"/>
      <c r="AM917" s="7"/>
      <c r="AN917" s="7"/>
    </row>
    <row r="918">
      <c r="A918" s="113"/>
      <c r="B918" s="113"/>
      <c r="C918" s="7"/>
      <c r="D918" s="113"/>
      <c r="E918" s="113"/>
      <c r="F918" s="113"/>
      <c r="G918" s="113"/>
      <c r="H918" s="113"/>
      <c r="I918" s="113"/>
      <c r="J918" s="113"/>
      <c r="K918" s="128"/>
      <c r="L918" s="113"/>
      <c r="M918" s="128"/>
      <c r="N918" s="128"/>
      <c r="O918" s="113"/>
      <c r="P918" s="113"/>
      <c r="Q918" s="132"/>
      <c r="R918" s="115"/>
      <c r="S918" s="115"/>
      <c r="T918" s="115"/>
      <c r="U918" s="116"/>
      <c r="V918" s="117"/>
      <c r="W918" s="118"/>
      <c r="X918" s="119"/>
      <c r="Y918" s="113"/>
      <c r="Z918" s="113"/>
      <c r="AH918" s="7"/>
      <c r="AI918" s="7"/>
      <c r="AJ918" s="7"/>
      <c r="AK918" s="7"/>
      <c r="AL918" s="7"/>
      <c r="AM918" s="7"/>
      <c r="AN918" s="7"/>
    </row>
    <row r="919">
      <c r="A919" s="113"/>
      <c r="B919" s="113"/>
      <c r="C919" s="7"/>
      <c r="D919" s="113"/>
      <c r="E919" s="113"/>
      <c r="F919" s="113"/>
      <c r="G919" s="113"/>
      <c r="H919" s="113"/>
      <c r="I919" s="113"/>
      <c r="J919" s="113"/>
      <c r="K919" s="128"/>
      <c r="L919" s="113"/>
      <c r="M919" s="128"/>
      <c r="N919" s="128"/>
      <c r="O919" s="113"/>
      <c r="P919" s="113"/>
      <c r="Q919" s="132"/>
      <c r="R919" s="115"/>
      <c r="S919" s="115"/>
      <c r="T919" s="115"/>
      <c r="U919" s="116"/>
      <c r="V919" s="117"/>
      <c r="W919" s="118"/>
      <c r="X919" s="119"/>
      <c r="Y919" s="113"/>
      <c r="Z919" s="113"/>
      <c r="AH919" s="7"/>
      <c r="AI919" s="7"/>
      <c r="AJ919" s="7"/>
      <c r="AK919" s="7"/>
      <c r="AL919" s="7"/>
      <c r="AM919" s="7"/>
      <c r="AN919" s="7"/>
    </row>
    <row r="920">
      <c r="A920" s="113"/>
      <c r="B920" s="113"/>
      <c r="C920" s="7"/>
      <c r="D920" s="113"/>
      <c r="E920" s="113"/>
      <c r="F920" s="113"/>
      <c r="G920" s="113"/>
      <c r="H920" s="113"/>
      <c r="I920" s="113"/>
      <c r="J920" s="113"/>
      <c r="K920" s="128"/>
      <c r="L920" s="113"/>
      <c r="M920" s="128"/>
      <c r="N920" s="128"/>
      <c r="O920" s="113"/>
      <c r="P920" s="113"/>
      <c r="Q920" s="132"/>
      <c r="R920" s="115"/>
      <c r="S920" s="115"/>
      <c r="T920" s="115"/>
      <c r="U920" s="116"/>
      <c r="V920" s="117"/>
      <c r="W920" s="118"/>
      <c r="X920" s="119"/>
      <c r="Y920" s="113"/>
      <c r="Z920" s="113"/>
      <c r="AH920" s="7"/>
      <c r="AI920" s="7"/>
      <c r="AJ920" s="7"/>
      <c r="AK920" s="7"/>
      <c r="AL920" s="7"/>
      <c r="AM920" s="7"/>
      <c r="AN920" s="7"/>
    </row>
    <row r="921">
      <c r="A921" s="113"/>
      <c r="B921" s="113"/>
      <c r="C921" s="7"/>
      <c r="D921" s="113"/>
      <c r="E921" s="113"/>
      <c r="F921" s="113"/>
      <c r="G921" s="113"/>
      <c r="H921" s="113"/>
      <c r="I921" s="113"/>
      <c r="J921" s="113"/>
      <c r="K921" s="128"/>
      <c r="L921" s="113"/>
      <c r="M921" s="128"/>
      <c r="N921" s="128"/>
      <c r="O921" s="113"/>
      <c r="P921" s="113"/>
      <c r="Q921" s="132"/>
      <c r="R921" s="115"/>
      <c r="S921" s="115"/>
      <c r="T921" s="115"/>
      <c r="U921" s="116"/>
      <c r="V921" s="117"/>
      <c r="W921" s="118"/>
      <c r="X921" s="119"/>
      <c r="Y921" s="113"/>
      <c r="Z921" s="113"/>
      <c r="AH921" s="7"/>
      <c r="AI921" s="7"/>
      <c r="AJ921" s="7"/>
      <c r="AK921" s="7"/>
      <c r="AL921" s="7"/>
      <c r="AM921" s="7"/>
      <c r="AN921" s="7"/>
    </row>
    <row r="922">
      <c r="A922" s="113"/>
      <c r="B922" s="113"/>
      <c r="C922" s="7"/>
      <c r="D922" s="113"/>
      <c r="E922" s="113"/>
      <c r="F922" s="113"/>
      <c r="G922" s="113"/>
      <c r="H922" s="113"/>
      <c r="I922" s="113"/>
      <c r="J922" s="113"/>
      <c r="K922" s="128"/>
      <c r="L922" s="113"/>
      <c r="M922" s="128"/>
      <c r="N922" s="128"/>
      <c r="O922" s="113"/>
      <c r="P922" s="113"/>
      <c r="Q922" s="132"/>
      <c r="R922" s="115"/>
      <c r="S922" s="115"/>
      <c r="T922" s="115"/>
      <c r="U922" s="116"/>
      <c r="V922" s="117"/>
      <c r="W922" s="118"/>
      <c r="X922" s="119"/>
      <c r="Y922" s="113"/>
      <c r="Z922" s="113"/>
      <c r="AH922" s="7"/>
      <c r="AI922" s="7"/>
      <c r="AJ922" s="7"/>
      <c r="AK922" s="7"/>
      <c r="AL922" s="7"/>
      <c r="AM922" s="7"/>
      <c r="AN922" s="7"/>
    </row>
    <row r="923">
      <c r="A923" s="113"/>
      <c r="B923" s="113"/>
      <c r="C923" s="7"/>
      <c r="D923" s="113"/>
      <c r="E923" s="113"/>
      <c r="F923" s="113"/>
      <c r="G923" s="113"/>
      <c r="H923" s="113"/>
      <c r="I923" s="113"/>
      <c r="J923" s="113"/>
      <c r="K923" s="128"/>
      <c r="L923" s="113"/>
      <c r="M923" s="128"/>
      <c r="N923" s="128"/>
      <c r="O923" s="113"/>
      <c r="P923" s="113"/>
      <c r="Q923" s="132"/>
      <c r="R923" s="115"/>
      <c r="S923" s="115"/>
      <c r="T923" s="115"/>
      <c r="U923" s="116"/>
      <c r="V923" s="117"/>
      <c r="W923" s="118"/>
      <c r="X923" s="119"/>
      <c r="Y923" s="113"/>
      <c r="Z923" s="113"/>
      <c r="AH923" s="7"/>
      <c r="AI923" s="7"/>
      <c r="AJ923" s="7"/>
      <c r="AK923" s="7"/>
      <c r="AL923" s="7"/>
      <c r="AM923" s="7"/>
      <c r="AN923" s="7"/>
    </row>
    <row r="924">
      <c r="A924" s="113"/>
      <c r="B924" s="113"/>
      <c r="C924" s="7"/>
      <c r="D924" s="113"/>
      <c r="E924" s="113"/>
      <c r="F924" s="113"/>
      <c r="G924" s="113"/>
      <c r="H924" s="113"/>
      <c r="I924" s="113"/>
      <c r="J924" s="113"/>
      <c r="K924" s="128"/>
      <c r="L924" s="113"/>
      <c r="M924" s="128"/>
      <c r="N924" s="128"/>
      <c r="O924" s="113"/>
      <c r="P924" s="113"/>
      <c r="Q924" s="132"/>
      <c r="R924" s="115"/>
      <c r="S924" s="115"/>
      <c r="T924" s="115"/>
      <c r="U924" s="116"/>
      <c r="V924" s="117"/>
      <c r="W924" s="118"/>
      <c r="X924" s="119"/>
      <c r="Y924" s="113"/>
      <c r="Z924" s="113"/>
      <c r="AH924" s="7"/>
      <c r="AI924" s="7"/>
      <c r="AJ924" s="7"/>
      <c r="AK924" s="7"/>
      <c r="AL924" s="7"/>
      <c r="AM924" s="7"/>
      <c r="AN924" s="7"/>
    </row>
    <row r="925">
      <c r="A925" s="113"/>
      <c r="B925" s="113"/>
      <c r="C925" s="7"/>
      <c r="D925" s="113"/>
      <c r="E925" s="113"/>
      <c r="F925" s="113"/>
      <c r="G925" s="113"/>
      <c r="H925" s="113"/>
      <c r="I925" s="113"/>
      <c r="J925" s="113"/>
      <c r="K925" s="128"/>
      <c r="L925" s="113"/>
      <c r="M925" s="128"/>
      <c r="N925" s="128"/>
      <c r="O925" s="113"/>
      <c r="P925" s="113"/>
      <c r="Q925" s="132"/>
      <c r="R925" s="115"/>
      <c r="S925" s="115"/>
      <c r="T925" s="115"/>
      <c r="U925" s="116"/>
      <c r="V925" s="117"/>
      <c r="W925" s="118"/>
      <c r="X925" s="119"/>
      <c r="Y925" s="113"/>
      <c r="Z925" s="113"/>
      <c r="AH925" s="7"/>
      <c r="AI925" s="7"/>
      <c r="AJ925" s="7"/>
      <c r="AK925" s="7"/>
      <c r="AL925" s="7"/>
      <c r="AM925" s="7"/>
      <c r="AN925" s="7"/>
    </row>
    <row r="926">
      <c r="A926" s="113"/>
      <c r="B926" s="113"/>
      <c r="C926" s="7"/>
      <c r="D926" s="113"/>
      <c r="E926" s="113"/>
      <c r="F926" s="113"/>
      <c r="G926" s="113"/>
      <c r="H926" s="113"/>
      <c r="I926" s="113"/>
      <c r="J926" s="113"/>
      <c r="K926" s="128"/>
      <c r="L926" s="113"/>
      <c r="M926" s="128"/>
      <c r="N926" s="128"/>
      <c r="O926" s="113"/>
      <c r="P926" s="113"/>
      <c r="Q926" s="132"/>
      <c r="R926" s="115"/>
      <c r="S926" s="115"/>
      <c r="T926" s="115"/>
      <c r="U926" s="116"/>
      <c r="V926" s="117"/>
      <c r="W926" s="118"/>
      <c r="X926" s="119"/>
      <c r="Y926" s="113"/>
      <c r="Z926" s="113"/>
      <c r="AH926" s="7"/>
      <c r="AI926" s="7"/>
      <c r="AJ926" s="7"/>
      <c r="AK926" s="7"/>
      <c r="AL926" s="7"/>
      <c r="AM926" s="7"/>
      <c r="AN926" s="7"/>
    </row>
    <row r="927">
      <c r="A927" s="113"/>
      <c r="B927" s="113"/>
      <c r="C927" s="7"/>
      <c r="D927" s="113"/>
      <c r="E927" s="113"/>
      <c r="F927" s="113"/>
      <c r="G927" s="113"/>
      <c r="H927" s="113"/>
      <c r="I927" s="113"/>
      <c r="J927" s="113"/>
      <c r="K927" s="128"/>
      <c r="L927" s="113"/>
      <c r="M927" s="128"/>
      <c r="N927" s="128"/>
      <c r="O927" s="113"/>
      <c r="P927" s="113"/>
      <c r="Q927" s="132"/>
      <c r="R927" s="115"/>
      <c r="S927" s="115"/>
      <c r="T927" s="115"/>
      <c r="U927" s="116"/>
      <c r="V927" s="117"/>
      <c r="W927" s="118"/>
      <c r="X927" s="119"/>
      <c r="Y927" s="113"/>
      <c r="Z927" s="113"/>
      <c r="AH927" s="7"/>
      <c r="AI927" s="7"/>
      <c r="AJ927" s="7"/>
      <c r="AK927" s="7"/>
      <c r="AL927" s="7"/>
      <c r="AM927" s="7"/>
      <c r="AN927" s="7"/>
    </row>
    <row r="928">
      <c r="A928" s="113"/>
      <c r="B928" s="113"/>
      <c r="C928" s="7"/>
      <c r="D928" s="113"/>
      <c r="E928" s="113"/>
      <c r="F928" s="113"/>
      <c r="G928" s="113"/>
      <c r="H928" s="113"/>
      <c r="I928" s="113"/>
      <c r="J928" s="113"/>
      <c r="K928" s="128"/>
      <c r="L928" s="113"/>
      <c r="M928" s="128"/>
      <c r="N928" s="128"/>
      <c r="O928" s="113"/>
      <c r="P928" s="113"/>
      <c r="Q928" s="132"/>
      <c r="R928" s="115"/>
      <c r="S928" s="115"/>
      <c r="T928" s="115"/>
      <c r="U928" s="116"/>
      <c r="V928" s="117"/>
      <c r="W928" s="118"/>
      <c r="X928" s="119"/>
      <c r="Y928" s="113"/>
      <c r="Z928" s="113"/>
      <c r="AH928" s="7"/>
      <c r="AI928" s="7"/>
      <c r="AJ928" s="7"/>
      <c r="AK928" s="7"/>
      <c r="AL928" s="7"/>
      <c r="AM928" s="7"/>
      <c r="AN928" s="7"/>
    </row>
    <row r="929">
      <c r="A929" s="113"/>
      <c r="B929" s="113"/>
      <c r="C929" s="7"/>
      <c r="D929" s="113"/>
      <c r="E929" s="113"/>
      <c r="F929" s="113"/>
      <c r="G929" s="113"/>
      <c r="H929" s="113"/>
      <c r="I929" s="113"/>
      <c r="J929" s="113"/>
      <c r="K929" s="128"/>
      <c r="L929" s="113"/>
      <c r="M929" s="128"/>
      <c r="N929" s="128"/>
      <c r="O929" s="113"/>
      <c r="P929" s="113"/>
      <c r="Q929" s="132"/>
      <c r="R929" s="115"/>
      <c r="S929" s="115"/>
      <c r="T929" s="115"/>
      <c r="U929" s="116"/>
      <c r="V929" s="117"/>
      <c r="W929" s="118"/>
      <c r="X929" s="119"/>
      <c r="Y929" s="113"/>
      <c r="Z929" s="113"/>
      <c r="AH929" s="7"/>
      <c r="AI929" s="7"/>
      <c r="AJ929" s="7"/>
      <c r="AK929" s="7"/>
      <c r="AL929" s="7"/>
      <c r="AM929" s="7"/>
      <c r="AN929" s="7"/>
    </row>
    <row r="930">
      <c r="A930" s="113"/>
      <c r="B930" s="113"/>
      <c r="C930" s="7"/>
      <c r="D930" s="113"/>
      <c r="E930" s="113"/>
      <c r="F930" s="113"/>
      <c r="G930" s="113"/>
      <c r="H930" s="113"/>
      <c r="I930" s="113"/>
      <c r="J930" s="113"/>
      <c r="K930" s="128"/>
      <c r="L930" s="113"/>
      <c r="M930" s="128"/>
      <c r="N930" s="128"/>
      <c r="O930" s="113"/>
      <c r="P930" s="113"/>
      <c r="Q930" s="132"/>
      <c r="R930" s="115"/>
      <c r="S930" s="115"/>
      <c r="T930" s="115"/>
      <c r="U930" s="116"/>
      <c r="V930" s="117"/>
      <c r="W930" s="118"/>
      <c r="X930" s="119"/>
      <c r="Y930" s="113"/>
      <c r="Z930" s="113"/>
      <c r="AH930" s="7"/>
      <c r="AI930" s="7"/>
      <c r="AJ930" s="7"/>
      <c r="AK930" s="7"/>
      <c r="AL930" s="7"/>
      <c r="AM930" s="7"/>
      <c r="AN930" s="7"/>
    </row>
    <row r="931">
      <c r="A931" s="113"/>
      <c r="B931" s="113"/>
      <c r="C931" s="7"/>
      <c r="D931" s="113"/>
      <c r="E931" s="113"/>
      <c r="F931" s="113"/>
      <c r="G931" s="113"/>
      <c r="H931" s="113"/>
      <c r="I931" s="113"/>
      <c r="J931" s="113"/>
      <c r="K931" s="128"/>
      <c r="L931" s="113"/>
      <c r="M931" s="128"/>
      <c r="N931" s="128"/>
      <c r="O931" s="113"/>
      <c r="P931" s="113"/>
      <c r="Q931" s="132"/>
      <c r="R931" s="115"/>
      <c r="S931" s="115"/>
      <c r="T931" s="115"/>
      <c r="U931" s="116"/>
      <c r="V931" s="117"/>
      <c r="W931" s="118"/>
      <c r="X931" s="119"/>
      <c r="Y931" s="113"/>
      <c r="Z931" s="113"/>
      <c r="AH931" s="7"/>
      <c r="AI931" s="7"/>
      <c r="AJ931" s="7"/>
      <c r="AK931" s="7"/>
      <c r="AL931" s="7"/>
      <c r="AM931" s="7"/>
      <c r="AN931" s="7"/>
    </row>
    <row r="932">
      <c r="A932" s="113"/>
      <c r="B932" s="113"/>
      <c r="C932" s="7"/>
      <c r="D932" s="113"/>
      <c r="E932" s="113"/>
      <c r="F932" s="113"/>
      <c r="G932" s="113"/>
      <c r="H932" s="113"/>
      <c r="I932" s="113"/>
      <c r="J932" s="113"/>
      <c r="K932" s="128"/>
      <c r="L932" s="113"/>
      <c r="M932" s="128"/>
      <c r="N932" s="128"/>
      <c r="O932" s="113"/>
      <c r="P932" s="113"/>
      <c r="Q932" s="132"/>
      <c r="R932" s="115"/>
      <c r="S932" s="115"/>
      <c r="T932" s="115"/>
      <c r="U932" s="116"/>
      <c r="V932" s="117"/>
      <c r="W932" s="118"/>
      <c r="X932" s="119"/>
      <c r="Y932" s="113"/>
      <c r="Z932" s="113"/>
      <c r="AH932" s="7"/>
      <c r="AI932" s="7"/>
      <c r="AJ932" s="7"/>
      <c r="AK932" s="7"/>
      <c r="AL932" s="7"/>
      <c r="AM932" s="7"/>
      <c r="AN932" s="7"/>
    </row>
    <row r="933">
      <c r="A933" s="113"/>
      <c r="B933" s="113"/>
      <c r="C933" s="7"/>
      <c r="D933" s="113"/>
      <c r="E933" s="113"/>
      <c r="F933" s="113"/>
      <c r="G933" s="113"/>
      <c r="H933" s="113"/>
      <c r="I933" s="113"/>
      <c r="J933" s="113"/>
      <c r="K933" s="128"/>
      <c r="L933" s="113"/>
      <c r="M933" s="128"/>
      <c r="N933" s="128"/>
      <c r="O933" s="113"/>
      <c r="P933" s="113"/>
      <c r="Q933" s="132"/>
      <c r="R933" s="115"/>
      <c r="S933" s="115"/>
      <c r="T933" s="115"/>
      <c r="U933" s="116"/>
      <c r="V933" s="117"/>
      <c r="W933" s="118"/>
      <c r="X933" s="119"/>
      <c r="Y933" s="113"/>
      <c r="Z933" s="113"/>
      <c r="AH933" s="7"/>
      <c r="AI933" s="7"/>
      <c r="AJ933" s="7"/>
      <c r="AK933" s="7"/>
      <c r="AL933" s="7"/>
      <c r="AM933" s="7"/>
      <c r="AN933" s="7"/>
    </row>
    <row r="934">
      <c r="A934" s="113"/>
      <c r="B934" s="113"/>
      <c r="C934" s="7"/>
      <c r="D934" s="113"/>
      <c r="E934" s="113"/>
      <c r="F934" s="113"/>
      <c r="G934" s="113"/>
      <c r="H934" s="113"/>
      <c r="I934" s="113"/>
      <c r="J934" s="113"/>
      <c r="K934" s="128"/>
      <c r="L934" s="113"/>
      <c r="M934" s="128"/>
      <c r="N934" s="128"/>
      <c r="O934" s="113"/>
      <c r="P934" s="113"/>
      <c r="Q934" s="132"/>
      <c r="R934" s="115"/>
      <c r="S934" s="115"/>
      <c r="T934" s="115"/>
      <c r="U934" s="116"/>
      <c r="V934" s="117"/>
      <c r="W934" s="118"/>
      <c r="X934" s="119"/>
      <c r="Y934" s="113"/>
      <c r="Z934" s="113"/>
      <c r="AH934" s="7"/>
      <c r="AI934" s="7"/>
      <c r="AJ934" s="7"/>
      <c r="AK934" s="7"/>
      <c r="AL934" s="7"/>
      <c r="AM934" s="7"/>
      <c r="AN934" s="7"/>
    </row>
    <row r="935">
      <c r="A935" s="113"/>
      <c r="B935" s="113"/>
      <c r="C935" s="7"/>
      <c r="D935" s="113"/>
      <c r="E935" s="113"/>
      <c r="F935" s="113"/>
      <c r="G935" s="113"/>
      <c r="H935" s="113"/>
      <c r="I935" s="113"/>
      <c r="J935" s="113"/>
      <c r="K935" s="128"/>
      <c r="L935" s="113"/>
      <c r="M935" s="128"/>
      <c r="N935" s="128"/>
      <c r="O935" s="113"/>
      <c r="P935" s="113"/>
      <c r="Q935" s="132"/>
      <c r="R935" s="115"/>
      <c r="S935" s="115"/>
      <c r="T935" s="115"/>
      <c r="U935" s="116"/>
      <c r="V935" s="117"/>
      <c r="W935" s="118"/>
      <c r="X935" s="119"/>
      <c r="Y935" s="113"/>
      <c r="Z935" s="113"/>
      <c r="AH935" s="7"/>
      <c r="AI935" s="7"/>
      <c r="AJ935" s="7"/>
      <c r="AK935" s="7"/>
      <c r="AL935" s="7"/>
      <c r="AM935" s="7"/>
      <c r="AN935" s="7"/>
    </row>
    <row r="936">
      <c r="A936" s="113"/>
      <c r="B936" s="113"/>
      <c r="C936" s="7"/>
      <c r="D936" s="113"/>
      <c r="E936" s="113"/>
      <c r="F936" s="113"/>
      <c r="G936" s="113"/>
      <c r="H936" s="113"/>
      <c r="I936" s="113"/>
      <c r="J936" s="113"/>
      <c r="K936" s="128"/>
      <c r="L936" s="113"/>
      <c r="M936" s="128"/>
      <c r="N936" s="128"/>
      <c r="O936" s="113"/>
      <c r="P936" s="113"/>
      <c r="Q936" s="132"/>
      <c r="R936" s="115"/>
      <c r="S936" s="115"/>
      <c r="T936" s="115"/>
      <c r="U936" s="116"/>
      <c r="V936" s="117"/>
      <c r="W936" s="118"/>
      <c r="X936" s="119"/>
      <c r="Y936" s="113"/>
      <c r="Z936" s="113"/>
      <c r="AH936" s="7"/>
      <c r="AI936" s="7"/>
      <c r="AJ936" s="7"/>
      <c r="AK936" s="7"/>
      <c r="AL936" s="7"/>
      <c r="AM936" s="7"/>
      <c r="AN936" s="7"/>
    </row>
    <row r="937">
      <c r="A937" s="113"/>
      <c r="B937" s="113"/>
      <c r="C937" s="7"/>
      <c r="D937" s="113"/>
      <c r="E937" s="113"/>
      <c r="F937" s="113"/>
      <c r="G937" s="113"/>
      <c r="H937" s="113"/>
      <c r="I937" s="113"/>
      <c r="J937" s="113"/>
      <c r="K937" s="128"/>
      <c r="L937" s="113"/>
      <c r="M937" s="128"/>
      <c r="N937" s="128"/>
      <c r="O937" s="113"/>
      <c r="P937" s="113"/>
      <c r="Q937" s="132"/>
      <c r="R937" s="115"/>
      <c r="S937" s="115"/>
      <c r="T937" s="115"/>
      <c r="U937" s="116"/>
      <c r="V937" s="117"/>
      <c r="W937" s="118"/>
      <c r="X937" s="119"/>
      <c r="Y937" s="113"/>
      <c r="Z937" s="113"/>
      <c r="AH937" s="7"/>
      <c r="AI937" s="7"/>
      <c r="AJ937" s="7"/>
      <c r="AK937" s="7"/>
      <c r="AL937" s="7"/>
      <c r="AM937" s="7"/>
      <c r="AN937" s="7"/>
    </row>
    <row r="938">
      <c r="A938" s="113"/>
      <c r="B938" s="113"/>
      <c r="C938" s="7"/>
      <c r="D938" s="113"/>
      <c r="E938" s="113"/>
      <c r="F938" s="113"/>
      <c r="G938" s="113"/>
      <c r="H938" s="113"/>
      <c r="I938" s="113"/>
      <c r="J938" s="113"/>
      <c r="K938" s="128"/>
      <c r="L938" s="113"/>
      <c r="M938" s="128"/>
      <c r="N938" s="128"/>
      <c r="O938" s="113"/>
      <c r="P938" s="113"/>
      <c r="Q938" s="132"/>
      <c r="R938" s="115"/>
      <c r="S938" s="115"/>
      <c r="T938" s="115"/>
      <c r="U938" s="116"/>
      <c r="V938" s="117"/>
      <c r="W938" s="118"/>
      <c r="X938" s="119"/>
      <c r="Y938" s="113"/>
      <c r="Z938" s="113"/>
      <c r="AH938" s="7"/>
      <c r="AI938" s="7"/>
      <c r="AJ938" s="7"/>
      <c r="AK938" s="7"/>
      <c r="AL938" s="7"/>
      <c r="AM938" s="7"/>
      <c r="AN938" s="7"/>
    </row>
    <row r="939">
      <c r="A939" s="113"/>
      <c r="B939" s="113"/>
      <c r="C939" s="7"/>
      <c r="D939" s="113"/>
      <c r="E939" s="113"/>
      <c r="F939" s="113"/>
      <c r="G939" s="113"/>
      <c r="H939" s="113"/>
      <c r="I939" s="113"/>
      <c r="J939" s="113"/>
      <c r="K939" s="128"/>
      <c r="L939" s="113"/>
      <c r="M939" s="128"/>
      <c r="N939" s="128"/>
      <c r="O939" s="113"/>
      <c r="P939" s="113"/>
      <c r="Q939" s="132"/>
      <c r="R939" s="115"/>
      <c r="S939" s="115"/>
      <c r="T939" s="115"/>
      <c r="U939" s="116"/>
      <c r="V939" s="117"/>
      <c r="W939" s="118"/>
      <c r="X939" s="119"/>
      <c r="Y939" s="113"/>
      <c r="Z939" s="113"/>
      <c r="AH939" s="7"/>
      <c r="AI939" s="7"/>
      <c r="AJ939" s="7"/>
      <c r="AK939" s="7"/>
      <c r="AL939" s="7"/>
      <c r="AM939" s="7"/>
      <c r="AN939" s="7"/>
    </row>
    <row r="940">
      <c r="A940" s="113"/>
      <c r="B940" s="113"/>
      <c r="C940" s="7"/>
      <c r="D940" s="113"/>
      <c r="E940" s="113"/>
      <c r="F940" s="113"/>
      <c r="G940" s="113"/>
      <c r="H940" s="113"/>
      <c r="I940" s="113"/>
      <c r="J940" s="113"/>
      <c r="K940" s="128"/>
      <c r="L940" s="113"/>
      <c r="M940" s="128"/>
      <c r="N940" s="128"/>
      <c r="O940" s="113"/>
      <c r="P940" s="113"/>
      <c r="Q940" s="132"/>
      <c r="R940" s="115"/>
      <c r="S940" s="115"/>
      <c r="T940" s="115"/>
      <c r="U940" s="116"/>
      <c r="V940" s="117"/>
      <c r="W940" s="118"/>
      <c r="X940" s="119"/>
      <c r="Y940" s="113"/>
      <c r="Z940" s="113"/>
      <c r="AH940" s="7"/>
      <c r="AI940" s="7"/>
      <c r="AJ940" s="7"/>
      <c r="AK940" s="7"/>
      <c r="AL940" s="7"/>
      <c r="AM940" s="7"/>
      <c r="AN940" s="7"/>
    </row>
    <row r="941">
      <c r="A941" s="113"/>
      <c r="B941" s="113"/>
      <c r="C941" s="7"/>
      <c r="D941" s="113"/>
      <c r="E941" s="113"/>
      <c r="F941" s="113"/>
      <c r="G941" s="113"/>
      <c r="H941" s="113"/>
      <c r="I941" s="113"/>
      <c r="J941" s="113"/>
      <c r="K941" s="128"/>
      <c r="L941" s="113"/>
      <c r="M941" s="128"/>
      <c r="N941" s="128"/>
      <c r="O941" s="113"/>
      <c r="P941" s="113"/>
      <c r="Q941" s="132"/>
      <c r="R941" s="115"/>
      <c r="S941" s="115"/>
      <c r="T941" s="115"/>
      <c r="U941" s="116"/>
      <c r="V941" s="117"/>
      <c r="W941" s="118"/>
      <c r="X941" s="119"/>
      <c r="Y941" s="113"/>
      <c r="Z941" s="113"/>
      <c r="AH941" s="7"/>
      <c r="AI941" s="7"/>
      <c r="AJ941" s="7"/>
      <c r="AK941" s="7"/>
      <c r="AL941" s="7"/>
      <c r="AM941" s="7"/>
      <c r="AN941" s="7"/>
    </row>
    <row r="942">
      <c r="A942" s="113"/>
      <c r="B942" s="113"/>
      <c r="C942" s="7"/>
      <c r="D942" s="113"/>
      <c r="E942" s="113"/>
      <c r="F942" s="113"/>
      <c r="G942" s="113"/>
      <c r="H942" s="113"/>
      <c r="I942" s="113"/>
      <c r="J942" s="113"/>
      <c r="K942" s="128"/>
      <c r="L942" s="113"/>
      <c r="M942" s="128"/>
      <c r="N942" s="128"/>
      <c r="O942" s="113"/>
      <c r="P942" s="113"/>
      <c r="Q942" s="132"/>
      <c r="R942" s="115"/>
      <c r="S942" s="115"/>
      <c r="T942" s="115"/>
      <c r="U942" s="116"/>
      <c r="V942" s="117"/>
      <c r="W942" s="118"/>
      <c r="X942" s="119"/>
      <c r="Y942" s="113"/>
      <c r="Z942" s="113"/>
      <c r="AH942" s="7"/>
      <c r="AI942" s="7"/>
      <c r="AJ942" s="7"/>
      <c r="AK942" s="7"/>
      <c r="AL942" s="7"/>
      <c r="AM942" s="7"/>
      <c r="AN942" s="7"/>
    </row>
    <row r="943">
      <c r="A943" s="113"/>
      <c r="B943" s="113"/>
      <c r="C943" s="7"/>
      <c r="D943" s="113"/>
      <c r="E943" s="113"/>
      <c r="F943" s="113"/>
      <c r="G943" s="113"/>
      <c r="H943" s="113"/>
      <c r="I943" s="113"/>
      <c r="J943" s="113"/>
      <c r="K943" s="128"/>
      <c r="L943" s="113"/>
      <c r="M943" s="128"/>
      <c r="N943" s="128"/>
      <c r="O943" s="113"/>
      <c r="P943" s="113"/>
      <c r="Q943" s="132"/>
      <c r="R943" s="115"/>
      <c r="S943" s="115"/>
      <c r="T943" s="115"/>
      <c r="U943" s="116"/>
      <c r="V943" s="117"/>
      <c r="W943" s="118"/>
      <c r="X943" s="119"/>
      <c r="Y943" s="113"/>
      <c r="Z943" s="113"/>
      <c r="AH943" s="7"/>
      <c r="AI943" s="7"/>
      <c r="AJ943" s="7"/>
      <c r="AK943" s="7"/>
      <c r="AL943" s="7"/>
      <c r="AM943" s="7"/>
      <c r="AN943" s="7"/>
    </row>
    <row r="944">
      <c r="A944" s="113"/>
      <c r="B944" s="113"/>
      <c r="C944" s="7"/>
      <c r="D944" s="113"/>
      <c r="E944" s="113"/>
      <c r="F944" s="113"/>
      <c r="G944" s="113"/>
      <c r="H944" s="113"/>
      <c r="I944" s="113"/>
      <c r="J944" s="113"/>
      <c r="K944" s="128"/>
      <c r="L944" s="113"/>
      <c r="M944" s="128"/>
      <c r="N944" s="128"/>
      <c r="O944" s="113"/>
      <c r="P944" s="113"/>
      <c r="Q944" s="132"/>
      <c r="R944" s="115"/>
      <c r="S944" s="115"/>
      <c r="T944" s="115"/>
      <c r="U944" s="116"/>
      <c r="V944" s="117"/>
      <c r="W944" s="118"/>
      <c r="X944" s="119"/>
      <c r="Y944" s="113"/>
      <c r="Z944" s="113"/>
      <c r="AH944" s="7"/>
      <c r="AI944" s="7"/>
      <c r="AJ944" s="7"/>
      <c r="AK944" s="7"/>
      <c r="AL944" s="7"/>
      <c r="AM944" s="7"/>
      <c r="AN944" s="7"/>
    </row>
    <row r="945">
      <c r="A945" s="113"/>
      <c r="B945" s="113"/>
      <c r="C945" s="7"/>
      <c r="D945" s="113"/>
      <c r="E945" s="113"/>
      <c r="F945" s="113"/>
      <c r="G945" s="113"/>
      <c r="H945" s="113"/>
      <c r="I945" s="113"/>
      <c r="J945" s="113"/>
      <c r="K945" s="128"/>
      <c r="L945" s="113"/>
      <c r="M945" s="128"/>
      <c r="N945" s="128"/>
      <c r="O945" s="113"/>
      <c r="P945" s="113"/>
      <c r="Q945" s="132"/>
      <c r="R945" s="115"/>
      <c r="S945" s="115"/>
      <c r="T945" s="115"/>
      <c r="U945" s="116"/>
      <c r="V945" s="117"/>
      <c r="W945" s="118"/>
      <c r="X945" s="119"/>
      <c r="Y945" s="113"/>
      <c r="Z945" s="113"/>
      <c r="AH945" s="7"/>
      <c r="AI945" s="7"/>
      <c r="AJ945" s="7"/>
      <c r="AK945" s="7"/>
      <c r="AL945" s="7"/>
      <c r="AM945" s="7"/>
      <c r="AN945" s="7"/>
    </row>
    <row r="946">
      <c r="A946" s="113"/>
      <c r="B946" s="113"/>
      <c r="C946" s="7"/>
      <c r="D946" s="113"/>
      <c r="E946" s="113"/>
      <c r="F946" s="113"/>
      <c r="G946" s="113"/>
      <c r="H946" s="113"/>
      <c r="I946" s="113"/>
      <c r="J946" s="113"/>
      <c r="K946" s="128"/>
      <c r="L946" s="113"/>
      <c r="M946" s="128"/>
      <c r="N946" s="128"/>
      <c r="O946" s="113"/>
      <c r="P946" s="113"/>
      <c r="Q946" s="132"/>
      <c r="R946" s="115"/>
      <c r="S946" s="115"/>
      <c r="T946" s="115"/>
      <c r="U946" s="116"/>
      <c r="V946" s="117"/>
      <c r="W946" s="118"/>
      <c r="X946" s="119"/>
      <c r="Y946" s="113"/>
      <c r="Z946" s="113"/>
      <c r="AH946" s="7"/>
      <c r="AI946" s="7"/>
      <c r="AJ946" s="7"/>
      <c r="AK946" s="7"/>
      <c r="AL946" s="7"/>
      <c r="AM946" s="7"/>
      <c r="AN946" s="7"/>
    </row>
    <row r="947">
      <c r="A947" s="113"/>
      <c r="B947" s="113"/>
      <c r="C947" s="7"/>
      <c r="D947" s="113"/>
      <c r="E947" s="113"/>
      <c r="F947" s="113"/>
      <c r="G947" s="113"/>
      <c r="H947" s="113"/>
      <c r="I947" s="113"/>
      <c r="J947" s="113"/>
      <c r="K947" s="128"/>
      <c r="L947" s="113"/>
      <c r="M947" s="128"/>
      <c r="N947" s="128"/>
      <c r="O947" s="113"/>
      <c r="P947" s="113"/>
      <c r="Q947" s="132"/>
      <c r="R947" s="115"/>
      <c r="S947" s="115"/>
      <c r="T947" s="115"/>
      <c r="U947" s="116"/>
      <c r="V947" s="117"/>
      <c r="W947" s="118"/>
      <c r="X947" s="119"/>
      <c r="Y947" s="113"/>
      <c r="Z947" s="113"/>
      <c r="AH947" s="7"/>
      <c r="AI947" s="7"/>
      <c r="AJ947" s="7"/>
      <c r="AK947" s="7"/>
      <c r="AL947" s="7"/>
      <c r="AM947" s="7"/>
      <c r="AN947" s="7"/>
    </row>
    <row r="948">
      <c r="A948" s="113"/>
      <c r="B948" s="113"/>
      <c r="C948" s="7"/>
      <c r="D948" s="113"/>
      <c r="E948" s="113"/>
      <c r="F948" s="113"/>
      <c r="G948" s="113"/>
      <c r="H948" s="113"/>
      <c r="I948" s="113"/>
      <c r="J948" s="113"/>
      <c r="K948" s="128"/>
      <c r="L948" s="113"/>
      <c r="M948" s="128"/>
      <c r="N948" s="128"/>
      <c r="O948" s="113"/>
      <c r="P948" s="113"/>
      <c r="Q948" s="132"/>
      <c r="R948" s="115"/>
      <c r="S948" s="115"/>
      <c r="T948" s="115"/>
      <c r="U948" s="116"/>
      <c r="V948" s="117"/>
      <c r="W948" s="118"/>
      <c r="X948" s="119"/>
      <c r="Y948" s="113"/>
      <c r="Z948" s="113"/>
      <c r="AH948" s="7"/>
      <c r="AI948" s="7"/>
      <c r="AJ948" s="7"/>
      <c r="AK948" s="7"/>
      <c r="AL948" s="7"/>
      <c r="AM948" s="7"/>
      <c r="AN948" s="7"/>
    </row>
    <row r="949">
      <c r="A949" s="113"/>
      <c r="B949" s="113"/>
      <c r="C949" s="7"/>
      <c r="D949" s="113"/>
      <c r="E949" s="113"/>
      <c r="F949" s="113"/>
      <c r="G949" s="113"/>
      <c r="H949" s="113"/>
      <c r="I949" s="113"/>
      <c r="J949" s="113"/>
      <c r="K949" s="128"/>
      <c r="L949" s="113"/>
      <c r="M949" s="128"/>
      <c r="N949" s="128"/>
      <c r="O949" s="113"/>
      <c r="P949" s="113"/>
      <c r="Q949" s="132"/>
      <c r="R949" s="115"/>
      <c r="S949" s="115"/>
      <c r="T949" s="115"/>
      <c r="U949" s="116"/>
      <c r="V949" s="117"/>
      <c r="W949" s="118"/>
      <c r="X949" s="119"/>
      <c r="Y949" s="113"/>
      <c r="Z949" s="113"/>
      <c r="AH949" s="7"/>
      <c r="AI949" s="7"/>
      <c r="AJ949" s="7"/>
      <c r="AK949" s="7"/>
      <c r="AL949" s="7"/>
      <c r="AM949" s="7"/>
      <c r="AN949" s="7"/>
    </row>
    <row r="950">
      <c r="A950" s="113"/>
      <c r="B950" s="113"/>
      <c r="C950" s="7"/>
      <c r="D950" s="113"/>
      <c r="E950" s="113"/>
      <c r="F950" s="113"/>
      <c r="G950" s="113"/>
      <c r="H950" s="113"/>
      <c r="I950" s="113"/>
      <c r="J950" s="113"/>
      <c r="K950" s="128"/>
      <c r="L950" s="113"/>
      <c r="M950" s="128"/>
      <c r="N950" s="128"/>
      <c r="O950" s="113"/>
      <c r="P950" s="113"/>
      <c r="Q950" s="132"/>
      <c r="R950" s="115"/>
      <c r="S950" s="115"/>
      <c r="T950" s="115"/>
      <c r="U950" s="116"/>
      <c r="V950" s="117"/>
      <c r="W950" s="118"/>
      <c r="X950" s="119"/>
      <c r="Y950" s="113"/>
      <c r="Z950" s="113"/>
      <c r="AH950" s="7"/>
      <c r="AI950" s="7"/>
      <c r="AJ950" s="7"/>
      <c r="AK950" s="7"/>
      <c r="AL950" s="7"/>
      <c r="AM950" s="7"/>
      <c r="AN950" s="7"/>
    </row>
    <row r="951">
      <c r="A951" s="113"/>
      <c r="B951" s="113"/>
      <c r="C951" s="7"/>
      <c r="D951" s="113"/>
      <c r="E951" s="113"/>
      <c r="F951" s="113"/>
      <c r="G951" s="113"/>
      <c r="H951" s="113"/>
      <c r="I951" s="113"/>
      <c r="J951" s="113"/>
      <c r="K951" s="128"/>
      <c r="L951" s="113"/>
      <c r="M951" s="128"/>
      <c r="N951" s="128"/>
      <c r="O951" s="113"/>
      <c r="P951" s="113"/>
      <c r="Q951" s="132"/>
      <c r="R951" s="115"/>
      <c r="S951" s="115"/>
      <c r="T951" s="115"/>
      <c r="U951" s="116"/>
      <c r="V951" s="117"/>
      <c r="W951" s="118"/>
      <c r="X951" s="119"/>
      <c r="Y951" s="113"/>
      <c r="Z951" s="113"/>
      <c r="AH951" s="7"/>
      <c r="AI951" s="7"/>
      <c r="AJ951" s="7"/>
      <c r="AK951" s="7"/>
      <c r="AL951" s="7"/>
      <c r="AM951" s="7"/>
      <c r="AN951" s="7"/>
    </row>
    <row r="952">
      <c r="A952" s="113"/>
      <c r="B952" s="113"/>
      <c r="C952" s="7"/>
      <c r="D952" s="113"/>
      <c r="E952" s="113"/>
      <c r="F952" s="113"/>
      <c r="G952" s="113"/>
      <c r="H952" s="113"/>
      <c r="I952" s="113"/>
      <c r="J952" s="113"/>
      <c r="K952" s="128"/>
      <c r="L952" s="113"/>
      <c r="M952" s="128"/>
      <c r="N952" s="128"/>
      <c r="O952" s="113"/>
      <c r="P952" s="113"/>
      <c r="Q952" s="132"/>
      <c r="R952" s="115"/>
      <c r="S952" s="115"/>
      <c r="T952" s="115"/>
      <c r="U952" s="116"/>
      <c r="V952" s="117"/>
      <c r="W952" s="118"/>
      <c r="X952" s="119"/>
      <c r="Y952" s="113"/>
      <c r="Z952" s="113"/>
      <c r="AH952" s="7"/>
      <c r="AI952" s="7"/>
      <c r="AJ952" s="7"/>
      <c r="AK952" s="7"/>
      <c r="AL952" s="7"/>
      <c r="AM952" s="7"/>
      <c r="AN952" s="7"/>
    </row>
    <row r="953">
      <c r="A953" s="113"/>
      <c r="B953" s="113"/>
      <c r="C953" s="7"/>
      <c r="D953" s="113"/>
      <c r="E953" s="113"/>
      <c r="F953" s="113"/>
      <c r="G953" s="113"/>
      <c r="H953" s="113"/>
      <c r="I953" s="113"/>
      <c r="J953" s="113"/>
      <c r="K953" s="128"/>
      <c r="L953" s="113"/>
      <c r="M953" s="128"/>
      <c r="N953" s="128"/>
      <c r="O953" s="113"/>
      <c r="P953" s="113"/>
      <c r="Q953" s="132"/>
      <c r="R953" s="115"/>
      <c r="S953" s="115"/>
      <c r="T953" s="115"/>
      <c r="U953" s="116"/>
      <c r="V953" s="117"/>
      <c r="W953" s="118"/>
      <c r="X953" s="119"/>
      <c r="Y953" s="113"/>
      <c r="Z953" s="113"/>
      <c r="AH953" s="7"/>
      <c r="AI953" s="7"/>
      <c r="AJ953" s="7"/>
      <c r="AK953" s="7"/>
      <c r="AL953" s="7"/>
      <c r="AM953" s="7"/>
      <c r="AN953" s="7"/>
    </row>
    <row r="954">
      <c r="A954" s="113"/>
      <c r="B954" s="113"/>
      <c r="C954" s="7"/>
      <c r="D954" s="113"/>
      <c r="E954" s="113"/>
      <c r="F954" s="113"/>
      <c r="G954" s="113"/>
      <c r="H954" s="113"/>
      <c r="I954" s="113"/>
      <c r="J954" s="113"/>
      <c r="K954" s="128"/>
      <c r="L954" s="113"/>
      <c r="M954" s="128"/>
      <c r="N954" s="128"/>
      <c r="O954" s="113"/>
      <c r="P954" s="113"/>
      <c r="Q954" s="132"/>
      <c r="R954" s="115"/>
      <c r="S954" s="115"/>
      <c r="T954" s="115"/>
      <c r="U954" s="116"/>
      <c r="V954" s="117"/>
      <c r="W954" s="118"/>
      <c r="X954" s="119"/>
      <c r="Y954" s="113"/>
      <c r="Z954" s="113"/>
      <c r="AH954" s="7"/>
      <c r="AI954" s="7"/>
      <c r="AJ954" s="7"/>
      <c r="AK954" s="7"/>
      <c r="AL954" s="7"/>
      <c r="AM954" s="7"/>
      <c r="AN954" s="7"/>
    </row>
    <row r="955">
      <c r="A955" s="113"/>
      <c r="B955" s="113"/>
      <c r="C955" s="7"/>
      <c r="D955" s="113"/>
      <c r="E955" s="113"/>
      <c r="F955" s="113"/>
      <c r="G955" s="113"/>
      <c r="H955" s="113"/>
      <c r="I955" s="113"/>
      <c r="J955" s="113"/>
      <c r="K955" s="128"/>
      <c r="L955" s="113"/>
      <c r="M955" s="128"/>
      <c r="N955" s="128"/>
      <c r="O955" s="113"/>
      <c r="P955" s="113"/>
      <c r="Q955" s="132"/>
      <c r="R955" s="115"/>
      <c r="S955" s="115"/>
      <c r="T955" s="115"/>
      <c r="U955" s="116"/>
      <c r="V955" s="117"/>
      <c r="W955" s="118"/>
      <c r="X955" s="119"/>
      <c r="Y955" s="113"/>
      <c r="Z955" s="113"/>
      <c r="AH955" s="7"/>
      <c r="AI955" s="7"/>
      <c r="AJ955" s="7"/>
      <c r="AK955" s="7"/>
      <c r="AL955" s="7"/>
      <c r="AM955" s="7"/>
      <c r="AN955" s="7"/>
    </row>
    <row r="956">
      <c r="A956" s="113"/>
      <c r="B956" s="113"/>
      <c r="C956" s="7"/>
      <c r="D956" s="113"/>
      <c r="E956" s="113"/>
      <c r="F956" s="113"/>
      <c r="G956" s="113"/>
      <c r="H956" s="113"/>
      <c r="I956" s="113"/>
      <c r="J956" s="113"/>
      <c r="K956" s="128"/>
      <c r="L956" s="113"/>
      <c r="M956" s="128"/>
      <c r="N956" s="128"/>
      <c r="O956" s="113"/>
      <c r="P956" s="113"/>
      <c r="Q956" s="132"/>
      <c r="R956" s="115"/>
      <c r="S956" s="115"/>
      <c r="T956" s="115"/>
      <c r="U956" s="116"/>
      <c r="V956" s="117"/>
      <c r="W956" s="118"/>
      <c r="X956" s="119"/>
      <c r="Y956" s="113"/>
      <c r="Z956" s="113"/>
      <c r="AH956" s="7"/>
      <c r="AI956" s="7"/>
      <c r="AJ956" s="7"/>
      <c r="AK956" s="7"/>
      <c r="AL956" s="7"/>
      <c r="AM956" s="7"/>
      <c r="AN956" s="7"/>
    </row>
    <row r="957">
      <c r="A957" s="113"/>
      <c r="B957" s="113"/>
      <c r="C957" s="7"/>
      <c r="D957" s="113"/>
      <c r="E957" s="113"/>
      <c r="F957" s="113"/>
      <c r="G957" s="113"/>
      <c r="H957" s="113"/>
      <c r="I957" s="113"/>
      <c r="J957" s="113"/>
      <c r="K957" s="128"/>
      <c r="L957" s="113"/>
      <c r="M957" s="128"/>
      <c r="N957" s="128"/>
      <c r="O957" s="113"/>
      <c r="P957" s="113"/>
      <c r="Q957" s="132"/>
      <c r="R957" s="115"/>
      <c r="S957" s="115"/>
      <c r="T957" s="115"/>
      <c r="U957" s="116"/>
      <c r="V957" s="117"/>
      <c r="W957" s="118"/>
      <c r="X957" s="119"/>
      <c r="Y957" s="113"/>
      <c r="Z957" s="113"/>
      <c r="AH957" s="7"/>
      <c r="AI957" s="7"/>
      <c r="AJ957" s="7"/>
      <c r="AK957" s="7"/>
      <c r="AL957" s="7"/>
      <c r="AM957" s="7"/>
      <c r="AN957" s="7"/>
    </row>
    <row r="958">
      <c r="A958" s="113"/>
      <c r="B958" s="113"/>
      <c r="C958" s="7"/>
      <c r="D958" s="113"/>
      <c r="E958" s="113"/>
      <c r="F958" s="113"/>
      <c r="G958" s="113"/>
      <c r="H958" s="113"/>
      <c r="I958" s="113"/>
      <c r="J958" s="113"/>
      <c r="K958" s="128"/>
      <c r="L958" s="113"/>
      <c r="M958" s="128"/>
      <c r="N958" s="128"/>
      <c r="O958" s="113"/>
      <c r="P958" s="113"/>
      <c r="Q958" s="132"/>
      <c r="R958" s="115"/>
      <c r="S958" s="115"/>
      <c r="T958" s="115"/>
      <c r="U958" s="116"/>
      <c r="V958" s="117"/>
      <c r="W958" s="118"/>
      <c r="X958" s="119"/>
      <c r="Y958" s="113"/>
      <c r="Z958" s="113"/>
      <c r="AH958" s="7"/>
      <c r="AI958" s="7"/>
      <c r="AJ958" s="7"/>
      <c r="AK958" s="7"/>
      <c r="AL958" s="7"/>
      <c r="AM958" s="7"/>
      <c r="AN958" s="7"/>
    </row>
    <row r="959">
      <c r="A959" s="113"/>
      <c r="B959" s="113"/>
      <c r="C959" s="7"/>
      <c r="D959" s="113"/>
      <c r="E959" s="113"/>
      <c r="F959" s="113"/>
      <c r="G959" s="113"/>
      <c r="H959" s="113"/>
      <c r="I959" s="113"/>
      <c r="J959" s="113"/>
      <c r="K959" s="128"/>
      <c r="L959" s="113"/>
      <c r="M959" s="128"/>
      <c r="N959" s="128"/>
      <c r="O959" s="113"/>
      <c r="P959" s="113"/>
      <c r="Q959" s="132"/>
      <c r="R959" s="115"/>
      <c r="S959" s="115"/>
      <c r="T959" s="115"/>
      <c r="U959" s="116"/>
      <c r="V959" s="117"/>
      <c r="W959" s="118"/>
      <c r="X959" s="119"/>
      <c r="Y959" s="113"/>
      <c r="Z959" s="113"/>
      <c r="AH959" s="7"/>
      <c r="AI959" s="7"/>
      <c r="AJ959" s="7"/>
      <c r="AK959" s="7"/>
      <c r="AL959" s="7"/>
      <c r="AM959" s="7"/>
      <c r="AN959" s="7"/>
    </row>
    <row r="960">
      <c r="A960" s="113"/>
      <c r="B960" s="113"/>
      <c r="C960" s="7"/>
      <c r="D960" s="113"/>
      <c r="E960" s="113"/>
      <c r="F960" s="113"/>
      <c r="G960" s="113"/>
      <c r="H960" s="113"/>
      <c r="I960" s="113"/>
      <c r="J960" s="113"/>
      <c r="K960" s="128"/>
      <c r="L960" s="113"/>
      <c r="M960" s="128"/>
      <c r="N960" s="128"/>
      <c r="O960" s="113"/>
      <c r="P960" s="113"/>
      <c r="Q960" s="132"/>
      <c r="R960" s="115"/>
      <c r="S960" s="115"/>
      <c r="T960" s="115"/>
      <c r="U960" s="116"/>
      <c r="V960" s="117"/>
      <c r="W960" s="118"/>
      <c r="X960" s="119"/>
      <c r="Y960" s="113"/>
      <c r="Z960" s="113"/>
      <c r="AH960" s="7"/>
      <c r="AI960" s="7"/>
      <c r="AJ960" s="7"/>
      <c r="AK960" s="7"/>
      <c r="AL960" s="7"/>
      <c r="AM960" s="7"/>
      <c r="AN960" s="7"/>
    </row>
    <row r="961">
      <c r="A961" s="113"/>
      <c r="B961" s="113"/>
      <c r="C961" s="7"/>
      <c r="D961" s="113"/>
      <c r="E961" s="113"/>
      <c r="F961" s="113"/>
      <c r="G961" s="113"/>
      <c r="H961" s="113"/>
      <c r="I961" s="113"/>
      <c r="J961" s="113"/>
      <c r="K961" s="128"/>
      <c r="L961" s="113"/>
      <c r="M961" s="128"/>
      <c r="N961" s="128"/>
      <c r="O961" s="113"/>
      <c r="P961" s="113"/>
      <c r="Q961" s="132"/>
      <c r="R961" s="115"/>
      <c r="S961" s="115"/>
      <c r="T961" s="115"/>
      <c r="U961" s="116"/>
      <c r="V961" s="117"/>
      <c r="W961" s="118"/>
      <c r="X961" s="119"/>
      <c r="Y961" s="113"/>
      <c r="Z961" s="113"/>
      <c r="AH961" s="7"/>
      <c r="AI961" s="7"/>
      <c r="AJ961" s="7"/>
      <c r="AK961" s="7"/>
      <c r="AL961" s="7"/>
      <c r="AM961" s="7"/>
      <c r="AN961" s="7"/>
    </row>
    <row r="962">
      <c r="A962" s="113"/>
      <c r="B962" s="113"/>
      <c r="C962" s="7"/>
      <c r="D962" s="113"/>
      <c r="E962" s="113"/>
      <c r="F962" s="113"/>
      <c r="G962" s="113"/>
      <c r="H962" s="113"/>
      <c r="I962" s="113"/>
      <c r="J962" s="113"/>
      <c r="K962" s="128"/>
      <c r="L962" s="113"/>
      <c r="M962" s="128"/>
      <c r="N962" s="128"/>
      <c r="O962" s="113"/>
      <c r="P962" s="113"/>
      <c r="Q962" s="132"/>
      <c r="R962" s="115"/>
      <c r="S962" s="115"/>
      <c r="T962" s="115"/>
      <c r="U962" s="116"/>
      <c r="V962" s="117"/>
      <c r="W962" s="118"/>
      <c r="X962" s="119"/>
      <c r="Y962" s="113"/>
      <c r="Z962" s="113"/>
      <c r="AH962" s="7"/>
      <c r="AI962" s="7"/>
      <c r="AJ962" s="7"/>
      <c r="AK962" s="7"/>
      <c r="AL962" s="7"/>
      <c r="AM962" s="7"/>
      <c r="AN962" s="7"/>
    </row>
    <row r="963">
      <c r="A963" s="113"/>
      <c r="B963" s="113"/>
      <c r="C963" s="7"/>
      <c r="D963" s="113"/>
      <c r="E963" s="113"/>
      <c r="F963" s="113"/>
      <c r="G963" s="113"/>
      <c r="H963" s="113"/>
      <c r="I963" s="113"/>
      <c r="J963" s="113"/>
      <c r="K963" s="128"/>
      <c r="L963" s="113"/>
      <c r="M963" s="128"/>
      <c r="N963" s="128"/>
      <c r="O963" s="113"/>
      <c r="P963" s="113"/>
      <c r="Q963" s="132"/>
      <c r="R963" s="115"/>
      <c r="S963" s="115"/>
      <c r="T963" s="115"/>
      <c r="U963" s="116"/>
      <c r="V963" s="117"/>
      <c r="W963" s="118"/>
      <c r="X963" s="119"/>
      <c r="Y963" s="113"/>
      <c r="Z963" s="113"/>
      <c r="AH963" s="7"/>
      <c r="AI963" s="7"/>
      <c r="AJ963" s="7"/>
      <c r="AK963" s="7"/>
      <c r="AL963" s="7"/>
      <c r="AM963" s="7"/>
      <c r="AN963" s="7"/>
    </row>
    <row r="964">
      <c r="A964" s="113"/>
      <c r="B964" s="113"/>
      <c r="C964" s="7"/>
      <c r="D964" s="113"/>
      <c r="E964" s="113"/>
      <c r="F964" s="113"/>
      <c r="G964" s="113"/>
      <c r="H964" s="113"/>
      <c r="I964" s="113"/>
      <c r="J964" s="113"/>
      <c r="K964" s="128"/>
      <c r="L964" s="113"/>
      <c r="M964" s="128"/>
      <c r="N964" s="128"/>
      <c r="O964" s="113"/>
      <c r="P964" s="113"/>
      <c r="Q964" s="132"/>
      <c r="R964" s="115"/>
      <c r="S964" s="115"/>
      <c r="T964" s="115"/>
      <c r="U964" s="116"/>
      <c r="V964" s="117"/>
      <c r="W964" s="118"/>
      <c r="X964" s="119"/>
      <c r="Y964" s="113"/>
      <c r="Z964" s="113"/>
      <c r="AH964" s="7"/>
      <c r="AI964" s="7"/>
      <c r="AJ964" s="7"/>
      <c r="AK964" s="7"/>
      <c r="AL964" s="7"/>
      <c r="AM964" s="7"/>
      <c r="AN964" s="7"/>
    </row>
    <row r="965">
      <c r="A965" s="113"/>
      <c r="B965" s="113"/>
      <c r="C965" s="7"/>
      <c r="D965" s="113"/>
      <c r="E965" s="113"/>
      <c r="F965" s="113"/>
      <c r="G965" s="113"/>
      <c r="H965" s="113"/>
      <c r="I965" s="113"/>
      <c r="J965" s="113"/>
      <c r="K965" s="128"/>
      <c r="L965" s="113"/>
      <c r="M965" s="128"/>
      <c r="N965" s="128"/>
      <c r="O965" s="113"/>
      <c r="P965" s="113"/>
      <c r="Q965" s="132"/>
      <c r="R965" s="115"/>
      <c r="S965" s="115"/>
      <c r="T965" s="115"/>
      <c r="U965" s="116"/>
      <c r="V965" s="117"/>
      <c r="W965" s="118"/>
      <c r="X965" s="119"/>
      <c r="Y965" s="113"/>
      <c r="Z965" s="113"/>
      <c r="AH965" s="7"/>
      <c r="AI965" s="7"/>
      <c r="AJ965" s="7"/>
      <c r="AK965" s="7"/>
      <c r="AL965" s="7"/>
      <c r="AM965" s="7"/>
      <c r="AN965" s="7"/>
    </row>
    <row r="966">
      <c r="A966" s="113"/>
      <c r="B966" s="113"/>
      <c r="C966" s="7"/>
      <c r="D966" s="113"/>
      <c r="E966" s="113"/>
      <c r="F966" s="113"/>
      <c r="G966" s="113"/>
      <c r="H966" s="113"/>
      <c r="I966" s="113"/>
      <c r="J966" s="113"/>
      <c r="K966" s="128"/>
      <c r="L966" s="113"/>
      <c r="M966" s="128"/>
      <c r="N966" s="128"/>
      <c r="O966" s="113"/>
      <c r="P966" s="113"/>
      <c r="Q966" s="132"/>
      <c r="R966" s="115"/>
      <c r="S966" s="115"/>
      <c r="T966" s="115"/>
      <c r="U966" s="116"/>
      <c r="V966" s="117"/>
      <c r="W966" s="118"/>
      <c r="X966" s="119"/>
      <c r="Y966" s="113"/>
      <c r="Z966" s="113"/>
      <c r="AH966" s="7"/>
      <c r="AI966" s="7"/>
      <c r="AJ966" s="7"/>
      <c r="AK966" s="7"/>
      <c r="AL966" s="7"/>
      <c r="AM966" s="7"/>
      <c r="AN966" s="7"/>
    </row>
    <row r="967">
      <c r="A967" s="113"/>
      <c r="B967" s="113"/>
      <c r="C967" s="7"/>
      <c r="D967" s="113"/>
      <c r="E967" s="113"/>
      <c r="F967" s="113"/>
      <c r="G967" s="113"/>
      <c r="H967" s="113"/>
      <c r="I967" s="113"/>
      <c r="J967" s="113"/>
      <c r="K967" s="128"/>
      <c r="L967" s="113"/>
      <c r="M967" s="128"/>
      <c r="N967" s="128"/>
      <c r="O967" s="113"/>
      <c r="P967" s="113"/>
      <c r="Q967" s="132"/>
      <c r="R967" s="115"/>
      <c r="S967" s="115"/>
      <c r="T967" s="115"/>
      <c r="U967" s="116"/>
      <c r="V967" s="117"/>
      <c r="W967" s="118"/>
      <c r="X967" s="119"/>
      <c r="Y967" s="113"/>
      <c r="Z967" s="113"/>
      <c r="AH967" s="7"/>
      <c r="AI967" s="7"/>
      <c r="AJ967" s="7"/>
      <c r="AK967" s="7"/>
      <c r="AL967" s="7"/>
      <c r="AM967" s="7"/>
      <c r="AN967" s="7"/>
    </row>
    <row r="968">
      <c r="A968" s="113"/>
      <c r="B968" s="113"/>
      <c r="C968" s="7"/>
      <c r="D968" s="113"/>
      <c r="E968" s="113"/>
      <c r="F968" s="113"/>
      <c r="G968" s="113"/>
      <c r="H968" s="113"/>
      <c r="I968" s="113"/>
      <c r="J968" s="113"/>
      <c r="K968" s="128"/>
      <c r="L968" s="113"/>
      <c r="M968" s="128"/>
      <c r="N968" s="128"/>
      <c r="O968" s="113"/>
      <c r="P968" s="113"/>
      <c r="Q968" s="132"/>
      <c r="R968" s="115"/>
      <c r="S968" s="115"/>
      <c r="T968" s="115"/>
      <c r="U968" s="116"/>
      <c r="V968" s="117"/>
      <c r="W968" s="118"/>
      <c r="X968" s="119"/>
      <c r="Y968" s="113"/>
      <c r="Z968" s="113"/>
      <c r="AH968" s="7"/>
      <c r="AI968" s="7"/>
      <c r="AJ968" s="7"/>
      <c r="AK968" s="7"/>
      <c r="AL968" s="7"/>
      <c r="AM968" s="7"/>
      <c r="AN968" s="7"/>
    </row>
    <row r="969">
      <c r="A969" s="113"/>
      <c r="B969" s="113"/>
      <c r="C969" s="7"/>
      <c r="D969" s="113"/>
      <c r="E969" s="113"/>
      <c r="F969" s="113"/>
      <c r="G969" s="113"/>
      <c r="H969" s="113"/>
      <c r="I969" s="113"/>
      <c r="J969" s="113"/>
      <c r="K969" s="128"/>
      <c r="L969" s="113"/>
      <c r="M969" s="128"/>
      <c r="N969" s="128"/>
      <c r="O969" s="113"/>
      <c r="P969" s="113"/>
      <c r="Q969" s="132"/>
      <c r="R969" s="115"/>
      <c r="S969" s="115"/>
      <c r="T969" s="115"/>
      <c r="U969" s="116"/>
      <c r="V969" s="117"/>
      <c r="W969" s="118"/>
      <c r="X969" s="119"/>
      <c r="Y969" s="113"/>
      <c r="Z969" s="113"/>
      <c r="AH969" s="7"/>
      <c r="AI969" s="7"/>
      <c r="AJ969" s="7"/>
      <c r="AK969" s="7"/>
      <c r="AL969" s="7"/>
      <c r="AM969" s="7"/>
      <c r="AN969" s="7"/>
    </row>
    <row r="970">
      <c r="A970" s="113"/>
      <c r="B970" s="113"/>
      <c r="C970" s="7"/>
      <c r="D970" s="113"/>
      <c r="E970" s="113"/>
      <c r="F970" s="113"/>
      <c r="G970" s="113"/>
      <c r="H970" s="113"/>
      <c r="I970" s="113"/>
      <c r="J970" s="113"/>
      <c r="K970" s="128"/>
      <c r="L970" s="113"/>
      <c r="M970" s="128"/>
      <c r="N970" s="128"/>
      <c r="O970" s="113"/>
      <c r="P970" s="113"/>
      <c r="Q970" s="132"/>
      <c r="R970" s="115"/>
      <c r="S970" s="115"/>
      <c r="T970" s="115"/>
      <c r="U970" s="116"/>
      <c r="V970" s="117"/>
      <c r="W970" s="118"/>
      <c r="X970" s="119"/>
      <c r="Y970" s="113"/>
      <c r="Z970" s="113"/>
      <c r="AH970" s="7"/>
      <c r="AI970" s="7"/>
      <c r="AJ970" s="7"/>
      <c r="AK970" s="7"/>
      <c r="AL970" s="7"/>
      <c r="AM970" s="7"/>
      <c r="AN970" s="7"/>
    </row>
    <row r="971">
      <c r="A971" s="113"/>
      <c r="B971" s="113"/>
      <c r="C971" s="7"/>
      <c r="D971" s="113"/>
      <c r="E971" s="113"/>
      <c r="F971" s="113"/>
      <c r="G971" s="113"/>
      <c r="H971" s="113"/>
      <c r="I971" s="113"/>
      <c r="J971" s="113"/>
      <c r="K971" s="128"/>
      <c r="L971" s="113"/>
      <c r="M971" s="128"/>
      <c r="N971" s="128"/>
      <c r="O971" s="113"/>
      <c r="P971" s="113"/>
      <c r="Q971" s="132"/>
      <c r="R971" s="115"/>
      <c r="S971" s="115"/>
      <c r="T971" s="115"/>
      <c r="U971" s="116"/>
      <c r="V971" s="117"/>
      <c r="W971" s="118"/>
      <c r="X971" s="119"/>
      <c r="Y971" s="113"/>
      <c r="Z971" s="113"/>
      <c r="AH971" s="7"/>
      <c r="AI971" s="7"/>
      <c r="AJ971" s="7"/>
      <c r="AK971" s="7"/>
      <c r="AL971" s="7"/>
      <c r="AM971" s="7"/>
      <c r="AN971" s="7"/>
    </row>
    <row r="972">
      <c r="A972" s="113"/>
      <c r="B972" s="113"/>
      <c r="C972" s="7"/>
      <c r="D972" s="113"/>
      <c r="E972" s="113"/>
      <c r="F972" s="113"/>
      <c r="G972" s="113"/>
      <c r="H972" s="113"/>
      <c r="I972" s="113"/>
      <c r="J972" s="113"/>
      <c r="K972" s="128"/>
      <c r="L972" s="113"/>
      <c r="M972" s="128"/>
      <c r="N972" s="128"/>
      <c r="O972" s="113"/>
      <c r="P972" s="113"/>
      <c r="Q972" s="132"/>
      <c r="R972" s="115"/>
      <c r="S972" s="115"/>
      <c r="T972" s="115"/>
      <c r="U972" s="116"/>
      <c r="V972" s="117"/>
      <c r="W972" s="118"/>
      <c r="X972" s="119"/>
      <c r="Y972" s="113"/>
      <c r="Z972" s="113"/>
      <c r="AH972" s="7"/>
      <c r="AI972" s="7"/>
      <c r="AJ972" s="7"/>
      <c r="AK972" s="7"/>
      <c r="AL972" s="7"/>
      <c r="AM972" s="7"/>
      <c r="AN972" s="7"/>
    </row>
    <row r="973">
      <c r="A973" s="113"/>
      <c r="B973" s="113"/>
      <c r="C973" s="7"/>
      <c r="D973" s="113"/>
      <c r="E973" s="113"/>
      <c r="F973" s="113"/>
      <c r="G973" s="113"/>
      <c r="H973" s="113"/>
      <c r="I973" s="113"/>
      <c r="J973" s="113"/>
      <c r="K973" s="128"/>
      <c r="L973" s="113"/>
      <c r="M973" s="128"/>
      <c r="N973" s="128"/>
      <c r="O973" s="113"/>
      <c r="P973" s="113"/>
      <c r="Q973" s="132"/>
      <c r="R973" s="115"/>
      <c r="S973" s="115"/>
      <c r="T973" s="115"/>
      <c r="U973" s="116"/>
      <c r="V973" s="117"/>
      <c r="W973" s="118"/>
      <c r="X973" s="119"/>
      <c r="Y973" s="113"/>
      <c r="Z973" s="113"/>
      <c r="AH973" s="7"/>
      <c r="AI973" s="7"/>
      <c r="AJ973" s="7"/>
      <c r="AK973" s="7"/>
      <c r="AL973" s="7"/>
      <c r="AM973" s="7"/>
      <c r="AN973" s="7"/>
    </row>
    <row r="974">
      <c r="A974" s="113"/>
      <c r="B974" s="113"/>
      <c r="C974" s="7"/>
      <c r="D974" s="113"/>
      <c r="E974" s="113"/>
      <c r="F974" s="113"/>
      <c r="G974" s="113"/>
      <c r="H974" s="113"/>
      <c r="I974" s="113"/>
      <c r="J974" s="113"/>
      <c r="K974" s="128"/>
      <c r="L974" s="113"/>
      <c r="M974" s="128"/>
      <c r="N974" s="128"/>
      <c r="O974" s="113"/>
      <c r="P974" s="113"/>
      <c r="Q974" s="132"/>
      <c r="R974" s="115"/>
      <c r="S974" s="115"/>
      <c r="T974" s="115"/>
      <c r="U974" s="116"/>
      <c r="V974" s="117"/>
      <c r="W974" s="118"/>
      <c r="X974" s="119"/>
      <c r="Y974" s="113"/>
      <c r="Z974" s="113"/>
      <c r="AH974" s="7"/>
      <c r="AI974" s="7"/>
      <c r="AJ974" s="7"/>
      <c r="AK974" s="7"/>
      <c r="AL974" s="7"/>
      <c r="AM974" s="7"/>
      <c r="AN974" s="7"/>
    </row>
    <row r="975">
      <c r="A975" s="113"/>
      <c r="B975" s="113"/>
      <c r="C975" s="7"/>
      <c r="D975" s="113"/>
      <c r="E975" s="113"/>
      <c r="F975" s="113"/>
      <c r="G975" s="113"/>
      <c r="H975" s="113"/>
      <c r="I975" s="113"/>
      <c r="J975" s="113"/>
      <c r="K975" s="128"/>
      <c r="L975" s="113"/>
      <c r="M975" s="128"/>
      <c r="N975" s="128"/>
      <c r="O975" s="113"/>
      <c r="P975" s="113"/>
      <c r="Q975" s="132"/>
      <c r="R975" s="115"/>
      <c r="S975" s="115"/>
      <c r="T975" s="115"/>
      <c r="U975" s="116"/>
      <c r="V975" s="117"/>
      <c r="W975" s="118"/>
      <c r="X975" s="119"/>
      <c r="Y975" s="113"/>
      <c r="Z975" s="113"/>
      <c r="AH975" s="7"/>
      <c r="AI975" s="7"/>
      <c r="AJ975" s="7"/>
      <c r="AK975" s="7"/>
      <c r="AL975" s="7"/>
      <c r="AM975" s="7"/>
      <c r="AN975" s="7"/>
    </row>
    <row r="976">
      <c r="A976" s="113"/>
      <c r="B976" s="113"/>
      <c r="C976" s="7"/>
      <c r="D976" s="113"/>
      <c r="E976" s="113"/>
      <c r="F976" s="113"/>
      <c r="G976" s="113"/>
      <c r="H976" s="113"/>
      <c r="I976" s="113"/>
      <c r="J976" s="113"/>
      <c r="K976" s="128"/>
      <c r="L976" s="113"/>
      <c r="M976" s="128"/>
      <c r="N976" s="128"/>
      <c r="O976" s="113"/>
      <c r="P976" s="113"/>
      <c r="Q976" s="132"/>
      <c r="R976" s="115"/>
      <c r="S976" s="115"/>
      <c r="T976" s="115"/>
      <c r="U976" s="116"/>
      <c r="V976" s="117"/>
      <c r="W976" s="118"/>
      <c r="X976" s="119"/>
      <c r="Y976" s="113"/>
      <c r="Z976" s="113"/>
      <c r="AH976" s="7"/>
      <c r="AI976" s="7"/>
      <c r="AJ976" s="7"/>
      <c r="AK976" s="7"/>
      <c r="AL976" s="7"/>
      <c r="AM976" s="7"/>
      <c r="AN976" s="7"/>
    </row>
    <row r="977">
      <c r="A977" s="113"/>
      <c r="B977" s="113"/>
      <c r="C977" s="7"/>
      <c r="D977" s="113"/>
      <c r="E977" s="113"/>
      <c r="F977" s="113"/>
      <c r="G977" s="113"/>
      <c r="H977" s="113"/>
      <c r="I977" s="113"/>
      <c r="J977" s="113"/>
      <c r="K977" s="128"/>
      <c r="L977" s="113"/>
      <c r="M977" s="128"/>
      <c r="N977" s="128"/>
      <c r="O977" s="113"/>
      <c r="P977" s="113"/>
      <c r="Q977" s="132"/>
      <c r="R977" s="115"/>
      <c r="S977" s="115"/>
      <c r="T977" s="115"/>
      <c r="U977" s="116"/>
      <c r="V977" s="117"/>
      <c r="W977" s="118"/>
      <c r="X977" s="119"/>
      <c r="Y977" s="113"/>
      <c r="Z977" s="113"/>
      <c r="AH977" s="7"/>
      <c r="AI977" s="7"/>
      <c r="AJ977" s="7"/>
      <c r="AK977" s="7"/>
      <c r="AL977" s="7"/>
      <c r="AM977" s="7"/>
      <c r="AN977" s="7"/>
    </row>
    <row r="978">
      <c r="A978" s="113"/>
      <c r="B978" s="113"/>
      <c r="C978" s="7"/>
      <c r="D978" s="113"/>
      <c r="E978" s="113"/>
      <c r="F978" s="113"/>
      <c r="G978" s="113"/>
      <c r="H978" s="113"/>
      <c r="I978" s="113"/>
      <c r="J978" s="113"/>
      <c r="K978" s="128"/>
      <c r="L978" s="113"/>
      <c r="M978" s="128"/>
      <c r="N978" s="128"/>
      <c r="O978" s="113"/>
      <c r="P978" s="113"/>
      <c r="Q978" s="132"/>
      <c r="R978" s="115"/>
      <c r="S978" s="115"/>
      <c r="T978" s="115"/>
      <c r="U978" s="116"/>
      <c r="V978" s="117"/>
      <c r="W978" s="118"/>
      <c r="X978" s="119"/>
      <c r="Y978" s="113"/>
      <c r="Z978" s="113"/>
      <c r="AH978" s="7"/>
      <c r="AI978" s="7"/>
      <c r="AJ978" s="7"/>
      <c r="AK978" s="7"/>
      <c r="AL978" s="7"/>
      <c r="AM978" s="7"/>
      <c r="AN978" s="7"/>
    </row>
    <row r="979">
      <c r="A979" s="113"/>
      <c r="B979" s="113"/>
      <c r="C979" s="7"/>
      <c r="D979" s="113"/>
      <c r="E979" s="113"/>
      <c r="F979" s="113"/>
      <c r="G979" s="113"/>
      <c r="H979" s="113"/>
      <c r="I979" s="113"/>
      <c r="J979" s="113"/>
      <c r="K979" s="128"/>
      <c r="L979" s="113"/>
      <c r="M979" s="128"/>
      <c r="N979" s="128"/>
      <c r="O979" s="113"/>
      <c r="P979" s="113"/>
      <c r="Q979" s="132"/>
      <c r="R979" s="115"/>
      <c r="S979" s="115"/>
      <c r="T979" s="115"/>
      <c r="U979" s="116"/>
      <c r="V979" s="117"/>
      <c r="W979" s="118"/>
      <c r="X979" s="119"/>
      <c r="Y979" s="113"/>
      <c r="Z979" s="113"/>
      <c r="AH979" s="7"/>
      <c r="AI979" s="7"/>
      <c r="AJ979" s="7"/>
      <c r="AK979" s="7"/>
      <c r="AL979" s="7"/>
      <c r="AM979" s="7"/>
      <c r="AN979" s="7"/>
    </row>
    <row r="980">
      <c r="A980" s="113"/>
      <c r="B980" s="113"/>
      <c r="C980" s="7"/>
      <c r="D980" s="113"/>
      <c r="E980" s="113"/>
      <c r="F980" s="113"/>
      <c r="G980" s="113"/>
      <c r="H980" s="113"/>
      <c r="I980" s="113"/>
      <c r="J980" s="113"/>
      <c r="K980" s="128"/>
      <c r="L980" s="113"/>
      <c r="M980" s="128"/>
      <c r="N980" s="128"/>
      <c r="O980" s="113"/>
      <c r="P980" s="113"/>
      <c r="Q980" s="132"/>
      <c r="R980" s="115"/>
      <c r="S980" s="115"/>
      <c r="T980" s="115"/>
      <c r="U980" s="116"/>
      <c r="V980" s="117"/>
      <c r="W980" s="118"/>
      <c r="X980" s="119"/>
      <c r="Y980" s="113"/>
      <c r="Z980" s="113"/>
      <c r="AH980" s="7"/>
      <c r="AI980" s="7"/>
      <c r="AJ980" s="7"/>
      <c r="AK980" s="7"/>
      <c r="AL980" s="7"/>
      <c r="AM980" s="7"/>
      <c r="AN980" s="7"/>
    </row>
    <row r="981">
      <c r="A981" s="113"/>
      <c r="B981" s="113"/>
      <c r="C981" s="7"/>
      <c r="D981" s="113"/>
      <c r="E981" s="113"/>
      <c r="F981" s="113"/>
      <c r="G981" s="113"/>
      <c r="H981" s="113"/>
      <c r="I981" s="113"/>
      <c r="J981" s="113"/>
      <c r="K981" s="128"/>
      <c r="L981" s="113"/>
      <c r="M981" s="128"/>
      <c r="N981" s="128"/>
      <c r="O981" s="113"/>
      <c r="P981" s="113"/>
      <c r="Q981" s="132"/>
      <c r="R981" s="115"/>
      <c r="S981" s="115"/>
      <c r="T981" s="115"/>
      <c r="U981" s="116"/>
      <c r="V981" s="117"/>
      <c r="W981" s="118"/>
      <c r="X981" s="119"/>
      <c r="Y981" s="113"/>
      <c r="Z981" s="113"/>
      <c r="AH981" s="7"/>
      <c r="AI981" s="7"/>
      <c r="AJ981" s="7"/>
      <c r="AK981" s="7"/>
      <c r="AL981" s="7"/>
      <c r="AM981" s="7"/>
      <c r="AN981" s="7"/>
    </row>
    <row r="982">
      <c r="A982" s="113"/>
      <c r="B982" s="113"/>
      <c r="C982" s="7"/>
      <c r="D982" s="113"/>
      <c r="E982" s="113"/>
      <c r="F982" s="113"/>
      <c r="G982" s="113"/>
      <c r="H982" s="113"/>
      <c r="I982" s="113"/>
      <c r="J982" s="113"/>
      <c r="K982" s="128"/>
      <c r="L982" s="113"/>
      <c r="M982" s="128"/>
      <c r="N982" s="128"/>
      <c r="O982" s="113"/>
      <c r="P982" s="113"/>
      <c r="Q982" s="132"/>
      <c r="R982" s="115"/>
      <c r="S982" s="115"/>
      <c r="T982" s="115"/>
      <c r="U982" s="116"/>
      <c r="V982" s="117"/>
      <c r="W982" s="118"/>
      <c r="X982" s="119"/>
      <c r="Y982" s="113"/>
      <c r="Z982" s="113"/>
      <c r="AH982" s="7"/>
      <c r="AI982" s="7"/>
      <c r="AJ982" s="7"/>
      <c r="AK982" s="7"/>
      <c r="AL982" s="7"/>
      <c r="AM982" s="7"/>
      <c r="AN982" s="7"/>
    </row>
    <row r="983">
      <c r="A983" s="113"/>
      <c r="B983" s="113"/>
      <c r="C983" s="7"/>
      <c r="D983" s="113"/>
      <c r="E983" s="113"/>
      <c r="F983" s="113"/>
      <c r="G983" s="113"/>
      <c r="H983" s="113"/>
      <c r="I983" s="113"/>
      <c r="J983" s="113"/>
      <c r="K983" s="128"/>
      <c r="L983" s="113"/>
      <c r="M983" s="128"/>
      <c r="N983" s="128"/>
      <c r="O983" s="113"/>
      <c r="P983" s="113"/>
      <c r="Q983" s="132"/>
      <c r="R983" s="115"/>
      <c r="S983" s="115"/>
      <c r="T983" s="115"/>
      <c r="U983" s="116"/>
      <c r="V983" s="117"/>
      <c r="W983" s="118"/>
      <c r="X983" s="119"/>
      <c r="Y983" s="113"/>
      <c r="Z983" s="113"/>
      <c r="AH983" s="7"/>
      <c r="AI983" s="7"/>
      <c r="AJ983" s="7"/>
      <c r="AK983" s="7"/>
      <c r="AL983" s="7"/>
      <c r="AM983" s="7"/>
      <c r="AN983" s="7"/>
    </row>
    <row r="984">
      <c r="A984" s="113"/>
      <c r="B984" s="113"/>
      <c r="C984" s="7"/>
      <c r="D984" s="113"/>
      <c r="E984" s="113"/>
      <c r="F984" s="113"/>
      <c r="G984" s="113"/>
      <c r="H984" s="113"/>
      <c r="I984" s="113"/>
      <c r="J984" s="113"/>
      <c r="K984" s="128"/>
      <c r="L984" s="113"/>
      <c r="M984" s="128"/>
      <c r="N984" s="128"/>
      <c r="O984" s="113"/>
      <c r="P984" s="113"/>
      <c r="Q984" s="132"/>
      <c r="R984" s="115"/>
      <c r="S984" s="115"/>
      <c r="T984" s="115"/>
      <c r="U984" s="116"/>
      <c r="V984" s="117"/>
      <c r="W984" s="118"/>
      <c r="X984" s="119"/>
      <c r="Y984" s="113"/>
      <c r="Z984" s="113"/>
      <c r="AH984" s="7"/>
      <c r="AI984" s="7"/>
      <c r="AJ984" s="7"/>
      <c r="AK984" s="7"/>
      <c r="AL984" s="7"/>
      <c r="AM984" s="7"/>
      <c r="AN984" s="7"/>
    </row>
    <row r="985">
      <c r="A985" s="113"/>
      <c r="B985" s="113"/>
      <c r="C985" s="7"/>
      <c r="D985" s="113"/>
      <c r="E985" s="113"/>
      <c r="F985" s="113"/>
      <c r="G985" s="113"/>
      <c r="H985" s="113"/>
      <c r="I985" s="113"/>
      <c r="J985" s="113"/>
      <c r="K985" s="128"/>
      <c r="L985" s="113"/>
      <c r="M985" s="128"/>
      <c r="N985" s="128"/>
      <c r="O985" s="113"/>
      <c r="P985" s="113"/>
      <c r="Q985" s="132"/>
      <c r="R985" s="115"/>
      <c r="S985" s="115"/>
      <c r="T985" s="115"/>
      <c r="U985" s="116"/>
      <c r="V985" s="117"/>
      <c r="W985" s="118"/>
      <c r="X985" s="119"/>
      <c r="Y985" s="113"/>
      <c r="Z985" s="113"/>
      <c r="AH985" s="7"/>
      <c r="AI985" s="7"/>
      <c r="AJ985" s="7"/>
      <c r="AK985" s="7"/>
      <c r="AL985" s="7"/>
      <c r="AM985" s="7"/>
      <c r="AN985" s="7"/>
    </row>
    <row r="986">
      <c r="A986" s="113"/>
      <c r="B986" s="113"/>
      <c r="C986" s="7"/>
      <c r="D986" s="113"/>
      <c r="E986" s="113"/>
      <c r="F986" s="113"/>
      <c r="G986" s="113"/>
      <c r="H986" s="113"/>
      <c r="I986" s="113"/>
      <c r="J986" s="113"/>
      <c r="K986" s="128"/>
      <c r="L986" s="113"/>
      <c r="M986" s="128"/>
      <c r="N986" s="128"/>
      <c r="O986" s="113"/>
      <c r="P986" s="113"/>
      <c r="Q986" s="132"/>
      <c r="R986" s="115"/>
      <c r="S986" s="115"/>
      <c r="T986" s="115"/>
      <c r="U986" s="116"/>
      <c r="V986" s="117"/>
      <c r="W986" s="118"/>
      <c r="X986" s="119"/>
      <c r="Y986" s="113"/>
      <c r="Z986" s="113"/>
      <c r="AH986" s="7"/>
      <c r="AI986" s="7"/>
      <c r="AJ986" s="7"/>
      <c r="AK986" s="7"/>
      <c r="AL986" s="7"/>
      <c r="AM986" s="7"/>
      <c r="AN986" s="7"/>
    </row>
    <row r="987">
      <c r="A987" s="113"/>
      <c r="B987" s="113"/>
      <c r="C987" s="7"/>
      <c r="D987" s="113"/>
      <c r="E987" s="113"/>
      <c r="F987" s="113"/>
      <c r="G987" s="113"/>
      <c r="H987" s="113"/>
      <c r="I987" s="113"/>
      <c r="J987" s="113"/>
      <c r="K987" s="128"/>
      <c r="L987" s="113"/>
      <c r="M987" s="128"/>
      <c r="N987" s="128"/>
      <c r="O987" s="113"/>
      <c r="P987" s="113"/>
      <c r="Q987" s="132"/>
      <c r="R987" s="115"/>
      <c r="S987" s="115"/>
      <c r="T987" s="115"/>
      <c r="U987" s="116"/>
      <c r="V987" s="117"/>
      <c r="W987" s="118"/>
      <c r="X987" s="119"/>
      <c r="Y987" s="113"/>
      <c r="Z987" s="113"/>
      <c r="AH987" s="7"/>
      <c r="AI987" s="7"/>
      <c r="AJ987" s="7"/>
      <c r="AK987" s="7"/>
      <c r="AL987" s="7"/>
      <c r="AM987" s="7"/>
      <c r="AN987" s="7"/>
    </row>
    <row r="988">
      <c r="A988" s="113"/>
      <c r="B988" s="113"/>
      <c r="C988" s="7"/>
      <c r="D988" s="113"/>
      <c r="E988" s="113"/>
      <c r="F988" s="113"/>
      <c r="G988" s="113"/>
      <c r="H988" s="113"/>
      <c r="I988" s="113"/>
      <c r="J988" s="113"/>
      <c r="K988" s="128"/>
      <c r="L988" s="113"/>
      <c r="M988" s="128"/>
      <c r="N988" s="128"/>
      <c r="O988" s="113"/>
      <c r="P988" s="113"/>
      <c r="Q988" s="132"/>
      <c r="R988" s="115"/>
      <c r="S988" s="115"/>
      <c r="T988" s="115"/>
      <c r="U988" s="116"/>
      <c r="V988" s="117"/>
      <c r="W988" s="118"/>
      <c r="X988" s="119"/>
      <c r="Y988" s="113"/>
      <c r="Z988" s="113"/>
      <c r="AH988" s="7"/>
      <c r="AI988" s="7"/>
      <c r="AJ988" s="7"/>
      <c r="AK988" s="7"/>
      <c r="AL988" s="7"/>
      <c r="AM988" s="7"/>
      <c r="AN988" s="7"/>
    </row>
    <row r="989">
      <c r="A989" s="113"/>
      <c r="B989" s="113"/>
      <c r="C989" s="7"/>
      <c r="D989" s="113"/>
      <c r="E989" s="113"/>
      <c r="F989" s="113"/>
      <c r="G989" s="113"/>
      <c r="H989" s="113"/>
      <c r="I989" s="113"/>
      <c r="J989" s="113"/>
      <c r="K989" s="128"/>
      <c r="L989" s="113"/>
      <c r="M989" s="128"/>
      <c r="N989" s="128"/>
      <c r="O989" s="113"/>
      <c r="P989" s="113"/>
      <c r="Q989" s="132"/>
      <c r="R989" s="115"/>
      <c r="S989" s="115"/>
      <c r="T989" s="115"/>
      <c r="U989" s="116"/>
      <c r="V989" s="117"/>
      <c r="W989" s="118"/>
      <c r="X989" s="119"/>
      <c r="Y989" s="113"/>
      <c r="Z989" s="113"/>
      <c r="AH989" s="7"/>
      <c r="AI989" s="7"/>
      <c r="AJ989" s="7"/>
      <c r="AK989" s="7"/>
      <c r="AL989" s="7"/>
      <c r="AM989" s="7"/>
      <c r="AN989" s="7"/>
    </row>
    <row r="990">
      <c r="A990" s="113"/>
      <c r="B990" s="113"/>
      <c r="C990" s="7"/>
      <c r="D990" s="113"/>
      <c r="E990" s="113"/>
      <c r="F990" s="113"/>
      <c r="G990" s="113"/>
      <c r="H990" s="113"/>
      <c r="I990" s="113"/>
      <c r="J990" s="113"/>
      <c r="K990" s="128"/>
      <c r="L990" s="113"/>
      <c r="M990" s="128"/>
      <c r="N990" s="128"/>
      <c r="O990" s="113"/>
      <c r="P990" s="113"/>
      <c r="Q990" s="132"/>
      <c r="R990" s="115"/>
      <c r="S990" s="115"/>
      <c r="T990" s="115"/>
      <c r="U990" s="116"/>
      <c r="V990" s="117"/>
      <c r="W990" s="118"/>
      <c r="X990" s="119"/>
      <c r="Y990" s="113"/>
      <c r="Z990" s="113"/>
      <c r="AH990" s="7"/>
      <c r="AI990" s="7"/>
      <c r="AJ990" s="7"/>
      <c r="AK990" s="7"/>
      <c r="AL990" s="7"/>
      <c r="AM990" s="7"/>
      <c r="AN990" s="7"/>
    </row>
    <row r="991">
      <c r="A991" s="113"/>
      <c r="B991" s="113"/>
      <c r="C991" s="7"/>
      <c r="D991" s="113"/>
      <c r="E991" s="113"/>
      <c r="F991" s="113"/>
      <c r="G991" s="113"/>
      <c r="H991" s="113"/>
      <c r="I991" s="113"/>
      <c r="J991" s="113"/>
      <c r="K991" s="128"/>
      <c r="L991" s="113"/>
      <c r="M991" s="128"/>
      <c r="N991" s="128"/>
      <c r="O991" s="113"/>
      <c r="P991" s="113"/>
      <c r="Q991" s="132"/>
      <c r="R991" s="115"/>
      <c r="S991" s="115"/>
      <c r="T991" s="115"/>
      <c r="U991" s="116"/>
      <c r="V991" s="117"/>
      <c r="W991" s="118"/>
      <c r="X991" s="119"/>
      <c r="Y991" s="113"/>
      <c r="Z991" s="113"/>
      <c r="AH991" s="7"/>
      <c r="AI991" s="7"/>
      <c r="AJ991" s="7"/>
      <c r="AK991" s="7"/>
      <c r="AL991" s="7"/>
      <c r="AM991" s="7"/>
      <c r="AN991" s="7"/>
    </row>
    <row r="992">
      <c r="A992" s="113"/>
      <c r="B992" s="113"/>
      <c r="C992" s="7"/>
      <c r="D992" s="113"/>
      <c r="E992" s="113"/>
      <c r="F992" s="113"/>
      <c r="G992" s="113"/>
      <c r="H992" s="113"/>
      <c r="I992" s="113"/>
      <c r="J992" s="113"/>
      <c r="K992" s="128"/>
      <c r="L992" s="113"/>
      <c r="M992" s="128"/>
      <c r="N992" s="128"/>
      <c r="O992" s="113"/>
      <c r="P992" s="113"/>
      <c r="Q992" s="132"/>
      <c r="R992" s="115"/>
      <c r="S992" s="115"/>
      <c r="T992" s="115"/>
      <c r="U992" s="116"/>
      <c r="V992" s="117"/>
      <c r="W992" s="118"/>
      <c r="X992" s="119"/>
      <c r="Y992" s="113"/>
      <c r="Z992" s="113"/>
      <c r="AH992" s="7"/>
      <c r="AI992" s="7"/>
      <c r="AJ992" s="7"/>
      <c r="AK992" s="7"/>
      <c r="AL992" s="7"/>
      <c r="AM992" s="7"/>
      <c r="AN992" s="7"/>
    </row>
    <row r="993">
      <c r="A993" s="113"/>
      <c r="B993" s="113"/>
      <c r="C993" s="7"/>
      <c r="D993" s="113"/>
      <c r="E993" s="113"/>
      <c r="F993" s="113"/>
      <c r="G993" s="113"/>
      <c r="H993" s="113"/>
      <c r="I993" s="113"/>
      <c r="J993" s="113"/>
      <c r="K993" s="128"/>
      <c r="L993" s="113"/>
      <c r="M993" s="128"/>
      <c r="N993" s="128"/>
      <c r="O993" s="113"/>
      <c r="P993" s="113"/>
      <c r="Q993" s="132"/>
      <c r="R993" s="115"/>
      <c r="S993" s="115"/>
      <c r="T993" s="115"/>
      <c r="U993" s="116"/>
      <c r="V993" s="117"/>
      <c r="W993" s="118"/>
      <c r="X993" s="119"/>
      <c r="Y993" s="113"/>
      <c r="Z993" s="113"/>
      <c r="AH993" s="7"/>
      <c r="AI993" s="7"/>
      <c r="AJ993" s="7"/>
      <c r="AK993" s="7"/>
      <c r="AL993" s="7"/>
      <c r="AM993" s="7"/>
      <c r="AN993" s="7"/>
    </row>
    <row r="994">
      <c r="A994" s="113"/>
      <c r="B994" s="113"/>
      <c r="C994" s="7"/>
      <c r="D994" s="113"/>
      <c r="E994" s="113"/>
      <c r="F994" s="113"/>
      <c r="G994" s="113"/>
      <c r="H994" s="113"/>
      <c r="I994" s="113"/>
      <c r="J994" s="113"/>
      <c r="K994" s="128"/>
      <c r="L994" s="113"/>
      <c r="M994" s="128"/>
      <c r="N994" s="128"/>
      <c r="O994" s="113"/>
      <c r="P994" s="113"/>
      <c r="Q994" s="132"/>
      <c r="R994" s="115"/>
      <c r="S994" s="115"/>
      <c r="T994" s="115"/>
      <c r="U994" s="116"/>
      <c r="V994" s="117"/>
      <c r="W994" s="118"/>
      <c r="X994" s="119"/>
      <c r="Y994" s="113"/>
      <c r="Z994" s="113"/>
      <c r="AH994" s="7"/>
      <c r="AI994" s="7"/>
      <c r="AJ994" s="7"/>
      <c r="AK994" s="7"/>
      <c r="AL994" s="7"/>
      <c r="AM994" s="7"/>
      <c r="AN994" s="7"/>
    </row>
    <row r="995">
      <c r="A995" s="113"/>
      <c r="B995" s="113"/>
      <c r="C995" s="7"/>
      <c r="D995" s="113"/>
      <c r="E995" s="113"/>
      <c r="F995" s="113"/>
      <c r="G995" s="113"/>
      <c r="H995" s="113"/>
      <c r="I995" s="113"/>
      <c r="J995" s="113"/>
      <c r="K995" s="128"/>
      <c r="L995" s="113"/>
      <c r="M995" s="128"/>
      <c r="N995" s="128"/>
      <c r="O995" s="113"/>
      <c r="P995" s="113"/>
      <c r="Q995" s="132"/>
      <c r="R995" s="115"/>
      <c r="S995" s="115"/>
      <c r="T995" s="115"/>
      <c r="U995" s="116"/>
      <c r="V995" s="117"/>
      <c r="W995" s="118"/>
      <c r="X995" s="119"/>
      <c r="Y995" s="113"/>
      <c r="Z995" s="113"/>
      <c r="AH995" s="7"/>
      <c r="AI995" s="7"/>
      <c r="AJ995" s="7"/>
      <c r="AK995" s="7"/>
      <c r="AL995" s="7"/>
      <c r="AM995" s="7"/>
      <c r="AN995" s="7"/>
    </row>
    <row r="996">
      <c r="A996" s="113"/>
      <c r="B996" s="113"/>
      <c r="C996" s="7"/>
      <c r="D996" s="113"/>
      <c r="E996" s="113"/>
      <c r="F996" s="113"/>
      <c r="G996" s="113"/>
      <c r="H996" s="113"/>
      <c r="I996" s="113"/>
      <c r="J996" s="113"/>
      <c r="K996" s="128"/>
      <c r="L996" s="113"/>
      <c r="M996" s="128"/>
      <c r="N996" s="128"/>
      <c r="O996" s="113"/>
      <c r="P996" s="113"/>
      <c r="Q996" s="132"/>
      <c r="R996" s="115"/>
      <c r="S996" s="115"/>
      <c r="T996" s="115"/>
      <c r="U996" s="116"/>
      <c r="V996" s="117"/>
      <c r="W996" s="118"/>
      <c r="X996" s="119"/>
      <c r="Y996" s="113"/>
      <c r="Z996" s="113"/>
      <c r="AH996" s="7"/>
      <c r="AI996" s="7"/>
      <c r="AJ996" s="7"/>
      <c r="AK996" s="7"/>
      <c r="AL996" s="7"/>
      <c r="AM996" s="7"/>
      <c r="AN996" s="7"/>
    </row>
    <row r="997">
      <c r="A997" s="113"/>
      <c r="B997" s="113"/>
      <c r="C997" s="7"/>
      <c r="D997" s="113"/>
      <c r="E997" s="113"/>
      <c r="F997" s="113"/>
      <c r="G997" s="113"/>
      <c r="H997" s="113"/>
      <c r="I997" s="113"/>
      <c r="J997" s="113"/>
      <c r="K997" s="128"/>
      <c r="L997" s="113"/>
      <c r="M997" s="128"/>
      <c r="N997" s="128"/>
      <c r="O997" s="113"/>
      <c r="P997" s="113"/>
      <c r="Q997" s="132"/>
      <c r="R997" s="115"/>
      <c r="S997" s="115"/>
      <c r="T997" s="115"/>
      <c r="U997" s="116"/>
      <c r="V997" s="117"/>
      <c r="W997" s="118"/>
      <c r="X997" s="119"/>
      <c r="Y997" s="113"/>
      <c r="Z997" s="113"/>
      <c r="AH997" s="7"/>
      <c r="AI997" s="7"/>
      <c r="AJ997" s="7"/>
      <c r="AK997" s="7"/>
      <c r="AL997" s="7"/>
      <c r="AM997" s="7"/>
      <c r="AN997" s="7"/>
    </row>
    <row r="998">
      <c r="A998" s="113"/>
      <c r="B998" s="113"/>
      <c r="C998" s="7"/>
      <c r="D998" s="113"/>
      <c r="E998" s="113"/>
      <c r="F998" s="113"/>
      <c r="G998" s="113"/>
      <c r="H998" s="113"/>
      <c r="I998" s="113"/>
      <c r="J998" s="113"/>
      <c r="K998" s="128"/>
      <c r="L998" s="113"/>
      <c r="M998" s="128"/>
      <c r="N998" s="128"/>
      <c r="O998" s="113"/>
      <c r="P998" s="113"/>
      <c r="Q998" s="132"/>
      <c r="R998" s="115"/>
      <c r="S998" s="115"/>
      <c r="T998" s="115"/>
      <c r="U998" s="116"/>
      <c r="V998" s="117"/>
      <c r="W998" s="118"/>
      <c r="X998" s="119"/>
      <c r="Y998" s="113"/>
      <c r="Z998" s="113"/>
      <c r="AH998" s="7"/>
      <c r="AI998" s="7"/>
      <c r="AJ998" s="7"/>
      <c r="AK998" s="7"/>
      <c r="AL998" s="7"/>
      <c r="AM998" s="7"/>
      <c r="AN998" s="7"/>
    </row>
    <row r="999">
      <c r="A999" s="113"/>
      <c r="B999" s="113"/>
      <c r="C999" s="7"/>
      <c r="D999" s="113"/>
      <c r="E999" s="113"/>
      <c r="F999" s="113"/>
      <c r="G999" s="113"/>
      <c r="H999" s="113"/>
      <c r="I999" s="113"/>
      <c r="J999" s="113"/>
      <c r="K999" s="128"/>
      <c r="L999" s="113"/>
      <c r="M999" s="128"/>
      <c r="N999" s="128"/>
      <c r="O999" s="113"/>
      <c r="P999" s="113"/>
      <c r="Q999" s="132"/>
      <c r="R999" s="115"/>
      <c r="S999" s="115"/>
      <c r="T999" s="115"/>
      <c r="U999" s="116"/>
      <c r="V999" s="117"/>
      <c r="W999" s="118"/>
      <c r="X999" s="119"/>
      <c r="Y999" s="113"/>
      <c r="Z999" s="113"/>
      <c r="AH999" s="7"/>
      <c r="AI999" s="7"/>
      <c r="AJ999" s="7"/>
      <c r="AK999" s="7"/>
      <c r="AL999" s="7"/>
      <c r="AM999" s="7"/>
      <c r="AN999" s="7"/>
    </row>
    <row r="1000">
      <c r="A1000" s="113"/>
      <c r="B1000" s="113"/>
      <c r="C1000" s="7"/>
      <c r="D1000" s="113"/>
      <c r="E1000" s="113"/>
      <c r="F1000" s="113"/>
      <c r="G1000" s="113"/>
      <c r="H1000" s="113"/>
      <c r="I1000" s="113"/>
      <c r="J1000" s="113"/>
      <c r="K1000" s="128"/>
      <c r="L1000" s="113"/>
      <c r="M1000" s="128"/>
      <c r="N1000" s="128"/>
      <c r="O1000" s="113"/>
      <c r="P1000" s="113"/>
      <c r="Q1000" s="132"/>
      <c r="R1000" s="115"/>
      <c r="S1000" s="115"/>
      <c r="T1000" s="115"/>
      <c r="U1000" s="116"/>
      <c r="V1000" s="117"/>
      <c r="W1000" s="118"/>
      <c r="X1000" s="119"/>
      <c r="Y1000" s="113"/>
      <c r="Z1000" s="113"/>
      <c r="AH1000" s="7"/>
      <c r="AI1000" s="7"/>
      <c r="AJ1000" s="7"/>
      <c r="AK1000" s="7"/>
      <c r="AL1000" s="7"/>
      <c r="AM1000" s="7"/>
      <c r="AN1000" s="7"/>
    </row>
    <row r="1001">
      <c r="A1001" s="113"/>
      <c r="B1001" s="113"/>
      <c r="C1001" s="7"/>
      <c r="D1001" s="113"/>
      <c r="E1001" s="113"/>
      <c r="F1001" s="113"/>
      <c r="G1001" s="113"/>
      <c r="H1001" s="113"/>
      <c r="I1001" s="113"/>
      <c r="J1001" s="113"/>
      <c r="K1001" s="128"/>
      <c r="L1001" s="113"/>
      <c r="M1001" s="128"/>
      <c r="N1001" s="128"/>
      <c r="O1001" s="113"/>
      <c r="P1001" s="113"/>
      <c r="Q1001" s="132"/>
      <c r="R1001" s="115"/>
      <c r="S1001" s="115"/>
      <c r="T1001" s="115"/>
      <c r="U1001" s="116"/>
      <c r="V1001" s="117"/>
      <c r="W1001" s="118"/>
      <c r="X1001" s="119"/>
      <c r="Y1001" s="113"/>
      <c r="Z1001" s="113"/>
      <c r="AH1001" s="7"/>
      <c r="AI1001" s="7"/>
      <c r="AJ1001" s="7"/>
      <c r="AK1001" s="7"/>
      <c r="AL1001" s="7"/>
      <c r="AM1001" s="7"/>
      <c r="AN1001" s="7"/>
    </row>
    <row r="1002">
      <c r="A1002" s="113"/>
      <c r="B1002" s="113"/>
      <c r="C1002" s="7"/>
      <c r="D1002" s="113"/>
      <c r="E1002" s="113"/>
      <c r="F1002" s="113"/>
      <c r="G1002" s="113"/>
      <c r="H1002" s="113"/>
      <c r="I1002" s="113"/>
      <c r="J1002" s="113"/>
      <c r="K1002" s="128"/>
      <c r="L1002" s="113"/>
      <c r="M1002" s="128"/>
      <c r="N1002" s="128"/>
      <c r="O1002" s="113"/>
      <c r="P1002" s="113"/>
      <c r="Q1002" s="132"/>
      <c r="R1002" s="115"/>
      <c r="S1002" s="115"/>
      <c r="T1002" s="115"/>
      <c r="U1002" s="116"/>
      <c r="V1002" s="117"/>
      <c r="W1002" s="118"/>
      <c r="X1002" s="119"/>
      <c r="Y1002" s="113"/>
      <c r="Z1002" s="113"/>
      <c r="AH1002" s="7"/>
      <c r="AI1002" s="7"/>
      <c r="AJ1002" s="7"/>
      <c r="AK1002" s="7"/>
      <c r="AL1002" s="7"/>
      <c r="AM1002" s="7"/>
      <c r="AN1002" s="7"/>
    </row>
    <row r="1003">
      <c r="A1003" s="113"/>
      <c r="B1003" s="113"/>
      <c r="C1003" s="7"/>
      <c r="D1003" s="113"/>
      <c r="E1003" s="113"/>
      <c r="F1003" s="113"/>
      <c r="G1003" s="113"/>
      <c r="H1003" s="113"/>
      <c r="I1003" s="113"/>
      <c r="J1003" s="113"/>
      <c r="K1003" s="128"/>
      <c r="L1003" s="113"/>
      <c r="M1003" s="128"/>
      <c r="N1003" s="128"/>
      <c r="O1003" s="113"/>
      <c r="P1003" s="113"/>
      <c r="Q1003" s="132"/>
      <c r="R1003" s="115"/>
      <c r="S1003" s="115"/>
      <c r="T1003" s="115"/>
      <c r="U1003" s="116"/>
      <c r="V1003" s="117"/>
      <c r="W1003" s="118"/>
      <c r="X1003" s="119"/>
      <c r="Y1003" s="113"/>
      <c r="Z1003" s="113"/>
      <c r="AH1003" s="7"/>
      <c r="AI1003" s="7"/>
      <c r="AJ1003" s="7"/>
      <c r="AK1003" s="7"/>
      <c r="AL1003" s="7"/>
      <c r="AM1003" s="7"/>
      <c r="AN1003" s="7"/>
    </row>
    <row r="1004">
      <c r="A1004" s="113"/>
      <c r="B1004" s="113"/>
      <c r="C1004" s="7"/>
      <c r="D1004" s="113"/>
      <c r="E1004" s="113"/>
      <c r="F1004" s="113"/>
      <c r="G1004" s="113"/>
      <c r="H1004" s="113"/>
      <c r="I1004" s="113"/>
      <c r="J1004" s="113"/>
      <c r="K1004" s="128"/>
      <c r="L1004" s="113"/>
      <c r="M1004" s="128"/>
      <c r="N1004" s="128"/>
      <c r="O1004" s="113"/>
      <c r="P1004" s="113"/>
      <c r="Q1004" s="132"/>
      <c r="R1004" s="115"/>
      <c r="S1004" s="115"/>
      <c r="T1004" s="115"/>
      <c r="U1004" s="116"/>
      <c r="V1004" s="117"/>
      <c r="W1004" s="118"/>
      <c r="X1004" s="119"/>
      <c r="Y1004" s="113"/>
      <c r="Z1004" s="113"/>
      <c r="AH1004" s="7"/>
      <c r="AI1004" s="7"/>
      <c r="AJ1004" s="7"/>
      <c r="AK1004" s="7"/>
      <c r="AL1004" s="7"/>
      <c r="AM1004" s="7"/>
      <c r="AN1004" s="7"/>
    </row>
    <row r="1005">
      <c r="A1005" s="113"/>
      <c r="B1005" s="113"/>
      <c r="C1005" s="7"/>
      <c r="D1005" s="113"/>
      <c r="E1005" s="113"/>
      <c r="F1005" s="113"/>
      <c r="G1005" s="113"/>
      <c r="H1005" s="113"/>
      <c r="I1005" s="113"/>
      <c r="J1005" s="113"/>
      <c r="K1005" s="128"/>
      <c r="L1005" s="113"/>
      <c r="M1005" s="128"/>
      <c r="N1005" s="128"/>
      <c r="O1005" s="113"/>
      <c r="P1005" s="113"/>
      <c r="Q1005" s="132"/>
      <c r="R1005" s="115"/>
      <c r="S1005" s="115"/>
      <c r="T1005" s="115"/>
      <c r="U1005" s="116"/>
      <c r="V1005" s="117"/>
      <c r="W1005" s="118"/>
      <c r="X1005" s="119"/>
      <c r="Y1005" s="113"/>
      <c r="Z1005" s="113"/>
      <c r="AH1005" s="7"/>
      <c r="AI1005" s="7"/>
      <c r="AJ1005" s="7"/>
      <c r="AK1005" s="7"/>
      <c r="AL1005" s="7"/>
      <c r="AM1005" s="7"/>
      <c r="AN1005" s="7"/>
    </row>
    <row r="1006">
      <c r="A1006" s="113"/>
      <c r="B1006" s="113"/>
      <c r="C1006" s="7"/>
      <c r="D1006" s="113"/>
      <c r="E1006" s="113"/>
      <c r="F1006" s="113"/>
      <c r="G1006" s="113"/>
      <c r="H1006" s="113"/>
      <c r="I1006" s="113"/>
      <c r="J1006" s="113"/>
      <c r="K1006" s="128"/>
      <c r="L1006" s="113"/>
      <c r="M1006" s="128"/>
      <c r="N1006" s="128"/>
      <c r="O1006" s="113"/>
      <c r="P1006" s="113"/>
      <c r="Q1006" s="132"/>
      <c r="R1006" s="115"/>
      <c r="S1006" s="115"/>
      <c r="T1006" s="115"/>
      <c r="U1006" s="116"/>
      <c r="V1006" s="117"/>
      <c r="W1006" s="118"/>
      <c r="X1006" s="119"/>
      <c r="Y1006" s="113"/>
      <c r="Z1006" s="113"/>
      <c r="AH1006" s="7"/>
      <c r="AI1006" s="7"/>
      <c r="AJ1006" s="7"/>
      <c r="AK1006" s="7"/>
      <c r="AL1006" s="7"/>
      <c r="AM1006" s="7"/>
      <c r="AN1006" s="7"/>
    </row>
    <row r="1007">
      <c r="A1007" s="113"/>
      <c r="B1007" s="113"/>
      <c r="C1007" s="7"/>
      <c r="D1007" s="113"/>
      <c r="E1007" s="113"/>
      <c r="F1007" s="113"/>
      <c r="G1007" s="113"/>
      <c r="H1007" s="113"/>
      <c r="I1007" s="113"/>
      <c r="J1007" s="113"/>
      <c r="K1007" s="128"/>
      <c r="L1007" s="113"/>
      <c r="M1007" s="128"/>
      <c r="N1007" s="128"/>
      <c r="O1007" s="113"/>
      <c r="P1007" s="113"/>
      <c r="Q1007" s="132"/>
      <c r="R1007" s="115"/>
      <c r="S1007" s="115"/>
      <c r="T1007" s="115"/>
      <c r="U1007" s="116"/>
      <c r="V1007" s="117"/>
      <c r="W1007" s="118"/>
      <c r="X1007" s="119"/>
      <c r="Y1007" s="113"/>
      <c r="Z1007" s="113"/>
      <c r="AH1007" s="7"/>
      <c r="AI1007" s="7"/>
      <c r="AJ1007" s="7"/>
      <c r="AK1007" s="7"/>
      <c r="AL1007" s="7"/>
      <c r="AM1007" s="7"/>
      <c r="AN1007" s="7"/>
    </row>
    <row r="1008">
      <c r="A1008" s="113"/>
      <c r="B1008" s="113"/>
      <c r="C1008" s="7"/>
      <c r="D1008" s="113"/>
      <c r="E1008" s="113"/>
      <c r="F1008" s="113"/>
      <c r="G1008" s="113"/>
      <c r="H1008" s="113"/>
      <c r="I1008" s="113"/>
      <c r="J1008" s="113"/>
      <c r="K1008" s="128"/>
      <c r="L1008" s="113"/>
      <c r="M1008" s="128"/>
      <c r="N1008" s="128"/>
      <c r="O1008" s="113"/>
      <c r="P1008" s="113"/>
      <c r="Q1008" s="132"/>
      <c r="R1008" s="115"/>
      <c r="S1008" s="115"/>
      <c r="T1008" s="115"/>
      <c r="U1008" s="116"/>
      <c r="V1008" s="117"/>
      <c r="W1008" s="118"/>
      <c r="X1008" s="119"/>
      <c r="Y1008" s="113"/>
      <c r="Z1008" s="113"/>
      <c r="AH1008" s="7"/>
      <c r="AI1008" s="7"/>
      <c r="AJ1008" s="7"/>
      <c r="AK1008" s="7"/>
      <c r="AL1008" s="7"/>
      <c r="AM1008" s="7"/>
      <c r="AN1008" s="7"/>
    </row>
    <row r="1009">
      <c r="A1009" s="113"/>
      <c r="B1009" s="113"/>
      <c r="C1009" s="7"/>
      <c r="D1009" s="113"/>
      <c r="E1009" s="113"/>
      <c r="F1009" s="113"/>
      <c r="G1009" s="113"/>
      <c r="H1009" s="113"/>
      <c r="I1009" s="113"/>
      <c r="J1009" s="113"/>
      <c r="K1009" s="128"/>
      <c r="L1009" s="113"/>
      <c r="M1009" s="128"/>
      <c r="N1009" s="128"/>
      <c r="O1009" s="113"/>
      <c r="P1009" s="113"/>
      <c r="Q1009" s="132"/>
      <c r="R1009" s="115"/>
      <c r="S1009" s="115"/>
      <c r="T1009" s="115"/>
      <c r="U1009" s="116"/>
      <c r="V1009" s="117"/>
      <c r="W1009" s="118"/>
      <c r="X1009" s="119"/>
      <c r="Y1009" s="113"/>
      <c r="Z1009" s="113"/>
      <c r="AH1009" s="7"/>
      <c r="AI1009" s="7"/>
      <c r="AJ1009" s="7"/>
      <c r="AK1009" s="7"/>
      <c r="AL1009" s="7"/>
      <c r="AM1009" s="7"/>
      <c r="AN1009" s="7"/>
    </row>
    <row r="1010">
      <c r="A1010" s="113"/>
      <c r="B1010" s="113"/>
      <c r="C1010" s="7"/>
      <c r="D1010" s="113"/>
      <c r="E1010" s="113"/>
      <c r="F1010" s="113"/>
      <c r="G1010" s="113"/>
      <c r="H1010" s="113"/>
      <c r="I1010" s="113"/>
      <c r="J1010" s="113"/>
      <c r="K1010" s="128"/>
      <c r="L1010" s="113"/>
      <c r="M1010" s="128"/>
      <c r="N1010" s="128"/>
      <c r="O1010" s="113"/>
      <c r="P1010" s="113"/>
      <c r="Q1010" s="132"/>
      <c r="R1010" s="115"/>
      <c r="S1010" s="115"/>
      <c r="T1010" s="115"/>
      <c r="U1010" s="116"/>
      <c r="V1010" s="117"/>
      <c r="W1010" s="118"/>
      <c r="X1010" s="119"/>
      <c r="Y1010" s="113"/>
      <c r="Z1010" s="113"/>
      <c r="AH1010" s="7"/>
      <c r="AI1010" s="7"/>
      <c r="AJ1010" s="7"/>
      <c r="AK1010" s="7"/>
      <c r="AL1010" s="7"/>
      <c r="AM1010" s="7"/>
      <c r="AN1010" s="7"/>
    </row>
    <row r="1011">
      <c r="A1011" s="113"/>
      <c r="B1011" s="113"/>
      <c r="C1011" s="7"/>
      <c r="D1011" s="113"/>
      <c r="E1011" s="113"/>
      <c r="F1011" s="113"/>
      <c r="G1011" s="113"/>
      <c r="H1011" s="113"/>
      <c r="I1011" s="113"/>
      <c r="J1011" s="113"/>
      <c r="K1011" s="128"/>
      <c r="L1011" s="113"/>
      <c r="M1011" s="128"/>
      <c r="N1011" s="128"/>
      <c r="O1011" s="113"/>
      <c r="P1011" s="113"/>
      <c r="Q1011" s="132"/>
      <c r="R1011" s="115"/>
      <c r="S1011" s="115"/>
      <c r="T1011" s="115"/>
      <c r="U1011" s="116"/>
      <c r="V1011" s="117"/>
      <c r="W1011" s="118"/>
      <c r="X1011" s="119"/>
      <c r="Y1011" s="113"/>
      <c r="Z1011" s="113"/>
      <c r="AH1011" s="7"/>
      <c r="AI1011" s="7"/>
      <c r="AJ1011" s="7"/>
      <c r="AK1011" s="7"/>
      <c r="AL1011" s="7"/>
      <c r="AM1011" s="7"/>
      <c r="AN1011" s="7"/>
    </row>
    <row r="1012">
      <c r="A1012" s="113"/>
      <c r="B1012" s="113"/>
      <c r="C1012" s="7"/>
      <c r="D1012" s="113"/>
      <c r="E1012" s="113"/>
      <c r="F1012" s="113"/>
      <c r="G1012" s="113"/>
      <c r="H1012" s="113"/>
      <c r="I1012" s="113"/>
      <c r="J1012" s="113"/>
      <c r="K1012" s="128"/>
      <c r="L1012" s="113"/>
      <c r="M1012" s="128"/>
      <c r="N1012" s="128"/>
      <c r="O1012" s="113"/>
      <c r="P1012" s="113"/>
      <c r="Q1012" s="132"/>
      <c r="R1012" s="115"/>
      <c r="S1012" s="115"/>
      <c r="T1012" s="115"/>
      <c r="U1012" s="116"/>
      <c r="V1012" s="117"/>
      <c r="W1012" s="118"/>
      <c r="X1012" s="119"/>
      <c r="Y1012" s="113"/>
      <c r="Z1012" s="113"/>
      <c r="AH1012" s="7"/>
      <c r="AI1012" s="7"/>
      <c r="AJ1012" s="7"/>
      <c r="AK1012" s="7"/>
      <c r="AL1012" s="7"/>
      <c r="AM1012" s="7"/>
      <c r="AN1012" s="7"/>
    </row>
    <row r="1013">
      <c r="A1013" s="113"/>
      <c r="B1013" s="113"/>
      <c r="C1013" s="7"/>
      <c r="D1013" s="113"/>
      <c r="E1013" s="113"/>
      <c r="F1013" s="113"/>
      <c r="G1013" s="113"/>
      <c r="H1013" s="113"/>
      <c r="I1013" s="113"/>
      <c r="J1013" s="113"/>
      <c r="K1013" s="128"/>
      <c r="L1013" s="113"/>
      <c r="M1013" s="128"/>
      <c r="N1013" s="128"/>
      <c r="O1013" s="113"/>
      <c r="P1013" s="113"/>
      <c r="Q1013" s="132"/>
      <c r="R1013" s="115"/>
      <c r="S1013" s="115"/>
      <c r="T1013" s="115"/>
      <c r="U1013" s="116"/>
      <c r="V1013" s="117"/>
      <c r="W1013" s="118"/>
      <c r="X1013" s="119"/>
      <c r="Y1013" s="113"/>
      <c r="Z1013" s="113"/>
      <c r="AH1013" s="7"/>
      <c r="AI1013" s="7"/>
      <c r="AJ1013" s="7"/>
      <c r="AK1013" s="7"/>
      <c r="AL1013" s="7"/>
      <c r="AM1013" s="7"/>
      <c r="AN1013" s="7"/>
    </row>
    <row r="1014">
      <c r="A1014" s="113"/>
      <c r="B1014" s="113"/>
      <c r="C1014" s="7"/>
      <c r="D1014" s="113"/>
      <c r="E1014" s="113"/>
      <c r="F1014" s="113"/>
      <c r="G1014" s="113"/>
      <c r="H1014" s="113"/>
      <c r="I1014" s="113"/>
      <c r="J1014" s="113"/>
      <c r="K1014" s="128"/>
      <c r="L1014" s="113"/>
      <c r="M1014" s="128"/>
      <c r="N1014" s="128"/>
      <c r="O1014" s="113"/>
      <c r="P1014" s="113"/>
      <c r="Q1014" s="132"/>
      <c r="R1014" s="115"/>
      <c r="S1014" s="115"/>
      <c r="T1014" s="115"/>
      <c r="U1014" s="116"/>
      <c r="V1014" s="117"/>
      <c r="W1014" s="118"/>
      <c r="X1014" s="119"/>
      <c r="Y1014" s="113"/>
      <c r="Z1014" s="113"/>
      <c r="AH1014" s="7"/>
      <c r="AI1014" s="7"/>
      <c r="AJ1014" s="7"/>
      <c r="AK1014" s="7"/>
      <c r="AL1014" s="7"/>
      <c r="AM1014" s="7"/>
      <c r="AN1014" s="7"/>
    </row>
    <row r="1015">
      <c r="A1015" s="113"/>
      <c r="B1015" s="113"/>
      <c r="C1015" s="7"/>
      <c r="D1015" s="113"/>
      <c r="E1015" s="113"/>
      <c r="F1015" s="113"/>
      <c r="G1015" s="113"/>
      <c r="H1015" s="113"/>
      <c r="I1015" s="113"/>
      <c r="J1015" s="113"/>
      <c r="K1015" s="128"/>
      <c r="L1015" s="113"/>
      <c r="M1015" s="128"/>
      <c r="N1015" s="128"/>
      <c r="O1015" s="113"/>
      <c r="P1015" s="113"/>
      <c r="Q1015" s="132"/>
      <c r="R1015" s="115"/>
      <c r="S1015" s="115"/>
      <c r="T1015" s="115"/>
      <c r="U1015" s="116"/>
      <c r="V1015" s="117"/>
      <c r="W1015" s="118"/>
      <c r="X1015" s="119"/>
      <c r="Y1015" s="113"/>
      <c r="Z1015" s="113"/>
      <c r="AH1015" s="7"/>
      <c r="AI1015" s="7"/>
      <c r="AJ1015" s="7"/>
      <c r="AK1015" s="7"/>
      <c r="AL1015" s="7"/>
      <c r="AM1015" s="7"/>
      <c r="AN1015" s="7"/>
    </row>
    <row r="1016">
      <c r="A1016" s="113"/>
      <c r="B1016" s="113"/>
      <c r="C1016" s="7"/>
      <c r="D1016" s="113"/>
      <c r="E1016" s="113"/>
      <c r="F1016" s="113"/>
      <c r="G1016" s="113"/>
      <c r="H1016" s="113"/>
      <c r="I1016" s="113"/>
      <c r="J1016" s="113"/>
      <c r="K1016" s="128"/>
      <c r="L1016" s="113"/>
      <c r="M1016" s="128"/>
      <c r="N1016" s="128"/>
      <c r="O1016" s="113"/>
      <c r="P1016" s="113"/>
      <c r="Q1016" s="132"/>
      <c r="R1016" s="115"/>
      <c r="S1016" s="115"/>
      <c r="T1016" s="115"/>
      <c r="U1016" s="116"/>
      <c r="V1016" s="117"/>
      <c r="W1016" s="118"/>
      <c r="X1016" s="119"/>
      <c r="Y1016" s="113"/>
      <c r="Z1016" s="113"/>
      <c r="AH1016" s="7"/>
      <c r="AI1016" s="7"/>
      <c r="AJ1016" s="7"/>
      <c r="AK1016" s="7"/>
      <c r="AL1016" s="7"/>
      <c r="AM1016" s="7"/>
      <c r="AN1016" s="7"/>
    </row>
    <row r="1017">
      <c r="A1017" s="113"/>
      <c r="B1017" s="113"/>
      <c r="C1017" s="7"/>
      <c r="D1017" s="113"/>
      <c r="E1017" s="113"/>
      <c r="F1017" s="113"/>
      <c r="G1017" s="113"/>
      <c r="H1017" s="113"/>
      <c r="I1017" s="113"/>
      <c r="J1017" s="113"/>
      <c r="K1017" s="128"/>
      <c r="L1017" s="113"/>
      <c r="M1017" s="128"/>
      <c r="N1017" s="128"/>
      <c r="O1017" s="113"/>
      <c r="P1017" s="113"/>
      <c r="Q1017" s="132"/>
      <c r="R1017" s="115"/>
      <c r="S1017" s="115"/>
      <c r="T1017" s="115"/>
      <c r="U1017" s="116"/>
      <c r="V1017" s="117"/>
      <c r="W1017" s="118"/>
      <c r="X1017" s="119"/>
      <c r="Y1017" s="113"/>
      <c r="Z1017" s="113"/>
      <c r="AH1017" s="7"/>
      <c r="AI1017" s="7"/>
      <c r="AJ1017" s="7"/>
      <c r="AK1017" s="7"/>
      <c r="AL1017" s="7"/>
      <c r="AM1017" s="7"/>
      <c r="AN1017" s="7"/>
    </row>
    <row r="1018">
      <c r="A1018" s="113"/>
      <c r="B1018" s="113"/>
      <c r="C1018" s="113"/>
      <c r="D1018" s="113"/>
      <c r="E1018" s="113"/>
      <c r="F1018" s="113"/>
      <c r="G1018" s="113"/>
      <c r="H1018" s="113"/>
      <c r="I1018" s="113"/>
      <c r="J1018" s="113"/>
      <c r="K1018" s="113"/>
      <c r="L1018" s="113"/>
      <c r="M1018" s="113"/>
      <c r="N1018" s="113"/>
      <c r="O1018" s="113"/>
      <c r="P1018" s="113"/>
      <c r="Q1018" s="132"/>
      <c r="R1018" s="115"/>
      <c r="S1018" s="115"/>
      <c r="T1018" s="115"/>
      <c r="U1018" s="116"/>
      <c r="V1018" s="117"/>
      <c r="W1018" s="118"/>
      <c r="X1018" s="119"/>
      <c r="Y1018" s="113"/>
      <c r="Z1018" s="113"/>
      <c r="AH1018" s="7"/>
      <c r="AI1018" s="7"/>
      <c r="AJ1018" s="7"/>
      <c r="AK1018" s="7"/>
      <c r="AL1018" s="7"/>
      <c r="AM1018" s="7"/>
      <c r="AN1018" s="7"/>
    </row>
    <row r="1019">
      <c r="A1019" s="113"/>
      <c r="B1019" s="113"/>
      <c r="C1019" s="113"/>
      <c r="D1019" s="113"/>
      <c r="E1019" s="113"/>
      <c r="F1019" s="113"/>
      <c r="G1019" s="113"/>
      <c r="H1019" s="113"/>
      <c r="I1019" s="113"/>
      <c r="J1019" s="113"/>
      <c r="K1019" s="113"/>
      <c r="L1019" s="113"/>
      <c r="M1019" s="113"/>
      <c r="N1019" s="113"/>
      <c r="O1019" s="113"/>
      <c r="P1019" s="113"/>
      <c r="Q1019" s="132"/>
      <c r="R1019" s="115"/>
      <c r="S1019" s="115"/>
      <c r="T1019" s="115"/>
      <c r="U1019" s="116"/>
      <c r="V1019" s="117"/>
      <c r="W1019" s="118"/>
      <c r="X1019" s="119"/>
      <c r="Y1019" s="113"/>
      <c r="Z1019" s="113"/>
      <c r="AH1019" s="7"/>
      <c r="AI1019" s="7"/>
      <c r="AJ1019" s="7"/>
      <c r="AK1019" s="7"/>
      <c r="AL1019" s="7"/>
      <c r="AM1019" s="7"/>
      <c r="AN1019" s="7"/>
    </row>
    <row r="1020">
      <c r="A1020" s="113"/>
      <c r="B1020" s="113"/>
      <c r="C1020" s="113"/>
      <c r="D1020" s="113"/>
      <c r="E1020" s="113"/>
      <c r="F1020" s="113"/>
      <c r="G1020" s="113"/>
      <c r="H1020" s="113"/>
      <c r="I1020" s="113"/>
      <c r="J1020" s="113"/>
      <c r="K1020" s="113"/>
      <c r="L1020" s="113"/>
      <c r="M1020" s="113"/>
      <c r="N1020" s="113"/>
      <c r="O1020" s="113"/>
      <c r="P1020" s="113"/>
      <c r="Q1020" s="132"/>
      <c r="R1020" s="115"/>
      <c r="S1020" s="115"/>
      <c r="T1020" s="115"/>
      <c r="U1020" s="116"/>
      <c r="V1020" s="117"/>
      <c r="W1020" s="118"/>
      <c r="X1020" s="119"/>
      <c r="Y1020" s="113"/>
      <c r="Z1020" s="113"/>
      <c r="AH1020" s="7"/>
      <c r="AI1020" s="7"/>
      <c r="AJ1020" s="7"/>
      <c r="AK1020" s="7"/>
      <c r="AL1020" s="7"/>
      <c r="AM1020" s="7"/>
      <c r="AN1020" s="7"/>
    </row>
    <row r="1021">
      <c r="A1021" s="113"/>
      <c r="B1021" s="113"/>
      <c r="C1021" s="113"/>
      <c r="D1021" s="113"/>
      <c r="E1021" s="113"/>
      <c r="F1021" s="113"/>
      <c r="G1021" s="113"/>
      <c r="H1021" s="113"/>
      <c r="I1021" s="113"/>
      <c r="J1021" s="113"/>
      <c r="K1021" s="113"/>
      <c r="L1021" s="113"/>
      <c r="M1021" s="113"/>
      <c r="N1021" s="113"/>
      <c r="O1021" s="113"/>
      <c r="P1021" s="113"/>
      <c r="Q1021" s="132"/>
      <c r="R1021" s="115"/>
      <c r="S1021" s="115"/>
      <c r="T1021" s="115"/>
      <c r="U1021" s="116"/>
      <c r="V1021" s="117"/>
      <c r="W1021" s="118"/>
      <c r="X1021" s="119"/>
      <c r="Y1021" s="113"/>
      <c r="Z1021" s="113"/>
      <c r="AH1021" s="7"/>
      <c r="AI1021" s="7"/>
      <c r="AJ1021" s="7"/>
      <c r="AK1021" s="7"/>
      <c r="AL1021" s="7"/>
      <c r="AM1021" s="7"/>
      <c r="AN1021" s="7"/>
    </row>
    <row r="1022">
      <c r="A1022" s="113"/>
      <c r="B1022" s="113"/>
      <c r="C1022" s="113"/>
      <c r="D1022" s="113"/>
      <c r="E1022" s="113"/>
      <c r="F1022" s="113"/>
      <c r="G1022" s="113"/>
      <c r="H1022" s="113"/>
      <c r="I1022" s="113"/>
      <c r="J1022" s="113"/>
      <c r="K1022" s="113"/>
      <c r="L1022" s="113"/>
      <c r="M1022" s="113"/>
      <c r="N1022" s="113"/>
      <c r="O1022" s="113"/>
      <c r="P1022" s="113"/>
      <c r="Q1022" s="132"/>
      <c r="R1022" s="115"/>
      <c r="S1022" s="115"/>
      <c r="T1022" s="115"/>
      <c r="U1022" s="116"/>
      <c r="V1022" s="117"/>
      <c r="W1022" s="118"/>
      <c r="X1022" s="119"/>
      <c r="Y1022" s="113"/>
      <c r="Z1022" s="113"/>
      <c r="AH1022" s="7"/>
      <c r="AI1022" s="7"/>
      <c r="AJ1022" s="7"/>
      <c r="AK1022" s="7"/>
      <c r="AL1022" s="7"/>
      <c r="AM1022" s="7"/>
      <c r="AN1022" s="7"/>
    </row>
    <row r="1023">
      <c r="A1023" s="113"/>
      <c r="B1023" s="113"/>
      <c r="C1023" s="113"/>
      <c r="D1023" s="113"/>
      <c r="E1023" s="113"/>
      <c r="F1023" s="113"/>
      <c r="G1023" s="113"/>
      <c r="H1023" s="113"/>
      <c r="I1023" s="113"/>
      <c r="J1023" s="113"/>
      <c r="K1023" s="113"/>
      <c r="L1023" s="113"/>
      <c r="M1023" s="113"/>
      <c r="N1023" s="113"/>
      <c r="O1023" s="113"/>
      <c r="P1023" s="113"/>
      <c r="Q1023" s="132"/>
      <c r="R1023" s="115"/>
      <c r="S1023" s="115"/>
      <c r="T1023" s="115"/>
      <c r="U1023" s="116"/>
      <c r="V1023" s="117"/>
      <c r="W1023" s="118"/>
      <c r="X1023" s="119"/>
      <c r="Y1023" s="113"/>
      <c r="Z1023" s="113"/>
      <c r="AH1023" s="7"/>
      <c r="AI1023" s="7"/>
      <c r="AJ1023" s="7"/>
      <c r="AK1023" s="7"/>
      <c r="AL1023" s="7"/>
      <c r="AM1023" s="7"/>
      <c r="AN1023" s="7"/>
    </row>
    <row r="1024">
      <c r="A1024" s="113"/>
      <c r="B1024" s="113"/>
      <c r="C1024" s="113"/>
      <c r="D1024" s="113"/>
      <c r="E1024" s="113"/>
      <c r="F1024" s="113"/>
      <c r="G1024" s="113"/>
      <c r="H1024" s="113"/>
      <c r="I1024" s="113"/>
      <c r="J1024" s="113"/>
      <c r="K1024" s="113"/>
      <c r="L1024" s="113"/>
      <c r="M1024" s="113"/>
      <c r="N1024" s="113"/>
      <c r="O1024" s="113"/>
      <c r="P1024" s="113"/>
      <c r="Q1024" s="132"/>
      <c r="R1024" s="115"/>
      <c r="S1024" s="115"/>
      <c r="T1024" s="115"/>
      <c r="U1024" s="116"/>
      <c r="V1024" s="117"/>
      <c r="W1024" s="118"/>
      <c r="X1024" s="119"/>
      <c r="Y1024" s="113"/>
      <c r="Z1024" s="113"/>
      <c r="AH1024" s="7"/>
      <c r="AI1024" s="7"/>
      <c r="AJ1024" s="7"/>
      <c r="AK1024" s="7"/>
      <c r="AL1024" s="7"/>
      <c r="AM1024" s="7"/>
      <c r="AN1024" s="7"/>
    </row>
    <row r="1025">
      <c r="A1025" s="113"/>
      <c r="B1025" s="113"/>
      <c r="C1025" s="113"/>
      <c r="D1025" s="113"/>
      <c r="E1025" s="113"/>
      <c r="F1025" s="113"/>
      <c r="G1025" s="113"/>
      <c r="H1025" s="113"/>
      <c r="I1025" s="113"/>
      <c r="J1025" s="113"/>
      <c r="K1025" s="113"/>
      <c r="L1025" s="113"/>
      <c r="M1025" s="113"/>
      <c r="N1025" s="113"/>
      <c r="O1025" s="113"/>
      <c r="P1025" s="113"/>
      <c r="Q1025" s="132"/>
      <c r="R1025" s="115"/>
      <c r="S1025" s="115"/>
      <c r="T1025" s="115"/>
      <c r="U1025" s="116"/>
      <c r="V1025" s="117"/>
      <c r="W1025" s="118"/>
      <c r="X1025" s="119"/>
      <c r="Y1025" s="113"/>
      <c r="Z1025" s="113"/>
      <c r="AH1025" s="7"/>
      <c r="AI1025" s="7"/>
      <c r="AJ1025" s="7"/>
      <c r="AK1025" s="7"/>
      <c r="AL1025" s="7"/>
      <c r="AM1025" s="7"/>
      <c r="AN1025" s="7"/>
    </row>
    <row r="1026">
      <c r="A1026" s="113"/>
      <c r="B1026" s="113"/>
      <c r="C1026" s="113"/>
      <c r="D1026" s="113"/>
      <c r="E1026" s="113"/>
      <c r="F1026" s="113"/>
      <c r="G1026" s="113"/>
      <c r="H1026" s="113"/>
      <c r="I1026" s="113"/>
      <c r="J1026" s="113"/>
      <c r="K1026" s="113"/>
      <c r="L1026" s="113"/>
      <c r="M1026" s="113"/>
      <c r="N1026" s="113"/>
      <c r="O1026" s="113"/>
      <c r="P1026" s="113"/>
      <c r="Q1026" s="132"/>
      <c r="R1026" s="115"/>
      <c r="S1026" s="115"/>
      <c r="T1026" s="115"/>
      <c r="U1026" s="116"/>
      <c r="V1026" s="117"/>
      <c r="W1026" s="118"/>
      <c r="X1026" s="119"/>
      <c r="Y1026" s="113"/>
      <c r="Z1026" s="113"/>
      <c r="AH1026" s="7"/>
      <c r="AI1026" s="7"/>
      <c r="AJ1026" s="7"/>
      <c r="AK1026" s="7"/>
      <c r="AL1026" s="7"/>
      <c r="AM1026" s="7"/>
      <c r="AN1026" s="7"/>
    </row>
    <row r="1027">
      <c r="A1027" s="113"/>
      <c r="B1027" s="113"/>
      <c r="C1027" s="113"/>
      <c r="D1027" s="113"/>
      <c r="E1027" s="113"/>
      <c r="F1027" s="113"/>
      <c r="G1027" s="113"/>
      <c r="H1027" s="113"/>
      <c r="I1027" s="113"/>
      <c r="J1027" s="113"/>
      <c r="K1027" s="113"/>
      <c r="L1027" s="113"/>
      <c r="M1027" s="113"/>
      <c r="N1027" s="113"/>
      <c r="O1027" s="113"/>
      <c r="P1027" s="113"/>
      <c r="Q1027" s="132"/>
      <c r="R1027" s="115"/>
      <c r="S1027" s="115"/>
      <c r="T1027" s="115"/>
      <c r="U1027" s="116"/>
      <c r="V1027" s="117"/>
      <c r="W1027" s="118"/>
      <c r="X1027" s="119"/>
      <c r="Y1027" s="113"/>
      <c r="Z1027" s="113"/>
      <c r="AH1027" s="7"/>
      <c r="AI1027" s="7"/>
      <c r="AJ1027" s="7"/>
      <c r="AK1027" s="7"/>
      <c r="AL1027" s="7"/>
      <c r="AM1027" s="7"/>
      <c r="AN1027" s="7"/>
    </row>
    <row r="1028">
      <c r="A1028" s="113"/>
      <c r="B1028" s="113"/>
      <c r="C1028" s="113"/>
      <c r="D1028" s="113"/>
      <c r="E1028" s="113"/>
      <c r="F1028" s="113"/>
      <c r="G1028" s="113"/>
      <c r="H1028" s="113"/>
      <c r="I1028" s="113"/>
      <c r="J1028" s="113"/>
      <c r="K1028" s="113"/>
      <c r="L1028" s="113"/>
      <c r="M1028" s="113"/>
      <c r="N1028" s="113"/>
      <c r="O1028" s="113"/>
      <c r="P1028" s="113"/>
      <c r="Q1028" s="132"/>
      <c r="R1028" s="115"/>
      <c r="S1028" s="115"/>
      <c r="T1028" s="115"/>
      <c r="U1028" s="116"/>
      <c r="V1028" s="117"/>
      <c r="W1028" s="118"/>
      <c r="X1028" s="119"/>
      <c r="Y1028" s="113"/>
      <c r="Z1028" s="113"/>
      <c r="AH1028" s="7"/>
      <c r="AI1028" s="7"/>
      <c r="AJ1028" s="7"/>
      <c r="AK1028" s="7"/>
      <c r="AL1028" s="7"/>
      <c r="AM1028" s="7"/>
      <c r="AN1028" s="7"/>
    </row>
    <row r="1029">
      <c r="A1029" s="113"/>
      <c r="B1029" s="113"/>
      <c r="C1029" s="113"/>
      <c r="D1029" s="113"/>
      <c r="E1029" s="113"/>
      <c r="F1029" s="113"/>
      <c r="G1029" s="113"/>
      <c r="H1029" s="113"/>
      <c r="I1029" s="113"/>
      <c r="J1029" s="113"/>
      <c r="K1029" s="113"/>
      <c r="L1029" s="113"/>
      <c r="M1029" s="113"/>
      <c r="N1029" s="113"/>
      <c r="O1029" s="113"/>
      <c r="P1029" s="113"/>
      <c r="Q1029" s="132"/>
      <c r="R1029" s="115"/>
      <c r="S1029" s="115"/>
      <c r="T1029" s="115"/>
      <c r="U1029" s="116"/>
      <c r="V1029" s="117"/>
      <c r="W1029" s="118"/>
      <c r="X1029" s="119"/>
      <c r="Y1029" s="113"/>
      <c r="Z1029" s="113"/>
      <c r="AH1029" s="7"/>
      <c r="AI1029" s="7"/>
      <c r="AJ1029" s="7"/>
      <c r="AK1029" s="7"/>
      <c r="AL1029" s="7"/>
      <c r="AM1029" s="7"/>
      <c r="AN1029" s="7"/>
    </row>
    <row r="1030">
      <c r="A1030" s="113"/>
      <c r="B1030" s="113"/>
      <c r="C1030" s="113"/>
      <c r="D1030" s="113"/>
      <c r="E1030" s="113"/>
      <c r="F1030" s="113"/>
      <c r="G1030" s="113"/>
      <c r="H1030" s="113"/>
      <c r="I1030" s="113"/>
      <c r="J1030" s="113"/>
      <c r="K1030" s="113"/>
      <c r="L1030" s="113"/>
      <c r="M1030" s="113"/>
      <c r="N1030" s="113"/>
      <c r="O1030" s="113"/>
      <c r="P1030" s="113"/>
      <c r="Q1030" s="132"/>
      <c r="R1030" s="115"/>
      <c r="S1030" s="115"/>
      <c r="T1030" s="115"/>
      <c r="U1030" s="116"/>
      <c r="V1030" s="117"/>
      <c r="W1030" s="118"/>
      <c r="X1030" s="119"/>
      <c r="Y1030" s="113"/>
      <c r="Z1030" s="113"/>
      <c r="AH1030" s="7"/>
      <c r="AI1030" s="7"/>
      <c r="AJ1030" s="7"/>
      <c r="AK1030" s="7"/>
      <c r="AL1030" s="7"/>
      <c r="AM1030" s="7"/>
      <c r="AN1030" s="7"/>
    </row>
    <row r="1031">
      <c r="A1031" s="113"/>
      <c r="B1031" s="113"/>
      <c r="C1031" s="113"/>
      <c r="D1031" s="113"/>
      <c r="E1031" s="113"/>
      <c r="F1031" s="113"/>
      <c r="G1031" s="113"/>
      <c r="H1031" s="113"/>
      <c r="I1031" s="113"/>
      <c r="J1031" s="113"/>
      <c r="K1031" s="113"/>
      <c r="L1031" s="113"/>
      <c r="M1031" s="113"/>
      <c r="N1031" s="113"/>
      <c r="O1031" s="113"/>
      <c r="P1031" s="113"/>
      <c r="Q1031" s="132"/>
      <c r="R1031" s="115"/>
      <c r="S1031" s="115"/>
      <c r="T1031" s="115"/>
      <c r="U1031" s="116"/>
      <c r="V1031" s="117"/>
      <c r="W1031" s="118"/>
      <c r="X1031" s="119"/>
      <c r="Y1031" s="113"/>
      <c r="Z1031" s="113"/>
      <c r="AH1031" s="7"/>
      <c r="AI1031" s="7"/>
      <c r="AJ1031" s="7"/>
      <c r="AK1031" s="7"/>
      <c r="AL1031" s="7"/>
      <c r="AM1031" s="7"/>
      <c r="AN1031" s="7"/>
    </row>
    <row r="1032">
      <c r="A1032" s="113"/>
      <c r="B1032" s="113"/>
      <c r="C1032" s="113"/>
      <c r="D1032" s="113"/>
      <c r="E1032" s="113"/>
      <c r="F1032" s="113"/>
      <c r="G1032" s="113"/>
      <c r="H1032" s="113"/>
      <c r="I1032" s="113"/>
      <c r="J1032" s="113"/>
      <c r="K1032" s="113"/>
      <c r="L1032" s="113"/>
      <c r="M1032" s="113"/>
      <c r="N1032" s="113"/>
      <c r="O1032" s="113"/>
      <c r="P1032" s="113"/>
      <c r="Q1032" s="132"/>
      <c r="R1032" s="115"/>
      <c r="S1032" s="115"/>
      <c r="T1032" s="115"/>
      <c r="U1032" s="116"/>
      <c r="V1032" s="117"/>
      <c r="W1032" s="118"/>
      <c r="X1032" s="119"/>
      <c r="Y1032" s="113"/>
      <c r="Z1032" s="113"/>
      <c r="AH1032" s="7"/>
      <c r="AI1032" s="7"/>
      <c r="AJ1032" s="7"/>
      <c r="AK1032" s="7"/>
      <c r="AL1032" s="7"/>
      <c r="AM1032" s="7"/>
      <c r="AN1032" s="7"/>
    </row>
    <row r="1033">
      <c r="A1033" s="113"/>
      <c r="B1033" s="113"/>
      <c r="C1033" s="113"/>
      <c r="D1033" s="113"/>
      <c r="E1033" s="113"/>
      <c r="F1033" s="113"/>
      <c r="G1033" s="113"/>
      <c r="H1033" s="113"/>
      <c r="I1033" s="113"/>
      <c r="J1033" s="113"/>
      <c r="K1033" s="113"/>
      <c r="L1033" s="113"/>
      <c r="M1033" s="113"/>
      <c r="N1033" s="113"/>
      <c r="O1033" s="113"/>
      <c r="P1033" s="113"/>
      <c r="Q1033" s="132"/>
      <c r="R1033" s="115"/>
      <c r="S1033" s="115"/>
      <c r="T1033" s="115"/>
      <c r="U1033" s="116"/>
      <c r="V1033" s="117"/>
      <c r="W1033" s="118"/>
      <c r="X1033" s="119"/>
      <c r="Y1033" s="113"/>
      <c r="Z1033" s="113"/>
      <c r="AH1033" s="7"/>
      <c r="AI1033" s="7"/>
      <c r="AJ1033" s="7"/>
      <c r="AK1033" s="7"/>
      <c r="AL1033" s="7"/>
      <c r="AM1033" s="7"/>
      <c r="AN1033" s="7"/>
    </row>
    <row r="1034">
      <c r="A1034" s="113"/>
      <c r="B1034" s="113"/>
      <c r="C1034" s="113"/>
      <c r="D1034" s="113"/>
      <c r="E1034" s="113"/>
      <c r="F1034" s="113"/>
      <c r="G1034" s="113"/>
      <c r="H1034" s="113"/>
      <c r="I1034" s="113"/>
      <c r="J1034" s="113"/>
      <c r="K1034" s="113"/>
      <c r="L1034" s="113"/>
      <c r="M1034" s="113"/>
      <c r="N1034" s="113"/>
      <c r="O1034" s="113"/>
      <c r="P1034" s="113"/>
      <c r="Q1034" s="132"/>
      <c r="R1034" s="115"/>
      <c r="S1034" s="115"/>
      <c r="T1034" s="115"/>
      <c r="U1034" s="116"/>
      <c r="V1034" s="117"/>
      <c r="W1034" s="118"/>
      <c r="X1034" s="119"/>
      <c r="Y1034" s="113"/>
      <c r="Z1034" s="113"/>
      <c r="AH1034" s="7"/>
      <c r="AI1034" s="7"/>
      <c r="AJ1034" s="7"/>
      <c r="AK1034" s="7"/>
      <c r="AL1034" s="7"/>
      <c r="AM1034" s="7"/>
      <c r="AN1034" s="7"/>
    </row>
    <row r="1035">
      <c r="A1035" s="113"/>
      <c r="B1035" s="113"/>
      <c r="C1035" s="113"/>
      <c r="D1035" s="113"/>
      <c r="E1035" s="113"/>
      <c r="F1035" s="113"/>
      <c r="G1035" s="113"/>
      <c r="H1035" s="113"/>
      <c r="I1035" s="113"/>
      <c r="J1035" s="113"/>
      <c r="K1035" s="113"/>
      <c r="L1035" s="113"/>
      <c r="M1035" s="113"/>
      <c r="N1035" s="113"/>
      <c r="O1035" s="113"/>
      <c r="P1035" s="113"/>
      <c r="Q1035" s="132"/>
      <c r="R1035" s="115"/>
      <c r="S1035" s="115"/>
      <c r="T1035" s="115"/>
      <c r="U1035" s="116"/>
      <c r="V1035" s="117"/>
      <c r="W1035" s="118"/>
      <c r="X1035" s="119"/>
      <c r="Y1035" s="113"/>
      <c r="Z1035" s="113"/>
      <c r="AH1035" s="7"/>
      <c r="AI1035" s="7"/>
      <c r="AJ1035" s="7"/>
      <c r="AK1035" s="7"/>
      <c r="AL1035" s="7"/>
      <c r="AM1035" s="7"/>
      <c r="AN1035" s="7"/>
    </row>
    <row r="1036">
      <c r="A1036" s="113"/>
      <c r="B1036" s="113"/>
      <c r="C1036" s="113"/>
      <c r="D1036" s="113"/>
      <c r="E1036" s="113"/>
      <c r="F1036" s="113"/>
      <c r="G1036" s="113"/>
      <c r="H1036" s="113"/>
      <c r="I1036" s="113"/>
      <c r="J1036" s="113"/>
      <c r="K1036" s="113"/>
      <c r="L1036" s="113"/>
      <c r="M1036" s="113"/>
      <c r="N1036" s="113"/>
      <c r="O1036" s="113"/>
      <c r="P1036" s="113"/>
      <c r="Q1036" s="132"/>
      <c r="R1036" s="115"/>
      <c r="S1036" s="115"/>
      <c r="T1036" s="115"/>
      <c r="U1036" s="116"/>
      <c r="V1036" s="117"/>
      <c r="W1036" s="118"/>
      <c r="X1036" s="119"/>
      <c r="Y1036" s="113"/>
      <c r="Z1036" s="113"/>
      <c r="AH1036" s="7"/>
      <c r="AI1036" s="7"/>
      <c r="AJ1036" s="7"/>
      <c r="AK1036" s="7"/>
      <c r="AL1036" s="7"/>
      <c r="AM1036" s="7"/>
      <c r="AN1036" s="7"/>
    </row>
    <row r="1037">
      <c r="A1037" s="113"/>
      <c r="B1037" s="113"/>
      <c r="C1037" s="113"/>
      <c r="D1037" s="113"/>
      <c r="E1037" s="113"/>
      <c r="F1037" s="113"/>
      <c r="G1037" s="113"/>
      <c r="H1037" s="113"/>
      <c r="I1037" s="113"/>
      <c r="J1037" s="113"/>
      <c r="K1037" s="113"/>
      <c r="L1037" s="113"/>
      <c r="M1037" s="113"/>
      <c r="N1037" s="113"/>
      <c r="O1037" s="113"/>
      <c r="P1037" s="113"/>
      <c r="Q1037" s="132"/>
      <c r="R1037" s="115"/>
      <c r="S1037" s="115"/>
      <c r="T1037" s="115"/>
      <c r="U1037" s="116"/>
      <c r="V1037" s="117"/>
      <c r="W1037" s="118"/>
      <c r="X1037" s="119"/>
      <c r="Y1037" s="113"/>
      <c r="Z1037" s="113"/>
      <c r="AH1037" s="7"/>
      <c r="AI1037" s="7"/>
      <c r="AJ1037" s="7"/>
      <c r="AK1037" s="7"/>
      <c r="AL1037" s="7"/>
      <c r="AM1037" s="7"/>
      <c r="AN1037" s="7"/>
    </row>
    <row r="1038">
      <c r="A1038" s="113"/>
      <c r="B1038" s="113"/>
      <c r="C1038" s="113"/>
      <c r="D1038" s="113"/>
      <c r="E1038" s="113"/>
      <c r="F1038" s="113"/>
      <c r="G1038" s="113"/>
      <c r="H1038" s="113"/>
      <c r="I1038" s="113"/>
      <c r="J1038" s="113"/>
      <c r="K1038" s="113"/>
      <c r="L1038" s="113"/>
      <c r="M1038" s="113"/>
      <c r="N1038" s="113"/>
      <c r="O1038" s="113"/>
      <c r="P1038" s="113"/>
      <c r="Q1038" s="132"/>
      <c r="R1038" s="115"/>
      <c r="S1038" s="115"/>
      <c r="T1038" s="115"/>
      <c r="U1038" s="116"/>
      <c r="V1038" s="117"/>
      <c r="W1038" s="118"/>
      <c r="X1038" s="119"/>
      <c r="Y1038" s="113"/>
      <c r="Z1038" s="113"/>
      <c r="AH1038" s="7"/>
      <c r="AI1038" s="7"/>
      <c r="AJ1038" s="7"/>
      <c r="AK1038" s="7"/>
      <c r="AL1038" s="7"/>
      <c r="AM1038" s="7"/>
      <c r="AN1038" s="7"/>
    </row>
    <row r="1039">
      <c r="A1039" s="113"/>
      <c r="B1039" s="113"/>
      <c r="C1039" s="113"/>
      <c r="D1039" s="113"/>
      <c r="E1039" s="113"/>
      <c r="F1039" s="113"/>
      <c r="G1039" s="113"/>
      <c r="H1039" s="113"/>
      <c r="I1039" s="113"/>
      <c r="J1039" s="113"/>
      <c r="K1039" s="113"/>
      <c r="L1039" s="113"/>
      <c r="M1039" s="113"/>
      <c r="N1039" s="113"/>
      <c r="O1039" s="113"/>
      <c r="P1039" s="113"/>
      <c r="Q1039" s="132"/>
      <c r="R1039" s="115"/>
      <c r="S1039" s="115"/>
      <c r="T1039" s="115"/>
      <c r="U1039" s="116"/>
      <c r="V1039" s="117"/>
      <c r="W1039" s="118"/>
      <c r="X1039" s="119"/>
      <c r="Y1039" s="113"/>
      <c r="Z1039" s="113"/>
      <c r="AH1039" s="7"/>
      <c r="AI1039" s="7"/>
      <c r="AJ1039" s="7"/>
      <c r="AK1039" s="7"/>
      <c r="AL1039" s="7"/>
      <c r="AM1039" s="7"/>
      <c r="AN1039" s="7"/>
    </row>
    <row r="1040">
      <c r="A1040" s="113"/>
      <c r="B1040" s="113"/>
      <c r="C1040" s="113"/>
      <c r="D1040" s="113"/>
      <c r="E1040" s="113"/>
      <c r="F1040" s="113"/>
      <c r="G1040" s="113"/>
      <c r="H1040" s="113"/>
      <c r="I1040" s="113"/>
      <c r="J1040" s="113"/>
      <c r="K1040" s="113"/>
      <c r="L1040" s="113"/>
      <c r="M1040" s="113"/>
      <c r="N1040" s="113"/>
      <c r="O1040" s="113"/>
      <c r="P1040" s="113"/>
      <c r="Q1040" s="132"/>
      <c r="R1040" s="115"/>
      <c r="S1040" s="115"/>
      <c r="T1040" s="115"/>
      <c r="U1040" s="116"/>
      <c r="V1040" s="117"/>
      <c r="W1040" s="118"/>
      <c r="X1040" s="119"/>
      <c r="Y1040" s="113"/>
      <c r="Z1040" s="113"/>
      <c r="AH1040" s="7"/>
      <c r="AI1040" s="7"/>
      <c r="AJ1040" s="7"/>
      <c r="AK1040" s="7"/>
      <c r="AL1040" s="7"/>
      <c r="AM1040" s="7"/>
      <c r="AN1040" s="7"/>
    </row>
    <row r="1041">
      <c r="A1041" s="113"/>
      <c r="B1041" s="113"/>
      <c r="C1041" s="113"/>
      <c r="D1041" s="113"/>
      <c r="E1041" s="113"/>
      <c r="F1041" s="113"/>
      <c r="G1041" s="113"/>
      <c r="H1041" s="113"/>
      <c r="I1041" s="113"/>
      <c r="J1041" s="113"/>
      <c r="K1041" s="113"/>
      <c r="L1041" s="113"/>
      <c r="M1041" s="113"/>
      <c r="N1041" s="113"/>
      <c r="O1041" s="113"/>
      <c r="P1041" s="113"/>
      <c r="Q1041" s="132"/>
      <c r="R1041" s="115"/>
      <c r="S1041" s="115"/>
      <c r="T1041" s="115"/>
      <c r="U1041" s="116"/>
      <c r="V1041" s="117"/>
      <c r="W1041" s="118"/>
      <c r="X1041" s="119"/>
      <c r="Y1041" s="113"/>
      <c r="Z1041" s="113"/>
      <c r="AH1041" s="7"/>
      <c r="AI1041" s="7"/>
      <c r="AJ1041" s="7"/>
      <c r="AK1041" s="7"/>
      <c r="AL1041" s="7"/>
      <c r="AM1041" s="7"/>
      <c r="AN1041" s="7"/>
    </row>
    <row r="1042">
      <c r="A1042" s="113"/>
      <c r="B1042" s="113"/>
      <c r="C1042" s="113"/>
      <c r="D1042" s="113"/>
      <c r="E1042" s="113"/>
      <c r="F1042" s="113"/>
      <c r="G1042" s="113"/>
      <c r="H1042" s="113"/>
      <c r="I1042" s="113"/>
      <c r="J1042" s="113"/>
      <c r="K1042" s="113"/>
      <c r="L1042" s="113"/>
      <c r="M1042" s="113"/>
      <c r="N1042" s="113"/>
      <c r="O1042" s="113"/>
      <c r="P1042" s="113"/>
      <c r="Q1042" s="132"/>
      <c r="R1042" s="115"/>
      <c r="S1042" s="115"/>
      <c r="T1042" s="115"/>
      <c r="U1042" s="116"/>
      <c r="V1042" s="117"/>
      <c r="W1042" s="118"/>
      <c r="X1042" s="119"/>
      <c r="Y1042" s="113"/>
      <c r="Z1042" s="113"/>
      <c r="AH1042" s="7"/>
      <c r="AI1042" s="7"/>
      <c r="AJ1042" s="7"/>
      <c r="AK1042" s="7"/>
      <c r="AL1042" s="7"/>
      <c r="AM1042" s="7"/>
      <c r="AN1042" s="7"/>
    </row>
    <row r="1043">
      <c r="A1043" s="113"/>
      <c r="B1043" s="113"/>
      <c r="C1043" s="113"/>
      <c r="D1043" s="113"/>
      <c r="E1043" s="113"/>
      <c r="F1043" s="113"/>
      <c r="G1043" s="113"/>
      <c r="H1043" s="113"/>
      <c r="I1043" s="113"/>
      <c r="J1043" s="113"/>
      <c r="K1043" s="113"/>
      <c r="L1043" s="113"/>
      <c r="M1043" s="113"/>
      <c r="N1043" s="113"/>
      <c r="O1043" s="113"/>
      <c r="P1043" s="113"/>
      <c r="Q1043" s="132"/>
      <c r="R1043" s="115"/>
      <c r="S1043" s="115"/>
      <c r="T1043" s="115"/>
      <c r="U1043" s="116"/>
      <c r="V1043" s="117"/>
      <c r="W1043" s="118"/>
      <c r="X1043" s="119"/>
      <c r="Y1043" s="113"/>
      <c r="Z1043" s="113"/>
      <c r="AH1043" s="7"/>
      <c r="AI1043" s="7"/>
      <c r="AJ1043" s="7"/>
      <c r="AK1043" s="7"/>
      <c r="AL1043" s="7"/>
      <c r="AM1043" s="7"/>
      <c r="AN1043" s="7"/>
    </row>
    <row r="1044">
      <c r="A1044" s="113"/>
      <c r="B1044" s="113"/>
      <c r="C1044" s="113"/>
      <c r="D1044" s="113"/>
      <c r="E1044" s="113"/>
      <c r="F1044" s="113"/>
      <c r="G1044" s="113"/>
      <c r="H1044" s="113"/>
      <c r="I1044" s="113"/>
      <c r="J1044" s="113"/>
      <c r="K1044" s="113"/>
      <c r="L1044" s="113"/>
      <c r="M1044" s="113"/>
      <c r="N1044" s="113"/>
      <c r="O1044" s="113"/>
      <c r="P1044" s="113"/>
      <c r="Q1044" s="132"/>
      <c r="R1044" s="115"/>
      <c r="S1044" s="115"/>
      <c r="T1044" s="115"/>
      <c r="U1044" s="116"/>
      <c r="V1044" s="117"/>
      <c r="W1044" s="118"/>
      <c r="X1044" s="119"/>
      <c r="Y1044" s="113"/>
      <c r="Z1044" s="113"/>
      <c r="AH1044" s="7"/>
      <c r="AI1044" s="7"/>
      <c r="AJ1044" s="7"/>
      <c r="AK1044" s="7"/>
      <c r="AL1044" s="7"/>
      <c r="AM1044" s="7"/>
      <c r="AN1044" s="7"/>
    </row>
    <row r="1045">
      <c r="A1045" s="113"/>
      <c r="B1045" s="113"/>
      <c r="C1045" s="113"/>
      <c r="D1045" s="113"/>
      <c r="E1045" s="113"/>
      <c r="F1045" s="113"/>
      <c r="G1045" s="113"/>
      <c r="H1045" s="113"/>
      <c r="I1045" s="113"/>
      <c r="J1045" s="113"/>
      <c r="K1045" s="113"/>
      <c r="L1045" s="113"/>
      <c r="M1045" s="113"/>
      <c r="N1045" s="113"/>
      <c r="O1045" s="113"/>
      <c r="P1045" s="113"/>
      <c r="Q1045" s="132"/>
      <c r="R1045" s="115"/>
      <c r="S1045" s="115"/>
      <c r="T1045" s="115"/>
      <c r="U1045" s="116"/>
      <c r="V1045" s="117"/>
      <c r="W1045" s="118"/>
      <c r="X1045" s="119"/>
      <c r="Y1045" s="113"/>
      <c r="Z1045" s="113"/>
      <c r="AH1045" s="7"/>
      <c r="AI1045" s="7"/>
      <c r="AJ1045" s="7"/>
      <c r="AK1045" s="7"/>
      <c r="AL1045" s="7"/>
      <c r="AM1045" s="7"/>
      <c r="AN1045" s="7"/>
    </row>
    <row r="1046">
      <c r="A1046" s="113"/>
      <c r="B1046" s="113"/>
      <c r="C1046" s="113"/>
      <c r="D1046" s="113"/>
      <c r="E1046" s="113"/>
      <c r="F1046" s="113"/>
      <c r="G1046" s="113"/>
      <c r="H1046" s="113"/>
      <c r="I1046" s="113"/>
      <c r="J1046" s="113"/>
      <c r="K1046" s="113"/>
      <c r="L1046" s="113"/>
      <c r="M1046" s="113"/>
      <c r="N1046" s="113"/>
      <c r="O1046" s="113"/>
      <c r="P1046" s="113"/>
      <c r="Q1046" s="132"/>
      <c r="R1046" s="115"/>
      <c r="S1046" s="115"/>
      <c r="T1046" s="115"/>
      <c r="U1046" s="116"/>
      <c r="V1046" s="117"/>
      <c r="W1046" s="118"/>
      <c r="X1046" s="119"/>
      <c r="Y1046" s="113"/>
      <c r="Z1046" s="113"/>
      <c r="AH1046" s="7"/>
      <c r="AI1046" s="7"/>
      <c r="AJ1046" s="7"/>
      <c r="AK1046" s="7"/>
      <c r="AL1046" s="7"/>
      <c r="AM1046" s="7"/>
      <c r="AN1046" s="7"/>
    </row>
    <row r="1047">
      <c r="A1047" s="113"/>
      <c r="B1047" s="113"/>
      <c r="C1047" s="113"/>
      <c r="D1047" s="113"/>
      <c r="E1047" s="113"/>
      <c r="F1047" s="113"/>
      <c r="G1047" s="113"/>
      <c r="H1047" s="113"/>
      <c r="I1047" s="113"/>
      <c r="J1047" s="113"/>
      <c r="K1047" s="113"/>
      <c r="L1047" s="113"/>
      <c r="M1047" s="113"/>
      <c r="N1047" s="113"/>
      <c r="O1047" s="113"/>
      <c r="P1047" s="113"/>
      <c r="Q1047" s="132"/>
      <c r="R1047" s="115"/>
      <c r="S1047" s="115"/>
      <c r="T1047" s="115"/>
      <c r="U1047" s="116"/>
      <c r="V1047" s="117"/>
      <c r="W1047" s="118"/>
      <c r="X1047" s="119"/>
      <c r="Y1047" s="113"/>
      <c r="Z1047" s="113"/>
      <c r="AH1047" s="7"/>
      <c r="AI1047" s="7"/>
      <c r="AJ1047" s="7"/>
      <c r="AK1047" s="7"/>
      <c r="AL1047" s="7"/>
      <c r="AM1047" s="7"/>
      <c r="AN1047" s="7"/>
    </row>
    <row r="1048">
      <c r="A1048" s="113"/>
      <c r="B1048" s="113"/>
      <c r="C1048" s="113"/>
      <c r="D1048" s="113"/>
      <c r="E1048" s="113"/>
      <c r="F1048" s="113"/>
      <c r="G1048" s="113"/>
      <c r="H1048" s="113"/>
      <c r="I1048" s="113"/>
      <c r="J1048" s="113"/>
      <c r="K1048" s="113"/>
      <c r="L1048" s="113"/>
      <c r="M1048" s="113"/>
      <c r="N1048" s="113"/>
      <c r="O1048" s="113"/>
      <c r="P1048" s="113"/>
      <c r="Q1048" s="132"/>
      <c r="R1048" s="115"/>
      <c r="S1048" s="115"/>
      <c r="T1048" s="115"/>
      <c r="U1048" s="116"/>
      <c r="V1048" s="117"/>
      <c r="W1048" s="118"/>
      <c r="X1048" s="119"/>
      <c r="Y1048" s="113"/>
      <c r="Z1048" s="113"/>
      <c r="AH1048" s="7"/>
      <c r="AI1048" s="7"/>
      <c r="AJ1048" s="7"/>
      <c r="AK1048" s="7"/>
      <c r="AL1048" s="7"/>
      <c r="AM1048" s="7"/>
      <c r="AN1048" s="7"/>
    </row>
    <row r="1049">
      <c r="A1049" s="113"/>
      <c r="B1049" s="113"/>
      <c r="C1049" s="113"/>
      <c r="D1049" s="113"/>
      <c r="E1049" s="113"/>
      <c r="F1049" s="113"/>
      <c r="G1049" s="113"/>
      <c r="H1049" s="113"/>
      <c r="I1049" s="113"/>
      <c r="J1049" s="113"/>
      <c r="K1049" s="113"/>
      <c r="L1049" s="113"/>
      <c r="M1049" s="113"/>
      <c r="N1049" s="113"/>
      <c r="O1049" s="113"/>
      <c r="P1049" s="113"/>
      <c r="Q1049" s="132"/>
      <c r="R1049" s="115"/>
      <c r="S1049" s="115"/>
      <c r="T1049" s="115"/>
      <c r="U1049" s="116"/>
      <c r="V1049" s="117"/>
      <c r="W1049" s="118"/>
      <c r="X1049" s="119"/>
      <c r="Y1049" s="113"/>
      <c r="Z1049" s="113"/>
      <c r="AH1049" s="7"/>
      <c r="AI1049" s="7"/>
      <c r="AJ1049" s="7"/>
      <c r="AK1049" s="7"/>
      <c r="AL1049" s="7"/>
      <c r="AM1049" s="7"/>
      <c r="AN1049" s="7"/>
    </row>
    <row r="1050">
      <c r="A1050" s="113"/>
      <c r="B1050" s="113"/>
      <c r="C1050" s="113"/>
      <c r="D1050" s="113"/>
      <c r="E1050" s="113"/>
      <c r="F1050" s="113"/>
      <c r="G1050" s="113"/>
      <c r="H1050" s="113"/>
      <c r="I1050" s="113"/>
      <c r="J1050" s="113"/>
      <c r="K1050" s="113"/>
      <c r="L1050" s="113"/>
      <c r="M1050" s="113"/>
      <c r="N1050" s="113"/>
      <c r="O1050" s="113"/>
      <c r="P1050" s="113"/>
      <c r="Q1050" s="132"/>
      <c r="R1050" s="115"/>
      <c r="S1050" s="115"/>
      <c r="T1050" s="115"/>
      <c r="U1050" s="116"/>
      <c r="V1050" s="117"/>
      <c r="W1050" s="118"/>
      <c r="X1050" s="119"/>
      <c r="Y1050" s="113"/>
      <c r="Z1050" s="113"/>
      <c r="AH1050" s="7"/>
      <c r="AI1050" s="7"/>
      <c r="AJ1050" s="7"/>
      <c r="AK1050" s="7"/>
      <c r="AL1050" s="7"/>
      <c r="AM1050" s="7"/>
      <c r="AN1050" s="7"/>
    </row>
    <row r="1051">
      <c r="A1051" s="113"/>
      <c r="B1051" s="113"/>
      <c r="C1051" s="113"/>
      <c r="D1051" s="113"/>
      <c r="E1051" s="113"/>
      <c r="F1051" s="113"/>
      <c r="G1051" s="113"/>
      <c r="H1051" s="113"/>
      <c r="I1051" s="113"/>
      <c r="J1051" s="113"/>
      <c r="K1051" s="113"/>
      <c r="L1051" s="113"/>
      <c r="M1051" s="113"/>
      <c r="N1051" s="113"/>
      <c r="O1051" s="113"/>
      <c r="P1051" s="113"/>
      <c r="Q1051" s="132"/>
      <c r="R1051" s="115"/>
      <c r="S1051" s="115"/>
      <c r="T1051" s="115"/>
      <c r="U1051" s="116"/>
      <c r="V1051" s="117"/>
      <c r="W1051" s="118"/>
      <c r="X1051" s="119"/>
      <c r="Y1051" s="113"/>
      <c r="Z1051" s="113"/>
      <c r="AH1051" s="7"/>
      <c r="AI1051" s="7"/>
      <c r="AJ1051" s="7"/>
      <c r="AK1051" s="7"/>
      <c r="AL1051" s="7"/>
      <c r="AM1051" s="7"/>
      <c r="AN1051" s="7"/>
    </row>
    <row r="1052">
      <c r="A1052" s="113"/>
      <c r="B1052" s="113"/>
      <c r="C1052" s="113"/>
      <c r="D1052" s="113"/>
      <c r="E1052" s="113"/>
      <c r="F1052" s="113"/>
      <c r="G1052" s="113"/>
      <c r="H1052" s="113"/>
      <c r="I1052" s="113"/>
      <c r="J1052" s="113"/>
      <c r="K1052" s="113"/>
      <c r="L1052" s="113"/>
      <c r="M1052" s="113"/>
      <c r="N1052" s="113"/>
      <c r="O1052" s="113"/>
      <c r="P1052" s="113"/>
      <c r="Q1052" s="132"/>
      <c r="R1052" s="115"/>
      <c r="S1052" s="115"/>
      <c r="T1052" s="115"/>
      <c r="U1052" s="116"/>
      <c r="V1052" s="117"/>
      <c r="W1052" s="118"/>
      <c r="X1052" s="119"/>
      <c r="Y1052" s="113"/>
      <c r="Z1052" s="113"/>
      <c r="AH1052" s="7"/>
      <c r="AI1052" s="7"/>
      <c r="AJ1052" s="7"/>
      <c r="AK1052" s="7"/>
      <c r="AL1052" s="7"/>
      <c r="AM1052" s="7"/>
      <c r="AN1052" s="7"/>
    </row>
    <row r="1053">
      <c r="A1053" s="113"/>
      <c r="B1053" s="113"/>
      <c r="C1053" s="113"/>
      <c r="D1053" s="113"/>
      <c r="E1053" s="113"/>
      <c r="F1053" s="113"/>
      <c r="G1053" s="113"/>
      <c r="H1053" s="113"/>
      <c r="I1053" s="113"/>
      <c r="J1053" s="113"/>
      <c r="K1053" s="113"/>
      <c r="L1053" s="113"/>
      <c r="M1053" s="113"/>
      <c r="N1053" s="113"/>
      <c r="O1053" s="113"/>
      <c r="P1053" s="113"/>
      <c r="Q1053" s="132"/>
      <c r="R1053" s="115"/>
      <c r="S1053" s="115"/>
      <c r="T1053" s="115"/>
      <c r="U1053" s="116"/>
      <c r="V1053" s="117"/>
      <c r="W1053" s="118"/>
      <c r="X1053" s="119"/>
      <c r="Y1053" s="113"/>
      <c r="Z1053" s="113"/>
      <c r="AH1053" s="7"/>
      <c r="AI1053" s="7"/>
      <c r="AJ1053" s="7"/>
      <c r="AK1053" s="7"/>
      <c r="AL1053" s="7"/>
      <c r="AM1053" s="7"/>
      <c r="AN1053" s="7"/>
    </row>
    <row r="1054">
      <c r="A1054" s="113"/>
      <c r="B1054" s="113"/>
      <c r="C1054" s="113"/>
      <c r="D1054" s="113"/>
      <c r="E1054" s="113"/>
      <c r="F1054" s="113"/>
      <c r="G1054" s="113"/>
      <c r="H1054" s="113"/>
      <c r="I1054" s="113"/>
      <c r="J1054" s="113"/>
      <c r="K1054" s="113"/>
      <c r="L1054" s="113"/>
      <c r="M1054" s="113"/>
      <c r="N1054" s="113"/>
      <c r="O1054" s="113"/>
      <c r="P1054" s="113"/>
      <c r="Q1054" s="132"/>
      <c r="R1054" s="115"/>
      <c r="S1054" s="115"/>
      <c r="T1054" s="115"/>
      <c r="U1054" s="116"/>
      <c r="V1054" s="117"/>
      <c r="W1054" s="118"/>
      <c r="X1054" s="119"/>
      <c r="Y1054" s="113"/>
      <c r="Z1054" s="113"/>
      <c r="AH1054" s="7"/>
      <c r="AI1054" s="7"/>
      <c r="AJ1054" s="7"/>
      <c r="AK1054" s="7"/>
      <c r="AL1054" s="7"/>
      <c r="AM1054" s="7"/>
      <c r="AN1054" s="7"/>
    </row>
    <row r="1055">
      <c r="A1055" s="113"/>
      <c r="B1055" s="113"/>
      <c r="C1055" s="113"/>
      <c r="D1055" s="113"/>
      <c r="E1055" s="113"/>
      <c r="F1055" s="113"/>
      <c r="G1055" s="113"/>
      <c r="H1055" s="113"/>
      <c r="I1055" s="113"/>
      <c r="J1055" s="113"/>
      <c r="K1055" s="113"/>
      <c r="L1055" s="113"/>
      <c r="M1055" s="113"/>
      <c r="N1055" s="113"/>
      <c r="O1055" s="113"/>
      <c r="P1055" s="113"/>
      <c r="Q1055" s="132"/>
      <c r="R1055" s="115"/>
      <c r="S1055" s="115"/>
      <c r="T1055" s="115"/>
      <c r="U1055" s="116"/>
      <c r="V1055" s="117"/>
      <c r="W1055" s="118"/>
      <c r="X1055" s="119"/>
      <c r="Y1055" s="113"/>
      <c r="Z1055" s="113"/>
      <c r="AH1055" s="7"/>
      <c r="AI1055" s="7"/>
      <c r="AJ1055" s="7"/>
      <c r="AK1055" s="7"/>
      <c r="AL1055" s="7"/>
      <c r="AM1055" s="7"/>
      <c r="AN1055" s="7"/>
    </row>
    <row r="1056">
      <c r="A1056" s="113"/>
      <c r="B1056" s="113"/>
      <c r="C1056" s="113"/>
      <c r="D1056" s="113"/>
      <c r="E1056" s="113"/>
      <c r="F1056" s="113"/>
      <c r="G1056" s="113"/>
      <c r="H1056" s="113"/>
      <c r="I1056" s="113"/>
      <c r="J1056" s="113"/>
      <c r="K1056" s="113"/>
      <c r="L1056" s="113"/>
      <c r="M1056" s="113"/>
      <c r="N1056" s="113"/>
      <c r="O1056" s="113"/>
      <c r="P1056" s="113"/>
      <c r="Q1056" s="132"/>
      <c r="R1056" s="115"/>
      <c r="S1056" s="115"/>
      <c r="T1056" s="115"/>
      <c r="U1056" s="116"/>
      <c r="V1056" s="117"/>
      <c r="W1056" s="118"/>
      <c r="X1056" s="119"/>
      <c r="Y1056" s="113"/>
      <c r="Z1056" s="113"/>
      <c r="AH1056" s="7"/>
      <c r="AI1056" s="7"/>
      <c r="AJ1056" s="7"/>
      <c r="AK1056" s="7"/>
      <c r="AL1056" s="7"/>
      <c r="AM1056" s="7"/>
      <c r="AN1056" s="7"/>
    </row>
    <row r="1057">
      <c r="A1057" s="113"/>
      <c r="B1057" s="113"/>
      <c r="C1057" s="113"/>
      <c r="D1057" s="113"/>
      <c r="E1057" s="113"/>
      <c r="F1057" s="113"/>
      <c r="G1057" s="113"/>
      <c r="H1057" s="113"/>
      <c r="I1057" s="113"/>
      <c r="J1057" s="113"/>
      <c r="K1057" s="113"/>
      <c r="L1057" s="113"/>
      <c r="M1057" s="113"/>
      <c r="N1057" s="113"/>
      <c r="O1057" s="113"/>
      <c r="P1057" s="113"/>
      <c r="Q1057" s="132"/>
      <c r="R1057" s="115"/>
      <c r="S1057" s="115"/>
      <c r="T1057" s="115"/>
      <c r="U1057" s="116"/>
      <c r="V1057" s="117"/>
      <c r="W1057" s="118"/>
      <c r="X1057" s="119"/>
      <c r="Y1057" s="113"/>
      <c r="Z1057" s="113"/>
      <c r="AH1057" s="7"/>
      <c r="AI1057" s="7"/>
      <c r="AJ1057" s="7"/>
      <c r="AK1057" s="7"/>
      <c r="AL1057" s="7"/>
      <c r="AM1057" s="7"/>
      <c r="AN1057" s="7"/>
    </row>
    <row r="1058">
      <c r="A1058" s="113"/>
      <c r="B1058" s="113"/>
      <c r="C1058" s="113"/>
      <c r="D1058" s="113"/>
      <c r="E1058" s="113"/>
      <c r="F1058" s="113"/>
      <c r="G1058" s="113"/>
      <c r="H1058" s="113"/>
      <c r="I1058" s="113"/>
      <c r="J1058" s="113"/>
      <c r="K1058" s="113"/>
      <c r="L1058" s="113"/>
      <c r="M1058" s="113"/>
      <c r="N1058" s="113"/>
      <c r="O1058" s="113"/>
      <c r="P1058" s="113"/>
      <c r="Q1058" s="132"/>
      <c r="R1058" s="115"/>
      <c r="S1058" s="115"/>
      <c r="T1058" s="115"/>
      <c r="U1058" s="116"/>
      <c r="V1058" s="117"/>
      <c r="W1058" s="118"/>
      <c r="X1058" s="119"/>
      <c r="Y1058" s="113"/>
      <c r="Z1058" s="113"/>
      <c r="AH1058" s="7"/>
      <c r="AI1058" s="7"/>
      <c r="AJ1058" s="7"/>
      <c r="AK1058" s="7"/>
      <c r="AL1058" s="7"/>
      <c r="AM1058" s="7"/>
      <c r="AN1058" s="7"/>
    </row>
    <row r="1059">
      <c r="A1059" s="113"/>
      <c r="B1059" s="113"/>
      <c r="C1059" s="113"/>
      <c r="D1059" s="113"/>
      <c r="E1059" s="113"/>
      <c r="F1059" s="113"/>
      <c r="G1059" s="113"/>
      <c r="H1059" s="113"/>
      <c r="I1059" s="113"/>
      <c r="J1059" s="113"/>
      <c r="K1059" s="113"/>
      <c r="L1059" s="113"/>
      <c r="M1059" s="113"/>
      <c r="N1059" s="113"/>
      <c r="O1059" s="113"/>
      <c r="P1059" s="113"/>
      <c r="Q1059" s="132"/>
      <c r="R1059" s="115"/>
      <c r="S1059" s="115"/>
      <c r="T1059" s="115"/>
      <c r="U1059" s="116"/>
      <c r="V1059" s="117"/>
      <c r="W1059" s="118"/>
      <c r="X1059" s="119"/>
      <c r="Y1059" s="113"/>
      <c r="Z1059" s="113"/>
      <c r="AH1059" s="7"/>
      <c r="AI1059" s="7"/>
      <c r="AJ1059" s="7"/>
      <c r="AK1059" s="7"/>
      <c r="AL1059" s="7"/>
      <c r="AM1059" s="7"/>
      <c r="AN1059" s="7"/>
    </row>
    <row r="1060">
      <c r="A1060" s="113"/>
      <c r="B1060" s="113"/>
      <c r="C1060" s="113"/>
      <c r="D1060" s="113"/>
      <c r="E1060" s="113"/>
      <c r="F1060" s="113"/>
      <c r="G1060" s="113"/>
      <c r="H1060" s="113"/>
      <c r="I1060" s="113"/>
      <c r="J1060" s="113"/>
      <c r="K1060" s="113"/>
      <c r="L1060" s="113"/>
      <c r="M1060" s="113"/>
      <c r="N1060" s="113"/>
      <c r="O1060" s="113"/>
      <c r="P1060" s="113"/>
      <c r="Q1060" s="132"/>
      <c r="R1060" s="115"/>
      <c r="S1060" s="115"/>
      <c r="T1060" s="115"/>
      <c r="U1060" s="116"/>
      <c r="V1060" s="117"/>
      <c r="W1060" s="118"/>
      <c r="X1060" s="119"/>
      <c r="Y1060" s="113"/>
      <c r="Z1060" s="113"/>
      <c r="AH1060" s="7"/>
      <c r="AI1060" s="7"/>
      <c r="AJ1060" s="7"/>
      <c r="AK1060" s="7"/>
      <c r="AL1060" s="7"/>
      <c r="AM1060" s="7"/>
      <c r="AN1060" s="7"/>
    </row>
    <row r="1061">
      <c r="A1061" s="113"/>
      <c r="B1061" s="113"/>
      <c r="C1061" s="113"/>
      <c r="D1061" s="113"/>
      <c r="E1061" s="113"/>
      <c r="F1061" s="113"/>
      <c r="G1061" s="113"/>
      <c r="H1061" s="113"/>
      <c r="I1061" s="113"/>
      <c r="J1061" s="113"/>
      <c r="K1061" s="113"/>
      <c r="L1061" s="113"/>
      <c r="M1061" s="113"/>
      <c r="N1061" s="113"/>
      <c r="O1061" s="113"/>
      <c r="P1061" s="113"/>
      <c r="Q1061" s="132"/>
      <c r="R1061" s="115"/>
      <c r="S1061" s="115"/>
      <c r="T1061" s="115"/>
      <c r="U1061" s="116"/>
      <c r="V1061" s="117"/>
      <c r="W1061" s="118"/>
      <c r="X1061" s="119"/>
      <c r="Y1061" s="113"/>
      <c r="Z1061" s="113"/>
      <c r="AH1061" s="7"/>
      <c r="AI1061" s="7"/>
      <c r="AJ1061" s="7"/>
      <c r="AK1061" s="7"/>
      <c r="AL1061" s="7"/>
      <c r="AM1061" s="7"/>
      <c r="AN1061" s="7"/>
    </row>
    <row r="1062">
      <c r="A1062" s="113"/>
      <c r="B1062" s="113"/>
      <c r="C1062" s="113"/>
      <c r="D1062" s="113"/>
      <c r="E1062" s="113"/>
      <c r="F1062" s="113"/>
      <c r="G1062" s="113"/>
      <c r="H1062" s="113"/>
      <c r="I1062" s="113"/>
      <c r="J1062" s="113"/>
      <c r="K1062" s="113"/>
      <c r="L1062" s="113"/>
      <c r="M1062" s="113"/>
      <c r="N1062" s="113"/>
      <c r="O1062" s="113"/>
      <c r="P1062" s="113"/>
      <c r="Q1062" s="132"/>
      <c r="R1062" s="115"/>
      <c r="S1062" s="115"/>
      <c r="T1062" s="115"/>
      <c r="U1062" s="116"/>
      <c r="V1062" s="117"/>
      <c r="W1062" s="118"/>
      <c r="X1062" s="119"/>
      <c r="Y1062" s="113"/>
      <c r="Z1062" s="113"/>
      <c r="AH1062" s="7"/>
      <c r="AI1062" s="7"/>
      <c r="AJ1062" s="7"/>
      <c r="AK1062" s="7"/>
      <c r="AL1062" s="7"/>
      <c r="AM1062" s="7"/>
      <c r="AN1062" s="7"/>
    </row>
    <row r="1063">
      <c r="A1063" s="113"/>
      <c r="B1063" s="113"/>
      <c r="C1063" s="113"/>
      <c r="D1063" s="113"/>
      <c r="E1063" s="113"/>
      <c r="F1063" s="113"/>
      <c r="G1063" s="113"/>
      <c r="H1063" s="113"/>
      <c r="I1063" s="113"/>
      <c r="J1063" s="113"/>
      <c r="K1063" s="113"/>
      <c r="L1063" s="113"/>
      <c r="M1063" s="113"/>
      <c r="N1063" s="113"/>
      <c r="O1063" s="113"/>
      <c r="P1063" s="113"/>
      <c r="Q1063" s="132"/>
      <c r="R1063" s="115"/>
      <c r="S1063" s="115"/>
      <c r="T1063" s="115"/>
      <c r="U1063" s="116"/>
      <c r="V1063" s="117"/>
      <c r="W1063" s="118"/>
      <c r="X1063" s="119"/>
      <c r="Y1063" s="113"/>
      <c r="Z1063" s="113"/>
      <c r="AH1063" s="7"/>
      <c r="AI1063" s="7"/>
      <c r="AJ1063" s="7"/>
      <c r="AK1063" s="7"/>
      <c r="AL1063" s="7"/>
      <c r="AM1063" s="7"/>
      <c r="AN1063" s="7"/>
    </row>
    <row r="1064">
      <c r="A1064" s="113"/>
      <c r="B1064" s="113"/>
      <c r="C1064" s="113"/>
      <c r="D1064" s="113"/>
      <c r="E1064" s="113"/>
      <c r="F1064" s="113"/>
      <c r="G1064" s="113"/>
      <c r="H1064" s="113"/>
      <c r="I1064" s="113"/>
      <c r="J1064" s="113"/>
      <c r="K1064" s="113"/>
      <c r="L1064" s="113"/>
      <c r="M1064" s="113"/>
      <c r="N1064" s="113"/>
      <c r="O1064" s="113"/>
      <c r="P1064" s="113"/>
      <c r="Q1064" s="132"/>
      <c r="R1064" s="115"/>
      <c r="S1064" s="115"/>
      <c r="T1064" s="115"/>
      <c r="U1064" s="116"/>
      <c r="V1064" s="117"/>
      <c r="W1064" s="118"/>
      <c r="X1064" s="119"/>
      <c r="Y1064" s="113"/>
      <c r="Z1064" s="113"/>
      <c r="AH1064" s="7"/>
      <c r="AI1064" s="7"/>
      <c r="AJ1064" s="7"/>
      <c r="AK1064" s="7"/>
      <c r="AL1064" s="7"/>
      <c r="AM1064" s="7"/>
      <c r="AN1064" s="7"/>
    </row>
    <row r="1065">
      <c r="A1065" s="113"/>
      <c r="B1065" s="113"/>
      <c r="C1065" s="113"/>
      <c r="D1065" s="113"/>
      <c r="E1065" s="113"/>
      <c r="F1065" s="113"/>
      <c r="G1065" s="113"/>
      <c r="H1065" s="113"/>
      <c r="I1065" s="113"/>
      <c r="J1065" s="113"/>
      <c r="K1065" s="113"/>
      <c r="L1065" s="113"/>
      <c r="M1065" s="113"/>
      <c r="N1065" s="113"/>
      <c r="O1065" s="113"/>
      <c r="P1065" s="113"/>
      <c r="Q1065" s="132"/>
      <c r="R1065" s="115"/>
      <c r="S1065" s="115"/>
      <c r="T1065" s="115"/>
      <c r="U1065" s="116"/>
      <c r="V1065" s="117"/>
      <c r="W1065" s="118"/>
      <c r="X1065" s="119"/>
      <c r="Y1065" s="113"/>
      <c r="Z1065" s="113"/>
      <c r="AH1065" s="7"/>
      <c r="AI1065" s="7"/>
      <c r="AJ1065" s="7"/>
      <c r="AK1065" s="7"/>
      <c r="AL1065" s="7"/>
      <c r="AM1065" s="7"/>
      <c r="AN1065" s="7"/>
    </row>
    <row r="1066">
      <c r="A1066" s="113"/>
      <c r="B1066" s="113"/>
      <c r="C1066" s="113"/>
      <c r="D1066" s="113"/>
      <c r="E1066" s="113"/>
      <c r="F1066" s="113"/>
      <c r="G1066" s="113"/>
      <c r="H1066" s="113"/>
      <c r="I1066" s="113"/>
      <c r="J1066" s="113"/>
      <c r="K1066" s="113"/>
      <c r="L1066" s="113"/>
      <c r="M1066" s="113"/>
      <c r="N1066" s="113"/>
      <c r="O1066" s="113"/>
      <c r="P1066" s="113"/>
      <c r="Q1066" s="132"/>
      <c r="R1066" s="115"/>
      <c r="S1066" s="115"/>
      <c r="T1066" s="115"/>
      <c r="U1066" s="116"/>
      <c r="V1066" s="117"/>
      <c r="W1066" s="118"/>
      <c r="X1066" s="119"/>
      <c r="Y1066" s="113"/>
      <c r="Z1066" s="113"/>
      <c r="AH1066" s="7"/>
      <c r="AI1066" s="7"/>
      <c r="AJ1066" s="7"/>
      <c r="AK1066" s="7"/>
      <c r="AL1066" s="7"/>
      <c r="AM1066" s="7"/>
      <c r="AN1066" s="7"/>
    </row>
    <row r="1067">
      <c r="A1067" s="113"/>
      <c r="B1067" s="113"/>
      <c r="C1067" s="113"/>
      <c r="D1067" s="113"/>
      <c r="E1067" s="113"/>
      <c r="F1067" s="113"/>
      <c r="G1067" s="113"/>
      <c r="H1067" s="113"/>
      <c r="I1067" s="113"/>
      <c r="J1067" s="113"/>
      <c r="K1067" s="113"/>
      <c r="L1067" s="113"/>
      <c r="M1067" s="113"/>
      <c r="N1067" s="113"/>
      <c r="O1067" s="113"/>
      <c r="P1067" s="113"/>
      <c r="Q1067" s="132"/>
      <c r="R1067" s="115"/>
      <c r="S1067" s="115"/>
      <c r="T1067" s="115"/>
      <c r="U1067" s="116"/>
      <c r="V1067" s="117"/>
      <c r="W1067" s="118"/>
      <c r="X1067" s="119"/>
      <c r="Y1067" s="113"/>
      <c r="Z1067" s="113"/>
      <c r="AH1067" s="7"/>
      <c r="AI1067" s="7"/>
      <c r="AJ1067" s="7"/>
      <c r="AK1067" s="7"/>
      <c r="AL1067" s="7"/>
      <c r="AM1067" s="7"/>
      <c r="AN1067" s="7"/>
    </row>
    <row r="1068">
      <c r="A1068" s="113"/>
      <c r="B1068" s="113"/>
      <c r="C1068" s="113"/>
      <c r="D1068" s="113"/>
      <c r="E1068" s="113"/>
      <c r="F1068" s="113"/>
      <c r="G1068" s="113"/>
      <c r="H1068" s="113"/>
      <c r="I1068" s="113"/>
      <c r="J1068" s="113"/>
      <c r="K1068" s="113"/>
      <c r="L1068" s="113"/>
      <c r="M1068" s="113"/>
      <c r="N1068" s="113"/>
      <c r="O1068" s="113"/>
      <c r="P1068" s="113"/>
      <c r="Q1068" s="132"/>
      <c r="R1068" s="115"/>
      <c r="S1068" s="115"/>
      <c r="T1068" s="115"/>
      <c r="U1068" s="116"/>
      <c r="V1068" s="117"/>
      <c r="W1068" s="118"/>
      <c r="X1068" s="119"/>
      <c r="Y1068" s="113"/>
      <c r="Z1068" s="113"/>
      <c r="AH1068" s="7"/>
      <c r="AI1068" s="7"/>
      <c r="AJ1068" s="7"/>
      <c r="AK1068" s="7"/>
      <c r="AL1068" s="7"/>
      <c r="AM1068" s="7"/>
      <c r="AN1068" s="7"/>
    </row>
    <row r="1069">
      <c r="A1069" s="113"/>
      <c r="B1069" s="113"/>
      <c r="C1069" s="113"/>
      <c r="D1069" s="113"/>
      <c r="E1069" s="113"/>
      <c r="F1069" s="113"/>
      <c r="G1069" s="113"/>
      <c r="H1069" s="113"/>
      <c r="I1069" s="113"/>
      <c r="J1069" s="113"/>
      <c r="K1069" s="113"/>
      <c r="L1069" s="113"/>
      <c r="M1069" s="113"/>
      <c r="N1069" s="113"/>
      <c r="O1069" s="113"/>
      <c r="P1069" s="113"/>
      <c r="Q1069" s="132"/>
      <c r="R1069" s="115"/>
      <c r="S1069" s="115"/>
      <c r="T1069" s="115"/>
      <c r="U1069" s="116"/>
      <c r="V1069" s="117"/>
      <c r="W1069" s="118"/>
      <c r="X1069" s="119"/>
      <c r="Y1069" s="113"/>
      <c r="Z1069" s="113"/>
      <c r="AH1069" s="7"/>
      <c r="AI1069" s="7"/>
      <c r="AJ1069" s="7"/>
      <c r="AK1069" s="7"/>
      <c r="AL1069" s="7"/>
      <c r="AM1069" s="7"/>
      <c r="AN1069" s="7"/>
    </row>
    <row r="1070">
      <c r="A1070" s="113"/>
      <c r="B1070" s="113"/>
      <c r="C1070" s="113"/>
      <c r="D1070" s="113"/>
      <c r="E1070" s="113"/>
      <c r="F1070" s="113"/>
      <c r="G1070" s="113"/>
      <c r="H1070" s="113"/>
      <c r="I1070" s="113"/>
      <c r="J1070" s="113"/>
      <c r="K1070" s="113"/>
      <c r="L1070" s="113"/>
      <c r="M1070" s="113"/>
      <c r="N1070" s="113"/>
      <c r="O1070" s="113"/>
      <c r="P1070" s="113"/>
      <c r="Q1070" s="132"/>
      <c r="R1070" s="115"/>
      <c r="S1070" s="115"/>
      <c r="T1070" s="115"/>
      <c r="U1070" s="116"/>
      <c r="V1070" s="117"/>
      <c r="W1070" s="118"/>
      <c r="X1070" s="119"/>
      <c r="Y1070" s="113"/>
      <c r="Z1070" s="113"/>
      <c r="AH1070" s="7"/>
      <c r="AI1070" s="7"/>
      <c r="AJ1070" s="7"/>
      <c r="AK1070" s="7"/>
      <c r="AL1070" s="7"/>
      <c r="AM1070" s="7"/>
      <c r="AN1070" s="7"/>
    </row>
    <row r="1071">
      <c r="A1071" s="113"/>
      <c r="B1071" s="113"/>
      <c r="C1071" s="113"/>
      <c r="D1071" s="113"/>
      <c r="E1071" s="113"/>
      <c r="F1071" s="113"/>
      <c r="G1071" s="113"/>
      <c r="H1071" s="113"/>
      <c r="I1071" s="113"/>
      <c r="J1071" s="113"/>
      <c r="K1071" s="113"/>
      <c r="L1071" s="113"/>
      <c r="M1071" s="113"/>
      <c r="N1071" s="113"/>
      <c r="O1071" s="113"/>
      <c r="P1071" s="113"/>
      <c r="Q1071" s="132"/>
      <c r="R1071" s="115"/>
      <c r="S1071" s="115"/>
      <c r="T1071" s="115"/>
      <c r="U1071" s="116"/>
      <c r="V1071" s="117"/>
      <c r="W1071" s="118"/>
      <c r="X1071" s="119"/>
      <c r="Y1071" s="113"/>
      <c r="Z1071" s="113"/>
      <c r="AH1071" s="7"/>
      <c r="AI1071" s="7"/>
      <c r="AJ1071" s="7"/>
      <c r="AK1071" s="7"/>
      <c r="AL1071" s="7"/>
      <c r="AM1071" s="7"/>
      <c r="AN1071" s="7"/>
    </row>
    <row r="1072">
      <c r="A1072" s="113"/>
      <c r="B1072" s="113"/>
      <c r="C1072" s="113"/>
      <c r="D1072" s="113"/>
      <c r="E1072" s="113"/>
      <c r="F1072" s="113"/>
      <c r="G1072" s="113"/>
      <c r="H1072" s="113"/>
      <c r="I1072" s="113"/>
      <c r="J1072" s="113"/>
      <c r="K1072" s="113"/>
      <c r="L1072" s="113"/>
      <c r="M1072" s="113"/>
      <c r="N1072" s="113"/>
      <c r="O1072" s="113"/>
      <c r="P1072" s="113"/>
      <c r="Q1072" s="132"/>
      <c r="R1072" s="115"/>
      <c r="S1072" s="115"/>
      <c r="T1072" s="115"/>
      <c r="U1072" s="116"/>
      <c r="V1072" s="117"/>
      <c r="W1072" s="118"/>
      <c r="X1072" s="119"/>
      <c r="Y1072" s="113"/>
      <c r="Z1072" s="113"/>
      <c r="AH1072" s="7"/>
      <c r="AI1072" s="7"/>
      <c r="AJ1072" s="7"/>
      <c r="AK1072" s="7"/>
      <c r="AL1072" s="7"/>
      <c r="AM1072" s="7"/>
      <c r="AN1072" s="7"/>
    </row>
  </sheetData>
  <dataValidations>
    <dataValidation type="list" allowBlank="1" sqref="C2:C74 C76:C77 C79:C82 C84:C86 C94:C98 C100:C103 C105:C775">
      <formula1>Fields!$F$2:$F$4</formula1>
    </dataValidation>
    <dataValidation type="list" allowBlank="1" sqref="C75 C78 C83 C87:C93 C99 C104">
      <formula1>Fields!$F$2:$F$8</formula1>
    </dataValidation>
    <dataValidation type="list" allowBlank="1" showErrorMessage="1" sqref="U2:U32">
      <formula1>"Yes,No"</formula1>
    </dataValidation>
    <dataValidation type="list" allowBlank="1" sqref="B46 B48">
      <formula1>Fields!$D$2:$D$4</formula1>
    </dataValidation>
    <dataValidation type="list" allowBlank="1" sqref="D46:D104">
      <formula1>Fields!$A$2:$A$8</formula1>
    </dataValidation>
    <dataValidation type="list" allowBlank="1" sqref="B51 B55:B58 B63:B73">
      <formula1>Fields!$D$2:$D$6</formula1>
    </dataValidation>
    <dataValidation type="list" allowBlank="1" sqref="B75 B78 B83 B99:B104">
      <formula1>Fields!$D$2:$D$12</formula1>
    </dataValidation>
  </dataValidations>
  <hyperlinks>
    <hyperlink r:id="rId2" ref="F2"/>
    <hyperlink r:id="rId3" ref="F6"/>
    <hyperlink r:id="rId4" ref="F13"/>
    <hyperlink r:id="rId5" ref="F17"/>
    <hyperlink r:id="rId6" ref="F21"/>
    <hyperlink r:id="rId7" ref="F22"/>
    <hyperlink r:id="rId8" ref="F27"/>
    <hyperlink r:id="rId9" ref="F33"/>
    <hyperlink r:id="rId10" ref="F41"/>
    <hyperlink r:id="rId11" ref="F46"/>
    <hyperlink r:id="rId12" ref="F48"/>
    <hyperlink r:id="rId13" ref="F51"/>
    <hyperlink r:id="rId14" ref="F55"/>
    <hyperlink r:id="rId15" ref="F58"/>
    <hyperlink r:id="rId16" ref="F63"/>
    <hyperlink r:id="rId17" ref="F67"/>
    <hyperlink r:id="rId18" ref="F68"/>
    <hyperlink r:id="rId19" ref="F73"/>
    <hyperlink r:id="rId20" ref="F75"/>
    <hyperlink r:id="rId21" ref="F78"/>
    <hyperlink r:id="rId22" ref="F83"/>
    <hyperlink r:id="rId23" ref="F93"/>
    <hyperlink r:id="rId24" ref="F99"/>
    <hyperlink r:id="rId25" ref="F104"/>
  </hyperlinks>
  <drawing r:id="rId26"/>
  <legacyDrawing r:id="rId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2.63" defaultRowHeight="15.0"/>
  <cols>
    <col customWidth="1" min="1" max="1" width="5.13"/>
    <col customWidth="1" min="2" max="2" width="6.25"/>
    <col customWidth="1" min="3" max="3" width="5.5"/>
    <col customWidth="1" min="4" max="4" width="11.25"/>
    <col customWidth="1" min="5" max="5" width="3.13"/>
    <col customWidth="1" min="6" max="6" width="24.5"/>
    <col customWidth="1" min="7" max="7" width="26.75"/>
    <col customWidth="1" min="8" max="8" width="12.5"/>
    <col customWidth="1" min="9" max="10" width="7.38"/>
    <col customWidth="1" min="11" max="11" width="6.5"/>
    <col customWidth="1" min="12" max="12" width="8.5"/>
    <col customWidth="1" min="13" max="14" width="6.5"/>
    <col customWidth="1" min="15" max="16" width="7.38"/>
    <col customWidth="1" min="17" max="17" width="18.25"/>
    <col customWidth="1" min="18" max="18" width="5.75"/>
    <col customWidth="1" min="19" max="19" width="5.63"/>
    <col customWidth="1" min="20" max="20" width="6.63"/>
    <col customWidth="1" min="21" max="21" width="6.88"/>
    <col customWidth="1" min="22" max="22" width="7.75"/>
    <col customWidth="1" min="23" max="23" width="6.63"/>
    <col customWidth="1" min="24" max="24" width="7.63"/>
    <col customWidth="1" min="25" max="26" width="42.88"/>
    <col customWidth="1" min="27" max="33" width="11.0"/>
    <col customWidth="1" min="34" max="35" width="31.88"/>
  </cols>
  <sheetData>
    <row r="1" ht="45.0" customHeight="1">
      <c r="A1" s="1" t="s">
        <v>0</v>
      </c>
      <c r="B1" s="6" t="str">
        <f>HYPERLINK("#rangeid=2086300674","Content Owner")</f>
        <v>Content Owner</v>
      </c>
      <c r="C1" s="9" t="str">
        <f>HYPERLINK("#rangeid=632369931","Video Owner")</f>
        <v>Video Owner</v>
      </c>
      <c r="D1" s="11" t="s">
        <v>4</v>
      </c>
      <c r="E1" s="12" t="s">
        <v>5</v>
      </c>
      <c r="F1" s="13" t="s">
        <v>6</v>
      </c>
      <c r="G1" s="1" t="s">
        <v>7</v>
      </c>
      <c r="H1" s="21" t="str">
        <f>HYPERLINK("#rangeid=906849400","Description")</f>
        <v>Description</v>
      </c>
      <c r="I1" s="17" t="s">
        <v>11</v>
      </c>
      <c r="J1" s="1" t="s">
        <v>15</v>
      </c>
      <c r="K1" s="19" t="s">
        <v>16</v>
      </c>
      <c r="L1" s="1" t="s">
        <v>22</v>
      </c>
      <c r="M1" s="1" t="s">
        <v>23</v>
      </c>
      <c r="N1" s="1" t="s">
        <v>25</v>
      </c>
      <c r="O1" s="1" t="s">
        <v>26</v>
      </c>
      <c r="P1" s="1" t="s">
        <v>27</v>
      </c>
      <c r="Q1" s="1" t="s">
        <v>28</v>
      </c>
      <c r="R1" s="23" t="s">
        <v>29</v>
      </c>
      <c r="S1" s="23" t="s">
        <v>31</v>
      </c>
      <c r="T1" s="23" t="s">
        <v>32</v>
      </c>
      <c r="U1" s="26" t="s">
        <v>33</v>
      </c>
      <c r="V1" s="29" t="s">
        <v>35</v>
      </c>
      <c r="W1" s="31" t="str">
        <f>HYPERLINK("#rangeid=120001109","Replay")</f>
        <v>Replay</v>
      </c>
      <c r="X1" s="33" t="s">
        <v>38</v>
      </c>
      <c r="Y1" s="34" t="s">
        <v>39</v>
      </c>
      <c r="Z1" s="36" t="s">
        <v>40</v>
      </c>
      <c r="AA1" s="37"/>
      <c r="AB1" s="37"/>
      <c r="AC1" s="37"/>
      <c r="AD1" s="37"/>
      <c r="AE1" s="37"/>
      <c r="AF1" s="37"/>
      <c r="AG1" s="37"/>
      <c r="AH1" s="37"/>
      <c r="AI1" s="37"/>
    </row>
    <row r="2">
      <c r="A2" s="38">
        <v>757.0</v>
      </c>
      <c r="B2" s="38" t="s">
        <v>274</v>
      </c>
      <c r="C2" s="39"/>
      <c r="D2" s="38"/>
      <c r="E2" s="38" t="s">
        <v>688</v>
      </c>
      <c r="F2" s="41" t="s">
        <v>689</v>
      </c>
      <c r="G2" s="43"/>
      <c r="H2" s="45"/>
      <c r="I2" s="38"/>
      <c r="J2" s="38">
        <f>11.812*1000</f>
        <v>11812</v>
      </c>
      <c r="K2" s="46">
        <v>0.050972222222222224</v>
      </c>
      <c r="L2" s="47" t="s">
        <v>692</v>
      </c>
      <c r="M2" s="46"/>
      <c r="N2" s="46"/>
      <c r="O2" s="38"/>
      <c r="P2" s="49"/>
      <c r="Q2" s="12" t="str">
        <f t="shared" ref="Q2:Q41" si="1">HYPERLINK(IF(INT(A2)-A2=0,"",REPLACE(INDIRECT("MasterList!e"&amp;INT(A2)+1),25,8,"embed/")&amp;"?start="&amp;HOUR(M2)*3600+MINUTE(M2)*60+SECOND(M2)&amp;"&amp;end="&amp;HOUR(N2)*3600+MINUTE(N2)*60+SECOND(N2)&amp;"&amp;autoplay=1"))</f>
        <v/>
      </c>
      <c r="R2" s="50" t="s">
        <v>61</v>
      </c>
      <c r="S2" s="50" t="s">
        <v>61</v>
      </c>
      <c r="T2" s="50" t="s">
        <v>61</v>
      </c>
      <c r="U2" s="53"/>
      <c r="V2" s="54"/>
      <c r="W2" s="85" t="s">
        <v>62</v>
      </c>
      <c r="X2" s="57"/>
      <c r="Y2" s="38"/>
      <c r="Z2" s="38" t="s">
        <v>693</v>
      </c>
      <c r="AH2" s="38"/>
      <c r="AI2" s="38"/>
    </row>
    <row r="3">
      <c r="A3" s="38">
        <v>757.01</v>
      </c>
      <c r="B3" s="38" t="s">
        <v>274</v>
      </c>
      <c r="C3" s="39"/>
      <c r="D3" s="38"/>
      <c r="E3" s="38"/>
      <c r="F3" s="41"/>
      <c r="G3" s="43" t="s">
        <v>694</v>
      </c>
      <c r="H3" s="58" t="s">
        <v>695</v>
      </c>
      <c r="I3" s="38"/>
      <c r="J3" s="38"/>
      <c r="K3" s="46"/>
      <c r="L3" s="47"/>
      <c r="M3" s="46">
        <v>6.134259259259259E-4</v>
      </c>
      <c r="N3" s="46">
        <v>0.001574074074074074</v>
      </c>
      <c r="O3" s="46">
        <f t="shared" ref="O3:O14" si="2">N3-M3</f>
        <v>0.0009606481481</v>
      </c>
      <c r="P3" s="49">
        <v>43007.0</v>
      </c>
      <c r="Q3" s="61" t="str">
        <f t="shared" si="1"/>
        <v>https://www.youtube.com/embed/79r5KYH0nBI?start=53&amp;end=136&amp;autoplay=1</v>
      </c>
      <c r="R3" s="50"/>
      <c r="S3" s="50"/>
      <c r="T3" s="50"/>
      <c r="U3" s="53"/>
      <c r="V3" s="54"/>
      <c r="W3" s="56"/>
      <c r="X3" s="57"/>
      <c r="Y3" s="38"/>
      <c r="Z3" s="38"/>
      <c r="AH3" s="38"/>
      <c r="AI3" s="38"/>
    </row>
    <row r="4">
      <c r="A4" s="38">
        <v>757.02</v>
      </c>
      <c r="B4" s="38" t="s">
        <v>274</v>
      </c>
      <c r="C4" s="39"/>
      <c r="D4" s="38"/>
      <c r="E4" s="38"/>
      <c r="F4" s="41"/>
      <c r="G4" s="43" t="s">
        <v>698</v>
      </c>
      <c r="H4" s="45" t="s">
        <v>699</v>
      </c>
      <c r="I4" s="38"/>
      <c r="J4" s="38"/>
      <c r="K4" s="46"/>
      <c r="L4" s="47"/>
      <c r="M4" s="46">
        <v>0.0028703703703703703</v>
      </c>
      <c r="N4" s="46">
        <v>0.004629629629629629</v>
      </c>
      <c r="O4" s="46">
        <f t="shared" si="2"/>
        <v>0.001759259259</v>
      </c>
      <c r="P4" s="49">
        <v>43007.0</v>
      </c>
      <c r="Q4" s="61" t="str">
        <f t="shared" si="1"/>
        <v>https://www.youtube.com/embed/79r5KYH0nBI?start=248&amp;end=400&amp;autoplay=1</v>
      </c>
      <c r="R4" s="50" t="s">
        <v>61</v>
      </c>
      <c r="S4" s="50" t="s">
        <v>61</v>
      </c>
      <c r="T4" s="50" t="s">
        <v>61</v>
      </c>
      <c r="U4" s="53"/>
      <c r="V4" s="54"/>
      <c r="W4" s="85" t="s">
        <v>62</v>
      </c>
      <c r="X4" s="57"/>
      <c r="Y4" s="38"/>
      <c r="Z4" s="38" t="s">
        <v>702</v>
      </c>
      <c r="AH4" s="38"/>
      <c r="AI4" s="38"/>
    </row>
    <row r="5">
      <c r="A5" s="38">
        <v>757.03</v>
      </c>
      <c r="B5" s="38" t="s">
        <v>274</v>
      </c>
      <c r="C5" s="39"/>
      <c r="D5" s="38"/>
      <c r="E5" s="38"/>
      <c r="F5" s="41"/>
      <c r="G5" s="43" t="s">
        <v>703</v>
      </c>
      <c r="H5" s="45" t="s">
        <v>704</v>
      </c>
      <c r="I5" s="38"/>
      <c r="J5" s="38"/>
      <c r="K5" s="46"/>
      <c r="L5" s="47"/>
      <c r="M5" s="46">
        <v>0.004722222222222222</v>
      </c>
      <c r="N5" s="46">
        <v>0.005729166666666666</v>
      </c>
      <c r="O5" s="46">
        <f t="shared" si="2"/>
        <v>0.001006944444</v>
      </c>
      <c r="P5" s="49">
        <v>43007.0</v>
      </c>
      <c r="Q5" s="61" t="str">
        <f t="shared" si="1"/>
        <v>https://www.youtube.com/embed/79r5KYH0nBI?start=408&amp;end=495&amp;autoplay=1</v>
      </c>
      <c r="R5" s="50" t="s">
        <v>61</v>
      </c>
      <c r="S5" s="50" t="s">
        <v>61</v>
      </c>
      <c r="T5" s="50" t="s">
        <v>61</v>
      </c>
      <c r="U5" s="53"/>
      <c r="V5" s="54"/>
      <c r="W5" s="85" t="s">
        <v>62</v>
      </c>
      <c r="X5" s="57"/>
      <c r="Y5" s="38"/>
      <c r="Z5" s="38" t="s">
        <v>705</v>
      </c>
      <c r="AH5" s="38"/>
      <c r="AI5" s="38"/>
    </row>
    <row r="6">
      <c r="A6" s="38">
        <v>757.04</v>
      </c>
      <c r="B6" s="38" t="s">
        <v>274</v>
      </c>
      <c r="C6" s="39"/>
      <c r="D6" s="38"/>
      <c r="E6" s="38"/>
      <c r="F6" s="41"/>
      <c r="G6" s="43" t="s">
        <v>706</v>
      </c>
      <c r="H6" s="45" t="s">
        <v>707</v>
      </c>
      <c r="I6" s="38"/>
      <c r="J6" s="38"/>
      <c r="K6" s="46"/>
      <c r="L6" s="47"/>
      <c r="M6" s="46">
        <v>0.005960648148148148</v>
      </c>
      <c r="N6" s="46">
        <v>0.009236111111111112</v>
      </c>
      <c r="O6" s="46">
        <f t="shared" si="2"/>
        <v>0.003275462963</v>
      </c>
      <c r="P6" s="49">
        <v>43007.0</v>
      </c>
      <c r="Q6" s="61" t="str">
        <f t="shared" si="1"/>
        <v>https://www.youtube.com/embed/79r5KYH0nBI?start=515&amp;end=798&amp;autoplay=1</v>
      </c>
      <c r="R6" s="50" t="s">
        <v>61</v>
      </c>
      <c r="S6" s="50" t="s">
        <v>61</v>
      </c>
      <c r="T6" s="50" t="s">
        <v>61</v>
      </c>
      <c r="U6" s="53"/>
      <c r="V6" s="54"/>
      <c r="W6" s="85" t="s">
        <v>62</v>
      </c>
      <c r="X6" s="57"/>
      <c r="Y6" s="38"/>
      <c r="Z6" s="38" t="s">
        <v>710</v>
      </c>
      <c r="AH6" s="38"/>
      <c r="AI6" s="38"/>
    </row>
    <row r="7">
      <c r="A7" s="38">
        <v>757.05</v>
      </c>
      <c r="B7" s="38" t="s">
        <v>274</v>
      </c>
      <c r="C7" s="39"/>
      <c r="D7" s="38"/>
      <c r="E7" s="38"/>
      <c r="F7" s="41"/>
      <c r="G7" s="43" t="s">
        <v>711</v>
      </c>
      <c r="H7" s="45" t="s">
        <v>712</v>
      </c>
      <c r="I7" s="38"/>
      <c r="J7" s="38"/>
      <c r="K7" s="46"/>
      <c r="L7" s="47"/>
      <c r="M7" s="46">
        <v>0.009236111111111112</v>
      </c>
      <c r="N7" s="46">
        <v>0.010416666666666666</v>
      </c>
      <c r="O7" s="46">
        <f t="shared" si="2"/>
        <v>0.001180555556</v>
      </c>
      <c r="P7" s="49">
        <v>43007.0</v>
      </c>
      <c r="Q7" s="61" t="str">
        <f t="shared" si="1"/>
        <v>https://www.youtube.com/embed/79r5KYH0nBI?start=798&amp;end=900&amp;autoplay=1</v>
      </c>
      <c r="R7" s="50" t="s">
        <v>61</v>
      </c>
      <c r="S7" s="50" t="s">
        <v>61</v>
      </c>
      <c r="T7" s="50" t="s">
        <v>61</v>
      </c>
      <c r="U7" s="53"/>
      <c r="V7" s="54"/>
      <c r="W7" s="85" t="s">
        <v>62</v>
      </c>
      <c r="X7" s="57"/>
      <c r="Y7" s="38"/>
      <c r="Z7" s="38" t="s">
        <v>713</v>
      </c>
      <c r="AH7" s="38"/>
      <c r="AI7" s="38"/>
    </row>
    <row r="8">
      <c r="A8" s="38">
        <v>757.06</v>
      </c>
      <c r="B8" s="38" t="s">
        <v>274</v>
      </c>
      <c r="C8" s="39"/>
      <c r="D8" s="38"/>
      <c r="E8" s="38"/>
      <c r="F8" s="41"/>
      <c r="G8" s="43" t="s">
        <v>714</v>
      </c>
      <c r="H8" s="45" t="s">
        <v>716</v>
      </c>
      <c r="I8" s="38"/>
      <c r="J8" s="38"/>
      <c r="K8" s="46"/>
      <c r="L8" s="47"/>
      <c r="M8" s="46">
        <v>0.010914351851851852</v>
      </c>
      <c r="N8" s="46">
        <v>0.01361111111111111</v>
      </c>
      <c r="O8" s="46">
        <f t="shared" si="2"/>
        <v>0.002696759259</v>
      </c>
      <c r="P8" s="49">
        <v>43007.0</v>
      </c>
      <c r="Q8" s="61" t="str">
        <f t="shared" si="1"/>
        <v>https://www.youtube.com/embed/79r5KYH0nBI?start=943&amp;end=1176&amp;autoplay=1</v>
      </c>
      <c r="R8" s="50" t="s">
        <v>61</v>
      </c>
      <c r="S8" s="50" t="s">
        <v>61</v>
      </c>
      <c r="T8" s="50" t="s">
        <v>61</v>
      </c>
      <c r="U8" s="53"/>
      <c r="V8" s="54"/>
      <c r="W8" s="85" t="s">
        <v>62</v>
      </c>
      <c r="X8" s="57"/>
      <c r="Y8" s="38"/>
      <c r="Z8" s="38" t="s">
        <v>718</v>
      </c>
      <c r="AH8" s="38"/>
      <c r="AI8" s="38"/>
    </row>
    <row r="9">
      <c r="A9" s="38">
        <v>757.07</v>
      </c>
      <c r="B9" s="38" t="s">
        <v>274</v>
      </c>
      <c r="C9" s="39"/>
      <c r="D9" s="38"/>
      <c r="E9" s="38"/>
      <c r="F9" s="41"/>
      <c r="G9" s="43" t="s">
        <v>719</v>
      </c>
      <c r="H9" s="58"/>
      <c r="I9" s="38"/>
      <c r="J9" s="38"/>
      <c r="K9" s="46"/>
      <c r="L9" s="47"/>
      <c r="M9" s="46">
        <v>0.016006944444444445</v>
      </c>
      <c r="N9" s="46">
        <v>0.019351851851851853</v>
      </c>
      <c r="O9" s="46">
        <f t="shared" si="2"/>
        <v>0.003344907407</v>
      </c>
      <c r="P9" s="49">
        <v>43007.0</v>
      </c>
      <c r="Q9" s="61" t="str">
        <f t="shared" si="1"/>
        <v>https://www.youtube.com/embed/79r5KYH0nBI?start=1383&amp;end=1672&amp;autoplay=1</v>
      </c>
      <c r="R9" s="50" t="s">
        <v>61</v>
      </c>
      <c r="S9" s="50" t="s">
        <v>61</v>
      </c>
      <c r="T9" s="50" t="s">
        <v>61</v>
      </c>
      <c r="U9" s="53"/>
      <c r="V9" s="54"/>
      <c r="W9" s="85" t="s">
        <v>62</v>
      </c>
      <c r="X9" s="57"/>
      <c r="Y9" s="38"/>
      <c r="Z9" s="38" t="s">
        <v>718</v>
      </c>
      <c r="AH9" s="38"/>
      <c r="AI9" s="38"/>
    </row>
    <row r="10">
      <c r="A10" s="39">
        <v>757.08</v>
      </c>
      <c r="B10" s="38" t="s">
        <v>274</v>
      </c>
      <c r="C10" s="39"/>
      <c r="D10" s="38"/>
      <c r="E10" s="38"/>
      <c r="F10" s="41"/>
      <c r="G10" s="43" t="s">
        <v>720</v>
      </c>
      <c r="H10" s="45" t="s">
        <v>721</v>
      </c>
      <c r="I10" s="38"/>
      <c r="J10" s="38"/>
      <c r="K10" s="46"/>
      <c r="L10" s="47"/>
      <c r="M10" s="46">
        <v>0.020196759259259258</v>
      </c>
      <c r="N10" s="46">
        <v>0.02329861111111111</v>
      </c>
      <c r="O10" s="60">
        <f t="shared" si="2"/>
        <v>0.003101851852</v>
      </c>
      <c r="P10" s="49">
        <v>43007.0</v>
      </c>
      <c r="Q10" s="61" t="str">
        <f t="shared" si="1"/>
        <v>https://www.youtube.com/embed/79r5KYH0nBI?start=1745&amp;end=2013&amp;autoplay=1</v>
      </c>
      <c r="R10" s="50" t="s">
        <v>61</v>
      </c>
      <c r="S10" s="50" t="s">
        <v>61</v>
      </c>
      <c r="T10" s="50" t="s">
        <v>61</v>
      </c>
      <c r="U10" s="53"/>
      <c r="V10" s="54"/>
      <c r="W10" s="85" t="s">
        <v>62</v>
      </c>
      <c r="X10" s="57"/>
      <c r="Y10" s="38"/>
      <c r="Z10" s="38" t="s">
        <v>724</v>
      </c>
      <c r="AH10" s="38"/>
      <c r="AI10" s="38"/>
    </row>
    <row r="11">
      <c r="A11" s="38">
        <v>757.09</v>
      </c>
      <c r="B11" s="38" t="s">
        <v>274</v>
      </c>
      <c r="C11" s="39"/>
      <c r="D11" s="38"/>
      <c r="E11" s="38"/>
      <c r="F11" s="41"/>
      <c r="G11" s="43" t="s">
        <v>725</v>
      </c>
      <c r="H11" s="45" t="s">
        <v>726</v>
      </c>
      <c r="I11" s="38"/>
      <c r="J11" s="38"/>
      <c r="K11" s="46"/>
      <c r="L11" s="47"/>
      <c r="M11" s="46">
        <v>0.024305555555555556</v>
      </c>
      <c r="N11" s="46">
        <v>0.02638888888888889</v>
      </c>
      <c r="O11" s="46">
        <f t="shared" si="2"/>
        <v>0.002083333333</v>
      </c>
      <c r="P11" s="49">
        <v>43007.0</v>
      </c>
      <c r="Q11" s="61" t="str">
        <f t="shared" si="1"/>
        <v>https://www.youtube.com/embed/79r5KYH0nBI?start=2100&amp;end=2280&amp;autoplay=1</v>
      </c>
      <c r="R11" s="50" t="s">
        <v>61</v>
      </c>
      <c r="S11" s="50" t="s">
        <v>61</v>
      </c>
      <c r="T11" s="50" t="s">
        <v>61</v>
      </c>
      <c r="U11" s="53"/>
      <c r="V11" s="54"/>
      <c r="W11" s="85" t="s">
        <v>62</v>
      </c>
      <c r="X11" s="57"/>
      <c r="Y11" s="38"/>
      <c r="Z11" s="38" t="s">
        <v>729</v>
      </c>
      <c r="AH11" s="38"/>
      <c r="AI11" s="38"/>
    </row>
    <row r="12">
      <c r="A12" s="38">
        <v>757.1</v>
      </c>
      <c r="B12" s="38" t="s">
        <v>274</v>
      </c>
      <c r="C12" s="39"/>
      <c r="D12" s="38"/>
      <c r="E12" s="38"/>
      <c r="F12" s="41"/>
      <c r="G12" s="43" t="s">
        <v>730</v>
      </c>
      <c r="H12" s="45"/>
      <c r="I12" s="38"/>
      <c r="J12" s="38"/>
      <c r="K12" s="46"/>
      <c r="L12" s="47"/>
      <c r="M12" s="46">
        <v>0.026412037037037036</v>
      </c>
      <c r="N12" s="46">
        <v>0.02908564814814815</v>
      </c>
      <c r="O12" s="46">
        <f t="shared" si="2"/>
        <v>0.002673611111</v>
      </c>
      <c r="P12" s="49">
        <v>43007.0</v>
      </c>
      <c r="Q12" s="61" t="str">
        <f t="shared" si="1"/>
        <v>https://www.youtube.com/embed/79r5KYH0nBI?start=2282&amp;end=2513&amp;autoplay=1</v>
      </c>
      <c r="R12" s="50" t="s">
        <v>61</v>
      </c>
      <c r="S12" s="50" t="s">
        <v>61</v>
      </c>
      <c r="T12" s="50" t="s">
        <v>61</v>
      </c>
      <c r="U12" s="53"/>
      <c r="V12" s="54"/>
      <c r="W12" s="85" t="s">
        <v>62</v>
      </c>
      <c r="X12" s="57"/>
      <c r="Y12" s="38"/>
      <c r="Z12" s="38"/>
      <c r="AH12" s="38"/>
      <c r="AI12" s="38"/>
    </row>
    <row r="13">
      <c r="A13" s="39">
        <v>757.11</v>
      </c>
      <c r="B13" s="38" t="s">
        <v>274</v>
      </c>
      <c r="C13" s="39"/>
      <c r="D13" s="38"/>
      <c r="E13" s="38"/>
      <c r="F13" s="41"/>
      <c r="G13" s="43" t="s">
        <v>731</v>
      </c>
      <c r="H13" s="45"/>
      <c r="I13" s="38"/>
      <c r="J13" s="38"/>
      <c r="K13" s="46"/>
      <c r="L13" s="47"/>
      <c r="M13" s="46">
        <v>0.029108796296296296</v>
      </c>
      <c r="N13" s="46">
        <v>0.031226851851851853</v>
      </c>
      <c r="O13" s="60">
        <f t="shared" si="2"/>
        <v>0.002118055556</v>
      </c>
      <c r="P13" s="49">
        <v>43007.0</v>
      </c>
      <c r="Q13" s="61" t="str">
        <f t="shared" si="1"/>
        <v>https://www.youtube.com/embed/79r5KYH0nBI?start=2515&amp;end=2698&amp;autoplay=1</v>
      </c>
      <c r="R13" s="50" t="s">
        <v>61</v>
      </c>
      <c r="S13" s="50" t="s">
        <v>61</v>
      </c>
      <c r="T13" s="50" t="s">
        <v>61</v>
      </c>
      <c r="U13" s="53"/>
      <c r="V13" s="54"/>
      <c r="W13" s="85" t="s">
        <v>62</v>
      </c>
      <c r="X13" s="57"/>
      <c r="Y13" s="38"/>
      <c r="Z13" s="38"/>
      <c r="AH13" s="38"/>
      <c r="AI13" s="38"/>
    </row>
    <row r="14">
      <c r="A14" s="38">
        <v>757.12</v>
      </c>
      <c r="B14" s="38" t="s">
        <v>274</v>
      </c>
      <c r="C14" s="39"/>
      <c r="D14" s="38"/>
      <c r="E14" s="38"/>
      <c r="F14" s="41"/>
      <c r="G14" s="62" t="s">
        <v>734</v>
      </c>
      <c r="H14" s="58" t="s">
        <v>735</v>
      </c>
      <c r="I14" s="38"/>
      <c r="J14" s="38"/>
      <c r="K14" s="46"/>
      <c r="L14" s="47"/>
      <c r="M14" s="46">
        <v>0.03125</v>
      </c>
      <c r="N14" s="46">
        <v>0.031226851851851853</v>
      </c>
      <c r="O14" s="60">
        <f t="shared" si="2"/>
        <v>-0.00002314814815</v>
      </c>
      <c r="P14" s="49">
        <v>43007.0</v>
      </c>
      <c r="Q14" s="61" t="str">
        <f t="shared" si="1"/>
        <v>https://www.youtube.com/embed/79r5KYH0nBI?start=2700&amp;end=2698&amp;autoplay=1</v>
      </c>
      <c r="R14" s="50" t="s">
        <v>61</v>
      </c>
      <c r="S14" s="50" t="s">
        <v>61</v>
      </c>
      <c r="T14" s="50" t="s">
        <v>61</v>
      </c>
      <c r="U14" s="53"/>
      <c r="V14" s="54"/>
      <c r="W14" s="85" t="s">
        <v>62</v>
      </c>
      <c r="X14" s="57"/>
      <c r="Y14" s="38"/>
      <c r="Z14" s="38"/>
      <c r="AH14" s="38"/>
      <c r="AI14" s="38"/>
    </row>
    <row r="15">
      <c r="A15" s="38">
        <v>39.0</v>
      </c>
      <c r="B15" s="39" t="s">
        <v>274</v>
      </c>
      <c r="C15" s="39"/>
      <c r="D15" s="39" t="s">
        <v>55</v>
      </c>
      <c r="E15" s="38" t="s">
        <v>276</v>
      </c>
      <c r="F15" s="41" t="s">
        <v>277</v>
      </c>
      <c r="G15" s="43"/>
      <c r="H15" s="45"/>
      <c r="I15" s="38"/>
      <c r="J15" s="38">
        <f>5.9*1000</f>
        <v>5900</v>
      </c>
      <c r="K15" s="46">
        <v>0.006574074074074073</v>
      </c>
      <c r="L15" s="47" t="s">
        <v>60</v>
      </c>
      <c r="M15" s="60"/>
      <c r="N15" s="60"/>
      <c r="O15" s="38"/>
      <c r="P15" s="89"/>
      <c r="Q15" s="12" t="str">
        <f t="shared" si="1"/>
        <v/>
      </c>
      <c r="R15" s="63"/>
      <c r="S15" s="63"/>
      <c r="T15" s="42"/>
      <c r="U15" s="51"/>
      <c r="V15" s="52"/>
      <c r="W15" s="55"/>
      <c r="X15" s="57"/>
      <c r="Y15" s="38"/>
      <c r="Z15" s="38"/>
      <c r="AA15" s="38"/>
      <c r="AB15" s="38"/>
      <c r="AH15" s="38"/>
      <c r="AI15" s="38"/>
    </row>
    <row r="16">
      <c r="A16" s="39">
        <v>39.01</v>
      </c>
      <c r="B16" s="38"/>
      <c r="C16" s="39"/>
      <c r="D16" s="38"/>
      <c r="E16" s="38"/>
      <c r="F16" s="41"/>
      <c r="G16" s="39" t="s">
        <v>740</v>
      </c>
      <c r="H16" s="58" t="s">
        <v>741</v>
      </c>
      <c r="I16" s="38"/>
      <c r="J16" s="38"/>
      <c r="K16" s="46"/>
      <c r="L16" s="47"/>
      <c r="M16" s="84">
        <v>5.671296296296297E-4</v>
      </c>
      <c r="N16" s="84">
        <v>0.001851851851851852</v>
      </c>
      <c r="O16" s="46">
        <f t="shared" ref="O16:O17" si="3">N16-M16</f>
        <v>0.001284722222</v>
      </c>
      <c r="P16" s="82">
        <v>43015.0</v>
      </c>
      <c r="Q16" s="61" t="str">
        <f t="shared" si="1"/>
        <v>https://www.youtube.com/embed/iS7CE9mrtI4?start=49&amp;end=160&amp;autoplay=1</v>
      </c>
      <c r="R16" s="63" t="s">
        <v>61</v>
      </c>
      <c r="S16" s="63" t="s">
        <v>91</v>
      </c>
      <c r="T16" s="67" t="s">
        <v>61</v>
      </c>
      <c r="U16" s="53"/>
      <c r="V16" s="54"/>
      <c r="W16" s="85" t="s">
        <v>62</v>
      </c>
      <c r="X16" s="57"/>
      <c r="Y16" s="38"/>
      <c r="Z16" s="39" t="s">
        <v>744</v>
      </c>
      <c r="AH16" s="38"/>
      <c r="AI16" s="38"/>
    </row>
    <row r="17">
      <c r="A17" s="39">
        <v>39.02</v>
      </c>
      <c r="B17" s="38"/>
      <c r="C17" s="39"/>
      <c r="D17" s="38"/>
      <c r="E17" s="38"/>
      <c r="F17" s="41"/>
      <c r="G17" s="62" t="s">
        <v>745</v>
      </c>
      <c r="H17" s="58" t="s">
        <v>746</v>
      </c>
      <c r="I17" s="38"/>
      <c r="J17" s="38"/>
      <c r="K17" s="46"/>
      <c r="L17" s="47"/>
      <c r="M17" s="84">
        <v>0.0021875</v>
      </c>
      <c r="N17" s="84">
        <v>0.006550925925925926</v>
      </c>
      <c r="O17" s="46">
        <f t="shared" si="3"/>
        <v>0.004363425926</v>
      </c>
      <c r="P17" s="82">
        <v>43015.0</v>
      </c>
      <c r="Q17" s="61" t="str">
        <f t="shared" si="1"/>
        <v>https://www.youtube.com/embed/iS7CE9mrtI4?start=189&amp;end=566&amp;autoplay=1</v>
      </c>
      <c r="R17" s="67" t="s">
        <v>61</v>
      </c>
      <c r="S17" s="67" t="s">
        <v>91</v>
      </c>
      <c r="T17" s="50" t="s">
        <v>61</v>
      </c>
      <c r="U17" s="53"/>
      <c r="V17" s="54"/>
      <c r="W17" s="85" t="s">
        <v>62</v>
      </c>
      <c r="X17" s="57"/>
      <c r="Y17" s="38"/>
      <c r="Z17" s="39" t="s">
        <v>744</v>
      </c>
      <c r="AH17" s="38"/>
      <c r="AI17" s="38"/>
    </row>
    <row r="18">
      <c r="A18" s="38">
        <v>40.0</v>
      </c>
      <c r="B18" s="63" t="s">
        <v>274</v>
      </c>
      <c r="C18" s="51"/>
      <c r="D18" s="39" t="s">
        <v>55</v>
      </c>
      <c r="E18" s="38" t="s">
        <v>282</v>
      </c>
      <c r="F18" s="41" t="s">
        <v>283</v>
      </c>
      <c r="G18" s="43"/>
      <c r="H18" s="45"/>
      <c r="I18" s="38"/>
      <c r="J18" s="38">
        <f>3*1000</f>
        <v>3000</v>
      </c>
      <c r="K18" s="46">
        <v>0.003194444444444444</v>
      </c>
      <c r="L18" s="47" t="s">
        <v>60</v>
      </c>
      <c r="M18" s="60"/>
      <c r="N18" s="60"/>
      <c r="O18" s="38"/>
      <c r="P18" s="82">
        <v>43015.0</v>
      </c>
      <c r="Q18" s="12" t="str">
        <f t="shared" si="1"/>
        <v/>
      </c>
      <c r="R18" s="42"/>
      <c r="S18" s="42"/>
      <c r="T18" s="42"/>
      <c r="U18" s="51"/>
      <c r="V18" s="52"/>
      <c r="W18" s="55"/>
      <c r="X18" s="57"/>
      <c r="Y18" s="38"/>
      <c r="Z18" s="38"/>
      <c r="AA18" s="38"/>
      <c r="AB18" s="38"/>
      <c r="AH18" s="38"/>
      <c r="AI18" s="38"/>
    </row>
    <row r="19">
      <c r="A19" s="39">
        <v>40.01</v>
      </c>
      <c r="B19" s="63" t="s">
        <v>274</v>
      </c>
      <c r="C19" s="51"/>
      <c r="D19" s="39" t="s">
        <v>55</v>
      </c>
      <c r="E19" s="38"/>
      <c r="F19" s="41"/>
      <c r="G19" s="62" t="s">
        <v>749</v>
      </c>
      <c r="H19" s="58" t="s">
        <v>750</v>
      </c>
      <c r="I19" s="38"/>
      <c r="J19" s="38"/>
      <c r="K19" s="46"/>
      <c r="L19" s="47"/>
      <c r="M19" s="90">
        <v>0.0</v>
      </c>
      <c r="N19" s="90">
        <v>0.0031944444444444446</v>
      </c>
      <c r="O19" s="60">
        <f>N19-M19</f>
        <v>0.003194444444</v>
      </c>
      <c r="P19" s="82">
        <v>43015.0</v>
      </c>
      <c r="Q19" s="61" t="str">
        <f t="shared" si="1"/>
        <v>https://www.youtube.com/embed/THua8SMPtK4?start=0&amp;end=276&amp;autoplay=1</v>
      </c>
      <c r="R19" s="63" t="s">
        <v>61</v>
      </c>
      <c r="S19" s="63" t="s">
        <v>91</v>
      </c>
      <c r="T19" s="63" t="s">
        <v>61</v>
      </c>
      <c r="U19" s="51"/>
      <c r="V19" s="52"/>
      <c r="W19" s="81" t="s">
        <v>62</v>
      </c>
      <c r="X19" s="57"/>
      <c r="Y19" s="38"/>
      <c r="Z19" s="39" t="s">
        <v>753</v>
      </c>
      <c r="AA19" s="38"/>
      <c r="AB19" s="38"/>
      <c r="AH19" s="38"/>
      <c r="AI19" s="38"/>
    </row>
    <row r="20">
      <c r="A20" s="38">
        <v>41.0</v>
      </c>
      <c r="B20" s="63" t="s">
        <v>274</v>
      </c>
      <c r="C20" s="51"/>
      <c r="D20" s="39" t="s">
        <v>55</v>
      </c>
      <c r="E20" s="38" t="s">
        <v>287</v>
      </c>
      <c r="F20" s="41" t="s">
        <v>288</v>
      </c>
      <c r="G20" s="43"/>
      <c r="H20" s="45"/>
      <c r="I20" s="38"/>
      <c r="J20" s="38">
        <f>3.3*1000</f>
        <v>3300</v>
      </c>
      <c r="K20" s="46">
        <v>0.008865740740740742</v>
      </c>
      <c r="L20" s="47" t="s">
        <v>60</v>
      </c>
      <c r="M20" s="60"/>
      <c r="N20" s="60"/>
      <c r="O20" s="38"/>
      <c r="P20" s="82">
        <v>43015.0</v>
      </c>
      <c r="Q20" s="12" t="str">
        <f t="shared" si="1"/>
        <v/>
      </c>
      <c r="R20" s="42"/>
      <c r="S20" s="42"/>
      <c r="T20" s="42"/>
      <c r="U20" s="51"/>
      <c r="V20" s="52"/>
      <c r="W20" s="55"/>
      <c r="X20" s="57"/>
      <c r="Y20" s="38"/>
      <c r="Z20" s="38"/>
      <c r="AA20" s="38"/>
      <c r="AB20" s="38"/>
      <c r="AH20" s="38"/>
      <c r="AI20" s="38"/>
    </row>
    <row r="21">
      <c r="A21" s="39">
        <v>41.01</v>
      </c>
      <c r="B21" s="63" t="s">
        <v>274</v>
      </c>
      <c r="C21" s="51"/>
      <c r="D21" s="39" t="s">
        <v>55</v>
      </c>
      <c r="E21" s="38"/>
      <c r="F21" s="41"/>
      <c r="G21" s="62" t="s">
        <v>756</v>
      </c>
      <c r="H21" s="58" t="s">
        <v>757</v>
      </c>
      <c r="I21" s="38"/>
      <c r="J21" s="38"/>
      <c r="K21" s="46"/>
      <c r="L21" s="47"/>
      <c r="M21" s="90">
        <v>9.953703703703704E-4</v>
      </c>
      <c r="N21" s="90">
        <v>0.0021759259259259258</v>
      </c>
      <c r="O21" s="60">
        <f t="shared" ref="O21:O24" si="4">N21-M21</f>
        <v>0.001180555556</v>
      </c>
      <c r="P21" s="82">
        <v>43015.0</v>
      </c>
      <c r="Q21" s="61" t="str">
        <f t="shared" si="1"/>
        <v>https://www.youtube.com/embed/6_9IYK6ZlyY?start=86&amp;end=188&amp;autoplay=1</v>
      </c>
      <c r="R21" s="63" t="s">
        <v>61</v>
      </c>
      <c r="S21" s="63" t="s">
        <v>61</v>
      </c>
      <c r="T21" s="63" t="s">
        <v>61</v>
      </c>
      <c r="U21" s="51"/>
      <c r="V21" s="52"/>
      <c r="W21" s="81" t="s">
        <v>62</v>
      </c>
      <c r="X21" s="57"/>
      <c r="Y21" s="38"/>
      <c r="Z21" s="38"/>
      <c r="AA21" s="38"/>
      <c r="AB21" s="38"/>
      <c r="AH21" s="39"/>
      <c r="AI21" s="39"/>
    </row>
    <row r="22">
      <c r="A22" s="39">
        <v>41.02</v>
      </c>
      <c r="B22" s="63" t="s">
        <v>274</v>
      </c>
      <c r="C22" s="51"/>
      <c r="D22" s="39" t="s">
        <v>55</v>
      </c>
      <c r="E22" s="38"/>
      <c r="F22" s="41"/>
      <c r="G22" s="62" t="s">
        <v>760</v>
      </c>
      <c r="H22" s="58" t="s">
        <v>761</v>
      </c>
      <c r="I22" s="38"/>
      <c r="J22" s="38"/>
      <c r="K22" s="46"/>
      <c r="L22" s="47"/>
      <c r="M22" s="90">
        <v>0.0021875</v>
      </c>
      <c r="N22" s="90">
        <v>0.0036458333333333334</v>
      </c>
      <c r="O22" s="60">
        <f t="shared" si="4"/>
        <v>0.001458333333</v>
      </c>
      <c r="P22" s="82">
        <v>43015.0</v>
      </c>
      <c r="Q22" s="61" t="str">
        <f t="shared" si="1"/>
        <v>https://www.youtube.com/embed/6_9IYK6ZlyY?start=189&amp;end=315&amp;autoplay=1</v>
      </c>
      <c r="R22" s="63" t="s">
        <v>61</v>
      </c>
      <c r="S22" s="63" t="s">
        <v>61</v>
      </c>
      <c r="T22" s="63" t="s">
        <v>61</v>
      </c>
      <c r="U22" s="51"/>
      <c r="V22" s="52"/>
      <c r="W22" s="81" t="s">
        <v>62</v>
      </c>
      <c r="X22" s="57"/>
      <c r="Y22" s="38"/>
      <c r="Z22" s="39" t="s">
        <v>764</v>
      </c>
      <c r="AA22" s="38"/>
      <c r="AB22" s="38"/>
      <c r="AH22" s="39"/>
      <c r="AI22" s="39"/>
    </row>
    <row r="23">
      <c r="A23" s="39">
        <v>41.03</v>
      </c>
      <c r="B23" s="63" t="s">
        <v>274</v>
      </c>
      <c r="C23" s="51"/>
      <c r="D23" s="39" t="s">
        <v>55</v>
      </c>
      <c r="E23" s="38"/>
      <c r="F23" s="41"/>
      <c r="G23" s="62" t="s">
        <v>765</v>
      </c>
      <c r="H23" s="58" t="s">
        <v>766</v>
      </c>
      <c r="I23" s="38"/>
      <c r="J23" s="38"/>
      <c r="K23" s="46"/>
      <c r="L23" s="47"/>
      <c r="M23" s="90">
        <v>0.0036574074074074074</v>
      </c>
      <c r="N23" s="90">
        <v>0.005509259259259259</v>
      </c>
      <c r="O23" s="60">
        <f t="shared" si="4"/>
        <v>0.001851851852</v>
      </c>
      <c r="P23" s="82">
        <v>43015.0</v>
      </c>
      <c r="Q23" s="61" t="str">
        <f t="shared" si="1"/>
        <v>https://www.youtube.com/embed/6_9IYK6ZlyY?start=316&amp;end=476&amp;autoplay=1</v>
      </c>
      <c r="R23" s="63" t="s">
        <v>61</v>
      </c>
      <c r="S23" s="63" t="s">
        <v>61</v>
      </c>
      <c r="T23" s="63" t="s">
        <v>61</v>
      </c>
      <c r="U23" s="51"/>
      <c r="V23" s="52"/>
      <c r="W23" s="81" t="s">
        <v>62</v>
      </c>
      <c r="X23" s="57"/>
      <c r="Y23" s="38"/>
      <c r="Z23" s="39" t="s">
        <v>764</v>
      </c>
      <c r="AA23" s="38"/>
      <c r="AB23" s="38"/>
      <c r="AH23" s="39"/>
      <c r="AI23" s="39"/>
    </row>
    <row r="24">
      <c r="A24" s="39">
        <v>41.04</v>
      </c>
      <c r="B24" s="63" t="s">
        <v>274</v>
      </c>
      <c r="C24" s="51"/>
      <c r="D24" s="39" t="s">
        <v>55</v>
      </c>
      <c r="E24" s="38"/>
      <c r="F24" s="41"/>
      <c r="G24" s="62" t="s">
        <v>767</v>
      </c>
      <c r="H24" s="58" t="s">
        <v>768</v>
      </c>
      <c r="I24" s="38"/>
      <c r="J24" s="38"/>
      <c r="K24" s="46"/>
      <c r="L24" s="47"/>
      <c r="M24" s="90">
        <v>0.005520833333333333</v>
      </c>
      <c r="N24" s="90">
        <v>0.008842592592592593</v>
      </c>
      <c r="O24" s="60">
        <f t="shared" si="4"/>
        <v>0.003321759259</v>
      </c>
      <c r="P24" s="82">
        <v>43015.0</v>
      </c>
      <c r="Q24" s="61" t="str">
        <f t="shared" si="1"/>
        <v>https://www.youtube.com/embed/6_9IYK6ZlyY?start=477&amp;end=764&amp;autoplay=1</v>
      </c>
      <c r="R24" s="63" t="s">
        <v>61</v>
      </c>
      <c r="S24" s="63" t="s">
        <v>61</v>
      </c>
      <c r="T24" s="63" t="s">
        <v>61</v>
      </c>
      <c r="U24" s="51"/>
      <c r="V24" s="52"/>
      <c r="W24" s="81" t="s">
        <v>62</v>
      </c>
      <c r="X24" s="57"/>
      <c r="Y24" s="38"/>
      <c r="Z24" s="39" t="s">
        <v>764</v>
      </c>
      <c r="AA24" s="38"/>
      <c r="AB24" s="38"/>
      <c r="AH24" s="39"/>
      <c r="AI24" s="39"/>
    </row>
    <row r="25">
      <c r="A25" s="38">
        <v>42.0</v>
      </c>
      <c r="B25" s="63" t="s">
        <v>274</v>
      </c>
      <c r="C25" s="51"/>
      <c r="D25" s="39" t="s">
        <v>55</v>
      </c>
      <c r="E25" s="38" t="s">
        <v>294</v>
      </c>
      <c r="F25" s="41" t="s">
        <v>295</v>
      </c>
      <c r="J25" s="38">
        <f>1.7*1000</f>
        <v>1700</v>
      </c>
      <c r="K25" s="46">
        <v>0.0051967592592592595</v>
      </c>
      <c r="L25" s="47" t="s">
        <v>60</v>
      </c>
      <c r="P25" s="82">
        <v>43015.0</v>
      </c>
      <c r="Q25" s="12" t="str">
        <f t="shared" si="1"/>
        <v/>
      </c>
      <c r="R25" s="42"/>
      <c r="S25" s="42"/>
      <c r="T25" s="42"/>
      <c r="U25" s="51"/>
      <c r="V25" s="52"/>
      <c r="W25" s="55"/>
      <c r="X25" s="57"/>
      <c r="Y25" s="38"/>
      <c r="Z25" s="38"/>
      <c r="AA25" s="38"/>
      <c r="AB25" s="38"/>
      <c r="AH25" s="39"/>
      <c r="AI25" s="39"/>
    </row>
    <row r="26">
      <c r="A26" s="39">
        <v>42.1</v>
      </c>
      <c r="B26" s="63" t="s">
        <v>274</v>
      </c>
      <c r="C26" s="51"/>
      <c r="D26" s="39" t="s">
        <v>55</v>
      </c>
      <c r="E26" s="38"/>
      <c r="F26" s="41"/>
      <c r="G26" s="62" t="s">
        <v>775</v>
      </c>
      <c r="H26" s="58" t="s">
        <v>776</v>
      </c>
      <c r="I26" s="38"/>
      <c r="J26" s="38"/>
      <c r="K26" s="46"/>
      <c r="L26" s="47"/>
      <c r="M26" s="90">
        <v>0.0</v>
      </c>
      <c r="N26" s="90">
        <v>0.0051736111111111115</v>
      </c>
      <c r="O26" s="60">
        <f>N26-M26</f>
        <v>0.005173611111</v>
      </c>
      <c r="P26" s="82">
        <v>43015.0</v>
      </c>
      <c r="Q26" s="61" t="str">
        <f t="shared" si="1"/>
        <v>https://www.youtube.com/embed/LXrKKz7Mld8?start=0&amp;end=447&amp;autoplay=1</v>
      </c>
      <c r="R26" s="63" t="s">
        <v>61</v>
      </c>
      <c r="S26" s="63" t="s">
        <v>61</v>
      </c>
      <c r="T26" s="63" t="s">
        <v>61</v>
      </c>
      <c r="U26" s="51"/>
      <c r="V26" s="52"/>
      <c r="W26" s="81" t="s">
        <v>62</v>
      </c>
      <c r="X26" s="57"/>
      <c r="Y26" s="38"/>
      <c r="Z26" s="39" t="s">
        <v>778</v>
      </c>
      <c r="AA26" s="38"/>
      <c r="AB26" s="38"/>
      <c r="AH26" s="38"/>
      <c r="AI26" s="38"/>
    </row>
    <row r="27">
      <c r="A27" s="38">
        <v>43.0</v>
      </c>
      <c r="B27" s="63" t="s">
        <v>274</v>
      </c>
      <c r="C27" s="51"/>
      <c r="D27" s="39" t="s">
        <v>55</v>
      </c>
      <c r="E27" s="38" t="s">
        <v>299</v>
      </c>
      <c r="F27" s="41" t="s">
        <v>302</v>
      </c>
      <c r="G27" s="43"/>
      <c r="H27" s="45"/>
      <c r="I27" s="38"/>
      <c r="J27" s="38">
        <f>1*1000</f>
        <v>1000</v>
      </c>
      <c r="K27" s="46">
        <v>0.0034490740740740745</v>
      </c>
      <c r="L27" s="47" t="s">
        <v>60</v>
      </c>
      <c r="M27" s="60"/>
      <c r="N27" s="60"/>
      <c r="O27" s="38"/>
      <c r="P27" s="82">
        <v>43015.0</v>
      </c>
      <c r="Q27" s="12" t="str">
        <f t="shared" si="1"/>
        <v/>
      </c>
      <c r="R27" s="42"/>
      <c r="S27" s="42"/>
      <c r="T27" s="42"/>
      <c r="U27" s="51"/>
      <c r="V27" s="52"/>
      <c r="W27" s="55"/>
      <c r="X27" s="57"/>
      <c r="Y27" s="38"/>
      <c r="Z27" s="38"/>
      <c r="AA27" s="38"/>
      <c r="AB27" s="38"/>
      <c r="AH27" s="38"/>
      <c r="AI27" s="38"/>
    </row>
    <row r="28">
      <c r="A28" s="39">
        <v>43.1</v>
      </c>
      <c r="B28" s="63" t="s">
        <v>274</v>
      </c>
      <c r="C28" s="51"/>
      <c r="D28" s="39" t="s">
        <v>55</v>
      </c>
      <c r="E28" s="38"/>
      <c r="F28" s="41"/>
      <c r="G28" s="62" t="s">
        <v>782</v>
      </c>
      <c r="H28" s="58" t="s">
        <v>783</v>
      </c>
      <c r="I28" s="38"/>
      <c r="J28" s="38"/>
      <c r="K28" s="46"/>
      <c r="L28" s="47"/>
      <c r="M28" s="90">
        <v>0.0</v>
      </c>
      <c r="N28" s="90">
        <v>0.0034375</v>
      </c>
      <c r="O28" s="60">
        <f>N28-M28</f>
        <v>0.0034375</v>
      </c>
      <c r="P28" s="82">
        <v>43015.0</v>
      </c>
      <c r="Q28" s="61" t="str">
        <f t="shared" si="1"/>
        <v>https://www.youtube.com/embed/ufZ1BZcZzKI?start=0&amp;end=297&amp;autoplay=1</v>
      </c>
      <c r="R28" s="63" t="s">
        <v>61</v>
      </c>
      <c r="S28" s="63" t="s">
        <v>61</v>
      </c>
      <c r="T28" s="63" t="s">
        <v>61</v>
      </c>
      <c r="U28" s="51"/>
      <c r="V28" s="52"/>
      <c r="W28" s="81" t="s">
        <v>62</v>
      </c>
      <c r="X28" s="57"/>
      <c r="Y28" s="38"/>
      <c r="Z28" s="123" t="s">
        <v>764</v>
      </c>
      <c r="AA28" s="38"/>
      <c r="AB28" s="38"/>
      <c r="AH28" s="38"/>
      <c r="AI28" s="38"/>
    </row>
    <row r="29">
      <c r="A29" s="38">
        <v>44.0</v>
      </c>
      <c r="B29" s="63" t="s">
        <v>274</v>
      </c>
      <c r="C29" s="51"/>
      <c r="D29" s="39" t="s">
        <v>55</v>
      </c>
      <c r="E29" s="38" t="s">
        <v>309</v>
      </c>
      <c r="F29" s="41" t="s">
        <v>310</v>
      </c>
      <c r="G29" s="43"/>
      <c r="H29" s="45"/>
      <c r="I29" s="38"/>
      <c r="J29" s="38">
        <f>1.3*1000</f>
        <v>1300</v>
      </c>
      <c r="K29" s="46">
        <v>0.005324074074074075</v>
      </c>
      <c r="L29" s="47" t="s">
        <v>60</v>
      </c>
      <c r="M29" s="60"/>
      <c r="N29" s="60"/>
      <c r="O29" s="38"/>
      <c r="P29" s="82">
        <v>43015.0</v>
      </c>
      <c r="Q29" s="12" t="str">
        <f t="shared" si="1"/>
        <v/>
      </c>
      <c r="R29" s="42"/>
      <c r="S29" s="42"/>
      <c r="T29" s="42"/>
      <c r="U29" s="51"/>
      <c r="V29" s="52"/>
      <c r="W29" s="55"/>
      <c r="X29" s="57"/>
      <c r="Y29" s="38"/>
      <c r="Z29" s="38"/>
      <c r="AA29" s="38"/>
      <c r="AB29" s="38"/>
      <c r="AH29" s="38"/>
      <c r="AI29" s="38"/>
    </row>
    <row r="30">
      <c r="A30" s="39">
        <v>44.1</v>
      </c>
      <c r="B30" s="63" t="s">
        <v>274</v>
      </c>
      <c r="C30" s="51"/>
      <c r="D30" s="39" t="s">
        <v>55</v>
      </c>
      <c r="E30" s="38"/>
      <c r="F30" s="41"/>
      <c r="G30" s="62" t="s">
        <v>788</v>
      </c>
      <c r="H30" s="58" t="s">
        <v>789</v>
      </c>
      <c r="I30" s="38"/>
      <c r="J30" s="38"/>
      <c r="K30" s="46"/>
      <c r="L30" s="47"/>
      <c r="M30" s="90">
        <v>0.0030208333333333333</v>
      </c>
      <c r="N30" s="90">
        <v>0.0052893518518518515</v>
      </c>
      <c r="O30" s="60">
        <f>N30-M30</f>
        <v>0.002268518519</v>
      </c>
      <c r="P30" s="82">
        <v>43015.0</v>
      </c>
      <c r="Q30" s="61" t="str">
        <f t="shared" si="1"/>
        <v>https://www.youtube.com/embed/rNhQIKC2jPM?start=261&amp;end=457&amp;autoplay=1</v>
      </c>
      <c r="R30" s="63" t="s">
        <v>61</v>
      </c>
      <c r="S30" s="63" t="s">
        <v>61</v>
      </c>
      <c r="T30" s="63" t="s">
        <v>61</v>
      </c>
      <c r="U30" s="51"/>
      <c r="V30" s="52"/>
      <c r="W30" s="81" t="s">
        <v>62</v>
      </c>
      <c r="X30" s="57"/>
      <c r="Y30" s="38"/>
      <c r="Z30" s="39" t="s">
        <v>764</v>
      </c>
      <c r="AA30" s="38"/>
      <c r="AB30" s="38"/>
      <c r="AC30" s="65"/>
      <c r="AD30" s="65"/>
      <c r="AE30" s="65"/>
      <c r="AF30" s="65"/>
      <c r="AG30" s="65"/>
      <c r="AH30" s="38"/>
      <c r="AI30" s="38"/>
    </row>
    <row r="31">
      <c r="A31" s="38">
        <v>45.0</v>
      </c>
      <c r="B31" s="63" t="s">
        <v>274</v>
      </c>
      <c r="C31" s="51"/>
      <c r="D31" s="39" t="s">
        <v>55</v>
      </c>
      <c r="E31" s="38" t="s">
        <v>318</v>
      </c>
      <c r="F31" s="41" t="s">
        <v>319</v>
      </c>
      <c r="G31" s="43"/>
      <c r="H31" s="45"/>
      <c r="I31" s="38"/>
      <c r="J31" s="38">
        <f>1.3*1000</f>
        <v>1300</v>
      </c>
      <c r="K31" s="46">
        <v>0.008240740740740741</v>
      </c>
      <c r="L31" s="47" t="s">
        <v>60</v>
      </c>
      <c r="M31" s="60"/>
      <c r="N31" s="60"/>
      <c r="O31" s="38"/>
      <c r="P31" s="82">
        <v>43015.0</v>
      </c>
      <c r="Q31" s="12" t="str">
        <f t="shared" si="1"/>
        <v/>
      </c>
      <c r="R31" s="42"/>
      <c r="S31" s="42"/>
      <c r="T31" s="42"/>
      <c r="U31" s="51"/>
      <c r="V31" s="52"/>
      <c r="W31" s="55"/>
      <c r="X31" s="57"/>
      <c r="Y31" s="38"/>
      <c r="Z31" s="38"/>
      <c r="AA31" s="38"/>
      <c r="AB31" s="38"/>
      <c r="AC31" s="65"/>
      <c r="AD31" s="65"/>
      <c r="AE31" s="65"/>
      <c r="AF31" s="65"/>
      <c r="AG31" s="65"/>
      <c r="AH31" s="38"/>
      <c r="AI31" s="38"/>
    </row>
    <row r="32">
      <c r="A32" s="39">
        <v>45.1</v>
      </c>
      <c r="B32" s="63" t="s">
        <v>274</v>
      </c>
      <c r="C32" s="51"/>
      <c r="D32" s="39" t="s">
        <v>55</v>
      </c>
      <c r="E32" s="38"/>
      <c r="F32" s="41"/>
      <c r="G32" s="62" t="s">
        <v>793</v>
      </c>
      <c r="H32" s="58" t="s">
        <v>794</v>
      </c>
      <c r="I32" s="38"/>
      <c r="J32" s="38"/>
      <c r="K32" s="46"/>
      <c r="L32" s="47"/>
      <c r="M32" s="90">
        <v>0.0</v>
      </c>
      <c r="N32" s="90">
        <v>0.004166666666666667</v>
      </c>
      <c r="O32" s="60">
        <f>N32-M32</f>
        <v>0.004166666667</v>
      </c>
      <c r="P32" s="82">
        <v>43015.0</v>
      </c>
      <c r="Q32" s="61" t="str">
        <f t="shared" si="1"/>
        <v>https://www.youtube.com/embed/FndfcBhZklU?start=0&amp;end=360&amp;autoplay=1</v>
      </c>
      <c r="R32" s="63" t="s">
        <v>91</v>
      </c>
      <c r="S32" s="63" t="s">
        <v>61</v>
      </c>
      <c r="T32" s="63" t="s">
        <v>61</v>
      </c>
      <c r="U32" s="51"/>
      <c r="V32" s="52"/>
      <c r="W32" s="55"/>
      <c r="X32" s="57"/>
      <c r="Y32" s="38"/>
      <c r="Z32" s="39" t="s">
        <v>796</v>
      </c>
      <c r="AA32" s="38"/>
      <c r="AB32" s="38"/>
      <c r="AC32" s="65"/>
      <c r="AD32" s="65"/>
      <c r="AE32" s="65"/>
      <c r="AF32" s="65"/>
      <c r="AG32" s="65"/>
      <c r="AH32" s="38"/>
      <c r="AI32" s="38"/>
    </row>
    <row r="33">
      <c r="A33" s="38">
        <v>46.0</v>
      </c>
      <c r="B33" s="63" t="s">
        <v>274</v>
      </c>
      <c r="C33" s="51"/>
      <c r="D33" s="39" t="s">
        <v>55</v>
      </c>
      <c r="E33" s="38" t="s">
        <v>323</v>
      </c>
      <c r="F33" s="41" t="s">
        <v>324</v>
      </c>
      <c r="G33" s="43"/>
      <c r="H33" s="45"/>
      <c r="I33" s="38"/>
      <c r="J33" s="38">
        <f>940</f>
        <v>940</v>
      </c>
      <c r="K33" s="46">
        <v>0.0025925925925925925</v>
      </c>
      <c r="L33" s="47" t="s">
        <v>60</v>
      </c>
      <c r="M33" s="60"/>
      <c r="N33" s="60"/>
      <c r="O33" s="38"/>
      <c r="P33" s="82">
        <v>43015.0</v>
      </c>
      <c r="Q33" s="12" t="str">
        <f t="shared" si="1"/>
        <v/>
      </c>
      <c r="R33" s="42"/>
      <c r="S33" s="42"/>
      <c r="T33" s="42"/>
      <c r="U33" s="51"/>
      <c r="V33" s="52"/>
      <c r="W33" s="55"/>
      <c r="X33" s="57"/>
      <c r="Y33" s="38"/>
      <c r="Z33" s="38"/>
      <c r="AA33" s="38"/>
      <c r="AB33" s="38"/>
      <c r="AC33" s="65"/>
      <c r="AD33" s="65"/>
      <c r="AE33" s="65"/>
      <c r="AF33" s="65"/>
      <c r="AG33" s="65"/>
      <c r="AH33" s="38"/>
      <c r="AI33" s="38"/>
    </row>
    <row r="34">
      <c r="A34" s="39">
        <v>46.1</v>
      </c>
      <c r="B34" s="63" t="s">
        <v>274</v>
      </c>
      <c r="C34" s="51"/>
      <c r="D34" s="39" t="s">
        <v>55</v>
      </c>
      <c r="E34" s="38"/>
      <c r="F34" s="41"/>
      <c r="G34" s="62" t="s">
        <v>799</v>
      </c>
      <c r="H34" s="45"/>
      <c r="I34" s="38"/>
      <c r="J34" s="38"/>
      <c r="K34" s="46"/>
      <c r="L34" s="47"/>
      <c r="M34" s="90">
        <v>0.0</v>
      </c>
      <c r="N34" s="90">
        <v>0.0025694444444444445</v>
      </c>
      <c r="O34" s="60">
        <f>N34-M34</f>
        <v>0.002569444444</v>
      </c>
      <c r="P34" s="82">
        <v>43015.0</v>
      </c>
      <c r="Q34" s="61" t="str">
        <f t="shared" si="1"/>
        <v>https://www.youtube.com/embed/20u8yHim1tM?start=0&amp;end=222&amp;autoplay=1</v>
      </c>
      <c r="R34" s="63" t="s">
        <v>61</v>
      </c>
      <c r="S34" s="63" t="s">
        <v>61</v>
      </c>
      <c r="T34" s="63" t="s">
        <v>61</v>
      </c>
      <c r="U34" s="51"/>
      <c r="V34" s="52"/>
      <c r="W34" s="81" t="s">
        <v>62</v>
      </c>
      <c r="X34" s="57"/>
      <c r="Y34" s="38"/>
      <c r="Z34" s="39" t="s">
        <v>801</v>
      </c>
      <c r="AA34" s="38"/>
      <c r="AB34" s="38"/>
      <c r="AC34" s="65"/>
      <c r="AD34" s="65"/>
      <c r="AE34" s="65"/>
      <c r="AF34" s="65"/>
      <c r="AG34" s="65"/>
      <c r="AH34" s="38"/>
      <c r="AI34" s="38"/>
    </row>
    <row r="35">
      <c r="A35" s="38">
        <v>47.0</v>
      </c>
      <c r="B35" s="63" t="s">
        <v>274</v>
      </c>
      <c r="C35" s="51"/>
      <c r="D35" s="39" t="s">
        <v>71</v>
      </c>
      <c r="E35" s="38" t="s">
        <v>328</v>
      </c>
      <c r="F35" s="41" t="s">
        <v>329</v>
      </c>
      <c r="G35" s="43"/>
      <c r="H35" s="45"/>
      <c r="I35" s="38"/>
      <c r="J35" s="38">
        <f>864</f>
        <v>864</v>
      </c>
      <c r="K35" s="46">
        <v>0.004189814814814815</v>
      </c>
      <c r="L35" s="47" t="s">
        <v>60</v>
      </c>
      <c r="M35" s="60"/>
      <c r="N35" s="60"/>
      <c r="O35" s="38"/>
      <c r="P35" s="82">
        <v>43015.0</v>
      </c>
      <c r="Q35" s="12" t="str">
        <f t="shared" si="1"/>
        <v/>
      </c>
      <c r="R35" s="63" t="s">
        <v>61</v>
      </c>
      <c r="S35" s="63" t="s">
        <v>61</v>
      </c>
      <c r="T35" s="63" t="s">
        <v>61</v>
      </c>
      <c r="U35" s="51"/>
      <c r="V35" s="52"/>
      <c r="W35" s="81" t="s">
        <v>76</v>
      </c>
      <c r="X35" s="57"/>
      <c r="Y35" s="38"/>
      <c r="Z35" s="39" t="s">
        <v>803</v>
      </c>
      <c r="AA35" s="38"/>
      <c r="AB35" s="38"/>
      <c r="AC35" s="65"/>
      <c r="AD35" s="65"/>
      <c r="AE35" s="65"/>
      <c r="AF35" s="65"/>
      <c r="AG35" s="65"/>
      <c r="AH35" s="38"/>
      <c r="AI35" s="38"/>
    </row>
    <row r="36">
      <c r="A36" s="38">
        <v>48.0</v>
      </c>
      <c r="B36" s="63" t="s">
        <v>274</v>
      </c>
      <c r="C36" s="51"/>
      <c r="D36" s="39" t="s">
        <v>55</v>
      </c>
      <c r="E36" s="38" t="s">
        <v>333</v>
      </c>
      <c r="F36" s="41" t="s">
        <v>334</v>
      </c>
      <c r="G36" s="43"/>
      <c r="H36" s="45"/>
      <c r="I36" s="38"/>
      <c r="J36" s="38">
        <f>1.1*1000</f>
        <v>1100</v>
      </c>
      <c r="K36" s="46">
        <v>0.003298611111111111</v>
      </c>
      <c r="L36" s="47" t="s">
        <v>60</v>
      </c>
      <c r="M36" s="60"/>
      <c r="N36" s="60"/>
      <c r="O36" s="38"/>
      <c r="P36" s="82">
        <v>43015.0</v>
      </c>
      <c r="Q36" s="12" t="str">
        <f t="shared" si="1"/>
        <v/>
      </c>
      <c r="R36" s="42"/>
      <c r="S36" s="42"/>
      <c r="T36" s="42"/>
      <c r="U36" s="51"/>
      <c r="V36" s="52"/>
      <c r="W36" s="55"/>
      <c r="X36" s="57"/>
      <c r="Y36" s="38"/>
      <c r="Z36" s="38"/>
      <c r="AA36" s="38"/>
      <c r="AB36" s="38"/>
      <c r="AC36" s="65"/>
      <c r="AD36" s="65"/>
      <c r="AE36" s="65"/>
      <c r="AF36" s="65"/>
      <c r="AG36" s="65"/>
      <c r="AH36" s="38"/>
      <c r="AI36" s="38"/>
    </row>
    <row r="37">
      <c r="A37" s="39">
        <v>48.1</v>
      </c>
      <c r="B37" s="63" t="s">
        <v>274</v>
      </c>
      <c r="C37" s="51"/>
      <c r="D37" s="39" t="s">
        <v>55</v>
      </c>
      <c r="E37" s="38"/>
      <c r="F37" s="41"/>
      <c r="G37" s="62" t="s">
        <v>806</v>
      </c>
      <c r="H37" s="45"/>
      <c r="I37" s="38"/>
      <c r="J37" s="38"/>
      <c r="K37" s="46"/>
      <c r="L37" s="47"/>
      <c r="M37" s="90">
        <v>0.0</v>
      </c>
      <c r="N37" s="90">
        <v>0.003287037037037037</v>
      </c>
      <c r="O37" s="60">
        <f>N37-M37</f>
        <v>0.003287037037</v>
      </c>
      <c r="P37" s="82">
        <v>43015.0</v>
      </c>
      <c r="Q37" s="61" t="str">
        <f t="shared" si="1"/>
        <v>https://www.youtube.com/embed/QEUeYDEFtsE?start=0&amp;end=284&amp;autoplay=1</v>
      </c>
      <c r="R37" s="63" t="s">
        <v>61</v>
      </c>
      <c r="S37" s="63" t="s">
        <v>91</v>
      </c>
      <c r="T37" s="63" t="s">
        <v>61</v>
      </c>
      <c r="U37" s="51"/>
      <c r="V37" s="52"/>
      <c r="W37" s="81" t="s">
        <v>62</v>
      </c>
      <c r="X37" s="57"/>
      <c r="Y37" s="38"/>
      <c r="Z37" s="39" t="s">
        <v>807</v>
      </c>
      <c r="AA37" s="38"/>
      <c r="AB37" s="38"/>
      <c r="AH37" s="59"/>
      <c r="AI37" s="59"/>
    </row>
    <row r="38">
      <c r="A38" s="38">
        <v>49.0</v>
      </c>
      <c r="B38" s="63" t="s">
        <v>274</v>
      </c>
      <c r="C38" s="51"/>
      <c r="D38" s="39" t="s">
        <v>55</v>
      </c>
      <c r="E38" s="38" t="s">
        <v>338</v>
      </c>
      <c r="F38" s="41" t="s">
        <v>339</v>
      </c>
      <c r="G38" s="43"/>
      <c r="H38" s="45"/>
      <c r="I38" s="38"/>
      <c r="J38" s="38">
        <f>1.5*1000</f>
        <v>1500</v>
      </c>
      <c r="K38" s="46">
        <v>0.008946759259259258</v>
      </c>
      <c r="L38" s="47" t="s">
        <v>60</v>
      </c>
      <c r="M38" s="60"/>
      <c r="N38" s="60"/>
      <c r="O38" s="38"/>
      <c r="P38" s="82">
        <v>43015.0</v>
      </c>
      <c r="Q38" s="12" t="str">
        <f t="shared" si="1"/>
        <v/>
      </c>
      <c r="R38" s="42"/>
      <c r="S38" s="42"/>
      <c r="T38" s="42"/>
      <c r="U38" s="51"/>
      <c r="V38" s="52"/>
      <c r="W38" s="55"/>
      <c r="X38" s="57"/>
      <c r="Y38" s="38"/>
      <c r="Z38" s="38"/>
      <c r="AA38" s="38"/>
      <c r="AB38" s="38"/>
      <c r="AH38" s="59"/>
      <c r="AI38" s="59"/>
    </row>
    <row r="39">
      <c r="A39" s="39">
        <v>49.01</v>
      </c>
      <c r="B39" s="63" t="s">
        <v>274</v>
      </c>
      <c r="C39" s="51"/>
      <c r="D39" s="39" t="s">
        <v>55</v>
      </c>
      <c r="E39" s="38"/>
      <c r="F39" s="41"/>
      <c r="G39" s="62" t="s">
        <v>810</v>
      </c>
      <c r="H39" s="45"/>
      <c r="I39" s="38"/>
      <c r="J39" s="38"/>
      <c r="K39" s="46"/>
      <c r="L39" s="47"/>
      <c r="M39" s="84">
        <v>0.0</v>
      </c>
      <c r="N39" s="90">
        <v>0.004166666666666667</v>
      </c>
      <c r="O39" s="60">
        <f t="shared" ref="O39:O57" si="5">N39-M39</f>
        <v>0.004166666667</v>
      </c>
      <c r="P39" s="82">
        <v>43015.0</v>
      </c>
      <c r="Q39" s="61" t="str">
        <f t="shared" si="1"/>
        <v>https://www.youtube.com/embed/Yhp3rFuo5Cw?start=0&amp;end=360&amp;autoplay=1</v>
      </c>
      <c r="R39" s="67" t="s">
        <v>61</v>
      </c>
      <c r="S39" s="67" t="s">
        <v>61</v>
      </c>
      <c r="T39" s="67" t="s">
        <v>61</v>
      </c>
      <c r="U39" s="53"/>
      <c r="V39" s="54"/>
      <c r="W39" s="85" t="s">
        <v>62</v>
      </c>
      <c r="X39" s="57"/>
      <c r="Y39" s="38"/>
      <c r="Z39" s="39" t="s">
        <v>813</v>
      </c>
      <c r="AA39" s="65"/>
      <c r="AB39" s="65"/>
      <c r="AC39" s="65"/>
      <c r="AD39" s="65"/>
      <c r="AE39" s="65"/>
      <c r="AF39" s="65"/>
      <c r="AG39" s="65"/>
      <c r="AH39" s="38"/>
      <c r="AI39" s="38"/>
    </row>
    <row r="40">
      <c r="A40" s="39">
        <v>49.02</v>
      </c>
      <c r="B40" s="63" t="s">
        <v>274</v>
      </c>
      <c r="C40" s="51"/>
      <c r="D40" s="39" t="s">
        <v>55</v>
      </c>
      <c r="E40" s="38"/>
      <c r="F40" s="41"/>
      <c r="G40" s="62" t="s">
        <v>814</v>
      </c>
      <c r="H40" s="58"/>
      <c r="I40" s="38"/>
      <c r="J40" s="38"/>
      <c r="K40" s="46"/>
      <c r="L40" s="47"/>
      <c r="M40" s="84">
        <v>0.004178240740740741</v>
      </c>
      <c r="N40" s="84">
        <v>0.008923611111111111</v>
      </c>
      <c r="O40" s="46">
        <f t="shared" si="5"/>
        <v>0.00474537037</v>
      </c>
      <c r="P40" s="82">
        <v>43015.0</v>
      </c>
      <c r="Q40" s="61" t="str">
        <f t="shared" si="1"/>
        <v>https://www.youtube.com/embed/Yhp3rFuo5Cw?start=361&amp;end=771&amp;autoplay=1</v>
      </c>
      <c r="R40" s="67" t="s">
        <v>61</v>
      </c>
      <c r="S40" s="67" t="s">
        <v>61</v>
      </c>
      <c r="T40" s="67" t="s">
        <v>61</v>
      </c>
      <c r="U40" s="53"/>
      <c r="V40" s="54"/>
      <c r="W40" s="85" t="s">
        <v>62</v>
      </c>
      <c r="X40" s="57"/>
      <c r="Y40" s="38"/>
      <c r="Z40" s="39" t="s">
        <v>813</v>
      </c>
      <c r="AA40" s="65"/>
      <c r="AB40" s="65"/>
      <c r="AC40" s="65"/>
      <c r="AD40" s="65"/>
      <c r="AE40" s="65"/>
      <c r="AF40" s="65"/>
      <c r="AG40" s="65"/>
      <c r="AH40" s="38"/>
      <c r="AI40" s="38"/>
    </row>
    <row r="41">
      <c r="A41" s="38">
        <v>73.0</v>
      </c>
      <c r="B41" s="63" t="s">
        <v>274</v>
      </c>
      <c r="C41" s="51"/>
      <c r="D41" s="39" t="s">
        <v>55</v>
      </c>
      <c r="E41" s="38" t="s">
        <v>469</v>
      </c>
      <c r="F41" s="41" t="s">
        <v>471</v>
      </c>
      <c r="G41" s="43"/>
      <c r="H41" s="45"/>
      <c r="I41" s="38"/>
      <c r="J41" s="38">
        <f>28*1000</f>
        <v>28000</v>
      </c>
      <c r="K41" s="46">
        <v>0.06715277777777778</v>
      </c>
      <c r="L41" s="47" t="s">
        <v>211</v>
      </c>
      <c r="M41" s="48"/>
      <c r="N41" s="48"/>
      <c r="O41" s="48">
        <f t="shared" si="5"/>
        <v>0</v>
      </c>
      <c r="P41" s="89">
        <v>43021.0</v>
      </c>
      <c r="Q41" s="12" t="str">
        <f t="shared" si="1"/>
        <v/>
      </c>
      <c r="R41" s="42"/>
      <c r="S41" s="42"/>
      <c r="T41" s="42"/>
      <c r="U41" s="51"/>
      <c r="V41" s="52"/>
      <c r="W41" s="55"/>
      <c r="X41" s="57"/>
      <c r="Y41" s="38"/>
      <c r="Z41" s="38"/>
      <c r="AA41" s="38"/>
      <c r="AB41" s="38"/>
      <c r="AC41" s="65"/>
      <c r="AD41" s="65"/>
      <c r="AE41" s="65"/>
      <c r="AF41" s="65"/>
      <c r="AG41" s="65"/>
      <c r="AH41" s="38"/>
      <c r="AI41" s="38"/>
    </row>
    <row r="42">
      <c r="A42" s="39">
        <v>73.01</v>
      </c>
      <c r="B42" s="63" t="s">
        <v>274</v>
      </c>
      <c r="C42" s="51"/>
      <c r="D42" s="39" t="s">
        <v>55</v>
      </c>
      <c r="E42" s="38"/>
      <c r="F42" s="41"/>
      <c r="G42" s="62" t="s">
        <v>819</v>
      </c>
      <c r="H42" s="58" t="s">
        <v>820</v>
      </c>
      <c r="I42" s="38"/>
      <c r="J42" s="38"/>
      <c r="K42" s="46"/>
      <c r="L42" s="47"/>
      <c r="M42" s="84">
        <v>0.0025925925925925925</v>
      </c>
      <c r="N42" s="105">
        <v>0.007939814814814814</v>
      </c>
      <c r="O42" s="124">
        <f t="shared" si="5"/>
        <v>0.005347222222</v>
      </c>
      <c r="P42" s="89">
        <v>43021.0</v>
      </c>
      <c r="Q42" s="12"/>
      <c r="R42" s="67" t="s">
        <v>91</v>
      </c>
      <c r="S42" s="67" t="s">
        <v>91</v>
      </c>
      <c r="T42" s="67" t="s">
        <v>61</v>
      </c>
      <c r="U42" s="53"/>
      <c r="V42" s="54"/>
      <c r="W42" s="85" t="s">
        <v>62</v>
      </c>
      <c r="X42" s="70"/>
      <c r="Y42" s="59"/>
      <c r="Z42" s="39" t="s">
        <v>823</v>
      </c>
      <c r="AA42" s="65"/>
      <c r="AB42" s="65"/>
      <c r="AC42" s="65"/>
      <c r="AD42" s="65"/>
      <c r="AE42" s="65"/>
      <c r="AF42" s="65"/>
      <c r="AG42" s="65"/>
      <c r="AH42" s="38"/>
      <c r="AI42" s="38"/>
    </row>
    <row r="43">
      <c r="A43" s="39">
        <v>73.02</v>
      </c>
      <c r="B43" s="63" t="s">
        <v>274</v>
      </c>
      <c r="C43" s="51"/>
      <c r="D43" s="39" t="s">
        <v>55</v>
      </c>
      <c r="E43" s="38"/>
      <c r="F43" s="41"/>
      <c r="G43" s="62" t="s">
        <v>824</v>
      </c>
      <c r="H43" s="58"/>
      <c r="I43" s="38"/>
      <c r="J43" s="38"/>
      <c r="K43" s="46"/>
      <c r="L43" s="47"/>
      <c r="M43" s="84">
        <v>0.011631944444444445</v>
      </c>
      <c r="N43" s="84">
        <v>0.015104166666666667</v>
      </c>
      <c r="O43" s="46">
        <f t="shared" si="5"/>
        <v>0.003472222222</v>
      </c>
      <c r="P43" s="89">
        <v>43021.0</v>
      </c>
      <c r="Q43" s="12"/>
      <c r="R43" s="67" t="s">
        <v>61</v>
      </c>
      <c r="S43" s="67" t="s">
        <v>91</v>
      </c>
      <c r="T43" s="67" t="s">
        <v>61</v>
      </c>
      <c r="U43" s="53"/>
      <c r="V43" s="54"/>
      <c r="W43" s="85" t="s">
        <v>62</v>
      </c>
      <c r="X43" s="70"/>
      <c r="Y43" s="59"/>
      <c r="Z43" s="59"/>
      <c r="AA43" s="65"/>
      <c r="AB43" s="65"/>
      <c r="AC43" s="65"/>
      <c r="AD43" s="65"/>
      <c r="AE43" s="65"/>
      <c r="AF43" s="65"/>
      <c r="AG43" s="65"/>
      <c r="AH43" s="38"/>
      <c r="AI43" s="38"/>
    </row>
    <row r="44">
      <c r="A44" s="39">
        <v>73.03</v>
      </c>
      <c r="B44" s="63" t="s">
        <v>274</v>
      </c>
      <c r="C44" s="51"/>
      <c r="D44" s="39" t="s">
        <v>55</v>
      </c>
      <c r="E44" s="38"/>
      <c r="F44" s="41"/>
      <c r="G44" s="62" t="s">
        <v>827</v>
      </c>
      <c r="H44" s="58"/>
      <c r="I44" s="38"/>
      <c r="J44" s="38"/>
      <c r="K44" s="46"/>
      <c r="L44" s="47"/>
      <c r="M44" s="84">
        <v>0.015474537037037037</v>
      </c>
      <c r="N44" s="84">
        <v>0.017361111111111112</v>
      </c>
      <c r="O44" s="46">
        <f t="shared" si="5"/>
        <v>0.001886574074</v>
      </c>
      <c r="P44" s="89">
        <v>43021.0</v>
      </c>
      <c r="Q44" s="12"/>
      <c r="R44" s="67" t="s">
        <v>61</v>
      </c>
      <c r="S44" s="67" t="s">
        <v>91</v>
      </c>
      <c r="T44" s="67" t="s">
        <v>61</v>
      </c>
      <c r="U44" s="53"/>
      <c r="V44" s="54"/>
      <c r="W44" s="85" t="s">
        <v>62</v>
      </c>
      <c r="X44" s="70"/>
      <c r="Y44" s="59"/>
      <c r="Z44" s="59"/>
      <c r="AA44" s="65"/>
      <c r="AB44" s="65"/>
      <c r="AC44" s="65"/>
      <c r="AD44" s="65"/>
      <c r="AE44" s="65"/>
      <c r="AF44" s="65"/>
      <c r="AG44" s="65"/>
      <c r="AH44" s="38"/>
      <c r="AI44" s="38"/>
    </row>
    <row r="45">
      <c r="A45" s="39">
        <v>73.04</v>
      </c>
      <c r="B45" s="63" t="s">
        <v>274</v>
      </c>
      <c r="C45" s="51"/>
      <c r="D45" s="39" t="s">
        <v>55</v>
      </c>
      <c r="E45" s="38"/>
      <c r="F45" s="41"/>
      <c r="G45" s="62" t="s">
        <v>828</v>
      </c>
      <c r="H45" s="58"/>
      <c r="I45" s="38"/>
      <c r="J45" s="38"/>
      <c r="K45" s="46"/>
      <c r="L45" s="47"/>
      <c r="M45" s="84">
        <v>0.017372685185185185</v>
      </c>
      <c r="N45" s="84">
        <v>0.019965277777777776</v>
      </c>
      <c r="O45" s="46">
        <f t="shared" si="5"/>
        <v>0.002592592593</v>
      </c>
      <c r="P45" s="89">
        <v>43021.0</v>
      </c>
      <c r="Q45" s="12"/>
      <c r="R45" s="67" t="s">
        <v>61</v>
      </c>
      <c r="S45" s="67" t="s">
        <v>91</v>
      </c>
      <c r="T45" s="67" t="s">
        <v>61</v>
      </c>
      <c r="U45" s="53"/>
      <c r="V45" s="54"/>
      <c r="W45" s="85" t="s">
        <v>62</v>
      </c>
      <c r="X45" s="70"/>
      <c r="Y45" s="59"/>
      <c r="Z45" s="59"/>
      <c r="AA45" s="65"/>
      <c r="AB45" s="65"/>
      <c r="AC45" s="65"/>
      <c r="AD45" s="65"/>
      <c r="AE45" s="65"/>
      <c r="AF45" s="65"/>
      <c r="AG45" s="65"/>
      <c r="AH45" s="38"/>
      <c r="AI45" s="38"/>
    </row>
    <row r="46">
      <c r="A46" s="39">
        <v>73.05</v>
      </c>
      <c r="B46" s="63" t="s">
        <v>274</v>
      </c>
      <c r="C46" s="51"/>
      <c r="D46" s="39" t="s">
        <v>55</v>
      </c>
      <c r="E46" s="38"/>
      <c r="F46" s="41"/>
      <c r="G46" s="62" t="s">
        <v>831</v>
      </c>
      <c r="H46" s="45"/>
      <c r="I46" s="38"/>
      <c r="J46" s="38"/>
      <c r="K46" s="46"/>
      <c r="L46" s="47"/>
      <c r="M46" s="84">
        <v>0.020104166666666666</v>
      </c>
      <c r="N46" s="84">
        <v>0.024583333333333332</v>
      </c>
      <c r="O46" s="46">
        <f t="shared" si="5"/>
        <v>0.004479166667</v>
      </c>
      <c r="P46" s="89">
        <v>43021.0</v>
      </c>
      <c r="Q46" s="12"/>
      <c r="R46" s="67" t="s">
        <v>61</v>
      </c>
      <c r="S46" s="67" t="s">
        <v>91</v>
      </c>
      <c r="T46" s="67" t="s">
        <v>61</v>
      </c>
      <c r="U46" s="53"/>
      <c r="V46" s="54"/>
      <c r="W46" s="85" t="s">
        <v>62</v>
      </c>
      <c r="X46" s="57"/>
      <c r="Y46" s="38"/>
      <c r="Z46" s="38"/>
      <c r="AA46" s="65"/>
      <c r="AB46" s="65"/>
      <c r="AC46" s="65"/>
      <c r="AD46" s="65"/>
      <c r="AE46" s="65"/>
      <c r="AF46" s="65"/>
      <c r="AG46" s="65"/>
      <c r="AH46" s="38"/>
      <c r="AI46" s="38"/>
    </row>
    <row r="47">
      <c r="A47" s="39">
        <v>73.06</v>
      </c>
      <c r="B47" s="63" t="s">
        <v>274</v>
      </c>
      <c r="C47" s="51"/>
      <c r="D47" s="39" t="s">
        <v>55</v>
      </c>
      <c r="E47" s="38"/>
      <c r="F47" s="41"/>
      <c r="G47" s="62" t="s">
        <v>834</v>
      </c>
      <c r="H47" s="71"/>
      <c r="I47" s="38"/>
      <c r="J47" s="38"/>
      <c r="K47" s="46"/>
      <c r="L47" s="47"/>
      <c r="M47" s="84">
        <v>0.025520833333333333</v>
      </c>
      <c r="N47" s="84">
        <v>0.029189814814814814</v>
      </c>
      <c r="O47" s="46">
        <f t="shared" si="5"/>
        <v>0.003668981481</v>
      </c>
      <c r="P47" s="89">
        <v>43021.0</v>
      </c>
      <c r="Q47" s="12"/>
      <c r="R47" s="67" t="s">
        <v>61</v>
      </c>
      <c r="S47" s="67" t="s">
        <v>91</v>
      </c>
      <c r="T47" s="67" t="s">
        <v>61</v>
      </c>
      <c r="U47" s="53"/>
      <c r="V47" s="54"/>
      <c r="W47" s="85" t="s">
        <v>62</v>
      </c>
      <c r="X47" s="57"/>
      <c r="Y47" s="38"/>
      <c r="Z47" s="38"/>
      <c r="AA47" s="65"/>
      <c r="AB47" s="65"/>
      <c r="AC47" s="65"/>
      <c r="AD47" s="65"/>
      <c r="AE47" s="65"/>
      <c r="AF47" s="65"/>
      <c r="AG47" s="65"/>
      <c r="AH47" s="38"/>
      <c r="AI47" s="38"/>
    </row>
    <row r="48">
      <c r="A48" s="39">
        <v>73.07</v>
      </c>
      <c r="B48" s="63" t="s">
        <v>274</v>
      </c>
      <c r="C48" s="51"/>
      <c r="D48" s="39" t="s">
        <v>55</v>
      </c>
      <c r="E48" s="38"/>
      <c r="F48" s="41"/>
      <c r="G48" s="62" t="s">
        <v>835</v>
      </c>
      <c r="H48" s="71"/>
      <c r="I48" s="38"/>
      <c r="J48" s="38"/>
      <c r="K48" s="46"/>
      <c r="L48" s="47"/>
      <c r="M48" s="84">
        <v>0.029421296296296296</v>
      </c>
      <c r="N48" s="84">
        <v>0.03574074074074074</v>
      </c>
      <c r="O48" s="46">
        <f t="shared" si="5"/>
        <v>0.006319444444</v>
      </c>
      <c r="P48" s="89">
        <v>43021.0</v>
      </c>
      <c r="Q48" s="12"/>
      <c r="R48" s="67" t="s">
        <v>61</v>
      </c>
      <c r="S48" s="67" t="s">
        <v>91</v>
      </c>
      <c r="T48" s="67" t="s">
        <v>61</v>
      </c>
      <c r="U48" s="53"/>
      <c r="V48" s="54"/>
      <c r="W48" s="85" t="s">
        <v>62</v>
      </c>
      <c r="X48" s="57"/>
      <c r="Y48" s="38"/>
      <c r="Z48" s="38"/>
      <c r="AA48" s="65"/>
      <c r="AB48" s="65"/>
      <c r="AC48" s="65"/>
      <c r="AD48" s="65"/>
      <c r="AE48" s="65"/>
      <c r="AF48" s="65"/>
      <c r="AG48" s="65"/>
      <c r="AH48" s="38"/>
      <c r="AI48" s="38"/>
    </row>
    <row r="49">
      <c r="A49" s="39">
        <v>73.08</v>
      </c>
      <c r="B49" s="63" t="s">
        <v>274</v>
      </c>
      <c r="C49" s="51"/>
      <c r="D49" s="39" t="s">
        <v>55</v>
      </c>
      <c r="E49" s="38"/>
      <c r="F49" s="41"/>
      <c r="G49" s="62" t="s">
        <v>838</v>
      </c>
      <c r="H49" s="71"/>
      <c r="I49" s="38"/>
      <c r="J49" s="38"/>
      <c r="K49" s="46"/>
      <c r="L49" s="47"/>
      <c r="M49" s="84">
        <v>0.03582175925925926</v>
      </c>
      <c r="N49" s="84">
        <v>0.039780092592592596</v>
      </c>
      <c r="O49" s="46">
        <f t="shared" si="5"/>
        <v>0.003958333333</v>
      </c>
      <c r="P49" s="89">
        <v>43021.0</v>
      </c>
      <c r="Q49" s="12"/>
      <c r="R49" s="67" t="s">
        <v>61</v>
      </c>
      <c r="S49" s="67" t="s">
        <v>91</v>
      </c>
      <c r="T49" s="67" t="s">
        <v>61</v>
      </c>
      <c r="U49" s="53"/>
      <c r="V49" s="54"/>
      <c r="W49" s="85" t="s">
        <v>62</v>
      </c>
      <c r="X49" s="57"/>
      <c r="Y49" s="38"/>
      <c r="Z49" s="38"/>
      <c r="AA49" s="65"/>
      <c r="AB49" s="65"/>
      <c r="AC49" s="65"/>
      <c r="AD49" s="65"/>
      <c r="AE49" s="65"/>
      <c r="AF49" s="65"/>
      <c r="AG49" s="65"/>
      <c r="AH49" s="38"/>
      <c r="AI49" s="38"/>
    </row>
    <row r="50">
      <c r="A50" s="39">
        <v>73.09</v>
      </c>
      <c r="B50" s="63" t="s">
        <v>274</v>
      </c>
      <c r="C50" s="51"/>
      <c r="D50" s="39" t="s">
        <v>55</v>
      </c>
      <c r="E50" s="74"/>
      <c r="F50" s="75"/>
      <c r="G50" s="76" t="s">
        <v>839</v>
      </c>
      <c r="H50" s="65"/>
      <c r="I50" s="73"/>
      <c r="J50" s="73"/>
      <c r="K50" s="46"/>
      <c r="L50" s="73"/>
      <c r="M50" s="84">
        <v>0.03841435185185185</v>
      </c>
      <c r="N50" s="84">
        <v>0.04483796296296296</v>
      </c>
      <c r="O50" s="46">
        <f t="shared" si="5"/>
        <v>0.006423611111</v>
      </c>
      <c r="P50" s="89">
        <v>43021.0</v>
      </c>
      <c r="Q50" s="12"/>
      <c r="R50" s="67" t="s">
        <v>61</v>
      </c>
      <c r="S50" s="67" t="s">
        <v>91</v>
      </c>
      <c r="T50" s="67" t="s">
        <v>61</v>
      </c>
      <c r="U50" s="53"/>
      <c r="V50" s="54"/>
      <c r="W50" s="85" t="s">
        <v>62</v>
      </c>
      <c r="X50" s="69"/>
      <c r="Y50" s="39"/>
      <c r="Z50" s="39"/>
      <c r="AA50" s="65"/>
      <c r="AB50" s="65"/>
      <c r="AC50" s="65"/>
      <c r="AD50" s="65"/>
      <c r="AE50" s="65"/>
      <c r="AF50" s="65"/>
      <c r="AG50" s="65"/>
      <c r="AH50" s="38"/>
      <c r="AI50" s="38"/>
    </row>
    <row r="51">
      <c r="A51" s="107">
        <v>73.1</v>
      </c>
      <c r="B51" s="63" t="s">
        <v>274</v>
      </c>
      <c r="C51" s="51"/>
      <c r="D51" s="39" t="s">
        <v>55</v>
      </c>
      <c r="E51" s="38"/>
      <c r="F51" s="43"/>
      <c r="G51" s="39" t="s">
        <v>841</v>
      </c>
      <c r="H51" s="71"/>
      <c r="I51" s="38"/>
      <c r="J51" s="38"/>
      <c r="K51" s="46"/>
      <c r="L51" s="47"/>
      <c r="M51" s="84">
        <v>0.044849537037037035</v>
      </c>
      <c r="N51" s="84">
        <v>0.04753472222222222</v>
      </c>
      <c r="O51" s="46">
        <f t="shared" si="5"/>
        <v>0.002685185185</v>
      </c>
      <c r="P51" s="89">
        <v>43021.0</v>
      </c>
      <c r="Q51" s="12"/>
      <c r="R51" s="67" t="s">
        <v>61</v>
      </c>
      <c r="S51" s="67" t="s">
        <v>91</v>
      </c>
      <c r="T51" s="67" t="s">
        <v>61</v>
      </c>
      <c r="U51" s="53"/>
      <c r="V51" s="54"/>
      <c r="W51" s="85" t="s">
        <v>62</v>
      </c>
      <c r="X51" s="77"/>
      <c r="Y51" s="65"/>
      <c r="Z51" s="65"/>
      <c r="AA51" s="65"/>
      <c r="AB51" s="65"/>
      <c r="AC51" s="65"/>
      <c r="AD51" s="65"/>
      <c r="AE51" s="65"/>
      <c r="AF51" s="65"/>
      <c r="AG51" s="65"/>
      <c r="AH51" s="38"/>
      <c r="AI51" s="38"/>
    </row>
    <row r="52">
      <c r="A52" s="39">
        <v>73.11</v>
      </c>
      <c r="B52" s="63" t="s">
        <v>274</v>
      </c>
      <c r="C52" s="51"/>
      <c r="D52" s="39" t="s">
        <v>55</v>
      </c>
      <c r="E52" s="38"/>
      <c r="F52" s="43"/>
      <c r="G52" s="39" t="s">
        <v>843</v>
      </c>
      <c r="H52" s="71"/>
      <c r="I52" s="38"/>
      <c r="J52" s="38"/>
      <c r="K52" s="46"/>
      <c r="L52" s="47"/>
      <c r="M52" s="84">
        <v>0.04857638888888889</v>
      </c>
      <c r="N52" s="84">
        <v>0.05061342592592592</v>
      </c>
      <c r="O52" s="46">
        <f t="shared" si="5"/>
        <v>0.002037037037</v>
      </c>
      <c r="P52" s="89">
        <v>43021.0</v>
      </c>
      <c r="Q52" s="12"/>
      <c r="R52" s="67" t="s">
        <v>61</v>
      </c>
      <c r="S52" s="67" t="s">
        <v>91</v>
      </c>
      <c r="T52" s="67" t="s">
        <v>61</v>
      </c>
      <c r="U52" s="53"/>
      <c r="V52" s="54"/>
      <c r="W52" s="85" t="s">
        <v>62</v>
      </c>
      <c r="X52" s="57"/>
      <c r="Y52" s="38"/>
      <c r="Z52" s="38"/>
      <c r="AA52" s="65"/>
      <c r="AB52" s="65"/>
      <c r="AC52" s="65"/>
      <c r="AD52" s="65"/>
      <c r="AE52" s="65"/>
      <c r="AF52" s="65"/>
      <c r="AG52" s="65"/>
      <c r="AH52" s="38"/>
      <c r="AI52" s="38"/>
    </row>
    <row r="53">
      <c r="A53" s="39">
        <v>73.12</v>
      </c>
      <c r="B53" s="63" t="s">
        <v>274</v>
      </c>
      <c r="C53" s="51"/>
      <c r="D53" s="39" t="s">
        <v>55</v>
      </c>
      <c r="E53" s="38"/>
      <c r="F53" s="43"/>
      <c r="G53" s="39" t="s">
        <v>844</v>
      </c>
      <c r="H53" s="71"/>
      <c r="I53" s="38"/>
      <c r="J53" s="38"/>
      <c r="K53" s="46"/>
      <c r="L53" s="47"/>
      <c r="M53" s="84">
        <v>0.05085648148148148</v>
      </c>
      <c r="N53" s="84">
        <v>0.0522337962962963</v>
      </c>
      <c r="O53" s="46">
        <f t="shared" si="5"/>
        <v>0.001377314815</v>
      </c>
      <c r="P53" s="89">
        <v>43021.0</v>
      </c>
      <c r="Q53" s="12"/>
      <c r="R53" s="67" t="s">
        <v>61</v>
      </c>
      <c r="S53" s="67" t="s">
        <v>91</v>
      </c>
      <c r="T53" s="67" t="s">
        <v>61</v>
      </c>
      <c r="U53" s="53"/>
      <c r="V53" s="54"/>
      <c r="W53" s="85" t="s">
        <v>62</v>
      </c>
      <c r="X53" s="57"/>
      <c r="Y53" s="38"/>
      <c r="Z53" s="38"/>
      <c r="AA53" s="65"/>
      <c r="AB53" s="65"/>
      <c r="AC53" s="65"/>
      <c r="AD53" s="65"/>
      <c r="AE53" s="65"/>
      <c r="AF53" s="65"/>
      <c r="AG53" s="65"/>
      <c r="AH53" s="38"/>
      <c r="AI53" s="38"/>
    </row>
    <row r="54">
      <c r="A54" s="39">
        <v>73.13</v>
      </c>
      <c r="B54" s="63" t="s">
        <v>274</v>
      </c>
      <c r="C54" s="51"/>
      <c r="D54" s="39" t="s">
        <v>55</v>
      </c>
      <c r="E54" s="38"/>
      <c r="F54" s="43"/>
      <c r="G54" s="39" t="s">
        <v>847</v>
      </c>
      <c r="H54" s="71"/>
      <c r="I54" s="38"/>
      <c r="J54" s="38"/>
      <c r="K54" s="46"/>
      <c r="L54" s="47"/>
      <c r="M54" s="84">
        <v>0.052256944444444446</v>
      </c>
      <c r="N54" s="84">
        <v>0.05506944444444444</v>
      </c>
      <c r="O54" s="46">
        <f t="shared" si="5"/>
        <v>0.0028125</v>
      </c>
      <c r="P54" s="89">
        <v>43021.0</v>
      </c>
      <c r="Q54" s="12"/>
      <c r="R54" s="67" t="s">
        <v>61</v>
      </c>
      <c r="S54" s="67" t="s">
        <v>91</v>
      </c>
      <c r="T54" s="67" t="s">
        <v>61</v>
      </c>
      <c r="U54" s="53"/>
      <c r="V54" s="54"/>
      <c r="W54" s="85" t="s">
        <v>62</v>
      </c>
      <c r="X54" s="57"/>
      <c r="Y54" s="38"/>
      <c r="Z54" s="38"/>
      <c r="AA54" s="65"/>
      <c r="AB54" s="65"/>
      <c r="AC54" s="65"/>
      <c r="AD54" s="65"/>
      <c r="AE54" s="65"/>
      <c r="AF54" s="65"/>
      <c r="AG54" s="65"/>
      <c r="AH54" s="38"/>
      <c r="AI54" s="38"/>
    </row>
    <row r="55">
      <c r="A55" s="39">
        <v>73.14</v>
      </c>
      <c r="B55" s="63" t="s">
        <v>274</v>
      </c>
      <c r="C55" s="51"/>
      <c r="D55" s="39" t="s">
        <v>55</v>
      </c>
      <c r="E55" s="38"/>
      <c r="F55" s="43"/>
      <c r="G55" s="39" t="s">
        <v>849</v>
      </c>
      <c r="H55" s="71"/>
      <c r="I55" s="38"/>
      <c r="J55" s="38"/>
      <c r="K55" s="46"/>
      <c r="L55" s="47"/>
      <c r="M55" s="84">
        <v>0.05511574074074074</v>
      </c>
      <c r="N55" s="84">
        <v>0.05832175925925926</v>
      </c>
      <c r="O55" s="46">
        <f t="shared" si="5"/>
        <v>0.003206018519</v>
      </c>
      <c r="P55" s="89">
        <v>43021.0</v>
      </c>
      <c r="Q55" s="12"/>
      <c r="R55" s="67" t="s">
        <v>61</v>
      </c>
      <c r="S55" s="67" t="s">
        <v>91</v>
      </c>
      <c r="T55" s="67" t="s">
        <v>61</v>
      </c>
      <c r="U55" s="53"/>
      <c r="V55" s="54"/>
      <c r="W55" s="85" t="s">
        <v>62</v>
      </c>
      <c r="X55" s="69"/>
      <c r="Y55" s="39"/>
      <c r="Z55" s="39"/>
      <c r="AA55" s="38"/>
      <c r="AB55" s="38"/>
      <c r="AC55" s="79"/>
      <c r="AD55" s="79"/>
      <c r="AE55" s="79"/>
      <c r="AF55" s="79"/>
      <c r="AG55" s="79"/>
      <c r="AH55" s="38"/>
      <c r="AI55" s="38"/>
    </row>
    <row r="56">
      <c r="A56" s="39">
        <v>73.15</v>
      </c>
      <c r="B56" s="63" t="s">
        <v>274</v>
      </c>
      <c r="C56" s="51"/>
      <c r="D56" s="39" t="s">
        <v>55</v>
      </c>
      <c r="E56" s="38"/>
      <c r="F56" s="43"/>
      <c r="G56" s="39" t="s">
        <v>851</v>
      </c>
      <c r="H56" s="71"/>
      <c r="I56" s="38"/>
      <c r="J56" s="38"/>
      <c r="K56" s="46"/>
      <c r="L56" s="47"/>
      <c r="M56" s="84">
        <v>0.05834490740740741</v>
      </c>
      <c r="N56" s="84">
        <v>0.0625</v>
      </c>
      <c r="O56" s="46">
        <f t="shared" si="5"/>
        <v>0.004155092593</v>
      </c>
      <c r="P56" s="89">
        <v>43021.0</v>
      </c>
      <c r="Q56" s="12"/>
      <c r="R56" s="67" t="s">
        <v>61</v>
      </c>
      <c r="S56" s="67" t="s">
        <v>91</v>
      </c>
      <c r="T56" s="67" t="s">
        <v>61</v>
      </c>
      <c r="U56" s="53"/>
      <c r="V56" s="54"/>
      <c r="W56" s="85" t="s">
        <v>62</v>
      </c>
      <c r="X56" s="57"/>
      <c r="Y56" s="38"/>
      <c r="Z56" s="38"/>
      <c r="AA56" s="65"/>
      <c r="AB56" s="65"/>
      <c r="AC56" s="65"/>
      <c r="AD56" s="65"/>
      <c r="AE56" s="65"/>
      <c r="AF56" s="65"/>
      <c r="AG56" s="65"/>
      <c r="AH56" s="38"/>
      <c r="AI56" s="38"/>
    </row>
    <row r="57">
      <c r="A57" s="39">
        <v>73.16</v>
      </c>
      <c r="B57" s="63" t="s">
        <v>274</v>
      </c>
      <c r="C57" s="51"/>
      <c r="D57" s="39" t="s">
        <v>55</v>
      </c>
      <c r="E57" s="38"/>
      <c r="F57" s="41"/>
      <c r="G57" s="62" t="s">
        <v>852</v>
      </c>
      <c r="H57" s="45"/>
      <c r="I57" s="38"/>
      <c r="J57" s="38"/>
      <c r="K57" s="46"/>
      <c r="L57" s="47"/>
      <c r="M57" s="84">
        <v>0.0625</v>
      </c>
      <c r="N57" s="84">
        <v>0.06510416666666667</v>
      </c>
      <c r="O57" s="46">
        <f t="shared" si="5"/>
        <v>0.002604166667</v>
      </c>
      <c r="P57" s="89">
        <v>43021.0</v>
      </c>
      <c r="Q57" s="12"/>
      <c r="R57" s="67" t="s">
        <v>61</v>
      </c>
      <c r="S57" s="67" t="s">
        <v>91</v>
      </c>
      <c r="T57" s="67" t="s">
        <v>61</v>
      </c>
      <c r="U57" s="53"/>
      <c r="V57" s="54"/>
      <c r="W57" s="85" t="s">
        <v>62</v>
      </c>
      <c r="X57" s="57"/>
      <c r="Y57" s="38"/>
      <c r="Z57" s="38"/>
      <c r="AA57" s="65"/>
      <c r="AB57" s="65"/>
      <c r="AC57" s="65"/>
      <c r="AD57" s="65"/>
      <c r="AE57" s="65"/>
      <c r="AF57" s="65"/>
      <c r="AG57" s="65"/>
      <c r="AH57" s="38"/>
      <c r="AI57" s="38"/>
    </row>
    <row r="58">
      <c r="A58" s="38">
        <v>149.0</v>
      </c>
      <c r="B58" s="63" t="s">
        <v>274</v>
      </c>
      <c r="C58" s="51"/>
      <c r="D58" s="39" t="s">
        <v>55</v>
      </c>
      <c r="E58" s="38" t="s">
        <v>747</v>
      </c>
      <c r="F58" s="41" t="s">
        <v>748</v>
      </c>
      <c r="G58" s="43"/>
      <c r="H58" s="45"/>
      <c r="I58" s="38"/>
      <c r="J58" s="38">
        <f>1.2*1000</f>
        <v>1200</v>
      </c>
      <c r="K58" s="46">
        <v>0.04230324074074074</v>
      </c>
      <c r="L58" s="47" t="s">
        <v>211</v>
      </c>
      <c r="M58" s="48"/>
      <c r="N58" s="48"/>
      <c r="O58" s="38"/>
      <c r="P58" s="89">
        <v>43025.0</v>
      </c>
      <c r="Q58" s="12" t="str">
        <f>HYPERLINK(IF(INT(A58)-A58=0,"",REPLACE(INDIRECT("MasterList!e"&amp;INT(A58)+1),25,8,"embed/")&amp;"?start="&amp;HOUR(M58)*3600+MINUTE(M58)*60+SECOND(M58)&amp;"&amp;end="&amp;HOUR(N58)*3600+MINUTE(N58)*60+SECOND(N58)&amp;"&amp;autoplay=1"))</f>
        <v/>
      </c>
      <c r="R58" s="42"/>
      <c r="S58" s="42"/>
      <c r="T58" s="42"/>
      <c r="U58" s="51"/>
      <c r="V58" s="52"/>
      <c r="W58" s="55"/>
      <c r="X58" s="57"/>
      <c r="Y58" s="106"/>
      <c r="Z58" s="106"/>
      <c r="AA58" s="106"/>
      <c r="AB58" s="106"/>
      <c r="AC58" s="65"/>
      <c r="AD58" s="65"/>
      <c r="AE58" s="65"/>
      <c r="AF58" s="65"/>
      <c r="AG58" s="65"/>
      <c r="AH58" s="38"/>
      <c r="AI58" s="38"/>
    </row>
    <row r="59">
      <c r="A59" s="39">
        <v>149.01</v>
      </c>
      <c r="B59" s="63" t="s">
        <v>274</v>
      </c>
      <c r="C59" s="51"/>
      <c r="D59" s="39" t="s">
        <v>55</v>
      </c>
      <c r="E59" s="38"/>
      <c r="F59" s="41"/>
      <c r="G59" s="62" t="s">
        <v>855</v>
      </c>
      <c r="H59" s="58"/>
      <c r="I59" s="38"/>
      <c r="J59" s="38"/>
      <c r="K59" s="46"/>
      <c r="L59" s="47"/>
      <c r="M59" s="84">
        <v>1.1574074074074073E-5</v>
      </c>
      <c r="N59" s="84">
        <v>0.0042824074074074075</v>
      </c>
      <c r="O59" s="46">
        <f t="shared" ref="O59:O73" si="6">N59-M59</f>
        <v>0.004270833333</v>
      </c>
      <c r="P59" s="89">
        <v>43025.0</v>
      </c>
      <c r="Q59" s="12"/>
      <c r="R59" s="67" t="s">
        <v>61</v>
      </c>
      <c r="S59" s="67" t="s">
        <v>61</v>
      </c>
      <c r="T59" s="67" t="s">
        <v>61</v>
      </c>
      <c r="U59" s="53"/>
      <c r="V59" s="54"/>
      <c r="W59" s="85" t="s">
        <v>62</v>
      </c>
      <c r="X59" s="70"/>
      <c r="Y59" s="59"/>
      <c r="Z59" s="59"/>
      <c r="AA59" s="65"/>
      <c r="AB59" s="65"/>
      <c r="AC59" s="65"/>
      <c r="AD59" s="65"/>
      <c r="AE59" s="65"/>
      <c r="AF59" s="65"/>
      <c r="AG59" s="65"/>
      <c r="AH59" s="38"/>
      <c r="AI59" s="38"/>
    </row>
    <row r="60">
      <c r="A60" s="39">
        <v>149.02</v>
      </c>
      <c r="B60" s="63" t="s">
        <v>274</v>
      </c>
      <c r="C60" s="51"/>
      <c r="D60" s="39" t="s">
        <v>55</v>
      </c>
      <c r="E60" s="38"/>
      <c r="F60" s="41"/>
      <c r="G60" s="62" t="s">
        <v>858</v>
      </c>
      <c r="H60" s="58"/>
      <c r="I60" s="38"/>
      <c r="J60" s="38"/>
      <c r="K60" s="46"/>
      <c r="L60" s="47"/>
      <c r="M60" s="84">
        <v>0.004293981481481481</v>
      </c>
      <c r="N60" s="84">
        <v>0.010104166666666666</v>
      </c>
      <c r="O60" s="46">
        <f t="shared" si="6"/>
        <v>0.005810185185</v>
      </c>
      <c r="P60" s="89">
        <v>43025.0</v>
      </c>
      <c r="Q60" s="12"/>
      <c r="R60" s="67" t="s">
        <v>61</v>
      </c>
      <c r="S60" s="67" t="s">
        <v>61</v>
      </c>
      <c r="T60" s="67" t="s">
        <v>61</v>
      </c>
      <c r="U60" s="53"/>
      <c r="V60" s="54"/>
      <c r="W60" s="85" t="s">
        <v>62</v>
      </c>
      <c r="X60" s="70"/>
      <c r="Y60" s="59"/>
      <c r="Z60" s="59"/>
      <c r="AA60" s="65"/>
      <c r="AB60" s="65"/>
      <c r="AC60" s="65"/>
      <c r="AD60" s="65"/>
      <c r="AE60" s="65"/>
      <c r="AF60" s="65"/>
      <c r="AG60" s="65"/>
      <c r="AH60" s="38"/>
      <c r="AI60" s="38"/>
    </row>
    <row r="61">
      <c r="A61" s="39">
        <v>149.03</v>
      </c>
      <c r="B61" s="63" t="s">
        <v>274</v>
      </c>
      <c r="C61" s="51"/>
      <c r="D61" s="39" t="s">
        <v>55</v>
      </c>
      <c r="E61" s="38"/>
      <c r="F61" s="41"/>
      <c r="G61" s="62" t="s">
        <v>861</v>
      </c>
      <c r="H61" s="45"/>
      <c r="I61" s="38"/>
      <c r="J61" s="38"/>
      <c r="K61" s="46"/>
      <c r="L61" s="47"/>
      <c r="M61" s="84">
        <v>0.010405092592592593</v>
      </c>
      <c r="N61" s="84">
        <v>0.013171296296296296</v>
      </c>
      <c r="O61" s="46">
        <f t="shared" si="6"/>
        <v>0.002766203704</v>
      </c>
      <c r="P61" s="89">
        <v>43025.0</v>
      </c>
      <c r="Q61" s="12"/>
      <c r="R61" s="67" t="s">
        <v>61</v>
      </c>
      <c r="S61" s="67" t="s">
        <v>61</v>
      </c>
      <c r="T61" s="67" t="s">
        <v>61</v>
      </c>
      <c r="U61" s="53"/>
      <c r="V61" s="54"/>
      <c r="W61" s="85" t="s">
        <v>62</v>
      </c>
      <c r="X61" s="70"/>
      <c r="Y61" s="59"/>
      <c r="Z61" s="59"/>
      <c r="AA61" s="65"/>
      <c r="AB61" s="65"/>
      <c r="AC61" s="65"/>
      <c r="AD61" s="65"/>
      <c r="AE61" s="65"/>
      <c r="AF61" s="65"/>
      <c r="AG61" s="65"/>
      <c r="AH61" s="38"/>
      <c r="AI61" s="38"/>
    </row>
    <row r="62">
      <c r="A62" s="39">
        <v>149.04</v>
      </c>
      <c r="B62" s="63" t="s">
        <v>274</v>
      </c>
      <c r="C62" s="51"/>
      <c r="D62" s="39" t="s">
        <v>55</v>
      </c>
      <c r="E62" s="38"/>
      <c r="F62" s="41"/>
      <c r="G62" s="62" t="s">
        <v>862</v>
      </c>
      <c r="H62" s="45"/>
      <c r="I62" s="38"/>
      <c r="J62" s="38"/>
      <c r="K62" s="46"/>
      <c r="L62" s="47"/>
      <c r="M62" s="84">
        <v>0.013344907407407408</v>
      </c>
      <c r="N62" s="84">
        <v>0.016435185185185185</v>
      </c>
      <c r="O62" s="46">
        <f t="shared" si="6"/>
        <v>0.003090277778</v>
      </c>
      <c r="P62" s="89">
        <v>43025.0</v>
      </c>
      <c r="Q62" s="12"/>
      <c r="R62" s="67" t="s">
        <v>61</v>
      </c>
      <c r="S62" s="67" t="s">
        <v>61</v>
      </c>
      <c r="T62" s="67" t="s">
        <v>61</v>
      </c>
      <c r="U62" s="53"/>
      <c r="V62" s="54"/>
      <c r="W62" s="85" t="s">
        <v>62</v>
      </c>
      <c r="X62" s="57"/>
      <c r="Y62" s="38"/>
      <c r="Z62" s="38"/>
      <c r="AA62" s="65"/>
      <c r="AB62" s="65"/>
      <c r="AC62" s="65"/>
      <c r="AD62" s="65"/>
      <c r="AE62" s="65"/>
      <c r="AF62" s="65"/>
      <c r="AG62" s="65"/>
      <c r="AH62" s="38"/>
      <c r="AI62" s="38"/>
    </row>
    <row r="63">
      <c r="A63" s="39">
        <v>149.05</v>
      </c>
      <c r="B63" s="63" t="s">
        <v>274</v>
      </c>
      <c r="C63" s="51"/>
      <c r="D63" s="39" t="s">
        <v>55</v>
      </c>
      <c r="E63" s="38"/>
      <c r="F63" s="41"/>
      <c r="G63" s="62" t="s">
        <v>865</v>
      </c>
      <c r="H63" s="58"/>
      <c r="I63" s="38"/>
      <c r="J63" s="38"/>
      <c r="K63" s="46"/>
      <c r="L63" s="47"/>
      <c r="M63" s="84">
        <v>0.016493055555555556</v>
      </c>
      <c r="N63" s="84">
        <v>0.01954861111111111</v>
      </c>
      <c r="O63" s="46">
        <f t="shared" si="6"/>
        <v>0.003055555556</v>
      </c>
      <c r="P63" s="89">
        <v>43025.0</v>
      </c>
      <c r="Q63" s="12"/>
      <c r="R63" s="67" t="s">
        <v>61</v>
      </c>
      <c r="S63" s="67" t="s">
        <v>61</v>
      </c>
      <c r="T63" s="67" t="s">
        <v>61</v>
      </c>
      <c r="U63" s="53"/>
      <c r="V63" s="54"/>
      <c r="W63" s="85" t="s">
        <v>62</v>
      </c>
      <c r="X63" s="70"/>
      <c r="Y63" s="59"/>
      <c r="Z63" s="59"/>
      <c r="AA63" s="65"/>
      <c r="AB63" s="65"/>
      <c r="AC63" s="65"/>
      <c r="AD63" s="65"/>
      <c r="AE63" s="65"/>
      <c r="AF63" s="65"/>
      <c r="AG63" s="65"/>
      <c r="AH63" s="38"/>
      <c r="AI63" s="38"/>
    </row>
    <row r="64">
      <c r="A64" s="39">
        <v>149.06</v>
      </c>
      <c r="B64" s="63" t="s">
        <v>274</v>
      </c>
      <c r="C64" s="51"/>
      <c r="D64" s="39" t="s">
        <v>55</v>
      </c>
      <c r="E64" s="38"/>
      <c r="F64" s="41"/>
      <c r="G64" s="62" t="s">
        <v>868</v>
      </c>
      <c r="H64" s="58"/>
      <c r="I64" s="38"/>
      <c r="J64" s="38"/>
      <c r="K64" s="46"/>
      <c r="L64" s="47"/>
      <c r="M64" s="84">
        <v>0.019699074074074074</v>
      </c>
      <c r="N64" s="84">
        <v>0.021643518518518517</v>
      </c>
      <c r="O64" s="46">
        <f t="shared" si="6"/>
        <v>0.001944444444</v>
      </c>
      <c r="P64" s="89">
        <v>43025.0</v>
      </c>
      <c r="Q64" s="12"/>
      <c r="R64" s="67" t="s">
        <v>61</v>
      </c>
      <c r="S64" s="67" t="s">
        <v>61</v>
      </c>
      <c r="T64" s="67" t="s">
        <v>61</v>
      </c>
      <c r="U64" s="53"/>
      <c r="V64" s="54"/>
      <c r="W64" s="85" t="s">
        <v>62</v>
      </c>
      <c r="X64" s="70"/>
      <c r="Y64" s="59"/>
      <c r="Z64" s="59"/>
      <c r="AA64" s="65"/>
      <c r="AB64" s="65"/>
      <c r="AC64" s="65"/>
      <c r="AD64" s="65"/>
      <c r="AE64" s="65"/>
      <c r="AF64" s="65"/>
      <c r="AG64" s="65"/>
      <c r="AH64" s="38"/>
      <c r="AI64" s="38"/>
    </row>
    <row r="65">
      <c r="A65" s="39">
        <v>149.07</v>
      </c>
      <c r="B65" s="63" t="s">
        <v>274</v>
      </c>
      <c r="C65" s="51"/>
      <c r="D65" s="39" t="s">
        <v>55</v>
      </c>
      <c r="E65" s="38"/>
      <c r="F65" s="41"/>
      <c r="G65" s="62" t="s">
        <v>869</v>
      </c>
      <c r="H65" s="58"/>
      <c r="I65" s="38"/>
      <c r="J65" s="38"/>
      <c r="K65" s="46"/>
      <c r="L65" s="47"/>
      <c r="M65" s="84">
        <v>0.021666666666666667</v>
      </c>
      <c r="N65" s="84">
        <v>0.023935185185185184</v>
      </c>
      <c r="O65" s="46">
        <f t="shared" si="6"/>
        <v>0.002268518519</v>
      </c>
      <c r="P65" s="89">
        <v>43025.0</v>
      </c>
      <c r="Q65" s="12"/>
      <c r="R65" s="67" t="s">
        <v>61</v>
      </c>
      <c r="S65" s="67" t="s">
        <v>61</v>
      </c>
      <c r="T65" s="67" t="s">
        <v>61</v>
      </c>
      <c r="U65" s="53"/>
      <c r="V65" s="54"/>
      <c r="W65" s="85" t="s">
        <v>62</v>
      </c>
      <c r="X65" s="70"/>
      <c r="Y65" s="59"/>
      <c r="Z65" s="59"/>
      <c r="AA65" s="65"/>
      <c r="AB65" s="65"/>
      <c r="AC65" s="65"/>
      <c r="AD65" s="65"/>
      <c r="AE65" s="65"/>
      <c r="AF65" s="65"/>
      <c r="AG65" s="65"/>
      <c r="AH65" s="38"/>
      <c r="AI65" s="38"/>
    </row>
    <row r="66">
      <c r="A66" s="39">
        <v>149.08</v>
      </c>
      <c r="B66" s="63" t="s">
        <v>274</v>
      </c>
      <c r="C66" s="51"/>
      <c r="D66" s="39" t="s">
        <v>55</v>
      </c>
      <c r="E66" s="38"/>
      <c r="F66" s="41"/>
      <c r="G66" s="62" t="s">
        <v>872</v>
      </c>
      <c r="H66" s="58"/>
      <c r="I66" s="38"/>
      <c r="J66" s="38"/>
      <c r="K66" s="46"/>
      <c r="L66" s="47"/>
      <c r="M66" s="84">
        <v>0.023958333333333335</v>
      </c>
      <c r="N66" s="84">
        <v>0.024652777777777777</v>
      </c>
      <c r="O66" s="46">
        <f t="shared" si="6"/>
        <v>0.0006944444444</v>
      </c>
      <c r="P66" s="89">
        <v>43025.0</v>
      </c>
      <c r="Q66" s="12"/>
      <c r="R66" s="67" t="s">
        <v>61</v>
      </c>
      <c r="S66" s="67" t="s">
        <v>61</v>
      </c>
      <c r="T66" s="67" t="s">
        <v>61</v>
      </c>
      <c r="U66" s="53"/>
      <c r="V66" s="54"/>
      <c r="W66" s="85" t="s">
        <v>62</v>
      </c>
      <c r="X66" s="70"/>
      <c r="Y66" s="59"/>
      <c r="Z66" s="59"/>
      <c r="AA66" s="65"/>
      <c r="AB66" s="65"/>
      <c r="AC66" s="65"/>
      <c r="AD66" s="65"/>
      <c r="AE66" s="65"/>
      <c r="AF66" s="65"/>
      <c r="AG66" s="65"/>
      <c r="AH66" s="38"/>
      <c r="AI66" s="38"/>
    </row>
    <row r="67">
      <c r="A67" s="39">
        <v>149.09</v>
      </c>
      <c r="B67" s="63" t="s">
        <v>274</v>
      </c>
      <c r="C67" s="51"/>
      <c r="D67" s="39" t="s">
        <v>55</v>
      </c>
      <c r="E67" s="38"/>
      <c r="F67" s="41"/>
      <c r="G67" s="62" t="s">
        <v>873</v>
      </c>
      <c r="H67" s="45"/>
      <c r="I67" s="38"/>
      <c r="J67" s="38"/>
      <c r="K67" s="46"/>
      <c r="L67" s="47"/>
      <c r="M67" s="84">
        <v>0.024675925925925928</v>
      </c>
      <c r="N67" s="84">
        <v>0.027662037037037037</v>
      </c>
      <c r="O67" s="46">
        <f t="shared" si="6"/>
        <v>0.002986111111</v>
      </c>
      <c r="P67" s="89">
        <v>43025.0</v>
      </c>
      <c r="Q67" s="12"/>
      <c r="R67" s="67" t="s">
        <v>61</v>
      </c>
      <c r="S67" s="67" t="s">
        <v>61</v>
      </c>
      <c r="T67" s="67" t="s">
        <v>61</v>
      </c>
      <c r="U67" s="53"/>
      <c r="V67" s="54"/>
      <c r="W67" s="85" t="s">
        <v>62</v>
      </c>
      <c r="X67" s="57"/>
      <c r="Y67" s="38"/>
      <c r="Z67" s="38"/>
      <c r="AA67" s="65"/>
      <c r="AB67" s="65"/>
      <c r="AC67" s="65"/>
      <c r="AD67" s="65"/>
      <c r="AE67" s="65"/>
      <c r="AF67" s="65"/>
      <c r="AG67" s="65"/>
      <c r="AH67" s="38"/>
      <c r="AI67" s="38"/>
    </row>
    <row r="68">
      <c r="A68" s="107">
        <v>149.1</v>
      </c>
      <c r="B68" s="63" t="s">
        <v>274</v>
      </c>
      <c r="C68" s="51"/>
      <c r="D68" s="39" t="s">
        <v>55</v>
      </c>
      <c r="E68" s="38"/>
      <c r="F68" s="41"/>
      <c r="G68" s="62" t="s">
        <v>876</v>
      </c>
      <c r="H68" s="58"/>
      <c r="I68" s="38"/>
      <c r="J68" s="38"/>
      <c r="K68" s="46"/>
      <c r="L68" s="47"/>
      <c r="M68" s="84">
        <v>0.03136574074074074</v>
      </c>
      <c r="N68" s="84">
        <v>0.03530092592592592</v>
      </c>
      <c r="O68" s="46">
        <f t="shared" si="6"/>
        <v>0.003935185185</v>
      </c>
      <c r="P68" s="89">
        <v>43025.0</v>
      </c>
      <c r="Q68" s="12"/>
      <c r="R68" s="67" t="s">
        <v>61</v>
      </c>
      <c r="S68" s="67" t="s">
        <v>61</v>
      </c>
      <c r="T68" s="67" t="s">
        <v>61</v>
      </c>
      <c r="U68" s="53"/>
      <c r="V68" s="54"/>
      <c r="W68" s="85" t="s">
        <v>62</v>
      </c>
      <c r="X68" s="57"/>
      <c r="Y68" s="38"/>
      <c r="Z68" s="38"/>
      <c r="AA68" s="65"/>
      <c r="AB68" s="65"/>
      <c r="AC68" s="65"/>
      <c r="AD68" s="65"/>
      <c r="AE68" s="65"/>
      <c r="AF68" s="65"/>
      <c r="AG68" s="65"/>
      <c r="AH68" s="38"/>
      <c r="AI68" s="38"/>
    </row>
    <row r="69">
      <c r="A69" s="38">
        <v>155.0</v>
      </c>
      <c r="B69" s="63" t="s">
        <v>274</v>
      </c>
      <c r="C69" s="51"/>
      <c r="D69" s="39" t="s">
        <v>55</v>
      </c>
      <c r="E69" s="38" t="s">
        <v>771</v>
      </c>
      <c r="F69" s="41" t="s">
        <v>772</v>
      </c>
      <c r="G69" s="43"/>
      <c r="H69" s="45"/>
      <c r="I69" s="38"/>
      <c r="J69" s="38">
        <f>453</f>
        <v>453</v>
      </c>
      <c r="K69" s="46">
        <v>0.004918981481481482</v>
      </c>
      <c r="L69" s="47" t="s">
        <v>211</v>
      </c>
      <c r="M69" s="48"/>
      <c r="N69" s="48"/>
      <c r="O69" s="48">
        <f t="shared" si="6"/>
        <v>0</v>
      </c>
      <c r="P69" s="38"/>
      <c r="Q69" s="12" t="str">
        <f>HYPERLINK(IF(INT(A69)-A69=0,"",REPLACE(INDIRECT("MasterList!e"&amp;INT(A69)+1),25,8,"embed/")&amp;"?start="&amp;HOUR(M69)*3600+MINUTE(M69)*60+SECOND(M69)&amp;"&amp;end="&amp;HOUR(N69)*3600+MINUTE(N69)*60+SECOND(N69)&amp;"&amp;autoplay=1"))</f>
        <v/>
      </c>
      <c r="R69" s="42"/>
      <c r="S69" s="42"/>
      <c r="T69" s="42"/>
      <c r="U69" s="51"/>
      <c r="V69" s="52"/>
      <c r="W69" s="55"/>
      <c r="X69" s="57"/>
      <c r="Y69" s="106"/>
      <c r="Z69" s="106"/>
      <c r="AA69" s="106"/>
      <c r="AB69" s="106"/>
      <c r="AC69" s="65"/>
      <c r="AD69" s="65"/>
      <c r="AE69" s="65"/>
      <c r="AF69" s="65"/>
      <c r="AG69" s="65"/>
      <c r="AH69" s="38"/>
      <c r="AI69" s="38"/>
    </row>
    <row r="70">
      <c r="A70" s="39">
        <v>155.01</v>
      </c>
      <c r="B70" s="63" t="s">
        <v>274</v>
      </c>
      <c r="C70" s="51"/>
      <c r="D70" s="39" t="s">
        <v>55</v>
      </c>
      <c r="E70" s="38"/>
      <c r="F70" s="41"/>
      <c r="G70" s="62" t="s">
        <v>881</v>
      </c>
      <c r="H70" s="45"/>
      <c r="I70" s="38"/>
      <c r="J70" s="38"/>
      <c r="K70" s="46"/>
      <c r="L70" s="47"/>
      <c r="M70" s="125">
        <v>0.0</v>
      </c>
      <c r="N70" s="125">
        <v>0.004907407407407407</v>
      </c>
      <c r="O70" s="48">
        <f t="shared" si="6"/>
        <v>0.004907407407</v>
      </c>
      <c r="P70" s="89">
        <v>43030.0</v>
      </c>
      <c r="Q70" s="12"/>
      <c r="R70" s="63" t="s">
        <v>61</v>
      </c>
      <c r="S70" s="63" t="s">
        <v>61</v>
      </c>
      <c r="T70" s="63" t="s">
        <v>61</v>
      </c>
      <c r="U70" s="51"/>
      <c r="V70" s="52"/>
      <c r="W70" s="81" t="s">
        <v>62</v>
      </c>
      <c r="X70" s="57"/>
      <c r="Y70" s="106"/>
      <c r="Z70" s="106"/>
      <c r="AA70" s="106"/>
      <c r="AB70" s="106"/>
      <c r="AC70" s="65"/>
      <c r="AD70" s="65"/>
      <c r="AE70" s="65"/>
      <c r="AF70" s="65"/>
      <c r="AG70" s="65"/>
      <c r="AH70" s="38"/>
      <c r="AI70" s="38"/>
    </row>
    <row r="71">
      <c r="A71" s="38">
        <v>156.0</v>
      </c>
      <c r="B71" s="63" t="s">
        <v>274</v>
      </c>
      <c r="C71" s="51"/>
      <c r="D71" s="39" t="s">
        <v>145</v>
      </c>
      <c r="E71" s="38" t="s">
        <v>773</v>
      </c>
      <c r="F71" s="41" t="s">
        <v>774</v>
      </c>
      <c r="G71" s="43"/>
      <c r="H71" s="45"/>
      <c r="I71" s="38"/>
      <c r="J71" s="38">
        <f>446</f>
        <v>446</v>
      </c>
      <c r="K71" s="46">
        <v>0.0022916666666666667</v>
      </c>
      <c r="L71" s="47" t="s">
        <v>211</v>
      </c>
      <c r="M71" s="48"/>
      <c r="N71" s="48"/>
      <c r="O71" s="48">
        <f t="shared" si="6"/>
        <v>0</v>
      </c>
      <c r="P71" s="89">
        <v>43030.0</v>
      </c>
      <c r="Q71" s="12" t="str">
        <f>HYPERLINK(IF(INT(A71)-A71=0,"",REPLACE(INDIRECT("MasterList!e"&amp;INT(A71)+1),25,8,"embed/")&amp;"?start="&amp;HOUR(M71)*3600+MINUTE(M71)*60+SECOND(M71)&amp;"&amp;end="&amp;HOUR(N71)*3600+MINUTE(N71)*60+SECOND(N71)&amp;"&amp;autoplay=1"))</f>
        <v/>
      </c>
      <c r="R71" s="42"/>
      <c r="S71" s="42"/>
      <c r="T71" s="42"/>
      <c r="U71" s="51"/>
      <c r="V71" s="52"/>
      <c r="W71" s="55"/>
      <c r="X71" s="57"/>
      <c r="Y71" s="106"/>
      <c r="Z71" s="106"/>
      <c r="AA71" s="106"/>
      <c r="AB71" s="106"/>
      <c r="AC71" s="65"/>
      <c r="AD71" s="65"/>
      <c r="AE71" s="65"/>
      <c r="AF71" s="65"/>
      <c r="AG71" s="65"/>
      <c r="AH71" s="38"/>
      <c r="AI71" s="38"/>
    </row>
    <row r="72">
      <c r="A72" s="39">
        <v>156.01</v>
      </c>
      <c r="B72" s="63" t="s">
        <v>274</v>
      </c>
      <c r="C72" s="51"/>
      <c r="D72" s="39" t="s">
        <v>55</v>
      </c>
      <c r="E72" s="38"/>
      <c r="F72" s="41"/>
      <c r="G72" s="62" t="s">
        <v>888</v>
      </c>
      <c r="H72" s="45"/>
      <c r="I72" s="38"/>
      <c r="J72" s="38"/>
      <c r="K72" s="46"/>
      <c r="L72" s="47"/>
      <c r="M72" s="125">
        <v>0.0</v>
      </c>
      <c r="N72" s="46">
        <v>0.0022916666666666667</v>
      </c>
      <c r="O72" s="46">
        <f t="shared" si="6"/>
        <v>0.002291666667</v>
      </c>
      <c r="P72" s="89">
        <v>43030.0</v>
      </c>
      <c r="Q72" s="12"/>
      <c r="R72" s="63" t="s">
        <v>61</v>
      </c>
      <c r="S72" s="63" t="s">
        <v>61</v>
      </c>
      <c r="T72" s="63" t="s">
        <v>61</v>
      </c>
      <c r="U72" s="51"/>
      <c r="V72" s="52"/>
      <c r="W72" s="81" t="s">
        <v>62</v>
      </c>
      <c r="X72" s="57"/>
      <c r="Y72" s="106"/>
      <c r="Z72" s="106"/>
      <c r="AA72" s="106"/>
      <c r="AB72" s="106"/>
      <c r="AC72" s="65"/>
      <c r="AD72" s="65"/>
      <c r="AE72" s="65"/>
      <c r="AF72" s="65"/>
      <c r="AG72" s="65"/>
      <c r="AH72" s="38"/>
      <c r="AI72" s="38"/>
    </row>
    <row r="73">
      <c r="A73" s="38">
        <v>157.0</v>
      </c>
      <c r="B73" s="63" t="s">
        <v>274</v>
      </c>
      <c r="C73" s="51"/>
      <c r="D73" s="39" t="s">
        <v>55</v>
      </c>
      <c r="E73" s="38" t="s">
        <v>777</v>
      </c>
      <c r="F73" s="41" t="s">
        <v>779</v>
      </c>
      <c r="G73" s="43"/>
      <c r="H73" s="45"/>
      <c r="I73" s="38"/>
      <c r="J73" s="38">
        <f>576</f>
        <v>576</v>
      </c>
      <c r="K73" s="46">
        <v>0.001736111111111111</v>
      </c>
      <c r="L73" s="47" t="s">
        <v>211</v>
      </c>
      <c r="M73" s="48"/>
      <c r="N73" s="48"/>
      <c r="O73" s="48">
        <f t="shared" si="6"/>
        <v>0</v>
      </c>
      <c r="P73" s="38"/>
      <c r="Q73" s="12" t="str">
        <f>HYPERLINK(IF(INT(A73)-A73=0,"",REPLACE(INDIRECT("MasterList!e"&amp;INT(A73)+1),25,8,"embed/")&amp;"?start="&amp;HOUR(M73)*3600+MINUTE(M73)*60+SECOND(M73)&amp;"&amp;end="&amp;HOUR(N73)*3600+MINUTE(N73)*60+SECOND(N73)&amp;"&amp;autoplay=1"))</f>
        <v/>
      </c>
      <c r="R73" s="42"/>
      <c r="S73" s="42"/>
      <c r="T73" s="42"/>
      <c r="U73" s="51"/>
      <c r="V73" s="52"/>
      <c r="W73" s="55"/>
      <c r="X73" s="57"/>
      <c r="Y73" s="106"/>
      <c r="Z73" s="106"/>
      <c r="AA73" s="106"/>
      <c r="AB73" s="106"/>
      <c r="AC73" s="65"/>
      <c r="AD73" s="65"/>
      <c r="AE73" s="65"/>
      <c r="AF73" s="65"/>
      <c r="AG73" s="65"/>
      <c r="AH73" s="38"/>
      <c r="AI73" s="38"/>
    </row>
    <row r="74">
      <c r="A74" s="39">
        <v>157.01</v>
      </c>
      <c r="B74" s="63" t="s">
        <v>274</v>
      </c>
      <c r="C74" s="51"/>
      <c r="D74" s="39" t="s">
        <v>55</v>
      </c>
      <c r="E74" s="38"/>
      <c r="F74" s="41"/>
      <c r="G74" s="62" t="s">
        <v>893</v>
      </c>
      <c r="H74" s="45"/>
      <c r="I74" s="38"/>
      <c r="J74" s="38"/>
      <c r="K74" s="46"/>
      <c r="L74" s="47"/>
      <c r="M74" s="126">
        <v>0.0</v>
      </c>
      <c r="N74" s="46">
        <v>0.001736111111111111</v>
      </c>
      <c r="O74" s="127">
        <v>0.0022916666666666667</v>
      </c>
      <c r="P74" s="89">
        <v>43030.0</v>
      </c>
      <c r="Q74" s="12"/>
      <c r="R74" s="63" t="s">
        <v>61</v>
      </c>
      <c r="S74" s="63" t="s">
        <v>61</v>
      </c>
      <c r="T74" s="63" t="s">
        <v>61</v>
      </c>
      <c r="U74" s="51"/>
      <c r="V74" s="52"/>
      <c r="W74" s="81" t="s">
        <v>62</v>
      </c>
      <c r="X74" s="57"/>
      <c r="Y74" s="106"/>
      <c r="Z74" s="106"/>
      <c r="AA74" s="106"/>
      <c r="AB74" s="106"/>
      <c r="AC74" s="65"/>
      <c r="AD74" s="65"/>
      <c r="AE74" s="65"/>
      <c r="AF74" s="65"/>
      <c r="AG74" s="65"/>
      <c r="AH74" s="38"/>
      <c r="AI74" s="38"/>
    </row>
    <row r="75">
      <c r="A75" s="38">
        <v>158.0</v>
      </c>
      <c r="B75" s="63" t="s">
        <v>274</v>
      </c>
      <c r="C75" s="51"/>
      <c r="D75" s="39" t="s">
        <v>145</v>
      </c>
      <c r="E75" s="38" t="s">
        <v>780</v>
      </c>
      <c r="F75" s="41" t="s">
        <v>781</v>
      </c>
      <c r="G75" s="43"/>
      <c r="H75" s="45"/>
      <c r="I75" s="38"/>
      <c r="J75" s="38">
        <f>435</f>
        <v>435</v>
      </c>
      <c r="K75" s="46">
        <v>0.002384259259259259</v>
      </c>
      <c r="L75" s="47" t="s">
        <v>211</v>
      </c>
      <c r="M75" s="48"/>
      <c r="N75" s="48"/>
      <c r="O75" s="48">
        <f t="shared" ref="O75:O81" si="7">N75-M75</f>
        <v>0</v>
      </c>
      <c r="P75" s="38"/>
      <c r="Q75" s="12" t="str">
        <f t="shared" ref="Q75:Q81" si="8">HYPERLINK(IF(INT(A75)-A75=0,"",REPLACE(INDIRECT("MasterList!e"&amp;INT(A75)+1),25,8,"embed/")&amp;"?start="&amp;HOUR(M75)*3600+MINUTE(M75)*60+SECOND(M75)&amp;"&amp;end="&amp;HOUR(N75)*3600+MINUTE(N75)*60+SECOND(N75)&amp;"&amp;autoplay=1"))</f>
        <v/>
      </c>
      <c r="R75" s="42"/>
      <c r="S75" s="42"/>
      <c r="T75" s="42"/>
      <c r="U75" s="51"/>
      <c r="V75" s="52"/>
      <c r="W75" s="55"/>
      <c r="X75" s="57"/>
      <c r="Y75" s="106"/>
      <c r="Z75" s="106"/>
      <c r="AA75" s="106"/>
      <c r="AB75" s="106"/>
      <c r="AC75" s="65"/>
      <c r="AD75" s="65"/>
      <c r="AE75" s="65"/>
      <c r="AF75" s="65"/>
      <c r="AG75" s="65"/>
      <c r="AH75" s="38"/>
      <c r="AI75" s="38"/>
    </row>
    <row r="76">
      <c r="A76" s="38">
        <v>159.0</v>
      </c>
      <c r="B76" s="63" t="s">
        <v>274</v>
      </c>
      <c r="C76" s="51"/>
      <c r="D76" s="39" t="s">
        <v>145</v>
      </c>
      <c r="E76" s="38" t="s">
        <v>784</v>
      </c>
      <c r="F76" s="41" t="s">
        <v>785</v>
      </c>
      <c r="G76" s="43"/>
      <c r="H76" s="45"/>
      <c r="I76" s="38"/>
      <c r="J76" s="38">
        <f>1.1*1000</f>
        <v>1100</v>
      </c>
      <c r="K76" s="46">
        <v>0.0011689814814814816</v>
      </c>
      <c r="L76" s="47" t="s">
        <v>211</v>
      </c>
      <c r="M76" s="48"/>
      <c r="N76" s="48"/>
      <c r="O76" s="48">
        <f t="shared" si="7"/>
        <v>0</v>
      </c>
      <c r="P76" s="38"/>
      <c r="Q76" s="12" t="str">
        <f t="shared" si="8"/>
        <v/>
      </c>
      <c r="R76" s="42"/>
      <c r="S76" s="42"/>
      <c r="T76" s="42"/>
      <c r="U76" s="51"/>
      <c r="V76" s="52"/>
      <c r="W76" s="55"/>
      <c r="X76" s="57"/>
      <c r="Y76" s="106"/>
      <c r="Z76" s="106"/>
      <c r="AA76" s="106"/>
      <c r="AB76" s="106"/>
      <c r="AH76" s="38"/>
      <c r="AI76" s="38"/>
    </row>
    <row r="77">
      <c r="A77" s="38">
        <v>160.0</v>
      </c>
      <c r="B77" s="63" t="s">
        <v>274</v>
      </c>
      <c r="C77" s="51"/>
      <c r="D77" s="39" t="s">
        <v>145</v>
      </c>
      <c r="E77" s="38" t="s">
        <v>786</v>
      </c>
      <c r="F77" s="41" t="s">
        <v>787</v>
      </c>
      <c r="G77" s="43"/>
      <c r="H77" s="45"/>
      <c r="I77" s="38"/>
      <c r="J77" s="38">
        <f>202</f>
        <v>202</v>
      </c>
      <c r="K77" s="46">
        <v>0.0021180555555555553</v>
      </c>
      <c r="L77" s="47" t="s">
        <v>211</v>
      </c>
      <c r="M77" s="48"/>
      <c r="N77" s="48"/>
      <c r="O77" s="48">
        <f t="shared" si="7"/>
        <v>0</v>
      </c>
      <c r="P77" s="38"/>
      <c r="Q77" s="12" t="str">
        <f t="shared" si="8"/>
        <v/>
      </c>
      <c r="R77" s="42"/>
      <c r="S77" s="42"/>
      <c r="T77" s="42"/>
      <c r="U77" s="51"/>
      <c r="V77" s="52"/>
      <c r="W77" s="55"/>
      <c r="X77" s="57"/>
      <c r="Y77" s="106"/>
      <c r="Z77" s="106"/>
      <c r="AA77" s="106"/>
      <c r="AB77" s="106"/>
      <c r="AH77" s="38"/>
      <c r="AI77" s="38"/>
    </row>
    <row r="78">
      <c r="A78" s="38">
        <v>161.0</v>
      </c>
      <c r="B78" s="63" t="s">
        <v>274</v>
      </c>
      <c r="C78" s="51"/>
      <c r="D78" s="39" t="s">
        <v>145</v>
      </c>
      <c r="E78" s="38" t="s">
        <v>790</v>
      </c>
      <c r="F78" s="41" t="s">
        <v>791</v>
      </c>
      <c r="G78" s="43"/>
      <c r="H78" s="45"/>
      <c r="I78" s="38"/>
      <c r="J78" s="38">
        <f>234</f>
        <v>234</v>
      </c>
      <c r="K78" s="46">
        <v>0.0014583333333333334</v>
      </c>
      <c r="L78" s="47" t="s">
        <v>211</v>
      </c>
      <c r="M78" s="48"/>
      <c r="N78" s="48"/>
      <c r="O78" s="48">
        <f t="shared" si="7"/>
        <v>0</v>
      </c>
      <c r="P78" s="38"/>
      <c r="Q78" s="12" t="str">
        <f t="shared" si="8"/>
        <v/>
      </c>
      <c r="R78" s="42"/>
      <c r="S78" s="42"/>
      <c r="T78" s="42"/>
      <c r="U78" s="51"/>
      <c r="V78" s="52"/>
      <c r="W78" s="55"/>
      <c r="X78" s="57"/>
      <c r="Y78" s="106"/>
      <c r="Z78" s="106"/>
      <c r="AA78" s="106"/>
      <c r="AB78" s="106"/>
      <c r="AH78" s="38"/>
      <c r="AI78" s="38"/>
    </row>
    <row r="79">
      <c r="A79" s="38">
        <v>162.0</v>
      </c>
      <c r="B79" s="63" t="s">
        <v>274</v>
      </c>
      <c r="C79" s="51"/>
      <c r="D79" s="39" t="s">
        <v>145</v>
      </c>
      <c r="E79" s="38" t="s">
        <v>792</v>
      </c>
      <c r="F79" s="41" t="s">
        <v>795</v>
      </c>
      <c r="G79" s="43"/>
      <c r="H79" s="45"/>
      <c r="I79" s="38"/>
      <c r="J79" s="38">
        <f>497</f>
        <v>497</v>
      </c>
      <c r="K79" s="46">
        <v>0.0014699074074074074</v>
      </c>
      <c r="L79" s="47" t="s">
        <v>211</v>
      </c>
      <c r="M79" s="48"/>
      <c r="N79" s="48"/>
      <c r="O79" s="48">
        <f t="shared" si="7"/>
        <v>0</v>
      </c>
      <c r="P79" s="38"/>
      <c r="Q79" s="12" t="str">
        <f t="shared" si="8"/>
        <v/>
      </c>
      <c r="R79" s="42"/>
      <c r="S79" s="42"/>
      <c r="T79" s="42"/>
      <c r="U79" s="51"/>
      <c r="V79" s="52"/>
      <c r="W79" s="55"/>
      <c r="X79" s="57"/>
      <c r="Y79" s="106"/>
      <c r="Z79" s="106"/>
      <c r="AA79" s="106"/>
      <c r="AB79" s="106"/>
      <c r="AH79" s="38"/>
      <c r="AI79" s="38"/>
    </row>
    <row r="80">
      <c r="A80" s="38">
        <v>163.0</v>
      </c>
      <c r="B80" s="63" t="s">
        <v>274</v>
      </c>
      <c r="C80" s="51"/>
      <c r="D80" s="39" t="s">
        <v>145</v>
      </c>
      <c r="E80" s="38" t="s">
        <v>797</v>
      </c>
      <c r="F80" s="41" t="s">
        <v>798</v>
      </c>
      <c r="G80" s="43"/>
      <c r="H80" s="45"/>
      <c r="I80" s="38"/>
      <c r="J80" s="38">
        <f>315</f>
        <v>315</v>
      </c>
      <c r="K80" s="46">
        <v>0.005694444444444444</v>
      </c>
      <c r="L80" s="47" t="s">
        <v>211</v>
      </c>
      <c r="M80" s="48"/>
      <c r="N80" s="48"/>
      <c r="O80" s="48">
        <f t="shared" si="7"/>
        <v>0</v>
      </c>
      <c r="P80" s="38"/>
      <c r="Q80" s="12" t="str">
        <f t="shared" si="8"/>
        <v/>
      </c>
      <c r="R80" s="42"/>
      <c r="S80" s="42"/>
      <c r="T80" s="42"/>
      <c r="U80" s="51"/>
      <c r="V80" s="52"/>
      <c r="W80" s="55"/>
      <c r="X80" s="57"/>
      <c r="Y80" s="106"/>
      <c r="Z80" s="106"/>
      <c r="AA80" s="106"/>
      <c r="AB80" s="106"/>
      <c r="AH80" s="38"/>
      <c r="AI80" s="38"/>
    </row>
    <row r="81">
      <c r="A81" s="38">
        <v>164.0</v>
      </c>
      <c r="B81" s="63" t="s">
        <v>274</v>
      </c>
      <c r="C81" s="51"/>
      <c r="D81" s="39" t="s">
        <v>145</v>
      </c>
      <c r="E81" s="38" t="s">
        <v>800</v>
      </c>
      <c r="F81" s="41" t="s">
        <v>802</v>
      </c>
      <c r="G81" s="43"/>
      <c r="H81" s="45"/>
      <c r="I81" s="38"/>
      <c r="J81" s="38">
        <f>535</f>
        <v>535</v>
      </c>
      <c r="K81" s="46">
        <v>0.0021527777777777778</v>
      </c>
      <c r="L81" s="47" t="s">
        <v>211</v>
      </c>
      <c r="M81" s="48"/>
      <c r="N81" s="48"/>
      <c r="O81" s="48">
        <f t="shared" si="7"/>
        <v>0</v>
      </c>
      <c r="P81" s="38"/>
      <c r="Q81" s="12" t="str">
        <f t="shared" si="8"/>
        <v/>
      </c>
      <c r="R81" s="42"/>
      <c r="S81" s="42"/>
      <c r="T81" s="42"/>
      <c r="U81" s="51"/>
      <c r="V81" s="52"/>
      <c r="W81" s="55"/>
      <c r="X81" s="57"/>
      <c r="Y81" s="106"/>
      <c r="Z81" s="106"/>
      <c r="AA81" s="106"/>
      <c r="AB81" s="106"/>
      <c r="AH81" s="38"/>
      <c r="AI81" s="38"/>
    </row>
    <row r="82">
      <c r="A82" s="38"/>
      <c r="B82" s="38"/>
      <c r="C82" s="38"/>
      <c r="D82" s="38"/>
      <c r="E82" s="38"/>
      <c r="F82" s="41"/>
      <c r="G82" s="43"/>
      <c r="H82" s="45"/>
      <c r="I82" s="38"/>
      <c r="J82" s="38"/>
      <c r="K82" s="46"/>
      <c r="L82" s="47"/>
      <c r="M82" s="46"/>
      <c r="N82" s="46"/>
      <c r="O82" s="38"/>
      <c r="P82" s="38"/>
      <c r="Q82" s="12"/>
      <c r="R82" s="50"/>
      <c r="S82" s="50"/>
      <c r="T82" s="50"/>
      <c r="U82" s="53"/>
      <c r="V82" s="54"/>
      <c r="W82" s="56"/>
      <c r="X82" s="57"/>
      <c r="Y82" s="38"/>
      <c r="Z82" s="38"/>
      <c r="AH82" s="38"/>
      <c r="AI82" s="38"/>
    </row>
    <row r="83">
      <c r="A83" s="38"/>
      <c r="B83" s="38"/>
      <c r="C83" s="38"/>
      <c r="D83" s="38"/>
      <c r="E83" s="38"/>
      <c r="F83" s="41"/>
      <c r="G83" s="43"/>
      <c r="H83" s="45"/>
      <c r="I83" s="38"/>
      <c r="J83" s="38"/>
      <c r="K83" s="46"/>
      <c r="L83" s="47"/>
      <c r="M83" s="46"/>
      <c r="N83" s="46"/>
      <c r="O83" s="38"/>
      <c r="P83" s="38"/>
      <c r="Q83" s="12"/>
      <c r="R83" s="50"/>
      <c r="S83" s="50"/>
      <c r="T83" s="50"/>
      <c r="U83" s="53"/>
      <c r="V83" s="54"/>
      <c r="W83" s="56"/>
      <c r="X83" s="57"/>
      <c r="Y83" s="38"/>
      <c r="Z83" s="38"/>
      <c r="AH83" s="38"/>
      <c r="AI83" s="38"/>
    </row>
    <row r="84">
      <c r="A84" s="38"/>
      <c r="B84" s="38"/>
      <c r="C84" s="38"/>
      <c r="D84" s="38"/>
      <c r="E84" s="38"/>
      <c r="F84" s="41"/>
      <c r="G84" s="43"/>
      <c r="H84" s="45"/>
      <c r="I84" s="38"/>
      <c r="J84" s="38"/>
      <c r="K84" s="46"/>
      <c r="L84" s="47"/>
      <c r="M84" s="46"/>
      <c r="N84" s="46"/>
      <c r="O84" s="38"/>
      <c r="P84" s="38"/>
      <c r="Q84" s="12"/>
      <c r="R84" s="50"/>
      <c r="S84" s="50"/>
      <c r="T84" s="50"/>
      <c r="U84" s="53"/>
      <c r="V84" s="54"/>
      <c r="W84" s="56"/>
      <c r="X84" s="57"/>
      <c r="Y84" s="38"/>
      <c r="Z84" s="38"/>
      <c r="AH84" s="38"/>
      <c r="AI84" s="38"/>
    </row>
    <row r="85">
      <c r="A85" s="38"/>
      <c r="B85" s="38"/>
      <c r="C85" s="38"/>
      <c r="D85" s="38"/>
      <c r="E85" s="38"/>
      <c r="F85" s="41"/>
      <c r="G85" s="43"/>
      <c r="H85" s="45"/>
      <c r="I85" s="38"/>
      <c r="J85" s="38"/>
      <c r="K85" s="46"/>
      <c r="L85" s="47"/>
      <c r="M85" s="46"/>
      <c r="N85" s="46"/>
      <c r="O85" s="38"/>
      <c r="P85" s="38"/>
      <c r="Q85" s="12"/>
      <c r="R85" s="50"/>
      <c r="S85" s="50"/>
      <c r="T85" s="50"/>
      <c r="U85" s="53"/>
      <c r="V85" s="54"/>
      <c r="W85" s="56"/>
      <c r="X85" s="57"/>
      <c r="Y85" s="38"/>
      <c r="Z85" s="38"/>
      <c r="AH85" s="38"/>
      <c r="AI85" s="38"/>
    </row>
    <row r="86">
      <c r="A86" s="38"/>
      <c r="B86" s="38"/>
      <c r="C86" s="38"/>
      <c r="D86" s="38"/>
      <c r="E86" s="38"/>
      <c r="F86" s="41"/>
      <c r="G86" s="43"/>
      <c r="H86" s="45"/>
      <c r="I86" s="38"/>
      <c r="J86" s="38"/>
      <c r="K86" s="46"/>
      <c r="L86" s="47"/>
      <c r="M86" s="46"/>
      <c r="N86" s="46"/>
      <c r="O86" s="38"/>
      <c r="P86" s="38"/>
      <c r="Q86" s="12"/>
      <c r="R86" s="50"/>
      <c r="S86" s="50"/>
      <c r="T86" s="50"/>
      <c r="U86" s="53"/>
      <c r="V86" s="54"/>
      <c r="W86" s="56"/>
      <c r="X86" s="57"/>
      <c r="Y86" s="38"/>
      <c r="Z86" s="38"/>
      <c r="AH86" s="38"/>
      <c r="AI86" s="38"/>
    </row>
    <row r="87">
      <c r="A87" s="38"/>
      <c r="B87" s="38"/>
      <c r="C87" s="38"/>
      <c r="D87" s="38"/>
      <c r="E87" s="38"/>
      <c r="F87" s="41"/>
      <c r="G87" s="43"/>
      <c r="H87" s="45"/>
      <c r="I87" s="38"/>
      <c r="J87" s="38"/>
      <c r="K87" s="46"/>
      <c r="L87" s="47"/>
      <c r="M87" s="46"/>
      <c r="N87" s="46"/>
      <c r="O87" s="38"/>
      <c r="P87" s="38"/>
      <c r="Q87" s="12"/>
      <c r="R87" s="50"/>
      <c r="S87" s="50"/>
      <c r="T87" s="50"/>
      <c r="U87" s="53"/>
      <c r="V87" s="54"/>
      <c r="W87" s="56"/>
      <c r="X87" s="57"/>
      <c r="Y87" s="38"/>
      <c r="Z87" s="38"/>
      <c r="AH87" s="38"/>
      <c r="AI87" s="38"/>
    </row>
    <row r="88">
      <c r="A88" s="38"/>
      <c r="B88" s="38"/>
      <c r="C88" s="38"/>
      <c r="D88" s="38"/>
      <c r="E88" s="38"/>
      <c r="F88" s="41"/>
      <c r="G88" s="43"/>
      <c r="H88" s="45"/>
      <c r="I88" s="38"/>
      <c r="J88" s="38"/>
      <c r="K88" s="46"/>
      <c r="L88" s="47"/>
      <c r="M88" s="46"/>
      <c r="N88" s="46"/>
      <c r="O88" s="38"/>
      <c r="P88" s="38"/>
      <c r="Q88" s="12"/>
      <c r="R88" s="50"/>
      <c r="S88" s="50"/>
      <c r="T88" s="50"/>
      <c r="U88" s="53"/>
      <c r="V88" s="54"/>
      <c r="W88" s="56"/>
      <c r="X88" s="57"/>
      <c r="Y88" s="38"/>
      <c r="Z88" s="38"/>
      <c r="AH88" s="38"/>
      <c r="AI88" s="38"/>
    </row>
    <row r="89">
      <c r="A89" s="38"/>
      <c r="B89" s="38"/>
      <c r="C89" s="39"/>
      <c r="D89" s="38"/>
      <c r="E89" s="38"/>
      <c r="F89" s="41"/>
      <c r="G89" s="43"/>
      <c r="H89" s="45"/>
      <c r="I89" s="38"/>
      <c r="J89" s="38"/>
      <c r="K89" s="46"/>
      <c r="L89" s="47"/>
      <c r="M89" s="46"/>
      <c r="N89" s="46"/>
      <c r="O89" s="38"/>
      <c r="P89" s="38"/>
      <c r="Q89" s="12"/>
      <c r="R89" s="50"/>
      <c r="S89" s="50"/>
      <c r="T89" s="50"/>
      <c r="U89" s="53"/>
      <c r="V89" s="54"/>
      <c r="W89" s="56"/>
      <c r="X89" s="57"/>
      <c r="Y89" s="38"/>
      <c r="Z89" s="38"/>
      <c r="AH89" s="38"/>
      <c r="AI89" s="38"/>
    </row>
    <row r="90">
      <c r="A90" s="38"/>
      <c r="B90" s="38"/>
      <c r="C90" s="38"/>
      <c r="D90" s="38"/>
      <c r="E90" s="38"/>
      <c r="F90" s="41"/>
      <c r="G90" s="43"/>
      <c r="H90" s="45"/>
      <c r="I90" s="38"/>
      <c r="J90" s="38"/>
      <c r="K90" s="46"/>
      <c r="L90" s="47"/>
      <c r="M90" s="46"/>
      <c r="N90" s="46"/>
      <c r="O90" s="38"/>
      <c r="P90" s="38"/>
      <c r="Q90" s="12"/>
      <c r="R90" s="50"/>
      <c r="S90" s="50"/>
      <c r="T90" s="50"/>
      <c r="U90" s="53"/>
      <c r="V90" s="54"/>
      <c r="W90" s="56"/>
      <c r="X90" s="57"/>
      <c r="Y90" s="38"/>
      <c r="Z90" s="38"/>
      <c r="AH90" s="38"/>
      <c r="AI90" s="38"/>
    </row>
    <row r="91">
      <c r="A91" s="38"/>
      <c r="B91" s="38"/>
      <c r="C91" s="38"/>
      <c r="D91" s="38"/>
      <c r="E91" s="38"/>
      <c r="F91" s="41"/>
      <c r="G91" s="43"/>
      <c r="H91" s="45"/>
      <c r="I91" s="38"/>
      <c r="J91" s="38"/>
      <c r="K91" s="46"/>
      <c r="L91" s="47"/>
      <c r="M91" s="46"/>
      <c r="N91" s="46"/>
      <c r="O91" s="38"/>
      <c r="P91" s="38"/>
      <c r="Q91" s="12"/>
      <c r="R91" s="50"/>
      <c r="S91" s="50"/>
      <c r="T91" s="50"/>
      <c r="U91" s="53"/>
      <c r="V91" s="54"/>
      <c r="W91" s="56"/>
      <c r="X91" s="57"/>
      <c r="Y91" s="38"/>
      <c r="Z91" s="38"/>
      <c r="AH91" s="38"/>
      <c r="AI91" s="38"/>
    </row>
    <row r="92">
      <c r="A92" s="38"/>
      <c r="B92" s="38"/>
      <c r="C92" s="38"/>
      <c r="D92" s="38"/>
      <c r="E92" s="38"/>
      <c r="F92" s="41"/>
      <c r="G92" s="43"/>
      <c r="H92" s="45"/>
      <c r="I92" s="38"/>
      <c r="J92" s="38"/>
      <c r="K92" s="46"/>
      <c r="L92" s="47"/>
      <c r="M92" s="46"/>
      <c r="N92" s="46"/>
      <c r="O92" s="38"/>
      <c r="P92" s="38"/>
      <c r="Q92" s="12"/>
      <c r="R92" s="50"/>
      <c r="S92" s="50"/>
      <c r="T92" s="50"/>
      <c r="U92" s="53"/>
      <c r="V92" s="54"/>
      <c r="W92" s="56"/>
      <c r="X92" s="57"/>
      <c r="Y92" s="38"/>
      <c r="Z92" s="38"/>
      <c r="AH92" s="38"/>
      <c r="AI92" s="38"/>
    </row>
    <row r="93">
      <c r="A93" s="38"/>
      <c r="B93" s="38"/>
      <c r="C93" s="38"/>
      <c r="D93" s="38"/>
      <c r="E93" s="38"/>
      <c r="F93" s="41"/>
      <c r="G93" s="43"/>
      <c r="H93" s="45"/>
      <c r="I93" s="38"/>
      <c r="J93" s="38"/>
      <c r="K93" s="46"/>
      <c r="L93" s="47"/>
      <c r="M93" s="46"/>
      <c r="N93" s="46"/>
      <c r="O93" s="38"/>
      <c r="P93" s="38"/>
      <c r="Q93" s="12"/>
      <c r="R93" s="50"/>
      <c r="S93" s="50"/>
      <c r="T93" s="50"/>
      <c r="U93" s="53"/>
      <c r="V93" s="54"/>
      <c r="W93" s="56"/>
      <c r="X93" s="57"/>
      <c r="Y93" s="38"/>
      <c r="Z93" s="38"/>
      <c r="AH93" s="38"/>
      <c r="AI93" s="38"/>
    </row>
    <row r="94">
      <c r="A94" s="38"/>
      <c r="B94" s="38"/>
      <c r="C94" s="39"/>
      <c r="D94" s="38"/>
      <c r="E94" s="38"/>
      <c r="F94" s="41"/>
      <c r="G94" s="43"/>
      <c r="H94" s="45"/>
      <c r="I94" s="38"/>
      <c r="J94" s="38"/>
      <c r="K94" s="46"/>
      <c r="L94" s="47"/>
      <c r="M94" s="46"/>
      <c r="N94" s="46"/>
      <c r="O94" s="38"/>
      <c r="P94" s="38"/>
      <c r="Q94" s="12"/>
      <c r="R94" s="50"/>
      <c r="S94" s="50"/>
      <c r="T94" s="50"/>
      <c r="U94" s="53"/>
      <c r="V94" s="54"/>
      <c r="W94" s="56"/>
      <c r="X94" s="57"/>
      <c r="Y94" s="38"/>
      <c r="Z94" s="38"/>
      <c r="AH94" s="38"/>
      <c r="AI94" s="38"/>
    </row>
    <row r="95">
      <c r="A95" s="38"/>
      <c r="B95" s="38"/>
      <c r="C95" s="38"/>
      <c r="D95" s="38"/>
      <c r="E95" s="38"/>
      <c r="F95" s="41"/>
      <c r="G95" s="43"/>
      <c r="H95" s="45"/>
      <c r="I95" s="38"/>
      <c r="J95" s="38"/>
      <c r="K95" s="46"/>
      <c r="L95" s="47"/>
      <c r="M95" s="46"/>
      <c r="N95" s="46"/>
      <c r="O95" s="38"/>
      <c r="P95" s="38"/>
      <c r="Q95" s="12"/>
      <c r="R95" s="50"/>
      <c r="S95" s="50"/>
      <c r="T95" s="50"/>
      <c r="U95" s="53"/>
      <c r="V95" s="54"/>
      <c r="W95" s="56"/>
      <c r="X95" s="57"/>
      <c r="Y95" s="38"/>
      <c r="Z95" s="38"/>
      <c r="AH95" s="38"/>
      <c r="AI95" s="38"/>
    </row>
    <row r="96">
      <c r="A96" s="38"/>
      <c r="B96" s="38"/>
      <c r="C96" s="38"/>
      <c r="D96" s="38"/>
      <c r="E96" s="38"/>
      <c r="F96" s="41"/>
      <c r="G96" s="43"/>
      <c r="H96" s="45"/>
      <c r="I96" s="38"/>
      <c r="J96" s="38"/>
      <c r="K96" s="46"/>
      <c r="L96" s="47"/>
      <c r="M96" s="46"/>
      <c r="N96" s="46"/>
      <c r="O96" s="38"/>
      <c r="P96" s="38"/>
      <c r="Q96" s="12"/>
      <c r="R96" s="50"/>
      <c r="S96" s="50"/>
      <c r="T96" s="50"/>
      <c r="U96" s="53"/>
      <c r="V96" s="54"/>
      <c r="W96" s="56"/>
      <c r="X96" s="57"/>
      <c r="Y96" s="38"/>
      <c r="Z96" s="38"/>
      <c r="AH96" s="38"/>
      <c r="AI96" s="38"/>
    </row>
    <row r="97">
      <c r="A97" s="38"/>
      <c r="B97" s="38"/>
      <c r="C97" s="38"/>
      <c r="D97" s="38"/>
      <c r="E97" s="38"/>
      <c r="F97" s="41"/>
      <c r="G97" s="43"/>
      <c r="H97" s="45"/>
      <c r="I97" s="38"/>
      <c r="J97" s="38"/>
      <c r="K97" s="46"/>
      <c r="L97" s="47"/>
      <c r="M97" s="46"/>
      <c r="N97" s="46"/>
      <c r="O97" s="38"/>
      <c r="P97" s="38"/>
      <c r="Q97" s="12"/>
      <c r="R97" s="50"/>
      <c r="S97" s="50"/>
      <c r="T97" s="50"/>
      <c r="U97" s="53"/>
      <c r="V97" s="54"/>
      <c r="W97" s="56"/>
      <c r="X97" s="57"/>
      <c r="Y97" s="38"/>
      <c r="Z97" s="38"/>
      <c r="AH97" s="38"/>
      <c r="AI97" s="38"/>
    </row>
    <row r="98">
      <c r="A98" s="38"/>
      <c r="B98" s="38"/>
      <c r="C98" s="38"/>
      <c r="D98" s="38"/>
      <c r="E98" s="38"/>
      <c r="F98" s="41"/>
      <c r="G98" s="43"/>
      <c r="H98" s="45"/>
      <c r="I98" s="38"/>
      <c r="J98" s="38"/>
      <c r="K98" s="46"/>
      <c r="L98" s="47"/>
      <c r="M98" s="46"/>
      <c r="N98" s="46"/>
      <c r="O98" s="38"/>
      <c r="P98" s="38"/>
      <c r="Q98" s="12"/>
      <c r="R98" s="50"/>
      <c r="S98" s="50"/>
      <c r="T98" s="50"/>
      <c r="U98" s="53"/>
      <c r="V98" s="54"/>
      <c r="W98" s="56"/>
      <c r="X98" s="57"/>
      <c r="Y98" s="38"/>
      <c r="Z98" s="38"/>
      <c r="AH98" s="38"/>
      <c r="AI98" s="38"/>
    </row>
    <row r="99">
      <c r="A99" s="38"/>
      <c r="B99" s="38"/>
      <c r="C99" s="38"/>
      <c r="D99" s="38"/>
      <c r="E99" s="38"/>
      <c r="F99" s="41"/>
      <c r="G99" s="43"/>
      <c r="H99" s="45"/>
      <c r="I99" s="38"/>
      <c r="J99" s="38"/>
      <c r="K99" s="46"/>
      <c r="L99" s="47"/>
      <c r="M99" s="46"/>
      <c r="N99" s="46"/>
      <c r="O99" s="38"/>
      <c r="P99" s="38"/>
      <c r="Q99" s="12"/>
      <c r="R99" s="50"/>
      <c r="S99" s="50"/>
      <c r="T99" s="50"/>
      <c r="U99" s="53"/>
      <c r="V99" s="54"/>
      <c r="W99" s="56"/>
      <c r="X99" s="57"/>
      <c r="Y99" s="38"/>
      <c r="Z99" s="38"/>
      <c r="AH99" s="38"/>
      <c r="AI99" s="38"/>
    </row>
    <row r="100">
      <c r="A100" s="38"/>
      <c r="B100" s="38"/>
      <c r="C100" s="38"/>
      <c r="D100" s="38"/>
      <c r="E100" s="38"/>
      <c r="F100" s="41"/>
      <c r="G100" s="43"/>
      <c r="H100" s="45"/>
      <c r="I100" s="38"/>
      <c r="J100" s="38"/>
      <c r="K100" s="46"/>
      <c r="L100" s="47"/>
      <c r="M100" s="46"/>
      <c r="N100" s="46"/>
      <c r="O100" s="38"/>
      <c r="P100" s="38"/>
      <c r="Q100" s="12"/>
      <c r="R100" s="50"/>
      <c r="S100" s="50"/>
      <c r="T100" s="50"/>
      <c r="U100" s="53"/>
      <c r="V100" s="54"/>
      <c r="W100" s="56"/>
      <c r="X100" s="57"/>
      <c r="Y100" s="38"/>
      <c r="Z100" s="38"/>
      <c r="AH100" s="38"/>
      <c r="AI100" s="38"/>
    </row>
    <row r="101">
      <c r="A101" s="38"/>
      <c r="B101" s="38"/>
      <c r="C101" s="38"/>
      <c r="D101" s="38"/>
      <c r="E101" s="38"/>
      <c r="F101" s="41"/>
      <c r="G101" s="43"/>
      <c r="H101" s="45"/>
      <c r="I101" s="38"/>
      <c r="J101" s="38"/>
      <c r="K101" s="46"/>
      <c r="L101" s="47"/>
      <c r="M101" s="46"/>
      <c r="N101" s="46"/>
      <c r="O101" s="38"/>
      <c r="P101" s="38"/>
      <c r="Q101" s="12"/>
      <c r="R101" s="50"/>
      <c r="S101" s="50"/>
      <c r="T101" s="50"/>
      <c r="U101" s="53"/>
      <c r="V101" s="54"/>
      <c r="W101" s="56"/>
      <c r="X101" s="57"/>
      <c r="Y101" s="38"/>
      <c r="Z101" s="38"/>
      <c r="AH101" s="38"/>
      <c r="AI101" s="38"/>
    </row>
    <row r="102">
      <c r="A102" s="38"/>
      <c r="B102" s="38"/>
      <c r="C102" s="38"/>
      <c r="D102" s="38"/>
      <c r="E102" s="38"/>
      <c r="F102" s="41"/>
      <c r="G102" s="43"/>
      <c r="H102" s="45"/>
      <c r="I102" s="38"/>
      <c r="J102" s="38"/>
      <c r="K102" s="46"/>
      <c r="L102" s="47"/>
      <c r="M102" s="46"/>
      <c r="N102" s="46"/>
      <c r="O102" s="38"/>
      <c r="P102" s="38"/>
      <c r="Q102" s="12"/>
      <c r="R102" s="50"/>
      <c r="S102" s="50"/>
      <c r="T102" s="50"/>
      <c r="U102" s="53"/>
      <c r="V102" s="54"/>
      <c r="W102" s="56"/>
      <c r="X102" s="57"/>
      <c r="Y102" s="38"/>
      <c r="Z102" s="38"/>
      <c r="AH102" s="38"/>
      <c r="AI102" s="38"/>
    </row>
    <row r="103">
      <c r="A103" s="38"/>
      <c r="B103" s="38"/>
      <c r="C103" s="38"/>
      <c r="D103" s="38"/>
      <c r="E103" s="38"/>
      <c r="F103" s="41"/>
      <c r="G103" s="43"/>
      <c r="H103" s="45"/>
      <c r="I103" s="38"/>
      <c r="J103" s="38"/>
      <c r="K103" s="46"/>
      <c r="L103" s="47"/>
      <c r="M103" s="46"/>
      <c r="N103" s="46"/>
      <c r="O103" s="38"/>
      <c r="P103" s="38"/>
      <c r="Q103" s="12"/>
      <c r="R103" s="50"/>
      <c r="S103" s="50"/>
      <c r="T103" s="50"/>
      <c r="U103" s="53"/>
      <c r="V103" s="54"/>
      <c r="W103" s="56"/>
      <c r="X103" s="57"/>
      <c r="Y103" s="38"/>
      <c r="Z103" s="38"/>
      <c r="AH103" s="38"/>
      <c r="AI103" s="38"/>
    </row>
    <row r="104">
      <c r="A104" s="38"/>
      <c r="B104" s="38"/>
      <c r="C104" s="38"/>
      <c r="D104" s="38"/>
      <c r="E104" s="38"/>
      <c r="F104" s="41"/>
      <c r="G104" s="43"/>
      <c r="H104" s="45"/>
      <c r="I104" s="38"/>
      <c r="J104" s="38"/>
      <c r="K104" s="46"/>
      <c r="L104" s="47"/>
      <c r="M104" s="46"/>
      <c r="N104" s="46"/>
      <c r="O104" s="38"/>
      <c r="P104" s="38"/>
      <c r="Q104" s="12"/>
      <c r="R104" s="50"/>
      <c r="S104" s="50"/>
      <c r="T104" s="50"/>
      <c r="U104" s="53"/>
      <c r="V104" s="54"/>
      <c r="W104" s="56"/>
      <c r="X104" s="57"/>
      <c r="Y104" s="38"/>
      <c r="Z104" s="38"/>
      <c r="AH104" s="106"/>
      <c r="AI104" s="106"/>
    </row>
    <row r="105">
      <c r="A105" s="38"/>
      <c r="B105" s="38"/>
      <c r="C105" s="38"/>
      <c r="D105" s="38"/>
      <c r="E105" s="38"/>
      <c r="F105" s="41"/>
      <c r="G105" s="43"/>
      <c r="H105" s="45"/>
      <c r="I105" s="38"/>
      <c r="J105" s="38"/>
      <c r="K105" s="46"/>
      <c r="L105" s="47"/>
      <c r="M105" s="46"/>
      <c r="N105" s="46"/>
      <c r="O105" s="38"/>
      <c r="P105" s="49"/>
      <c r="Q105" s="12"/>
      <c r="R105" s="98"/>
      <c r="S105" s="50"/>
      <c r="T105" s="50"/>
      <c r="U105" s="53"/>
      <c r="V105" s="54"/>
      <c r="W105" s="56"/>
      <c r="X105" s="57"/>
      <c r="Y105" s="38"/>
      <c r="Z105" s="38"/>
      <c r="AH105" s="106"/>
      <c r="AI105" s="106"/>
    </row>
    <row r="106">
      <c r="A106" s="100"/>
      <c r="B106" s="38"/>
      <c r="C106" s="39"/>
      <c r="D106" s="38"/>
      <c r="E106" s="38"/>
      <c r="F106" s="38"/>
      <c r="G106" s="38"/>
      <c r="H106" s="58"/>
      <c r="I106" s="38"/>
      <c r="J106" s="38"/>
      <c r="K106" s="46"/>
      <c r="L106" s="47"/>
      <c r="M106" s="46"/>
      <c r="N106" s="46"/>
      <c r="O106" s="60"/>
      <c r="P106" s="49"/>
      <c r="Q106" s="12"/>
      <c r="R106" s="98"/>
      <c r="S106" s="50"/>
      <c r="T106" s="50"/>
      <c r="U106" s="53"/>
      <c r="V106" s="54"/>
      <c r="W106" s="56"/>
      <c r="X106" s="57"/>
      <c r="Y106" s="38"/>
      <c r="Z106" s="38"/>
      <c r="AH106" s="106"/>
      <c r="AI106" s="106"/>
    </row>
    <row r="107">
      <c r="A107" s="100"/>
      <c r="B107" s="38"/>
      <c r="C107" s="38"/>
      <c r="D107" s="38"/>
      <c r="E107" s="38"/>
      <c r="F107" s="38"/>
      <c r="G107" s="38"/>
      <c r="H107" s="45"/>
      <c r="I107" s="38"/>
      <c r="J107" s="38"/>
      <c r="K107" s="46"/>
      <c r="L107" s="47"/>
      <c r="M107" s="46"/>
      <c r="N107" s="46"/>
      <c r="O107" s="60"/>
      <c r="P107" s="49"/>
      <c r="Q107" s="12"/>
      <c r="R107" s="98"/>
      <c r="S107" s="50"/>
      <c r="T107" s="50"/>
      <c r="U107" s="53"/>
      <c r="V107" s="54"/>
      <c r="W107" s="56"/>
      <c r="X107" s="57"/>
      <c r="Y107" s="38"/>
      <c r="Z107" s="38"/>
      <c r="AH107" s="106"/>
      <c r="AI107" s="106"/>
    </row>
    <row r="108">
      <c r="A108" s="100"/>
      <c r="B108" s="38"/>
      <c r="C108" s="38"/>
      <c r="D108" s="38"/>
      <c r="E108" s="38"/>
      <c r="F108" s="38"/>
      <c r="G108" s="38"/>
      <c r="H108" s="12"/>
      <c r="I108" s="38"/>
      <c r="J108" s="38"/>
      <c r="K108" s="46"/>
      <c r="L108" s="47"/>
      <c r="M108" s="46"/>
      <c r="N108" s="46"/>
      <c r="O108" s="60"/>
      <c r="P108" s="49"/>
      <c r="Q108" s="12"/>
      <c r="R108" s="98"/>
      <c r="S108" s="50"/>
      <c r="T108" s="50"/>
      <c r="U108" s="53"/>
      <c r="V108" s="54"/>
      <c r="W108" s="56"/>
      <c r="X108" s="57"/>
      <c r="Y108" s="38"/>
      <c r="Z108" s="38"/>
      <c r="AH108" s="106"/>
      <c r="AI108" s="106"/>
    </row>
    <row r="109">
      <c r="A109" s="100"/>
      <c r="B109" s="38"/>
      <c r="C109" s="39"/>
      <c r="D109" s="38"/>
      <c r="E109" s="38"/>
      <c r="F109" s="38"/>
      <c r="G109" s="38"/>
      <c r="H109" s="45"/>
      <c r="I109" s="38"/>
      <c r="J109" s="38"/>
      <c r="K109" s="46"/>
      <c r="L109" s="47"/>
      <c r="M109" s="46"/>
      <c r="N109" s="46"/>
      <c r="O109" s="60"/>
      <c r="P109" s="49"/>
      <c r="Q109" s="12"/>
      <c r="R109" s="98"/>
      <c r="S109" s="50"/>
      <c r="T109" s="50"/>
      <c r="U109" s="53"/>
      <c r="V109" s="54"/>
      <c r="W109" s="56"/>
      <c r="X109" s="57"/>
      <c r="Y109" s="38"/>
      <c r="Z109" s="38"/>
      <c r="AH109" s="106"/>
      <c r="AI109" s="106"/>
    </row>
    <row r="110">
      <c r="A110" s="100"/>
      <c r="B110" s="38"/>
      <c r="C110" s="38"/>
      <c r="D110" s="38"/>
      <c r="E110" s="38"/>
      <c r="F110" s="38"/>
      <c r="G110" s="38"/>
      <c r="H110" s="12"/>
      <c r="I110" s="38"/>
      <c r="J110" s="38"/>
      <c r="K110" s="46"/>
      <c r="L110" s="47"/>
      <c r="M110" s="46"/>
      <c r="N110" s="46"/>
      <c r="O110" s="60"/>
      <c r="P110" s="49"/>
      <c r="Q110" s="12"/>
      <c r="R110" s="98"/>
      <c r="S110" s="50"/>
      <c r="T110" s="50"/>
      <c r="U110" s="53"/>
      <c r="V110" s="54"/>
      <c r="W110" s="56"/>
      <c r="X110" s="57"/>
      <c r="Y110" s="38"/>
      <c r="Z110" s="38"/>
      <c r="AH110" s="106"/>
      <c r="AI110" s="106"/>
    </row>
    <row r="111">
      <c r="A111" s="100"/>
      <c r="B111" s="38"/>
      <c r="C111" s="38"/>
      <c r="D111" s="38"/>
      <c r="E111" s="38"/>
      <c r="F111" s="38"/>
      <c r="G111" s="38"/>
      <c r="H111" s="12"/>
      <c r="I111" s="38"/>
      <c r="J111" s="38"/>
      <c r="K111" s="46"/>
      <c r="L111" s="47"/>
      <c r="M111" s="46"/>
      <c r="N111" s="46"/>
      <c r="O111" s="60"/>
      <c r="P111" s="49"/>
      <c r="Q111" s="12"/>
      <c r="R111" s="98"/>
      <c r="S111" s="50"/>
      <c r="T111" s="50"/>
      <c r="U111" s="53"/>
      <c r="V111" s="54"/>
      <c r="W111" s="56"/>
      <c r="X111" s="57"/>
      <c r="Y111" s="38"/>
      <c r="Z111" s="38"/>
      <c r="AH111" s="106"/>
      <c r="AI111" s="106"/>
    </row>
    <row r="112">
      <c r="A112" s="100"/>
      <c r="B112" s="38"/>
      <c r="C112" s="38"/>
      <c r="D112" s="38"/>
      <c r="E112" s="38"/>
      <c r="F112" s="38"/>
      <c r="G112" s="38"/>
      <c r="H112" s="45"/>
      <c r="I112" s="38"/>
      <c r="J112" s="38"/>
      <c r="K112" s="46"/>
      <c r="L112" s="47"/>
      <c r="M112" s="46"/>
      <c r="N112" s="46"/>
      <c r="O112" s="60"/>
      <c r="P112" s="49"/>
      <c r="Q112" s="12"/>
      <c r="R112" s="98"/>
      <c r="S112" s="50"/>
      <c r="T112" s="50"/>
      <c r="U112" s="53"/>
      <c r="V112" s="54"/>
      <c r="W112" s="56"/>
      <c r="X112" s="57"/>
      <c r="Y112" s="38"/>
      <c r="Z112" s="38"/>
      <c r="AH112" s="106"/>
      <c r="AI112" s="106"/>
    </row>
    <row r="113">
      <c r="A113" s="100"/>
      <c r="B113" s="38"/>
      <c r="C113" s="38"/>
      <c r="D113" s="38"/>
      <c r="E113" s="38"/>
      <c r="F113" s="38"/>
      <c r="G113" s="38"/>
      <c r="H113" s="58"/>
      <c r="I113" s="38"/>
      <c r="J113" s="38"/>
      <c r="K113" s="46"/>
      <c r="L113" s="47"/>
      <c r="M113" s="46"/>
      <c r="N113" s="46"/>
      <c r="O113" s="60"/>
      <c r="P113" s="49"/>
      <c r="Q113" s="12"/>
      <c r="R113" s="98"/>
      <c r="S113" s="50"/>
      <c r="T113" s="50"/>
      <c r="U113" s="53"/>
      <c r="V113" s="54"/>
      <c r="W113" s="56"/>
      <c r="X113" s="57"/>
      <c r="Y113" s="38"/>
      <c r="Z113" s="38"/>
      <c r="AH113" s="106"/>
      <c r="AI113" s="106"/>
    </row>
    <row r="114">
      <c r="A114" s="100"/>
      <c r="B114" s="38"/>
      <c r="C114" s="38"/>
      <c r="D114" s="38"/>
      <c r="E114" s="38"/>
      <c r="F114" s="38"/>
      <c r="G114" s="39"/>
      <c r="H114" s="45"/>
      <c r="I114" s="38"/>
      <c r="J114" s="38"/>
      <c r="K114" s="46"/>
      <c r="L114" s="47"/>
      <c r="M114" s="46"/>
      <c r="N114" s="46"/>
      <c r="O114" s="60"/>
      <c r="P114" s="49"/>
      <c r="Q114" s="12"/>
      <c r="R114" s="98"/>
      <c r="S114" s="50"/>
      <c r="T114" s="50"/>
      <c r="U114" s="53"/>
      <c r="V114" s="54"/>
      <c r="W114" s="56"/>
      <c r="X114" s="57"/>
      <c r="Y114" s="38"/>
      <c r="Z114" s="38"/>
      <c r="AH114" s="106"/>
      <c r="AI114" s="106"/>
    </row>
    <row r="115">
      <c r="A115" s="100"/>
      <c r="B115" s="38"/>
      <c r="C115" s="38"/>
      <c r="D115" s="38"/>
      <c r="E115" s="38"/>
      <c r="F115" s="38"/>
      <c r="G115" s="38"/>
      <c r="H115" s="45"/>
      <c r="I115" s="38"/>
      <c r="J115" s="38"/>
      <c r="K115" s="46"/>
      <c r="L115" s="47"/>
      <c r="M115" s="46"/>
      <c r="N115" s="46"/>
      <c r="O115" s="60"/>
      <c r="P115" s="49"/>
      <c r="Q115" s="12"/>
      <c r="R115" s="98"/>
      <c r="S115" s="50"/>
      <c r="T115" s="50"/>
      <c r="U115" s="53"/>
      <c r="V115" s="54"/>
      <c r="W115" s="56"/>
      <c r="X115" s="57"/>
      <c r="Y115" s="38"/>
      <c r="Z115" s="38"/>
      <c r="AH115" s="106"/>
      <c r="AI115" s="106"/>
    </row>
    <row r="116">
      <c r="A116" s="100"/>
      <c r="B116" s="38"/>
      <c r="C116" s="38"/>
      <c r="D116" s="38"/>
      <c r="E116" s="38"/>
      <c r="F116" s="38"/>
      <c r="G116" s="38"/>
      <c r="H116" s="45"/>
      <c r="I116" s="38"/>
      <c r="J116" s="38"/>
      <c r="K116" s="46"/>
      <c r="L116" s="47"/>
      <c r="M116" s="46"/>
      <c r="N116" s="46"/>
      <c r="O116" s="60"/>
      <c r="P116" s="49"/>
      <c r="Q116" s="12"/>
      <c r="R116" s="98"/>
      <c r="S116" s="50"/>
      <c r="T116" s="50"/>
      <c r="U116" s="53"/>
      <c r="V116" s="54"/>
      <c r="W116" s="56"/>
      <c r="X116" s="57"/>
      <c r="Y116" s="38"/>
      <c r="Z116" s="38"/>
      <c r="AH116" s="106"/>
      <c r="AI116" s="106"/>
    </row>
    <row r="117">
      <c r="A117" s="100"/>
      <c r="B117" s="38"/>
      <c r="C117" s="38"/>
      <c r="D117" s="38"/>
      <c r="E117" s="38"/>
      <c r="F117" s="38"/>
      <c r="G117" s="38"/>
      <c r="H117" s="45"/>
      <c r="I117" s="38"/>
      <c r="J117" s="38"/>
      <c r="K117" s="46"/>
      <c r="L117" s="47"/>
      <c r="M117" s="46"/>
      <c r="N117" s="46"/>
      <c r="O117" s="60"/>
      <c r="P117" s="49"/>
      <c r="Q117" s="12"/>
      <c r="R117" s="98"/>
      <c r="S117" s="50"/>
      <c r="T117" s="50"/>
      <c r="U117" s="53"/>
      <c r="V117" s="54"/>
      <c r="W117" s="56"/>
      <c r="X117" s="57"/>
      <c r="Y117" s="38"/>
      <c r="Z117" s="38"/>
      <c r="AH117" s="106"/>
      <c r="AI117" s="106"/>
    </row>
    <row r="118">
      <c r="A118" s="100"/>
      <c r="B118" s="38"/>
      <c r="C118" s="38"/>
      <c r="D118" s="38"/>
      <c r="E118" s="38"/>
      <c r="F118" s="38"/>
      <c r="G118" s="38"/>
      <c r="H118" s="45"/>
      <c r="I118" s="38"/>
      <c r="J118" s="38"/>
      <c r="K118" s="46"/>
      <c r="L118" s="47"/>
      <c r="M118" s="46"/>
      <c r="N118" s="46"/>
      <c r="O118" s="60"/>
      <c r="P118" s="49"/>
      <c r="Q118" s="12"/>
      <c r="R118" s="98"/>
      <c r="S118" s="50"/>
      <c r="T118" s="50"/>
      <c r="U118" s="53"/>
      <c r="V118" s="54"/>
      <c r="W118" s="56"/>
      <c r="X118" s="57"/>
      <c r="Y118" s="38"/>
      <c r="Z118" s="38"/>
      <c r="AH118" s="106"/>
      <c r="AI118" s="106"/>
    </row>
    <row r="119">
      <c r="A119" s="100"/>
      <c r="B119" s="38"/>
      <c r="C119" s="38"/>
      <c r="D119" s="38"/>
      <c r="E119" s="38"/>
      <c r="F119" s="38"/>
      <c r="G119" s="38"/>
      <c r="H119" s="45"/>
      <c r="I119" s="38"/>
      <c r="J119" s="38"/>
      <c r="K119" s="46"/>
      <c r="L119" s="47"/>
      <c r="M119" s="46"/>
      <c r="N119" s="46"/>
      <c r="O119" s="60"/>
      <c r="P119" s="49"/>
      <c r="Q119" s="12"/>
      <c r="R119" s="98"/>
      <c r="S119" s="50"/>
      <c r="T119" s="50"/>
      <c r="U119" s="53"/>
      <c r="V119" s="54"/>
      <c r="W119" s="56"/>
      <c r="X119" s="57"/>
      <c r="Y119" s="38"/>
      <c r="Z119" s="38"/>
      <c r="AH119" s="106"/>
      <c r="AI119" s="106"/>
    </row>
    <row r="120">
      <c r="A120" s="38"/>
      <c r="B120" s="38"/>
      <c r="C120" s="38"/>
      <c r="D120" s="38"/>
      <c r="E120" s="38"/>
      <c r="F120" s="41"/>
      <c r="G120" s="43"/>
      <c r="H120" s="45"/>
      <c r="I120" s="38"/>
      <c r="J120" s="38"/>
      <c r="K120" s="46"/>
      <c r="L120" s="47"/>
      <c r="M120" s="46"/>
      <c r="N120" s="46"/>
      <c r="O120" s="38"/>
      <c r="P120" s="38"/>
      <c r="Q120" s="12"/>
      <c r="R120" s="50"/>
      <c r="S120" s="50"/>
      <c r="T120" s="50"/>
      <c r="U120" s="53"/>
      <c r="V120" s="54"/>
      <c r="W120" s="56"/>
      <c r="X120" s="57"/>
      <c r="Y120" s="38"/>
      <c r="Z120" s="38"/>
      <c r="AH120" s="106"/>
      <c r="AI120" s="106"/>
    </row>
    <row r="121">
      <c r="A121" s="38"/>
      <c r="B121" s="38"/>
      <c r="C121" s="38"/>
      <c r="D121" s="38"/>
      <c r="E121" s="38"/>
      <c r="F121" s="41"/>
      <c r="G121" s="43"/>
      <c r="H121" s="45"/>
      <c r="I121" s="38"/>
      <c r="J121" s="38"/>
      <c r="K121" s="46"/>
      <c r="L121" s="47"/>
      <c r="M121" s="46"/>
      <c r="N121" s="46"/>
      <c r="O121" s="38"/>
      <c r="P121" s="38"/>
      <c r="Q121" s="12"/>
      <c r="R121" s="50"/>
      <c r="S121" s="50"/>
      <c r="T121" s="50"/>
      <c r="U121" s="53"/>
      <c r="V121" s="54"/>
      <c r="W121" s="56"/>
      <c r="X121" s="57"/>
      <c r="Y121" s="38"/>
      <c r="Z121" s="38"/>
      <c r="AH121" s="106"/>
      <c r="AI121" s="106"/>
    </row>
    <row r="122">
      <c r="A122" s="38"/>
      <c r="B122" s="38"/>
      <c r="C122" s="39"/>
      <c r="D122" s="38"/>
      <c r="E122" s="38"/>
      <c r="F122" s="41"/>
      <c r="G122" s="43"/>
      <c r="H122" s="45"/>
      <c r="I122" s="38"/>
      <c r="J122" s="38"/>
      <c r="K122" s="46"/>
      <c r="L122" s="47"/>
      <c r="M122" s="46"/>
      <c r="N122" s="46"/>
      <c r="O122" s="38"/>
      <c r="P122" s="49"/>
      <c r="Q122" s="12"/>
      <c r="R122" s="50"/>
      <c r="S122" s="50"/>
      <c r="T122" s="50"/>
      <c r="U122" s="53"/>
      <c r="V122" s="54"/>
      <c r="W122" s="56"/>
      <c r="X122" s="57"/>
      <c r="Y122" s="38"/>
      <c r="Z122" s="38"/>
      <c r="AH122" s="106"/>
      <c r="AI122" s="106"/>
    </row>
    <row r="123">
      <c r="A123" s="38"/>
      <c r="B123" s="38"/>
      <c r="C123" s="38"/>
      <c r="D123" s="38"/>
      <c r="E123" s="38"/>
      <c r="F123" s="41"/>
      <c r="G123" s="43"/>
      <c r="H123" s="45"/>
      <c r="I123" s="38"/>
      <c r="J123" s="38"/>
      <c r="K123" s="46"/>
      <c r="L123" s="47"/>
      <c r="M123" s="46"/>
      <c r="N123" s="46"/>
      <c r="O123" s="60"/>
      <c r="P123" s="49"/>
      <c r="Q123" s="12"/>
      <c r="R123" s="50"/>
      <c r="S123" s="50"/>
      <c r="T123" s="50"/>
      <c r="U123" s="53"/>
      <c r="V123" s="54"/>
      <c r="W123" s="56"/>
      <c r="X123" s="57"/>
      <c r="Y123" s="38"/>
      <c r="Z123" s="38"/>
      <c r="AH123" s="106"/>
      <c r="AI123" s="106"/>
    </row>
    <row r="124">
      <c r="A124" s="38"/>
      <c r="B124" s="38"/>
      <c r="C124" s="38"/>
      <c r="D124" s="38"/>
      <c r="E124" s="38"/>
      <c r="F124" s="41"/>
      <c r="G124" s="43"/>
      <c r="H124" s="45"/>
      <c r="I124" s="38"/>
      <c r="J124" s="38"/>
      <c r="K124" s="46"/>
      <c r="L124" s="47"/>
      <c r="M124" s="46"/>
      <c r="N124" s="46"/>
      <c r="O124" s="60"/>
      <c r="P124" s="49"/>
      <c r="Q124" s="12"/>
      <c r="R124" s="50"/>
      <c r="S124" s="50"/>
      <c r="T124" s="50"/>
      <c r="U124" s="53"/>
      <c r="V124" s="54"/>
      <c r="W124" s="56"/>
      <c r="X124" s="57"/>
      <c r="Y124" s="38"/>
      <c r="Z124" s="38"/>
      <c r="AH124" s="106"/>
      <c r="AI124" s="106"/>
    </row>
    <row r="125">
      <c r="A125" s="38"/>
      <c r="B125" s="38"/>
      <c r="C125" s="38"/>
      <c r="D125" s="38"/>
      <c r="E125" s="38"/>
      <c r="F125" s="41"/>
      <c r="G125" s="43"/>
      <c r="H125" s="45"/>
      <c r="I125" s="38"/>
      <c r="J125" s="38"/>
      <c r="K125" s="46"/>
      <c r="L125" s="47"/>
      <c r="M125" s="46"/>
      <c r="N125" s="46"/>
      <c r="O125" s="60"/>
      <c r="P125" s="49"/>
      <c r="Q125" s="12"/>
      <c r="R125" s="50"/>
      <c r="S125" s="50"/>
      <c r="T125" s="50"/>
      <c r="U125" s="53"/>
      <c r="V125" s="54"/>
      <c r="W125" s="56"/>
      <c r="X125" s="57"/>
      <c r="Y125" s="38"/>
      <c r="Z125" s="38"/>
      <c r="AH125" s="106"/>
      <c r="AI125" s="106"/>
    </row>
    <row r="126">
      <c r="A126" s="38"/>
      <c r="B126" s="38"/>
      <c r="C126" s="38"/>
      <c r="D126" s="38"/>
      <c r="E126" s="38"/>
      <c r="F126" s="41"/>
      <c r="G126" s="43"/>
      <c r="H126" s="45"/>
      <c r="I126" s="38"/>
      <c r="J126" s="38"/>
      <c r="K126" s="46"/>
      <c r="L126" s="47"/>
      <c r="M126" s="46"/>
      <c r="N126" s="46"/>
      <c r="O126" s="60"/>
      <c r="P126" s="49"/>
      <c r="Q126" s="12"/>
      <c r="R126" s="50"/>
      <c r="S126" s="50"/>
      <c r="T126" s="50"/>
      <c r="U126" s="53"/>
      <c r="V126" s="54"/>
      <c r="W126" s="56"/>
      <c r="X126" s="57"/>
      <c r="Y126" s="38"/>
      <c r="Z126" s="38"/>
      <c r="AH126" s="106"/>
      <c r="AI126" s="106"/>
    </row>
    <row r="127">
      <c r="A127" s="38"/>
      <c r="B127" s="38"/>
      <c r="C127" s="38"/>
      <c r="D127" s="38"/>
      <c r="E127" s="38"/>
      <c r="F127" s="41"/>
      <c r="G127" s="43"/>
      <c r="H127" s="45"/>
      <c r="I127" s="38"/>
      <c r="J127" s="38"/>
      <c r="K127" s="46"/>
      <c r="L127" s="47"/>
      <c r="M127" s="46"/>
      <c r="N127" s="46"/>
      <c r="O127" s="60"/>
      <c r="P127" s="49"/>
      <c r="Q127" s="12"/>
      <c r="R127" s="50"/>
      <c r="S127" s="50"/>
      <c r="T127" s="50"/>
      <c r="U127" s="53"/>
      <c r="V127" s="54"/>
      <c r="W127" s="56"/>
      <c r="X127" s="57"/>
      <c r="Y127" s="38"/>
      <c r="Z127" s="38"/>
      <c r="AH127" s="106"/>
      <c r="AI127" s="106"/>
    </row>
    <row r="128">
      <c r="A128" s="38"/>
      <c r="B128" s="38"/>
      <c r="C128" s="38"/>
      <c r="D128" s="38"/>
      <c r="E128" s="38"/>
      <c r="F128" s="41"/>
      <c r="G128" s="43"/>
      <c r="H128" s="45"/>
      <c r="I128" s="38"/>
      <c r="J128" s="38"/>
      <c r="K128" s="46"/>
      <c r="L128" s="47"/>
      <c r="M128" s="46"/>
      <c r="N128" s="46"/>
      <c r="O128" s="60"/>
      <c r="P128" s="49"/>
      <c r="Q128" s="12"/>
      <c r="R128" s="50"/>
      <c r="S128" s="50"/>
      <c r="T128" s="50"/>
      <c r="U128" s="53"/>
      <c r="V128" s="54"/>
      <c r="W128" s="56"/>
      <c r="X128" s="57"/>
      <c r="Y128" s="38"/>
      <c r="Z128" s="38"/>
      <c r="AH128" s="106"/>
      <c r="AI128" s="106"/>
    </row>
    <row r="129">
      <c r="A129" s="38"/>
      <c r="B129" s="38"/>
      <c r="C129" s="38"/>
      <c r="D129" s="38"/>
      <c r="E129" s="38"/>
      <c r="F129" s="41"/>
      <c r="G129" s="43"/>
      <c r="H129" s="45"/>
      <c r="I129" s="38"/>
      <c r="J129" s="38"/>
      <c r="K129" s="46"/>
      <c r="L129" s="47"/>
      <c r="M129" s="46"/>
      <c r="N129" s="46"/>
      <c r="O129" s="60"/>
      <c r="P129" s="49"/>
      <c r="Q129" s="12"/>
      <c r="R129" s="50"/>
      <c r="S129" s="50"/>
      <c r="T129" s="50"/>
      <c r="U129" s="53"/>
      <c r="V129" s="54"/>
      <c r="W129" s="56"/>
      <c r="X129" s="57"/>
      <c r="Y129" s="38"/>
      <c r="Z129" s="38"/>
      <c r="AH129" s="106"/>
      <c r="AI129" s="106"/>
    </row>
    <row r="130">
      <c r="A130" s="38"/>
      <c r="B130" s="38"/>
      <c r="C130" s="38"/>
      <c r="D130" s="38"/>
      <c r="E130" s="38"/>
      <c r="F130" s="41"/>
      <c r="G130" s="43"/>
      <c r="H130" s="45"/>
      <c r="I130" s="38"/>
      <c r="J130" s="38"/>
      <c r="K130" s="46"/>
      <c r="L130" s="47"/>
      <c r="M130" s="46"/>
      <c r="N130" s="46"/>
      <c r="O130" s="38"/>
      <c r="P130" s="38"/>
      <c r="Q130" s="12"/>
      <c r="R130" s="50"/>
      <c r="S130" s="50"/>
      <c r="T130" s="50"/>
      <c r="U130" s="53"/>
      <c r="V130" s="54"/>
      <c r="W130" s="56"/>
      <c r="X130" s="57"/>
      <c r="Y130" s="38"/>
      <c r="Z130" s="38"/>
      <c r="AH130" s="106"/>
      <c r="AI130" s="106"/>
    </row>
    <row r="131">
      <c r="A131" s="38"/>
      <c r="B131" s="38"/>
      <c r="C131" s="38"/>
      <c r="D131" s="38"/>
      <c r="E131" s="38"/>
      <c r="F131" s="41"/>
      <c r="G131" s="43"/>
      <c r="H131" s="45"/>
      <c r="I131" s="38"/>
      <c r="J131" s="38"/>
      <c r="K131" s="46"/>
      <c r="L131" s="47"/>
      <c r="M131" s="46"/>
      <c r="N131" s="46"/>
      <c r="O131" s="38"/>
      <c r="P131" s="38"/>
      <c r="Q131" s="12"/>
      <c r="R131" s="50"/>
      <c r="S131" s="50"/>
      <c r="T131" s="50"/>
      <c r="U131" s="53"/>
      <c r="V131" s="54"/>
      <c r="W131" s="56"/>
      <c r="X131" s="57"/>
      <c r="Y131" s="38"/>
      <c r="Z131" s="38"/>
      <c r="AH131" s="106"/>
      <c r="AI131" s="106"/>
    </row>
    <row r="132">
      <c r="A132" s="38"/>
      <c r="B132" s="38"/>
      <c r="C132" s="38"/>
      <c r="D132" s="38"/>
      <c r="E132" s="38"/>
      <c r="F132" s="41"/>
      <c r="G132" s="43"/>
      <c r="H132" s="45"/>
      <c r="I132" s="38"/>
      <c r="J132" s="38"/>
      <c r="K132" s="46"/>
      <c r="L132" s="47"/>
      <c r="M132" s="46"/>
      <c r="N132" s="46"/>
      <c r="O132" s="38"/>
      <c r="P132" s="38"/>
      <c r="Q132" s="12"/>
      <c r="R132" s="50"/>
      <c r="S132" s="50"/>
      <c r="T132" s="50"/>
      <c r="U132" s="53"/>
      <c r="V132" s="54"/>
      <c r="W132" s="56"/>
      <c r="X132" s="57"/>
      <c r="Y132" s="38"/>
      <c r="Z132" s="38"/>
      <c r="AH132" s="106"/>
      <c r="AI132" s="106"/>
    </row>
    <row r="133">
      <c r="A133" s="38"/>
      <c r="B133" s="38"/>
      <c r="C133" s="38"/>
      <c r="D133" s="38"/>
      <c r="E133" s="38"/>
      <c r="F133" s="41"/>
      <c r="G133" s="43"/>
      <c r="H133" s="45"/>
      <c r="I133" s="38"/>
      <c r="J133" s="38"/>
      <c r="K133" s="46"/>
      <c r="L133" s="47"/>
      <c r="M133" s="46"/>
      <c r="N133" s="46"/>
      <c r="O133" s="38"/>
      <c r="P133" s="38"/>
      <c r="Q133" s="12"/>
      <c r="R133" s="50"/>
      <c r="S133" s="50"/>
      <c r="T133" s="50"/>
      <c r="U133" s="53"/>
      <c r="V133" s="54"/>
      <c r="W133" s="56"/>
      <c r="X133" s="57"/>
      <c r="Y133" s="38"/>
      <c r="Z133" s="38"/>
      <c r="AH133" s="106"/>
      <c r="AI133" s="106"/>
    </row>
    <row r="134">
      <c r="A134" s="38"/>
      <c r="B134" s="38"/>
      <c r="C134" s="38"/>
      <c r="D134" s="38"/>
      <c r="E134" s="38"/>
      <c r="F134" s="41"/>
      <c r="G134" s="43"/>
      <c r="H134" s="45"/>
      <c r="I134" s="38"/>
      <c r="J134" s="38"/>
      <c r="K134" s="46"/>
      <c r="L134" s="47"/>
      <c r="M134" s="46"/>
      <c r="N134" s="46"/>
      <c r="O134" s="38"/>
      <c r="P134" s="38"/>
      <c r="Q134" s="12"/>
      <c r="R134" s="50"/>
      <c r="S134" s="50"/>
      <c r="T134" s="50"/>
      <c r="U134" s="53"/>
      <c r="V134" s="54"/>
      <c r="W134" s="56"/>
      <c r="X134" s="57"/>
      <c r="Y134" s="38"/>
      <c r="Z134" s="38"/>
      <c r="AH134" s="106"/>
      <c r="AI134" s="106"/>
    </row>
    <row r="135">
      <c r="A135" s="38"/>
      <c r="B135" s="38"/>
      <c r="C135" s="38"/>
      <c r="D135" s="38"/>
      <c r="E135" s="38"/>
      <c r="F135" s="41"/>
      <c r="G135" s="43"/>
      <c r="H135" s="45"/>
      <c r="I135" s="38"/>
      <c r="J135" s="38"/>
      <c r="K135" s="46"/>
      <c r="L135" s="47"/>
      <c r="M135" s="46"/>
      <c r="N135" s="46"/>
      <c r="O135" s="38"/>
      <c r="P135" s="38"/>
      <c r="Q135" s="12"/>
      <c r="R135" s="50"/>
      <c r="S135" s="50"/>
      <c r="T135" s="50"/>
      <c r="U135" s="53"/>
      <c r="V135" s="54"/>
      <c r="W135" s="56"/>
      <c r="X135" s="57"/>
      <c r="Y135" s="38"/>
      <c r="Z135" s="38"/>
      <c r="AH135" s="106"/>
      <c r="AI135" s="106"/>
    </row>
    <row r="136">
      <c r="A136" s="38"/>
      <c r="B136" s="38"/>
      <c r="C136" s="38"/>
      <c r="D136" s="38"/>
      <c r="E136" s="38"/>
      <c r="F136" s="41"/>
      <c r="G136" s="43"/>
      <c r="H136" s="45"/>
      <c r="I136" s="38"/>
      <c r="J136" s="38"/>
      <c r="K136" s="46"/>
      <c r="L136" s="47"/>
      <c r="M136" s="46"/>
      <c r="N136" s="46"/>
      <c r="O136" s="38"/>
      <c r="P136" s="38"/>
      <c r="Q136" s="12"/>
      <c r="R136" s="50"/>
      <c r="S136" s="50"/>
      <c r="T136" s="50"/>
      <c r="U136" s="53"/>
      <c r="V136" s="54"/>
      <c r="W136" s="56"/>
      <c r="X136" s="57"/>
      <c r="Y136" s="38"/>
      <c r="Z136" s="38"/>
      <c r="AH136" s="106"/>
      <c r="AI136" s="106"/>
    </row>
    <row r="137">
      <c r="A137" s="38"/>
      <c r="B137" s="38"/>
      <c r="C137" s="38"/>
      <c r="D137" s="38"/>
      <c r="E137" s="38"/>
      <c r="F137" s="41"/>
      <c r="G137" s="43"/>
      <c r="H137" s="45"/>
      <c r="I137" s="38"/>
      <c r="J137" s="38"/>
      <c r="K137" s="46"/>
      <c r="L137" s="47"/>
      <c r="M137" s="46"/>
      <c r="N137" s="46"/>
      <c r="O137" s="38"/>
      <c r="P137" s="38"/>
      <c r="Q137" s="12"/>
      <c r="R137" s="50"/>
      <c r="S137" s="50"/>
      <c r="T137" s="50"/>
      <c r="U137" s="53"/>
      <c r="V137" s="54"/>
      <c r="W137" s="56"/>
      <c r="X137" s="57"/>
      <c r="Y137" s="38"/>
      <c r="Z137" s="38"/>
      <c r="AH137" s="106"/>
      <c r="AI137" s="106"/>
    </row>
    <row r="138">
      <c r="A138" s="38"/>
      <c r="B138" s="38"/>
      <c r="C138" s="38"/>
      <c r="D138" s="38"/>
      <c r="E138" s="38"/>
      <c r="F138" s="41"/>
      <c r="G138" s="43"/>
      <c r="H138" s="45"/>
      <c r="I138" s="38"/>
      <c r="J138" s="38"/>
      <c r="K138" s="46"/>
      <c r="L138" s="47"/>
      <c r="M138" s="46"/>
      <c r="N138" s="46"/>
      <c r="O138" s="38"/>
      <c r="P138" s="38"/>
      <c r="Q138" s="12"/>
      <c r="R138" s="50"/>
      <c r="S138" s="50"/>
      <c r="T138" s="50"/>
      <c r="U138" s="53"/>
      <c r="V138" s="54"/>
      <c r="W138" s="56"/>
      <c r="X138" s="57"/>
      <c r="Y138" s="38"/>
      <c r="Z138" s="38"/>
      <c r="AH138" s="106"/>
      <c r="AI138" s="106"/>
    </row>
    <row r="139">
      <c r="A139" s="38"/>
      <c r="B139" s="38"/>
      <c r="C139" s="38"/>
      <c r="D139" s="38"/>
      <c r="E139" s="38"/>
      <c r="F139" s="41"/>
      <c r="G139" s="43"/>
      <c r="H139" s="45"/>
      <c r="I139" s="38"/>
      <c r="J139" s="38"/>
      <c r="K139" s="46"/>
      <c r="L139" s="47"/>
      <c r="M139" s="46"/>
      <c r="N139" s="46"/>
      <c r="O139" s="38"/>
      <c r="P139" s="38"/>
      <c r="Q139" s="12"/>
      <c r="R139" s="50"/>
      <c r="S139" s="50"/>
      <c r="T139" s="50"/>
      <c r="U139" s="53"/>
      <c r="V139" s="54"/>
      <c r="W139" s="56"/>
      <c r="X139" s="57"/>
      <c r="Y139" s="38"/>
      <c r="Z139" s="38"/>
      <c r="AH139" s="106"/>
      <c r="AI139" s="106"/>
    </row>
    <row r="140">
      <c r="A140" s="38"/>
      <c r="B140" s="38"/>
      <c r="C140" s="38"/>
      <c r="D140" s="38"/>
      <c r="E140" s="38"/>
      <c r="F140" s="41"/>
      <c r="G140" s="43"/>
      <c r="H140" s="45"/>
      <c r="I140" s="38"/>
      <c r="J140" s="38"/>
      <c r="K140" s="46"/>
      <c r="L140" s="47"/>
      <c r="M140" s="46"/>
      <c r="N140" s="46"/>
      <c r="O140" s="38"/>
      <c r="P140" s="38"/>
      <c r="Q140" s="12"/>
      <c r="R140" s="50"/>
      <c r="S140" s="50"/>
      <c r="T140" s="50"/>
      <c r="U140" s="53"/>
      <c r="V140" s="54"/>
      <c r="W140" s="56"/>
      <c r="X140" s="57"/>
      <c r="Y140" s="38"/>
      <c r="Z140" s="38"/>
      <c r="AH140" s="106"/>
      <c r="AI140" s="106"/>
    </row>
    <row r="141">
      <c r="A141" s="38"/>
      <c r="B141" s="38"/>
      <c r="C141" s="38"/>
      <c r="D141" s="38"/>
      <c r="E141" s="38"/>
      <c r="F141" s="41"/>
      <c r="G141" s="43"/>
      <c r="H141" s="45"/>
      <c r="I141" s="38"/>
      <c r="J141" s="38"/>
      <c r="K141" s="46"/>
      <c r="L141" s="47"/>
      <c r="M141" s="46"/>
      <c r="N141" s="46"/>
      <c r="O141" s="38"/>
      <c r="P141" s="38"/>
      <c r="Q141" s="12"/>
      <c r="R141" s="50"/>
      <c r="S141" s="50"/>
      <c r="T141" s="50"/>
      <c r="U141" s="53"/>
      <c r="V141" s="54"/>
      <c r="W141" s="56"/>
      <c r="X141" s="57"/>
      <c r="Y141" s="38"/>
      <c r="Z141" s="38"/>
      <c r="AH141" s="106"/>
      <c r="AI141" s="106"/>
    </row>
    <row r="142">
      <c r="A142" s="100"/>
      <c r="B142" s="38"/>
      <c r="C142" s="38"/>
      <c r="D142" s="38"/>
      <c r="E142" s="38"/>
      <c r="F142" s="41"/>
      <c r="G142" s="62"/>
      <c r="H142" s="45"/>
      <c r="I142" s="38"/>
      <c r="J142" s="38"/>
      <c r="K142" s="46"/>
      <c r="L142" s="47"/>
      <c r="M142" s="46"/>
      <c r="N142" s="46"/>
      <c r="O142" s="60"/>
      <c r="P142" s="49"/>
      <c r="Q142" s="12"/>
      <c r="R142" s="50"/>
      <c r="S142" s="50"/>
      <c r="T142" s="50"/>
      <c r="U142" s="53"/>
      <c r="V142" s="54"/>
      <c r="W142" s="56"/>
      <c r="X142" s="57"/>
      <c r="Y142" s="38"/>
      <c r="Z142" s="38"/>
      <c r="AH142" s="106"/>
      <c r="AI142" s="106"/>
    </row>
    <row r="143">
      <c r="A143" s="100"/>
      <c r="B143" s="38"/>
      <c r="C143" s="38"/>
      <c r="D143" s="38"/>
      <c r="E143" s="38"/>
      <c r="F143" s="41"/>
      <c r="G143" s="43"/>
      <c r="H143" s="45"/>
      <c r="I143" s="38"/>
      <c r="J143" s="38"/>
      <c r="K143" s="46"/>
      <c r="L143" s="47"/>
      <c r="M143" s="46"/>
      <c r="N143" s="46"/>
      <c r="O143" s="60"/>
      <c r="P143" s="49"/>
      <c r="Q143" s="12"/>
      <c r="R143" s="50"/>
      <c r="S143" s="50"/>
      <c r="T143" s="50"/>
      <c r="U143" s="53"/>
      <c r="V143" s="54"/>
      <c r="W143" s="56"/>
      <c r="X143" s="57"/>
      <c r="Y143" s="38"/>
      <c r="Z143" s="38"/>
      <c r="AH143" s="106"/>
      <c r="AI143" s="106"/>
    </row>
    <row r="144">
      <c r="A144" s="100"/>
      <c r="B144" s="38"/>
      <c r="C144" s="38"/>
      <c r="D144" s="38"/>
      <c r="E144" s="38"/>
      <c r="F144" s="41"/>
      <c r="G144" s="43"/>
      <c r="H144" s="45"/>
      <c r="I144" s="38"/>
      <c r="J144" s="38"/>
      <c r="K144" s="46"/>
      <c r="L144" s="47"/>
      <c r="M144" s="46"/>
      <c r="N144" s="46"/>
      <c r="O144" s="60"/>
      <c r="P144" s="49"/>
      <c r="Q144" s="12"/>
      <c r="R144" s="50"/>
      <c r="S144" s="50"/>
      <c r="T144" s="50"/>
      <c r="U144" s="53"/>
      <c r="V144" s="54"/>
      <c r="W144" s="56"/>
      <c r="X144" s="57"/>
      <c r="Y144" s="38"/>
      <c r="Z144" s="38"/>
      <c r="AH144" s="106"/>
      <c r="AI144" s="106"/>
    </row>
    <row r="145">
      <c r="A145" s="100"/>
      <c r="B145" s="38"/>
      <c r="C145" s="38"/>
      <c r="D145" s="38"/>
      <c r="E145" s="38"/>
      <c r="F145" s="41"/>
      <c r="G145" s="43"/>
      <c r="H145" s="45"/>
      <c r="I145" s="38"/>
      <c r="J145" s="38"/>
      <c r="K145" s="46"/>
      <c r="L145" s="47"/>
      <c r="M145" s="46"/>
      <c r="N145" s="46"/>
      <c r="O145" s="60"/>
      <c r="P145" s="49"/>
      <c r="Q145" s="12"/>
      <c r="R145" s="50"/>
      <c r="S145" s="50"/>
      <c r="T145" s="50"/>
      <c r="U145" s="53"/>
      <c r="V145" s="54"/>
      <c r="W145" s="56"/>
      <c r="X145" s="57"/>
      <c r="Y145" s="38"/>
      <c r="Z145" s="38"/>
      <c r="AH145" s="106"/>
      <c r="AI145" s="106"/>
    </row>
    <row r="146">
      <c r="A146" s="100"/>
      <c r="B146" s="38"/>
      <c r="C146" s="38"/>
      <c r="D146" s="38"/>
      <c r="E146" s="38"/>
      <c r="F146" s="41"/>
      <c r="G146" s="43"/>
      <c r="H146" s="45"/>
      <c r="I146" s="38"/>
      <c r="J146" s="38"/>
      <c r="K146" s="46"/>
      <c r="L146" s="47"/>
      <c r="M146" s="46"/>
      <c r="N146" s="46"/>
      <c r="O146" s="60"/>
      <c r="P146" s="49"/>
      <c r="Q146" s="12"/>
      <c r="R146" s="50"/>
      <c r="S146" s="50"/>
      <c r="T146" s="50"/>
      <c r="U146" s="53"/>
      <c r="V146" s="54"/>
      <c r="W146" s="56"/>
      <c r="X146" s="57"/>
      <c r="Y146" s="38"/>
      <c r="Z146" s="38"/>
      <c r="AH146" s="106"/>
      <c r="AI146" s="106"/>
    </row>
    <row r="147">
      <c r="A147" s="100"/>
      <c r="B147" s="38"/>
      <c r="C147" s="38"/>
      <c r="D147" s="38"/>
      <c r="E147" s="38"/>
      <c r="F147" s="41"/>
      <c r="G147" s="43"/>
      <c r="H147" s="45"/>
      <c r="I147" s="38"/>
      <c r="J147" s="38"/>
      <c r="K147" s="46"/>
      <c r="L147" s="47"/>
      <c r="M147" s="46"/>
      <c r="N147" s="46"/>
      <c r="O147" s="60"/>
      <c r="P147" s="49"/>
      <c r="Q147" s="12"/>
      <c r="R147" s="50"/>
      <c r="S147" s="50"/>
      <c r="T147" s="50"/>
      <c r="U147" s="53"/>
      <c r="V147" s="54"/>
      <c r="W147" s="56"/>
      <c r="X147" s="57"/>
      <c r="Y147" s="38"/>
      <c r="Z147" s="38"/>
      <c r="AH147" s="106"/>
      <c r="AI147" s="106"/>
    </row>
    <row r="148">
      <c r="A148" s="100"/>
      <c r="B148" s="38"/>
      <c r="C148" s="38"/>
      <c r="D148" s="38"/>
      <c r="E148" s="38"/>
      <c r="F148" s="41"/>
      <c r="G148" s="43"/>
      <c r="H148" s="45"/>
      <c r="I148" s="38"/>
      <c r="J148" s="38"/>
      <c r="K148" s="46"/>
      <c r="L148" s="47"/>
      <c r="M148" s="46"/>
      <c r="N148" s="46"/>
      <c r="O148" s="60"/>
      <c r="P148" s="49"/>
      <c r="Q148" s="12"/>
      <c r="R148" s="50"/>
      <c r="S148" s="50"/>
      <c r="T148" s="50"/>
      <c r="U148" s="53"/>
      <c r="V148" s="54"/>
      <c r="W148" s="56"/>
      <c r="X148" s="57"/>
      <c r="Y148" s="38"/>
      <c r="Z148" s="38"/>
      <c r="AH148" s="106"/>
      <c r="AI148" s="106"/>
    </row>
    <row r="149">
      <c r="A149" s="100"/>
      <c r="B149" s="38"/>
      <c r="C149" s="38"/>
      <c r="D149" s="38"/>
      <c r="E149" s="38"/>
      <c r="F149" s="41"/>
      <c r="G149" s="43"/>
      <c r="H149" s="45"/>
      <c r="I149" s="38"/>
      <c r="J149" s="38"/>
      <c r="K149" s="46"/>
      <c r="L149" s="47"/>
      <c r="M149" s="46"/>
      <c r="N149" s="46"/>
      <c r="O149" s="60"/>
      <c r="P149" s="49"/>
      <c r="Q149" s="12"/>
      <c r="R149" s="50"/>
      <c r="S149" s="50"/>
      <c r="T149" s="50"/>
      <c r="U149" s="53"/>
      <c r="V149" s="54"/>
      <c r="W149" s="56"/>
      <c r="X149" s="57"/>
      <c r="Y149" s="38"/>
      <c r="Z149" s="38"/>
      <c r="AH149" s="106"/>
      <c r="AI149" s="106"/>
    </row>
    <row r="150">
      <c r="A150" s="100"/>
      <c r="B150" s="38"/>
      <c r="C150" s="38"/>
      <c r="D150" s="38"/>
      <c r="E150" s="38"/>
      <c r="F150" s="41"/>
      <c r="G150" s="43"/>
      <c r="H150" s="45"/>
      <c r="I150" s="38"/>
      <c r="J150" s="38"/>
      <c r="K150" s="46"/>
      <c r="L150" s="47"/>
      <c r="M150" s="46"/>
      <c r="N150" s="46"/>
      <c r="O150" s="60"/>
      <c r="P150" s="49"/>
      <c r="Q150" s="12"/>
      <c r="R150" s="50"/>
      <c r="S150" s="50"/>
      <c r="T150" s="50"/>
      <c r="U150" s="53"/>
      <c r="V150" s="54"/>
      <c r="W150" s="56"/>
      <c r="X150" s="57"/>
      <c r="Y150" s="38"/>
      <c r="Z150" s="38"/>
      <c r="AH150" s="106"/>
      <c r="AI150" s="106"/>
    </row>
    <row r="151">
      <c r="A151" s="100"/>
      <c r="B151" s="38"/>
      <c r="C151" s="38"/>
      <c r="D151" s="38"/>
      <c r="E151" s="38"/>
      <c r="F151" s="41"/>
      <c r="G151" s="43"/>
      <c r="H151" s="45"/>
      <c r="I151" s="38"/>
      <c r="J151" s="38"/>
      <c r="K151" s="46"/>
      <c r="L151" s="47"/>
      <c r="M151" s="46"/>
      <c r="N151" s="46"/>
      <c r="O151" s="60"/>
      <c r="P151" s="49"/>
      <c r="Q151" s="12"/>
      <c r="R151" s="50"/>
      <c r="S151" s="50"/>
      <c r="T151" s="50"/>
      <c r="U151" s="53"/>
      <c r="V151" s="54"/>
      <c r="W151" s="56"/>
      <c r="X151" s="57"/>
      <c r="Y151" s="38"/>
      <c r="Z151" s="38"/>
      <c r="AH151" s="106"/>
      <c r="AI151" s="106"/>
    </row>
    <row r="152">
      <c r="A152" s="100"/>
      <c r="B152" s="38"/>
      <c r="C152" s="38"/>
      <c r="D152" s="38"/>
      <c r="E152" s="38"/>
      <c r="F152" s="38"/>
      <c r="G152" s="38"/>
      <c r="H152" s="12"/>
      <c r="I152" s="38"/>
      <c r="J152" s="38"/>
      <c r="K152" s="46"/>
      <c r="L152" s="47"/>
      <c r="M152" s="46"/>
      <c r="N152" s="46"/>
      <c r="O152" s="60"/>
      <c r="P152" s="49"/>
      <c r="Q152" s="12"/>
      <c r="R152" s="50"/>
      <c r="S152" s="50"/>
      <c r="T152" s="50"/>
      <c r="U152" s="53"/>
      <c r="V152" s="54"/>
      <c r="W152" s="56"/>
      <c r="X152" s="57"/>
      <c r="Y152" s="38"/>
      <c r="Z152" s="38"/>
      <c r="AH152" s="106"/>
      <c r="AI152" s="106"/>
    </row>
    <row r="153">
      <c r="A153" s="38"/>
      <c r="B153" s="38"/>
      <c r="C153" s="38"/>
      <c r="D153" s="38"/>
      <c r="E153" s="38"/>
      <c r="F153" s="41"/>
      <c r="G153" s="43"/>
      <c r="H153" s="45"/>
      <c r="I153" s="38"/>
      <c r="J153" s="38"/>
      <c r="K153" s="46"/>
      <c r="L153" s="47"/>
      <c r="M153" s="46"/>
      <c r="N153" s="46"/>
      <c r="O153" s="38"/>
      <c r="P153" s="38"/>
      <c r="Q153" s="12"/>
      <c r="R153" s="50"/>
      <c r="S153" s="50"/>
      <c r="T153" s="50"/>
      <c r="U153" s="53"/>
      <c r="V153" s="54"/>
      <c r="W153" s="56"/>
      <c r="X153" s="57"/>
      <c r="Y153" s="38"/>
      <c r="Z153" s="38"/>
      <c r="AH153" s="106"/>
      <c r="AI153" s="106"/>
    </row>
    <row r="154">
      <c r="A154" s="38"/>
      <c r="B154" s="38"/>
      <c r="C154" s="38"/>
      <c r="D154" s="38"/>
      <c r="E154" s="38"/>
      <c r="F154" s="41"/>
      <c r="G154" s="43"/>
      <c r="H154" s="45"/>
      <c r="I154" s="38"/>
      <c r="J154" s="38"/>
      <c r="K154" s="46"/>
      <c r="L154" s="47"/>
      <c r="M154" s="46"/>
      <c r="N154" s="46"/>
      <c r="O154" s="38"/>
      <c r="P154" s="38"/>
      <c r="Q154" s="12"/>
      <c r="R154" s="50"/>
      <c r="S154" s="50"/>
      <c r="T154" s="50"/>
      <c r="U154" s="53"/>
      <c r="V154" s="54"/>
      <c r="W154" s="56"/>
      <c r="X154" s="57"/>
      <c r="Y154" s="38"/>
      <c r="Z154" s="38"/>
      <c r="AH154" s="106"/>
      <c r="AI154" s="106"/>
    </row>
    <row r="155">
      <c r="A155" s="38"/>
      <c r="B155" s="38"/>
      <c r="C155" s="38"/>
      <c r="D155" s="38"/>
      <c r="E155" s="38"/>
      <c r="F155" s="41"/>
      <c r="G155" s="43"/>
      <c r="H155" s="45"/>
      <c r="I155" s="38"/>
      <c r="J155" s="38"/>
      <c r="K155" s="46"/>
      <c r="L155" s="47"/>
      <c r="M155" s="46"/>
      <c r="N155" s="46"/>
      <c r="O155" s="38"/>
      <c r="P155" s="38"/>
      <c r="Q155" s="12"/>
      <c r="R155" s="50"/>
      <c r="S155" s="50"/>
      <c r="T155" s="50"/>
      <c r="U155" s="53"/>
      <c r="V155" s="54"/>
      <c r="W155" s="56"/>
      <c r="X155" s="57"/>
      <c r="Y155" s="38"/>
      <c r="Z155" s="38"/>
      <c r="AH155" s="106"/>
      <c r="AI155" s="106"/>
    </row>
    <row r="156">
      <c r="A156" s="38"/>
      <c r="B156" s="38"/>
      <c r="C156" s="38"/>
      <c r="D156" s="38"/>
      <c r="E156" s="38"/>
      <c r="F156" s="41"/>
      <c r="G156" s="43"/>
      <c r="H156" s="45"/>
      <c r="I156" s="38"/>
      <c r="J156" s="38"/>
      <c r="K156" s="46"/>
      <c r="L156" s="47"/>
      <c r="M156" s="46"/>
      <c r="N156" s="46"/>
      <c r="O156" s="38"/>
      <c r="P156" s="38"/>
      <c r="Q156" s="12"/>
      <c r="R156" s="50"/>
      <c r="S156" s="50"/>
      <c r="T156" s="50"/>
      <c r="U156" s="53"/>
      <c r="V156" s="54"/>
      <c r="W156" s="56"/>
      <c r="X156" s="57"/>
      <c r="Y156" s="38"/>
      <c r="Z156" s="38"/>
      <c r="AH156" s="106"/>
      <c r="AI156" s="106"/>
    </row>
    <row r="157">
      <c r="A157" s="38"/>
      <c r="B157" s="39"/>
      <c r="C157" s="38"/>
      <c r="D157" s="39"/>
      <c r="E157" s="38"/>
      <c r="F157" s="41"/>
      <c r="G157" s="43"/>
      <c r="H157" s="45"/>
      <c r="I157" s="38"/>
      <c r="J157" s="38"/>
      <c r="K157" s="46"/>
      <c r="L157" s="47"/>
      <c r="M157" s="46"/>
      <c r="N157" s="46"/>
      <c r="O157" s="38"/>
      <c r="P157" s="38"/>
      <c r="Q157" s="12"/>
      <c r="R157" s="50"/>
      <c r="S157" s="50"/>
      <c r="T157" s="50"/>
      <c r="U157" s="53"/>
      <c r="V157" s="54"/>
      <c r="W157" s="56"/>
      <c r="X157" s="57"/>
      <c r="Y157" s="38"/>
      <c r="Z157" s="38"/>
      <c r="AH157" s="106"/>
      <c r="AI157" s="106"/>
    </row>
    <row r="158">
      <c r="A158" s="112"/>
      <c r="B158" s="39"/>
      <c r="C158" s="38"/>
      <c r="D158" s="39"/>
      <c r="E158" s="113"/>
      <c r="F158" s="113"/>
      <c r="G158" s="112"/>
      <c r="H158" s="113"/>
      <c r="I158" s="113"/>
      <c r="J158" s="113"/>
      <c r="K158" s="46"/>
      <c r="L158" s="113"/>
      <c r="M158" s="46"/>
      <c r="N158" s="46"/>
      <c r="O158" s="60"/>
      <c r="P158" s="114"/>
      <c r="Q158" s="12"/>
      <c r="R158" s="115"/>
      <c r="S158" s="115"/>
      <c r="T158" s="115"/>
      <c r="U158" s="116"/>
      <c r="V158" s="117"/>
      <c r="W158" s="118"/>
      <c r="X158" s="119"/>
      <c r="Y158" s="113"/>
      <c r="Z158" s="113"/>
      <c r="AH158" s="106"/>
      <c r="AI158" s="106"/>
    </row>
    <row r="159">
      <c r="A159" s="38"/>
      <c r="B159" s="38"/>
      <c r="C159" s="38"/>
      <c r="D159" s="38"/>
      <c r="E159" s="38"/>
      <c r="F159" s="41"/>
      <c r="G159" s="43"/>
      <c r="H159" s="45"/>
      <c r="I159" s="38"/>
      <c r="J159" s="38"/>
      <c r="K159" s="46"/>
      <c r="L159" s="47"/>
      <c r="M159" s="46"/>
      <c r="N159" s="46"/>
      <c r="O159" s="38"/>
      <c r="P159" s="38"/>
      <c r="Q159" s="12"/>
      <c r="R159" s="50"/>
      <c r="S159" s="50"/>
      <c r="T159" s="50"/>
      <c r="U159" s="53"/>
      <c r="V159" s="54"/>
      <c r="W159" s="56"/>
      <c r="X159" s="57"/>
      <c r="Y159" s="38"/>
      <c r="Z159" s="38"/>
      <c r="AH159" s="106"/>
      <c r="AI159" s="106"/>
    </row>
    <row r="160">
      <c r="A160" s="38"/>
      <c r="B160" s="38"/>
      <c r="C160" s="38"/>
      <c r="D160" s="38"/>
      <c r="E160" s="38"/>
      <c r="F160" s="41"/>
      <c r="G160" s="43"/>
      <c r="H160" s="45"/>
      <c r="I160" s="38"/>
      <c r="J160" s="38"/>
      <c r="K160" s="46"/>
      <c r="L160" s="47"/>
      <c r="M160" s="46"/>
      <c r="N160" s="46"/>
      <c r="O160" s="38"/>
      <c r="P160" s="38"/>
      <c r="Q160" s="12"/>
      <c r="R160" s="50"/>
      <c r="S160" s="50"/>
      <c r="T160" s="50"/>
      <c r="U160" s="53"/>
      <c r="V160" s="54"/>
      <c r="W160" s="56"/>
      <c r="X160" s="57"/>
      <c r="Y160" s="38"/>
      <c r="Z160" s="38"/>
      <c r="AH160" s="106"/>
      <c r="AI160" s="106"/>
    </row>
    <row r="161">
      <c r="A161" s="38"/>
      <c r="B161" s="38"/>
      <c r="C161" s="38"/>
      <c r="D161" s="38"/>
      <c r="E161" s="38"/>
      <c r="F161" s="41"/>
      <c r="G161" s="43"/>
      <c r="H161" s="45"/>
      <c r="I161" s="38"/>
      <c r="J161" s="38"/>
      <c r="K161" s="46"/>
      <c r="L161" s="47"/>
      <c r="M161" s="46"/>
      <c r="N161" s="46"/>
      <c r="O161" s="38"/>
      <c r="P161" s="38"/>
      <c r="Q161" s="12"/>
      <c r="R161" s="50"/>
      <c r="S161" s="50"/>
      <c r="T161" s="50"/>
      <c r="U161" s="53"/>
      <c r="V161" s="54"/>
      <c r="W161" s="56"/>
      <c r="X161" s="57"/>
      <c r="Y161" s="38"/>
      <c r="Z161" s="38"/>
      <c r="AH161" s="106"/>
      <c r="AI161" s="106"/>
    </row>
    <row r="162">
      <c r="A162" s="38"/>
      <c r="B162" s="38"/>
      <c r="C162" s="38"/>
      <c r="D162" s="38"/>
      <c r="E162" s="38"/>
      <c r="F162" s="41"/>
      <c r="G162" s="43"/>
      <c r="H162" s="45"/>
      <c r="I162" s="38"/>
      <c r="J162" s="38"/>
      <c r="K162" s="46"/>
      <c r="L162" s="47"/>
      <c r="M162" s="46"/>
      <c r="N162" s="46"/>
      <c r="O162" s="38"/>
      <c r="P162" s="38"/>
      <c r="Q162" s="12"/>
      <c r="R162" s="50"/>
      <c r="S162" s="50"/>
      <c r="T162" s="50"/>
      <c r="U162" s="53"/>
      <c r="V162" s="54"/>
      <c r="W162" s="56"/>
      <c r="X162" s="57"/>
      <c r="Y162" s="38"/>
      <c r="Z162" s="38"/>
      <c r="AH162" s="106"/>
      <c r="AI162" s="106"/>
    </row>
    <row r="163">
      <c r="A163" s="38"/>
      <c r="B163" s="38"/>
      <c r="C163" s="38"/>
      <c r="D163" s="38"/>
      <c r="E163" s="38"/>
      <c r="F163" s="41"/>
      <c r="G163" s="43"/>
      <c r="H163" s="45"/>
      <c r="I163" s="38"/>
      <c r="J163" s="38"/>
      <c r="K163" s="46"/>
      <c r="L163" s="47"/>
      <c r="M163" s="46"/>
      <c r="N163" s="46"/>
      <c r="O163" s="38"/>
      <c r="P163" s="38"/>
      <c r="Q163" s="12"/>
      <c r="R163" s="50"/>
      <c r="S163" s="50"/>
      <c r="T163" s="50"/>
      <c r="U163" s="53"/>
      <c r="V163" s="54"/>
      <c r="W163" s="56"/>
      <c r="X163" s="57"/>
      <c r="Y163" s="38"/>
      <c r="Z163" s="38"/>
      <c r="AH163" s="106"/>
      <c r="AI163" s="106"/>
    </row>
    <row r="164">
      <c r="A164" s="38"/>
      <c r="B164" s="38"/>
      <c r="C164" s="38"/>
      <c r="D164" s="38"/>
      <c r="E164" s="38"/>
      <c r="F164" s="41"/>
      <c r="G164" s="43"/>
      <c r="H164" s="45"/>
      <c r="I164" s="38"/>
      <c r="J164" s="38"/>
      <c r="K164" s="46"/>
      <c r="L164" s="47"/>
      <c r="M164" s="46"/>
      <c r="N164" s="46"/>
      <c r="O164" s="38"/>
      <c r="P164" s="38"/>
      <c r="Q164" s="12"/>
      <c r="R164" s="50"/>
      <c r="S164" s="50"/>
      <c r="T164" s="50"/>
      <c r="U164" s="53"/>
      <c r="V164" s="54"/>
      <c r="W164" s="56"/>
      <c r="X164" s="57"/>
      <c r="Y164" s="38"/>
      <c r="Z164" s="38"/>
      <c r="AH164" s="106"/>
      <c r="AI164" s="106"/>
    </row>
    <row r="165">
      <c r="A165" s="38"/>
      <c r="B165" s="38"/>
      <c r="C165" s="38"/>
      <c r="D165" s="38"/>
      <c r="E165" s="38"/>
      <c r="F165" s="41"/>
      <c r="G165" s="43"/>
      <c r="H165" s="45"/>
      <c r="I165" s="38"/>
      <c r="J165" s="38"/>
      <c r="K165" s="46"/>
      <c r="L165" s="47"/>
      <c r="M165" s="46"/>
      <c r="N165" s="46"/>
      <c r="O165" s="38"/>
      <c r="P165" s="38"/>
      <c r="Q165" s="12"/>
      <c r="R165" s="50"/>
      <c r="S165" s="50"/>
      <c r="T165" s="50"/>
      <c r="U165" s="53"/>
      <c r="V165" s="54"/>
      <c r="W165" s="56"/>
      <c r="X165" s="57"/>
      <c r="Y165" s="38"/>
      <c r="Z165" s="38"/>
      <c r="AH165" s="106"/>
      <c r="AI165" s="106"/>
    </row>
    <row r="166">
      <c r="A166" s="38"/>
      <c r="B166" s="38"/>
      <c r="C166" s="38"/>
      <c r="D166" s="38"/>
      <c r="E166" s="38"/>
      <c r="F166" s="41"/>
      <c r="G166" s="43"/>
      <c r="H166" s="45"/>
      <c r="I166" s="38"/>
      <c r="J166" s="38"/>
      <c r="K166" s="46"/>
      <c r="L166" s="47"/>
      <c r="M166" s="46"/>
      <c r="N166" s="46"/>
      <c r="O166" s="38"/>
      <c r="P166" s="38"/>
      <c r="Q166" s="12"/>
      <c r="R166" s="50"/>
      <c r="S166" s="50"/>
      <c r="T166" s="50"/>
      <c r="U166" s="53"/>
      <c r="V166" s="54"/>
      <c r="W166" s="56"/>
      <c r="X166" s="57"/>
      <c r="Y166" s="38"/>
      <c r="Z166" s="38"/>
      <c r="AH166" s="106"/>
      <c r="AI166" s="106"/>
    </row>
    <row r="167">
      <c r="A167" s="38"/>
      <c r="B167" s="38"/>
      <c r="C167" s="38"/>
      <c r="D167" s="38"/>
      <c r="E167" s="38"/>
      <c r="F167" s="41"/>
      <c r="G167" s="43"/>
      <c r="H167" s="45"/>
      <c r="I167" s="38"/>
      <c r="J167" s="38"/>
      <c r="K167" s="46"/>
      <c r="L167" s="47"/>
      <c r="M167" s="46"/>
      <c r="N167" s="46"/>
      <c r="O167" s="38"/>
      <c r="P167" s="38"/>
      <c r="Q167" s="12"/>
      <c r="R167" s="50"/>
      <c r="S167" s="50"/>
      <c r="T167" s="50"/>
      <c r="U167" s="53"/>
      <c r="V167" s="54"/>
      <c r="W167" s="56"/>
      <c r="X167" s="57"/>
      <c r="Y167" s="38"/>
      <c r="Z167" s="38"/>
      <c r="AH167" s="106"/>
      <c r="AI167" s="106"/>
    </row>
    <row r="168">
      <c r="A168" s="38"/>
      <c r="B168" s="38"/>
      <c r="C168" s="38"/>
      <c r="D168" s="38"/>
      <c r="E168" s="38"/>
      <c r="F168" s="41"/>
      <c r="G168" s="43"/>
      <c r="H168" s="45"/>
      <c r="I168" s="38"/>
      <c r="J168" s="38"/>
      <c r="K168" s="46"/>
      <c r="L168" s="47"/>
      <c r="M168" s="46"/>
      <c r="N168" s="46"/>
      <c r="O168" s="38"/>
      <c r="P168" s="38"/>
      <c r="Q168" s="12"/>
      <c r="R168" s="50"/>
      <c r="S168" s="50"/>
      <c r="T168" s="50"/>
      <c r="U168" s="53"/>
      <c r="V168" s="54"/>
      <c r="W168" s="56"/>
      <c r="X168" s="57"/>
      <c r="Y168" s="38"/>
      <c r="Z168" s="38"/>
      <c r="AH168" s="106"/>
      <c r="AI168" s="106"/>
    </row>
    <row r="169">
      <c r="A169" s="38"/>
      <c r="B169" s="38"/>
      <c r="C169" s="38"/>
      <c r="D169" s="38"/>
      <c r="E169" s="38"/>
      <c r="F169" s="41"/>
      <c r="G169" s="43"/>
      <c r="H169" s="45"/>
      <c r="I169" s="38"/>
      <c r="J169" s="38"/>
      <c r="K169" s="46"/>
      <c r="L169" s="47"/>
      <c r="M169" s="46"/>
      <c r="N169" s="46"/>
      <c r="O169" s="38"/>
      <c r="P169" s="38"/>
      <c r="Q169" s="12"/>
      <c r="R169" s="50"/>
      <c r="S169" s="50"/>
      <c r="T169" s="50"/>
      <c r="U169" s="53"/>
      <c r="V169" s="54"/>
      <c r="W169" s="56"/>
      <c r="X169" s="119"/>
      <c r="Y169" s="113"/>
      <c r="Z169" s="113"/>
      <c r="AH169" s="106"/>
      <c r="AI169" s="106"/>
    </row>
    <row r="170">
      <c r="A170" s="39"/>
      <c r="B170" s="39"/>
      <c r="C170" s="38"/>
      <c r="D170" s="38"/>
      <c r="E170" s="38"/>
      <c r="F170" s="41"/>
      <c r="G170" s="43"/>
      <c r="H170" s="45"/>
      <c r="I170" s="38"/>
      <c r="J170" s="38"/>
      <c r="K170" s="46"/>
      <c r="L170" s="47"/>
      <c r="M170" s="46"/>
      <c r="N170" s="46"/>
      <c r="O170" s="38"/>
      <c r="P170" s="88"/>
      <c r="Q170" s="12"/>
      <c r="R170" s="38"/>
      <c r="S170" s="38"/>
      <c r="T170" s="38"/>
      <c r="U170" s="38"/>
      <c r="V170" s="38"/>
      <c r="W170" s="38"/>
      <c r="X170" s="57"/>
      <c r="Y170" s="38"/>
      <c r="Z170" s="38"/>
      <c r="AA170" s="38"/>
      <c r="AB170" s="38"/>
      <c r="AC170" s="79"/>
      <c r="AD170" s="79"/>
      <c r="AE170" s="79"/>
      <c r="AF170" s="79"/>
      <c r="AG170" s="79"/>
      <c r="AH170" s="106"/>
      <c r="AI170" s="106"/>
    </row>
    <row r="171">
      <c r="A171" s="39"/>
      <c r="B171" s="39"/>
      <c r="C171" s="38"/>
      <c r="D171" s="38"/>
      <c r="E171" s="38"/>
      <c r="F171" s="43"/>
      <c r="G171" s="39"/>
      <c r="H171" s="71"/>
      <c r="I171" s="38"/>
      <c r="J171" s="38"/>
      <c r="K171" s="46"/>
      <c r="L171" s="47"/>
      <c r="M171" s="46"/>
      <c r="N171" s="46"/>
      <c r="O171" s="60"/>
      <c r="P171" s="64"/>
      <c r="Q171" s="12"/>
      <c r="R171" s="67"/>
      <c r="S171" s="67"/>
      <c r="T171" s="67"/>
      <c r="U171" s="53"/>
      <c r="V171" s="54"/>
      <c r="W171" s="56"/>
      <c r="X171" s="57"/>
      <c r="Y171" s="38"/>
      <c r="Z171" s="38"/>
      <c r="AA171" s="65"/>
      <c r="AB171" s="65"/>
      <c r="AC171" s="65"/>
      <c r="AD171" s="65"/>
      <c r="AE171" s="65"/>
      <c r="AF171" s="65"/>
      <c r="AG171" s="65"/>
      <c r="AH171" s="106"/>
      <c r="AI171" s="106"/>
    </row>
    <row r="172">
      <c r="A172" s="39"/>
      <c r="B172" s="39"/>
      <c r="C172" s="38"/>
      <c r="D172" s="38"/>
      <c r="E172" s="38"/>
      <c r="F172" s="43"/>
      <c r="G172" s="39"/>
      <c r="H172" s="71"/>
      <c r="I172" s="38"/>
      <c r="J172" s="38"/>
      <c r="K172" s="46"/>
      <c r="L172" s="47"/>
      <c r="M172" s="46"/>
      <c r="N172" s="46"/>
      <c r="O172" s="60"/>
      <c r="P172" s="64"/>
      <c r="Q172" s="12"/>
      <c r="R172" s="67"/>
      <c r="S172" s="67"/>
      <c r="T172" s="67"/>
      <c r="U172" s="53"/>
      <c r="V172" s="54"/>
      <c r="W172" s="56"/>
      <c r="X172" s="57"/>
      <c r="Y172" s="38"/>
      <c r="Z172" s="38"/>
      <c r="AA172" s="65"/>
      <c r="AB172" s="65"/>
      <c r="AC172" s="65"/>
      <c r="AD172" s="65"/>
      <c r="AE172" s="65"/>
      <c r="AF172" s="65"/>
      <c r="AG172" s="65"/>
      <c r="AH172" s="106"/>
      <c r="AI172" s="106"/>
    </row>
    <row r="173">
      <c r="A173" s="39"/>
      <c r="B173" s="39"/>
      <c r="C173" s="38"/>
      <c r="D173" s="38"/>
      <c r="E173" s="38"/>
      <c r="F173" s="43"/>
      <c r="G173" s="39"/>
      <c r="H173" s="71"/>
      <c r="I173" s="38"/>
      <c r="J173" s="38"/>
      <c r="K173" s="46"/>
      <c r="L173" s="47"/>
      <c r="M173" s="46"/>
      <c r="N173" s="46"/>
      <c r="O173" s="60"/>
      <c r="P173" s="64"/>
      <c r="Q173" s="12"/>
      <c r="R173" s="67"/>
      <c r="S173" s="67"/>
      <c r="T173" s="67"/>
      <c r="U173" s="53"/>
      <c r="V173" s="54"/>
      <c r="W173" s="56"/>
      <c r="X173" s="69"/>
      <c r="Y173" s="39"/>
      <c r="Z173" s="39"/>
      <c r="AA173" s="65"/>
      <c r="AB173" s="65"/>
      <c r="AC173" s="65"/>
      <c r="AD173" s="65"/>
      <c r="AE173" s="65"/>
      <c r="AF173" s="65"/>
      <c r="AG173" s="65"/>
      <c r="AH173" s="106"/>
      <c r="AI173" s="106"/>
    </row>
    <row r="174">
      <c r="A174" s="39"/>
      <c r="B174" s="39"/>
      <c r="C174" s="38"/>
      <c r="D174" s="38"/>
      <c r="E174" s="38"/>
      <c r="F174" s="43"/>
      <c r="G174" s="39"/>
      <c r="H174" s="71"/>
      <c r="I174" s="38"/>
      <c r="J174" s="38"/>
      <c r="K174" s="46"/>
      <c r="L174" s="47"/>
      <c r="M174" s="46"/>
      <c r="N174" s="46"/>
      <c r="O174" s="60"/>
      <c r="P174" s="64"/>
      <c r="Q174" s="12"/>
      <c r="R174" s="67"/>
      <c r="S174" s="67"/>
      <c r="T174" s="67"/>
      <c r="U174" s="53"/>
      <c r="V174" s="54"/>
      <c r="W174" s="56"/>
      <c r="X174" s="57"/>
      <c r="Y174" s="38"/>
      <c r="Z174" s="38"/>
      <c r="AA174" s="65"/>
      <c r="AB174" s="65"/>
      <c r="AC174" s="65"/>
      <c r="AD174" s="65"/>
      <c r="AE174" s="65"/>
      <c r="AF174" s="65"/>
      <c r="AG174" s="65"/>
      <c r="AH174" s="106"/>
      <c r="AI174" s="106"/>
    </row>
    <row r="175">
      <c r="A175" s="39"/>
      <c r="B175" s="39"/>
      <c r="C175" s="38"/>
      <c r="D175" s="38"/>
      <c r="E175" s="38"/>
      <c r="F175" s="43"/>
      <c r="G175" s="39"/>
      <c r="H175" s="71"/>
      <c r="I175" s="38"/>
      <c r="J175" s="38"/>
      <c r="K175" s="46"/>
      <c r="L175" s="47"/>
      <c r="M175" s="46"/>
      <c r="N175" s="46"/>
      <c r="O175" s="60"/>
      <c r="P175" s="64"/>
      <c r="Q175" s="12"/>
      <c r="R175" s="67"/>
      <c r="S175" s="67"/>
      <c r="T175" s="67"/>
      <c r="U175" s="53"/>
      <c r="V175" s="54"/>
      <c r="W175" s="56"/>
      <c r="X175" s="57"/>
      <c r="Y175" s="38"/>
      <c r="Z175" s="38"/>
      <c r="AA175" s="65"/>
      <c r="AB175" s="65"/>
      <c r="AC175" s="65"/>
      <c r="AD175" s="65"/>
      <c r="AE175" s="65"/>
      <c r="AF175" s="65"/>
      <c r="AG175" s="65"/>
      <c r="AH175" s="106"/>
      <c r="AI175" s="106"/>
    </row>
    <row r="176">
      <c r="A176" s="39"/>
      <c r="B176" s="39"/>
      <c r="C176" s="38"/>
      <c r="D176" s="38"/>
      <c r="E176" s="38"/>
      <c r="F176" s="43"/>
      <c r="G176" s="39"/>
      <c r="H176" s="71"/>
      <c r="I176" s="38"/>
      <c r="J176" s="38"/>
      <c r="K176" s="46"/>
      <c r="L176" s="47"/>
      <c r="M176" s="46"/>
      <c r="N176" s="46"/>
      <c r="O176" s="60"/>
      <c r="P176" s="64"/>
      <c r="Q176" s="12"/>
      <c r="R176" s="67"/>
      <c r="S176" s="67"/>
      <c r="T176" s="67"/>
      <c r="U176" s="53"/>
      <c r="V176" s="54"/>
      <c r="W176" s="56"/>
      <c r="X176" s="57"/>
      <c r="Y176" s="38"/>
      <c r="Z176" s="38"/>
      <c r="AA176" s="65"/>
      <c r="AB176" s="65"/>
      <c r="AC176" s="65"/>
      <c r="AD176" s="65"/>
      <c r="AE176" s="65"/>
      <c r="AF176" s="65"/>
      <c r="AG176" s="65"/>
      <c r="AH176" s="106"/>
      <c r="AI176" s="106"/>
    </row>
    <row r="177">
      <c r="A177" s="39"/>
      <c r="B177" s="39"/>
      <c r="C177" s="38"/>
      <c r="D177" s="38"/>
      <c r="E177" s="38"/>
      <c r="F177" s="43"/>
      <c r="G177" s="39"/>
      <c r="H177" s="71"/>
      <c r="I177" s="38"/>
      <c r="J177" s="38"/>
      <c r="K177" s="46"/>
      <c r="L177" s="47"/>
      <c r="M177" s="46"/>
      <c r="N177" s="46"/>
      <c r="O177" s="60"/>
      <c r="P177" s="64"/>
      <c r="Q177" s="12"/>
      <c r="R177" s="67"/>
      <c r="S177" s="67"/>
      <c r="T177" s="67"/>
      <c r="U177" s="53"/>
      <c r="V177" s="54"/>
      <c r="W177" s="56"/>
      <c r="X177" s="57"/>
      <c r="Y177" s="38"/>
      <c r="Z177" s="38"/>
      <c r="AA177" s="65"/>
      <c r="AB177" s="65"/>
      <c r="AC177" s="65"/>
      <c r="AD177" s="65"/>
      <c r="AE177" s="65"/>
      <c r="AF177" s="65"/>
      <c r="AG177" s="65"/>
      <c r="AH177" s="106"/>
      <c r="AI177" s="106"/>
    </row>
    <row r="178">
      <c r="A178" s="38"/>
      <c r="B178" s="38"/>
      <c r="C178" s="38"/>
      <c r="D178" s="38"/>
      <c r="E178" s="38"/>
      <c r="F178" s="41"/>
      <c r="G178" s="43"/>
      <c r="H178" s="45"/>
      <c r="I178" s="38"/>
      <c r="J178" s="38"/>
      <c r="K178" s="46"/>
      <c r="L178" s="47"/>
      <c r="M178" s="46"/>
      <c r="N178" s="46"/>
      <c r="O178" s="38"/>
      <c r="P178" s="38"/>
      <c r="Q178" s="12"/>
      <c r="R178" s="50"/>
      <c r="S178" s="50"/>
      <c r="T178" s="50"/>
      <c r="U178" s="53"/>
      <c r="V178" s="54"/>
      <c r="W178" s="56"/>
      <c r="X178" s="119"/>
      <c r="Y178" s="113"/>
      <c r="Z178" s="113"/>
      <c r="AH178" s="106"/>
      <c r="AI178" s="106"/>
    </row>
    <row r="179">
      <c r="A179" s="38"/>
      <c r="B179" s="38"/>
      <c r="C179" s="38"/>
      <c r="D179" s="38"/>
      <c r="E179" s="38"/>
      <c r="F179" s="41"/>
      <c r="G179" s="43"/>
      <c r="H179" s="45"/>
      <c r="I179" s="38"/>
      <c r="J179" s="38"/>
      <c r="K179" s="46"/>
      <c r="L179" s="47"/>
      <c r="M179" s="46"/>
      <c r="N179" s="46"/>
      <c r="O179" s="38"/>
      <c r="P179" s="38"/>
      <c r="Q179" s="12"/>
      <c r="R179" s="50"/>
      <c r="S179" s="50"/>
      <c r="T179" s="50"/>
      <c r="U179" s="53"/>
      <c r="V179" s="54"/>
      <c r="W179" s="56"/>
      <c r="X179" s="119"/>
      <c r="Y179" s="113"/>
      <c r="Z179" s="113"/>
      <c r="AH179" s="106"/>
      <c r="AI179" s="106"/>
    </row>
    <row r="180">
      <c r="A180" s="38"/>
      <c r="B180" s="39"/>
      <c r="C180" s="38"/>
      <c r="D180" s="39"/>
      <c r="E180" s="38"/>
      <c r="F180" s="41"/>
      <c r="G180" s="43"/>
      <c r="H180" s="45"/>
      <c r="I180" s="38"/>
      <c r="J180" s="38"/>
      <c r="K180" s="46"/>
      <c r="L180" s="47"/>
      <c r="M180" s="46"/>
      <c r="N180" s="46"/>
      <c r="O180" s="38"/>
      <c r="P180" s="89"/>
      <c r="Q180" s="12"/>
      <c r="R180" s="50"/>
      <c r="S180" s="50"/>
      <c r="T180" s="50"/>
      <c r="U180" s="53"/>
      <c r="V180" s="54"/>
      <c r="W180" s="56"/>
      <c r="X180" s="119"/>
      <c r="Y180" s="113"/>
      <c r="Z180" s="113"/>
      <c r="AH180" s="106"/>
      <c r="AI180" s="106"/>
    </row>
    <row r="181">
      <c r="A181" s="120"/>
      <c r="B181" s="39"/>
      <c r="C181" s="38"/>
      <c r="D181" s="39"/>
      <c r="E181" s="113"/>
      <c r="F181" s="113"/>
      <c r="G181" s="112"/>
      <c r="H181" s="113"/>
      <c r="I181" s="113"/>
      <c r="J181" s="113"/>
      <c r="K181" s="46"/>
      <c r="L181" s="113"/>
      <c r="M181" s="46"/>
      <c r="N181" s="46"/>
      <c r="O181" s="60"/>
      <c r="P181" s="114"/>
      <c r="Q181" s="12"/>
      <c r="R181" s="115"/>
      <c r="S181" s="115"/>
      <c r="T181" s="115"/>
      <c r="U181" s="116"/>
      <c r="V181" s="117"/>
      <c r="W181" s="118"/>
      <c r="X181" s="119"/>
      <c r="Y181" s="113"/>
      <c r="Z181" s="113"/>
      <c r="AH181" s="106"/>
      <c r="AI181" s="106"/>
    </row>
    <row r="182">
      <c r="A182" s="120"/>
      <c r="B182" s="39"/>
      <c r="C182" s="38"/>
      <c r="D182" s="39"/>
      <c r="E182" s="113"/>
      <c r="F182" s="113"/>
      <c r="G182" s="112"/>
      <c r="H182" s="112"/>
      <c r="I182" s="113"/>
      <c r="J182" s="113"/>
      <c r="K182" s="46"/>
      <c r="L182" s="113"/>
      <c r="M182" s="46"/>
      <c r="N182" s="46"/>
      <c r="O182" s="60"/>
      <c r="P182" s="114"/>
      <c r="Q182" s="12"/>
      <c r="R182" s="115"/>
      <c r="S182" s="115"/>
      <c r="T182" s="115"/>
      <c r="U182" s="116"/>
      <c r="V182" s="117"/>
      <c r="W182" s="118"/>
      <c r="X182" s="119"/>
      <c r="Y182" s="113"/>
      <c r="Z182" s="113"/>
      <c r="AH182" s="106"/>
      <c r="AI182" s="106"/>
    </row>
    <row r="183">
      <c r="A183" s="120"/>
      <c r="B183" s="39"/>
      <c r="C183" s="38"/>
      <c r="D183" s="39"/>
      <c r="E183" s="113"/>
      <c r="F183" s="113"/>
      <c r="G183" s="112"/>
      <c r="H183" s="113"/>
      <c r="I183" s="113"/>
      <c r="J183" s="113"/>
      <c r="K183" s="46"/>
      <c r="L183" s="113"/>
      <c r="M183" s="46"/>
      <c r="N183" s="46"/>
      <c r="O183" s="60"/>
      <c r="P183" s="114"/>
      <c r="Q183" s="12"/>
      <c r="R183" s="115"/>
      <c r="S183" s="115"/>
      <c r="T183" s="115"/>
      <c r="U183" s="116"/>
      <c r="V183" s="117"/>
      <c r="W183" s="118"/>
      <c r="X183" s="119"/>
      <c r="Y183" s="113"/>
      <c r="Z183" s="113"/>
      <c r="AH183" s="106"/>
      <c r="AI183" s="106"/>
    </row>
    <row r="184">
      <c r="A184" s="120"/>
      <c r="B184" s="39"/>
      <c r="C184" s="38"/>
      <c r="D184" s="39"/>
      <c r="E184" s="113"/>
      <c r="F184" s="113"/>
      <c r="G184" s="112"/>
      <c r="H184" s="113"/>
      <c r="I184" s="113"/>
      <c r="J184" s="113"/>
      <c r="K184" s="46"/>
      <c r="L184" s="113"/>
      <c r="M184" s="46"/>
      <c r="N184" s="46"/>
      <c r="O184" s="60"/>
      <c r="P184" s="114"/>
      <c r="Q184" s="12"/>
      <c r="R184" s="115"/>
      <c r="S184" s="115"/>
      <c r="T184" s="115"/>
      <c r="U184" s="116"/>
      <c r="V184" s="117"/>
      <c r="W184" s="118"/>
      <c r="X184" s="119"/>
      <c r="Y184" s="113"/>
      <c r="Z184" s="113"/>
      <c r="AH184" s="106"/>
      <c r="AI184" s="106"/>
    </row>
    <row r="185">
      <c r="A185" s="120"/>
      <c r="B185" s="121"/>
      <c r="C185" s="38"/>
      <c r="D185" s="121"/>
      <c r="E185" s="113"/>
      <c r="F185" s="113"/>
      <c r="G185" s="112"/>
      <c r="H185" s="113"/>
      <c r="I185" s="113"/>
      <c r="J185" s="113"/>
      <c r="K185" s="46"/>
      <c r="L185" s="113"/>
      <c r="M185" s="46"/>
      <c r="N185" s="46"/>
      <c r="O185" s="60"/>
      <c r="P185" s="114"/>
      <c r="Q185" s="12"/>
      <c r="R185" s="115"/>
      <c r="S185" s="115"/>
      <c r="T185" s="115"/>
      <c r="U185" s="116"/>
      <c r="V185" s="117"/>
      <c r="W185" s="118"/>
      <c r="X185" s="119"/>
      <c r="Y185" s="113"/>
      <c r="Z185" s="113"/>
      <c r="AH185" s="106"/>
      <c r="AI185" s="106"/>
    </row>
    <row r="186">
      <c r="A186" s="120"/>
      <c r="B186" s="121"/>
      <c r="C186" s="38"/>
      <c r="D186" s="121"/>
      <c r="E186" s="113"/>
      <c r="F186" s="113"/>
      <c r="G186" s="112"/>
      <c r="H186" s="112"/>
      <c r="I186" s="113"/>
      <c r="J186" s="113"/>
      <c r="K186" s="46"/>
      <c r="L186" s="113"/>
      <c r="M186" s="46"/>
      <c r="N186" s="46"/>
      <c r="O186" s="60"/>
      <c r="P186" s="114"/>
      <c r="Q186" s="12"/>
      <c r="R186" s="115"/>
      <c r="S186" s="115"/>
      <c r="T186" s="115"/>
      <c r="U186" s="116"/>
      <c r="V186" s="117"/>
      <c r="W186" s="118"/>
      <c r="X186" s="119"/>
      <c r="Y186" s="113"/>
      <c r="Z186" s="113"/>
      <c r="AH186" s="106"/>
      <c r="AI186" s="106"/>
    </row>
    <row r="187">
      <c r="A187" s="120"/>
      <c r="B187" s="121"/>
      <c r="C187" s="38"/>
      <c r="D187" s="121"/>
      <c r="E187" s="113"/>
      <c r="F187" s="113"/>
      <c r="G187" s="112"/>
      <c r="H187" s="113"/>
      <c r="I187" s="113"/>
      <c r="J187" s="113"/>
      <c r="K187" s="46"/>
      <c r="L187" s="113"/>
      <c r="M187" s="46"/>
      <c r="N187" s="46"/>
      <c r="O187" s="60"/>
      <c r="P187" s="114"/>
      <c r="Q187" s="12"/>
      <c r="R187" s="115"/>
      <c r="S187" s="115"/>
      <c r="T187" s="115"/>
      <c r="U187" s="116"/>
      <c r="V187" s="117"/>
      <c r="W187" s="118"/>
      <c r="X187" s="119"/>
      <c r="Y187" s="113"/>
      <c r="Z187" s="113"/>
      <c r="AH187" s="106"/>
      <c r="AI187" s="106"/>
    </row>
    <row r="188">
      <c r="A188" s="120"/>
      <c r="B188" s="121"/>
      <c r="C188" s="38"/>
      <c r="D188" s="121"/>
      <c r="E188" s="113"/>
      <c r="F188" s="113"/>
      <c r="G188" s="112"/>
      <c r="H188" s="112"/>
      <c r="I188" s="113"/>
      <c r="J188" s="113"/>
      <c r="K188" s="46"/>
      <c r="L188" s="113"/>
      <c r="M188" s="46"/>
      <c r="N188" s="46"/>
      <c r="O188" s="60"/>
      <c r="P188" s="114"/>
      <c r="Q188" s="12"/>
      <c r="R188" s="115"/>
      <c r="S188" s="115"/>
      <c r="T188" s="115"/>
      <c r="U188" s="116"/>
      <c r="V188" s="117"/>
      <c r="W188" s="118"/>
      <c r="X188" s="119"/>
      <c r="Y188" s="113"/>
      <c r="Z188" s="113"/>
      <c r="AH188" s="106"/>
      <c r="AI188" s="106"/>
    </row>
    <row r="189">
      <c r="A189" s="120"/>
      <c r="B189" s="121"/>
      <c r="C189" s="38"/>
      <c r="D189" s="121"/>
      <c r="E189" s="113"/>
      <c r="F189" s="113"/>
      <c r="G189" s="112"/>
      <c r="H189" s="113"/>
      <c r="I189" s="113"/>
      <c r="J189" s="113"/>
      <c r="K189" s="46"/>
      <c r="L189" s="113"/>
      <c r="M189" s="46"/>
      <c r="N189" s="46"/>
      <c r="O189" s="60"/>
      <c r="P189" s="114"/>
      <c r="Q189" s="12"/>
      <c r="R189" s="115"/>
      <c r="S189" s="115"/>
      <c r="T189" s="115"/>
      <c r="U189" s="116"/>
      <c r="V189" s="117"/>
      <c r="W189" s="118"/>
      <c r="X189" s="119"/>
      <c r="Y189" s="113"/>
      <c r="Z189" s="113"/>
      <c r="AH189" s="106"/>
      <c r="AI189" s="106"/>
    </row>
    <row r="190">
      <c r="A190" s="120"/>
      <c r="B190" s="121"/>
      <c r="C190" s="38"/>
      <c r="D190" s="121"/>
      <c r="E190" s="113"/>
      <c r="F190" s="113"/>
      <c r="G190" s="112"/>
      <c r="H190" s="113"/>
      <c r="I190" s="113"/>
      <c r="J190" s="113"/>
      <c r="K190" s="46"/>
      <c r="L190" s="113"/>
      <c r="M190" s="46"/>
      <c r="N190" s="46"/>
      <c r="O190" s="60"/>
      <c r="P190" s="114"/>
      <c r="Q190" s="12"/>
      <c r="R190" s="115"/>
      <c r="S190" s="115"/>
      <c r="T190" s="115"/>
      <c r="U190" s="116"/>
      <c r="V190" s="117"/>
      <c r="W190" s="118"/>
      <c r="X190" s="119"/>
      <c r="Y190" s="113"/>
      <c r="Z190" s="113"/>
      <c r="AH190" s="106"/>
      <c r="AI190" s="106"/>
    </row>
    <row r="191">
      <c r="A191" s="38"/>
      <c r="B191" s="38"/>
      <c r="C191" s="38"/>
      <c r="D191" s="38"/>
      <c r="E191" s="38"/>
      <c r="F191" s="41"/>
      <c r="G191" s="43"/>
      <c r="H191" s="45"/>
      <c r="I191" s="38"/>
      <c r="J191" s="38"/>
      <c r="K191" s="46"/>
      <c r="L191" s="47"/>
      <c r="M191" s="46"/>
      <c r="N191" s="46"/>
      <c r="O191" s="38"/>
      <c r="P191" s="38"/>
      <c r="Q191" s="12"/>
      <c r="R191" s="50"/>
      <c r="S191" s="50"/>
      <c r="T191" s="50"/>
      <c r="U191" s="53"/>
      <c r="V191" s="54"/>
      <c r="W191" s="56"/>
      <c r="X191" s="119"/>
      <c r="Y191" s="113"/>
      <c r="Z191" s="113"/>
      <c r="AH191" s="106"/>
      <c r="AI191" s="106"/>
    </row>
    <row r="192">
      <c r="A192" s="38"/>
      <c r="B192" s="38"/>
      <c r="C192" s="38"/>
      <c r="D192" s="38"/>
      <c r="E192" s="38"/>
      <c r="F192" s="41"/>
      <c r="G192" s="43"/>
      <c r="H192" s="45"/>
      <c r="I192" s="38"/>
      <c r="J192" s="38"/>
      <c r="K192" s="46"/>
      <c r="L192" s="47"/>
      <c r="M192" s="46"/>
      <c r="N192" s="46"/>
      <c r="O192" s="38"/>
      <c r="P192" s="38"/>
      <c r="Q192" s="12"/>
      <c r="R192" s="50"/>
      <c r="S192" s="50"/>
      <c r="T192" s="50"/>
      <c r="U192" s="53"/>
      <c r="V192" s="54"/>
      <c r="W192" s="56"/>
      <c r="X192" s="119"/>
      <c r="Y192" s="113"/>
      <c r="Z192" s="113"/>
      <c r="AH192" s="106"/>
      <c r="AI192" s="106"/>
    </row>
    <row r="193">
      <c r="A193" s="38"/>
      <c r="B193" s="38"/>
      <c r="C193" s="38"/>
      <c r="D193" s="38"/>
      <c r="E193" s="38"/>
      <c r="F193" s="41"/>
      <c r="G193" s="43"/>
      <c r="H193" s="45"/>
      <c r="I193" s="38"/>
      <c r="J193" s="38"/>
      <c r="K193" s="46"/>
      <c r="L193" s="47"/>
      <c r="M193" s="46"/>
      <c r="N193" s="46"/>
      <c r="O193" s="38"/>
      <c r="P193" s="38"/>
      <c r="Q193" s="12"/>
      <c r="R193" s="50"/>
      <c r="S193" s="50"/>
      <c r="T193" s="50"/>
      <c r="U193" s="53"/>
      <c r="V193" s="54"/>
      <c r="W193" s="56"/>
      <c r="X193" s="119"/>
      <c r="Y193" s="113"/>
      <c r="Z193" s="113"/>
      <c r="AH193" s="106"/>
      <c r="AI193" s="106"/>
    </row>
    <row r="194">
      <c r="A194" s="38"/>
      <c r="B194" s="38"/>
      <c r="C194" s="38"/>
      <c r="D194" s="38"/>
      <c r="E194" s="38"/>
      <c r="F194" s="41"/>
      <c r="G194" s="43"/>
      <c r="H194" s="45"/>
      <c r="I194" s="38"/>
      <c r="J194" s="38"/>
      <c r="K194" s="46"/>
      <c r="L194" s="47"/>
      <c r="M194" s="46"/>
      <c r="N194" s="46"/>
      <c r="O194" s="38"/>
      <c r="P194" s="38"/>
      <c r="Q194" s="12"/>
      <c r="R194" s="50"/>
      <c r="S194" s="50"/>
      <c r="T194" s="50"/>
      <c r="U194" s="53"/>
      <c r="V194" s="54"/>
      <c r="W194" s="56"/>
      <c r="X194" s="119"/>
      <c r="Y194" s="113"/>
      <c r="Z194" s="113"/>
      <c r="AH194" s="106"/>
      <c r="AI194" s="106"/>
    </row>
    <row r="195">
      <c r="A195" s="38"/>
      <c r="B195" s="38"/>
      <c r="C195" s="38"/>
      <c r="D195" s="38"/>
      <c r="E195" s="38"/>
      <c r="F195" s="41"/>
      <c r="G195" s="43"/>
      <c r="H195" s="45"/>
      <c r="I195" s="38"/>
      <c r="J195" s="38"/>
      <c r="K195" s="46"/>
      <c r="L195" s="47"/>
      <c r="M195" s="46"/>
      <c r="N195" s="46"/>
      <c r="O195" s="38"/>
      <c r="P195" s="38"/>
      <c r="Q195" s="12"/>
      <c r="R195" s="50"/>
      <c r="S195" s="50"/>
      <c r="T195" s="50"/>
      <c r="U195" s="53"/>
      <c r="V195" s="54"/>
      <c r="W195" s="56"/>
      <c r="X195" s="119"/>
      <c r="Y195" s="113"/>
      <c r="Z195" s="113"/>
      <c r="AH195" s="106"/>
      <c r="AI195" s="106"/>
    </row>
    <row r="196">
      <c r="A196" s="38"/>
      <c r="B196" s="38"/>
      <c r="C196" s="38"/>
      <c r="D196" s="38"/>
      <c r="E196" s="38"/>
      <c r="F196" s="41"/>
      <c r="G196" s="43"/>
      <c r="H196" s="45"/>
      <c r="I196" s="38"/>
      <c r="J196" s="38"/>
      <c r="K196" s="46"/>
      <c r="L196" s="47"/>
      <c r="M196" s="46"/>
      <c r="N196" s="46"/>
      <c r="O196" s="38"/>
      <c r="P196" s="38"/>
      <c r="Q196" s="12"/>
      <c r="R196" s="50"/>
      <c r="S196" s="50"/>
      <c r="T196" s="50"/>
      <c r="U196" s="53"/>
      <c r="V196" s="54"/>
      <c r="W196" s="56"/>
      <c r="X196" s="119"/>
      <c r="Y196" s="113"/>
      <c r="Z196" s="113"/>
      <c r="AH196" s="106"/>
      <c r="AI196" s="106"/>
    </row>
    <row r="197">
      <c r="A197" s="38"/>
      <c r="B197" s="38"/>
      <c r="C197" s="38"/>
      <c r="D197" s="38"/>
      <c r="E197" s="38"/>
      <c r="F197" s="41"/>
      <c r="G197" s="43"/>
      <c r="H197" s="45"/>
      <c r="I197" s="38"/>
      <c r="J197" s="38"/>
      <c r="K197" s="46"/>
      <c r="L197" s="47"/>
      <c r="M197" s="46"/>
      <c r="N197" s="46"/>
      <c r="O197" s="38"/>
      <c r="P197" s="38"/>
      <c r="Q197" s="12"/>
      <c r="R197" s="50"/>
      <c r="S197" s="50"/>
      <c r="T197" s="50"/>
      <c r="U197" s="53"/>
      <c r="V197" s="54"/>
      <c r="W197" s="56"/>
      <c r="X197" s="119"/>
      <c r="Y197" s="113"/>
      <c r="Z197" s="113"/>
      <c r="AH197" s="106"/>
      <c r="AI197" s="106"/>
    </row>
    <row r="198" ht="20.25" customHeight="1">
      <c r="A198" s="38"/>
      <c r="B198" s="39"/>
      <c r="C198" s="38"/>
      <c r="D198" s="39"/>
      <c r="E198" s="38"/>
      <c r="F198" s="41"/>
      <c r="G198" s="62"/>
      <c r="H198" s="58"/>
      <c r="I198" s="38"/>
      <c r="J198" s="38"/>
      <c r="K198" s="46"/>
      <c r="L198" s="47"/>
      <c r="M198" s="46"/>
      <c r="N198" s="46"/>
      <c r="O198" s="38"/>
      <c r="P198" s="38"/>
      <c r="Q198" s="12"/>
      <c r="R198" s="50"/>
      <c r="S198" s="50"/>
      <c r="T198" s="50"/>
      <c r="U198" s="53"/>
      <c r="V198" s="54"/>
      <c r="W198" s="56"/>
      <c r="X198" s="122"/>
      <c r="Y198" s="112"/>
      <c r="Z198" s="112"/>
      <c r="AH198" s="106"/>
      <c r="AI198" s="106"/>
    </row>
    <row r="199">
      <c r="A199" s="38"/>
      <c r="B199" s="39"/>
      <c r="C199" s="38"/>
      <c r="D199" s="39"/>
      <c r="E199" s="38"/>
      <c r="F199" s="41"/>
      <c r="G199" s="43"/>
      <c r="H199" s="45"/>
      <c r="I199" s="38"/>
      <c r="J199" s="38"/>
      <c r="K199" s="46"/>
      <c r="L199" s="47"/>
      <c r="M199" s="46"/>
      <c r="N199" s="46"/>
      <c r="O199" s="38"/>
      <c r="P199" s="38"/>
      <c r="Q199" s="12"/>
      <c r="R199" s="67"/>
      <c r="S199" s="67"/>
      <c r="T199" s="67"/>
      <c r="U199" s="53"/>
      <c r="V199" s="54"/>
      <c r="W199" s="85"/>
      <c r="X199" s="119"/>
      <c r="Y199" s="113"/>
      <c r="Z199" s="113"/>
      <c r="AH199" s="106"/>
      <c r="AI199" s="106"/>
    </row>
    <row r="200">
      <c r="A200" s="39"/>
      <c r="B200" s="39"/>
      <c r="C200" s="38"/>
      <c r="D200" s="39"/>
      <c r="E200" s="38"/>
      <c r="F200" s="43"/>
      <c r="G200" s="39"/>
      <c r="H200" s="71"/>
      <c r="I200" s="38"/>
      <c r="J200" s="38"/>
      <c r="K200" s="46"/>
      <c r="L200" s="47"/>
      <c r="M200" s="46"/>
      <c r="N200" s="46"/>
      <c r="O200" s="60"/>
      <c r="P200" s="114"/>
      <c r="Q200" s="12"/>
      <c r="R200" s="67"/>
      <c r="S200" s="67"/>
      <c r="T200" s="67"/>
      <c r="U200" s="116"/>
      <c r="V200" s="117"/>
      <c r="W200" s="118"/>
      <c r="X200" s="119"/>
      <c r="Y200" s="113"/>
      <c r="Z200" s="113"/>
      <c r="AH200" s="106"/>
      <c r="AI200" s="106"/>
    </row>
    <row r="201">
      <c r="A201" s="39"/>
      <c r="B201" s="39"/>
      <c r="C201" s="38"/>
      <c r="D201" s="39"/>
      <c r="E201" s="38"/>
      <c r="F201" s="43"/>
      <c r="G201" s="39"/>
      <c r="H201" s="71"/>
      <c r="I201" s="38"/>
      <c r="J201" s="38"/>
      <c r="K201" s="46"/>
      <c r="L201" s="47"/>
      <c r="M201" s="46"/>
      <c r="N201" s="46"/>
      <c r="O201" s="60"/>
      <c r="P201" s="114"/>
      <c r="Q201" s="12"/>
      <c r="R201" s="67"/>
      <c r="S201" s="67"/>
      <c r="T201" s="67"/>
      <c r="U201" s="116"/>
      <c r="V201" s="117"/>
      <c r="W201" s="118"/>
      <c r="X201" s="119"/>
      <c r="Y201" s="113"/>
      <c r="Z201" s="113"/>
      <c r="AH201" s="106"/>
      <c r="AI201" s="106"/>
    </row>
    <row r="202">
      <c r="A202" s="39"/>
      <c r="B202" s="39"/>
      <c r="C202" s="38"/>
      <c r="D202" s="39"/>
      <c r="E202" s="38"/>
      <c r="F202" s="43"/>
      <c r="G202" s="39"/>
      <c r="H202" s="71"/>
      <c r="I202" s="38"/>
      <c r="J202" s="38"/>
      <c r="K202" s="46"/>
      <c r="L202" s="47"/>
      <c r="M202" s="46"/>
      <c r="N202" s="46"/>
      <c r="O202" s="60"/>
      <c r="P202" s="114"/>
      <c r="Q202" s="12"/>
      <c r="R202" s="67"/>
      <c r="S202" s="67"/>
      <c r="T202" s="67"/>
      <c r="U202" s="116"/>
      <c r="V202" s="117"/>
      <c r="W202" s="118"/>
      <c r="X202" s="119"/>
      <c r="Y202" s="113"/>
      <c r="Z202" s="113"/>
      <c r="AH202" s="106"/>
      <c r="AI202" s="106"/>
    </row>
    <row r="203">
      <c r="A203" s="39"/>
      <c r="B203" s="39"/>
      <c r="C203" s="38"/>
      <c r="D203" s="39"/>
      <c r="E203" s="38"/>
      <c r="F203" s="43"/>
      <c r="G203" s="39"/>
      <c r="H203" s="71"/>
      <c r="I203" s="38"/>
      <c r="J203" s="38"/>
      <c r="K203" s="46"/>
      <c r="L203" s="47"/>
      <c r="M203" s="46"/>
      <c r="N203" s="46"/>
      <c r="O203" s="60"/>
      <c r="P203" s="114"/>
      <c r="Q203" s="12"/>
      <c r="R203" s="67"/>
      <c r="S203" s="67"/>
      <c r="T203" s="67"/>
      <c r="U203" s="116"/>
      <c r="V203" s="117"/>
      <c r="W203" s="118"/>
      <c r="X203" s="119"/>
      <c r="Y203" s="113"/>
      <c r="Z203" s="113"/>
      <c r="AH203" s="106"/>
      <c r="AI203" s="106"/>
    </row>
    <row r="204">
      <c r="A204" s="39"/>
      <c r="B204" s="39"/>
      <c r="C204" s="38"/>
      <c r="D204" s="39"/>
      <c r="E204" s="38"/>
      <c r="F204" s="43"/>
      <c r="G204" s="39"/>
      <c r="H204" s="71"/>
      <c r="I204" s="38"/>
      <c r="J204" s="38"/>
      <c r="K204" s="46"/>
      <c r="L204" s="47"/>
      <c r="M204" s="46"/>
      <c r="N204" s="46"/>
      <c r="O204" s="60"/>
      <c r="P204" s="114"/>
      <c r="Q204" s="12"/>
      <c r="R204" s="67"/>
      <c r="S204" s="67"/>
      <c r="T204" s="67"/>
      <c r="U204" s="116"/>
      <c r="V204" s="117"/>
      <c r="W204" s="118"/>
      <c r="X204" s="119"/>
      <c r="Y204" s="113"/>
      <c r="Z204" s="113"/>
      <c r="AH204" s="106"/>
      <c r="AI204" s="106"/>
    </row>
    <row r="205">
      <c r="A205" s="39"/>
      <c r="B205" s="39"/>
      <c r="C205" s="38"/>
      <c r="D205" s="39"/>
      <c r="E205" s="38"/>
      <c r="F205" s="43"/>
      <c r="G205" s="39"/>
      <c r="H205" s="71"/>
      <c r="I205" s="38"/>
      <c r="J205" s="38"/>
      <c r="K205" s="46"/>
      <c r="L205" s="47"/>
      <c r="M205" s="46"/>
      <c r="N205" s="46"/>
      <c r="O205" s="60"/>
      <c r="P205" s="114"/>
      <c r="Q205" s="12"/>
      <c r="R205" s="67"/>
      <c r="S205" s="67"/>
      <c r="T205" s="67"/>
      <c r="U205" s="116"/>
      <c r="V205" s="117"/>
      <c r="W205" s="118"/>
      <c r="X205" s="119"/>
      <c r="Y205" s="113"/>
      <c r="Z205" s="113"/>
      <c r="AH205" s="106"/>
      <c r="AI205" s="106"/>
    </row>
    <row r="206">
      <c r="A206" s="39"/>
      <c r="B206" s="39"/>
      <c r="C206" s="38"/>
      <c r="D206" s="39"/>
      <c r="E206" s="38"/>
      <c r="F206" s="43"/>
      <c r="G206" s="39"/>
      <c r="H206" s="71"/>
      <c r="I206" s="38"/>
      <c r="J206" s="38"/>
      <c r="K206" s="46"/>
      <c r="L206" s="47"/>
      <c r="M206" s="46"/>
      <c r="N206" s="46"/>
      <c r="O206" s="60"/>
      <c r="P206" s="114"/>
      <c r="Q206" s="12"/>
      <c r="R206" s="67"/>
      <c r="S206" s="67"/>
      <c r="T206" s="67"/>
      <c r="U206" s="116"/>
      <c r="V206" s="117"/>
      <c r="W206" s="118"/>
      <c r="X206" s="119"/>
      <c r="Y206" s="113"/>
      <c r="Z206" s="113"/>
      <c r="AH206" s="106"/>
      <c r="AI206" s="106"/>
    </row>
    <row r="207">
      <c r="A207" s="39"/>
      <c r="B207" s="39"/>
      <c r="C207" s="38"/>
      <c r="D207" s="39"/>
      <c r="E207" s="38"/>
      <c r="F207" s="43"/>
      <c r="G207" s="39"/>
      <c r="H207" s="71"/>
      <c r="I207" s="38"/>
      <c r="J207" s="38"/>
      <c r="K207" s="46"/>
      <c r="L207" s="47"/>
      <c r="M207" s="46"/>
      <c r="N207" s="46"/>
      <c r="O207" s="60"/>
      <c r="P207" s="114"/>
      <c r="Q207" s="12"/>
      <c r="R207" s="67"/>
      <c r="S207" s="67"/>
      <c r="T207" s="67"/>
      <c r="U207" s="116"/>
      <c r="V207" s="117"/>
      <c r="W207" s="118"/>
      <c r="X207" s="119"/>
      <c r="Y207" s="113"/>
      <c r="Z207" s="113"/>
      <c r="AH207" s="106"/>
      <c r="AI207" s="106"/>
    </row>
    <row r="208">
      <c r="A208" s="39"/>
      <c r="B208" s="39"/>
      <c r="C208" s="38"/>
      <c r="D208" s="39"/>
      <c r="E208" s="38"/>
      <c r="F208" s="43"/>
      <c r="G208" s="39"/>
      <c r="H208" s="71"/>
      <c r="I208" s="38"/>
      <c r="J208" s="38"/>
      <c r="K208" s="46"/>
      <c r="L208" s="47"/>
      <c r="M208" s="46"/>
      <c r="N208" s="46"/>
      <c r="O208" s="60"/>
      <c r="P208" s="114"/>
      <c r="Q208" s="12"/>
      <c r="R208" s="67"/>
      <c r="S208" s="67"/>
      <c r="T208" s="67"/>
      <c r="U208" s="116"/>
      <c r="V208" s="117"/>
      <c r="W208" s="118"/>
      <c r="X208" s="119"/>
      <c r="Y208" s="113"/>
      <c r="Z208" s="113"/>
      <c r="AH208" s="106"/>
      <c r="AI208" s="106"/>
    </row>
    <row r="209">
      <c r="A209" s="39"/>
      <c r="B209" s="39"/>
      <c r="C209" s="38"/>
      <c r="D209" s="39"/>
      <c r="E209" s="38"/>
      <c r="F209" s="43"/>
      <c r="G209" s="39"/>
      <c r="H209" s="71"/>
      <c r="I209" s="38"/>
      <c r="J209" s="38"/>
      <c r="K209" s="46"/>
      <c r="L209" s="47"/>
      <c r="M209" s="46"/>
      <c r="N209" s="46"/>
      <c r="O209" s="60"/>
      <c r="P209" s="114"/>
      <c r="Q209" s="12"/>
      <c r="R209" s="67"/>
      <c r="S209" s="67"/>
      <c r="T209" s="67"/>
      <c r="U209" s="116"/>
      <c r="V209" s="117"/>
      <c r="W209" s="118"/>
      <c r="X209" s="119"/>
      <c r="Y209" s="113"/>
      <c r="Z209" s="113"/>
      <c r="AH209" s="106"/>
      <c r="AI209" s="106"/>
    </row>
    <row r="210">
      <c r="A210" s="39"/>
      <c r="B210" s="39"/>
      <c r="C210" s="38"/>
      <c r="D210" s="39"/>
      <c r="E210" s="38"/>
      <c r="F210" s="43"/>
      <c r="G210" s="39"/>
      <c r="H210" s="12"/>
      <c r="I210" s="38"/>
      <c r="J210" s="38"/>
      <c r="K210" s="46"/>
      <c r="L210" s="47"/>
      <c r="M210" s="46"/>
      <c r="N210" s="46"/>
      <c r="O210" s="60"/>
      <c r="P210" s="114"/>
      <c r="Q210" s="12"/>
      <c r="R210" s="67"/>
      <c r="S210" s="67"/>
      <c r="T210" s="67"/>
      <c r="U210" s="116"/>
      <c r="V210" s="117"/>
      <c r="W210" s="118"/>
      <c r="X210" s="119"/>
      <c r="Y210" s="113"/>
      <c r="Z210" s="113"/>
      <c r="AH210" s="106"/>
      <c r="AI210" s="106"/>
    </row>
    <row r="211">
      <c r="A211" s="39"/>
      <c r="B211" s="39"/>
      <c r="C211" s="38"/>
      <c r="D211" s="39"/>
      <c r="E211" s="38"/>
      <c r="F211" s="43"/>
      <c r="G211" s="39"/>
      <c r="H211" s="12"/>
      <c r="I211" s="38"/>
      <c r="J211" s="38"/>
      <c r="K211" s="46"/>
      <c r="L211" s="47"/>
      <c r="M211" s="46"/>
      <c r="N211" s="46"/>
      <c r="O211" s="60"/>
      <c r="P211" s="114"/>
      <c r="Q211" s="12"/>
      <c r="R211" s="67"/>
      <c r="S211" s="67"/>
      <c r="T211" s="67"/>
      <c r="U211" s="116"/>
      <c r="V211" s="117"/>
      <c r="W211" s="118"/>
      <c r="X211" s="119"/>
      <c r="Y211" s="113"/>
      <c r="Z211" s="113"/>
      <c r="AH211" s="106"/>
      <c r="AI211" s="106"/>
    </row>
    <row r="212">
      <c r="A212" s="39"/>
      <c r="B212" s="39"/>
      <c r="C212" s="38"/>
      <c r="D212" s="39"/>
      <c r="E212" s="38"/>
      <c r="F212" s="43"/>
      <c r="G212" s="39"/>
      <c r="H212" s="12"/>
      <c r="I212" s="38"/>
      <c r="J212" s="38"/>
      <c r="K212" s="46"/>
      <c r="L212" s="47"/>
      <c r="M212" s="46"/>
      <c r="N212" s="46"/>
      <c r="O212" s="60"/>
      <c r="P212" s="114"/>
      <c r="Q212" s="12"/>
      <c r="R212" s="67"/>
      <c r="S212" s="67"/>
      <c r="T212" s="67"/>
      <c r="U212" s="116"/>
      <c r="V212" s="117"/>
      <c r="W212" s="118"/>
      <c r="X212" s="119"/>
      <c r="Y212" s="113"/>
      <c r="Z212" s="113"/>
      <c r="AH212" s="106"/>
      <c r="AI212" s="106"/>
    </row>
    <row r="213">
      <c r="A213" s="39"/>
      <c r="B213" s="39"/>
      <c r="C213" s="38"/>
      <c r="D213" s="39"/>
      <c r="E213" s="38"/>
      <c r="F213" s="43"/>
      <c r="G213" s="39"/>
      <c r="H213" s="71"/>
      <c r="I213" s="38"/>
      <c r="J213" s="38"/>
      <c r="K213" s="46"/>
      <c r="L213" s="47"/>
      <c r="M213" s="46"/>
      <c r="N213" s="46"/>
      <c r="O213" s="60"/>
      <c r="P213" s="114"/>
      <c r="Q213" s="12"/>
      <c r="R213" s="67"/>
      <c r="S213" s="67"/>
      <c r="T213" s="67"/>
      <c r="U213" s="116"/>
      <c r="V213" s="117"/>
      <c r="W213" s="118"/>
      <c r="X213" s="119"/>
      <c r="Y213" s="113"/>
      <c r="Z213" s="113"/>
      <c r="AH213" s="106"/>
      <c r="AI213" s="106"/>
    </row>
    <row r="214">
      <c r="A214" s="39"/>
      <c r="B214" s="39"/>
      <c r="C214" s="38"/>
      <c r="D214" s="39"/>
      <c r="E214" s="38"/>
      <c r="F214" s="43"/>
      <c r="G214" s="39"/>
      <c r="H214" s="12"/>
      <c r="I214" s="38"/>
      <c r="J214" s="38"/>
      <c r="K214" s="46"/>
      <c r="L214" s="47"/>
      <c r="M214" s="46"/>
      <c r="N214" s="46"/>
      <c r="O214" s="60"/>
      <c r="P214" s="114"/>
      <c r="Q214" s="12"/>
      <c r="R214" s="67"/>
      <c r="S214" s="67"/>
      <c r="T214" s="67"/>
      <c r="U214" s="116"/>
      <c r="V214" s="117"/>
      <c r="W214" s="118"/>
      <c r="X214" s="119"/>
      <c r="Y214" s="113"/>
      <c r="Z214" s="113"/>
      <c r="AH214" s="106"/>
      <c r="AI214" s="106"/>
    </row>
    <row r="215">
      <c r="A215" s="39"/>
      <c r="B215" s="39"/>
      <c r="C215" s="38"/>
      <c r="D215" s="39"/>
      <c r="E215" s="38"/>
      <c r="F215" s="38"/>
      <c r="G215" s="39"/>
      <c r="H215" s="71"/>
      <c r="I215" s="38"/>
      <c r="J215" s="38"/>
      <c r="K215" s="46"/>
      <c r="L215" s="47"/>
      <c r="M215" s="46"/>
      <c r="N215" s="46"/>
      <c r="O215" s="60"/>
      <c r="P215" s="114"/>
      <c r="Q215" s="12"/>
      <c r="R215" s="67"/>
      <c r="S215" s="67"/>
      <c r="T215" s="67"/>
      <c r="U215" s="116"/>
      <c r="V215" s="117"/>
      <c r="W215" s="118"/>
      <c r="X215" s="119"/>
      <c r="Y215" s="113"/>
      <c r="Z215" s="113"/>
      <c r="AH215" s="106"/>
      <c r="AI215" s="106"/>
    </row>
    <row r="216">
      <c r="A216" s="39"/>
      <c r="B216" s="39"/>
      <c r="C216" s="38"/>
      <c r="D216" s="39"/>
      <c r="E216" s="113"/>
      <c r="F216" s="113"/>
      <c r="G216" s="112"/>
      <c r="H216" s="113"/>
      <c r="I216" s="113"/>
      <c r="J216" s="113"/>
      <c r="K216" s="46"/>
      <c r="L216" s="113"/>
      <c r="M216" s="46"/>
      <c r="N216" s="46"/>
      <c r="O216" s="60"/>
      <c r="P216" s="114"/>
      <c r="Q216" s="12"/>
      <c r="R216" s="67"/>
      <c r="S216" s="67"/>
      <c r="T216" s="67"/>
      <c r="U216" s="116"/>
      <c r="V216" s="117"/>
      <c r="W216" s="118"/>
      <c r="X216" s="119"/>
      <c r="Y216" s="113"/>
      <c r="Z216" s="113"/>
      <c r="AH216" s="106"/>
      <c r="AI216" s="106"/>
    </row>
    <row r="217">
      <c r="A217" s="39"/>
      <c r="B217" s="39"/>
      <c r="C217" s="38"/>
      <c r="D217" s="39"/>
      <c r="E217" s="113"/>
      <c r="F217" s="113"/>
      <c r="G217" s="112"/>
      <c r="H217" s="113"/>
      <c r="I217" s="113"/>
      <c r="J217" s="113"/>
      <c r="K217" s="46"/>
      <c r="L217" s="113"/>
      <c r="M217" s="46"/>
      <c r="N217" s="46"/>
      <c r="O217" s="60"/>
      <c r="P217" s="114"/>
      <c r="Q217" s="12"/>
      <c r="R217" s="67"/>
      <c r="S217" s="67"/>
      <c r="T217" s="67"/>
      <c r="U217" s="116"/>
      <c r="V217" s="117"/>
      <c r="W217" s="118"/>
      <c r="X217" s="119"/>
      <c r="Y217" s="113"/>
      <c r="Z217" s="113"/>
      <c r="AH217" s="106"/>
      <c r="AI217" s="106"/>
    </row>
    <row r="218">
      <c r="A218" s="39"/>
      <c r="B218" s="39"/>
      <c r="C218" s="38"/>
      <c r="D218" s="39"/>
      <c r="E218" s="113"/>
      <c r="F218" s="113"/>
      <c r="G218" s="112"/>
      <c r="H218" s="113"/>
      <c r="I218" s="113"/>
      <c r="J218" s="113"/>
      <c r="K218" s="46"/>
      <c r="L218" s="113"/>
      <c r="M218" s="46"/>
      <c r="N218" s="46"/>
      <c r="O218" s="60"/>
      <c r="P218" s="114"/>
      <c r="Q218" s="12"/>
      <c r="R218" s="67"/>
      <c r="S218" s="67"/>
      <c r="T218" s="67"/>
      <c r="U218" s="116"/>
      <c r="V218" s="117"/>
      <c r="W218" s="118"/>
      <c r="X218" s="119"/>
      <c r="Y218" s="113"/>
      <c r="Z218" s="113"/>
      <c r="AH218" s="106"/>
      <c r="AI218" s="106"/>
    </row>
    <row r="219">
      <c r="A219" s="38"/>
      <c r="B219" s="38"/>
      <c r="C219" s="38"/>
      <c r="D219" s="38"/>
      <c r="E219" s="38"/>
      <c r="F219" s="41"/>
      <c r="G219" s="43"/>
      <c r="H219" s="45"/>
      <c r="I219" s="38"/>
      <c r="J219" s="38"/>
      <c r="K219" s="46"/>
      <c r="L219" s="47"/>
      <c r="M219" s="46"/>
      <c r="N219" s="46"/>
      <c r="O219" s="38"/>
      <c r="P219" s="38"/>
      <c r="Q219" s="12"/>
      <c r="R219" s="50"/>
      <c r="S219" s="50"/>
      <c r="T219" s="50"/>
      <c r="U219" s="53"/>
      <c r="V219" s="54"/>
      <c r="W219" s="56"/>
      <c r="X219" s="119"/>
      <c r="Y219" s="113"/>
      <c r="Z219" s="113"/>
      <c r="AH219" s="106"/>
      <c r="AI219" s="106"/>
    </row>
    <row r="220">
      <c r="A220" s="38"/>
      <c r="B220" s="38"/>
      <c r="C220" s="38"/>
      <c r="D220" s="38"/>
      <c r="E220" s="38"/>
      <c r="F220" s="41"/>
      <c r="G220" s="43"/>
      <c r="H220" s="45"/>
      <c r="I220" s="38"/>
      <c r="J220" s="38"/>
      <c r="K220" s="46"/>
      <c r="L220" s="47"/>
      <c r="M220" s="46"/>
      <c r="N220" s="46"/>
      <c r="O220" s="38"/>
      <c r="P220" s="38"/>
      <c r="Q220" s="12"/>
      <c r="R220" s="50"/>
      <c r="S220" s="50"/>
      <c r="T220" s="50"/>
      <c r="U220" s="53"/>
      <c r="V220" s="54"/>
      <c r="W220" s="56"/>
      <c r="X220" s="119"/>
      <c r="Y220" s="113"/>
      <c r="Z220" s="113"/>
      <c r="AH220" s="106"/>
      <c r="AI220" s="106"/>
    </row>
    <row r="221">
      <c r="A221" s="38"/>
      <c r="B221" s="38"/>
      <c r="C221" s="38"/>
      <c r="D221" s="38"/>
      <c r="E221" s="38"/>
      <c r="F221" s="41"/>
      <c r="G221" s="43"/>
      <c r="H221" s="45"/>
      <c r="I221" s="38"/>
      <c r="J221" s="38"/>
      <c r="K221" s="46"/>
      <c r="L221" s="47"/>
      <c r="M221" s="46"/>
      <c r="N221" s="46"/>
      <c r="O221" s="38"/>
      <c r="P221" s="38"/>
      <c r="Q221" s="12"/>
      <c r="R221" s="50"/>
      <c r="S221" s="50"/>
      <c r="T221" s="50"/>
      <c r="U221" s="53"/>
      <c r="V221" s="54"/>
      <c r="W221" s="56"/>
      <c r="X221" s="119"/>
      <c r="Y221" s="113"/>
      <c r="Z221" s="113"/>
      <c r="AH221" s="106"/>
      <c r="AI221" s="106"/>
    </row>
    <row r="222">
      <c r="A222" s="38"/>
      <c r="B222" s="39"/>
      <c r="C222" s="38"/>
      <c r="D222" s="39"/>
      <c r="E222" s="38"/>
      <c r="F222" s="41"/>
      <c r="G222" s="43"/>
      <c r="H222" s="45"/>
      <c r="I222" s="38"/>
      <c r="J222" s="38"/>
      <c r="K222" s="46"/>
      <c r="L222" s="47"/>
      <c r="M222" s="46"/>
      <c r="N222" s="46"/>
      <c r="O222" s="38"/>
      <c r="P222" s="38"/>
      <c r="Q222" s="12"/>
      <c r="R222" s="50"/>
      <c r="S222" s="50"/>
      <c r="T222" s="50"/>
      <c r="U222" s="53"/>
      <c r="V222" s="54"/>
      <c r="W222" s="56"/>
      <c r="X222" s="119"/>
      <c r="Y222" s="113"/>
      <c r="Z222" s="113"/>
      <c r="AH222" s="106"/>
      <c r="AI222" s="106"/>
    </row>
    <row r="223">
      <c r="A223" s="112"/>
      <c r="B223" s="39"/>
      <c r="C223" s="38"/>
      <c r="D223" s="39"/>
      <c r="E223" s="113"/>
      <c r="F223" s="113"/>
      <c r="G223" s="112"/>
      <c r="H223" s="113"/>
      <c r="I223" s="113"/>
      <c r="J223" s="113"/>
      <c r="K223" s="46"/>
      <c r="L223" s="113"/>
      <c r="M223" s="46"/>
      <c r="N223" s="46"/>
      <c r="O223" s="60"/>
      <c r="P223" s="114"/>
      <c r="Q223" s="12"/>
      <c r="R223" s="115"/>
      <c r="S223" s="115"/>
      <c r="T223" s="115"/>
      <c r="U223" s="116"/>
      <c r="V223" s="117"/>
      <c r="W223" s="118"/>
      <c r="X223" s="119"/>
      <c r="Y223" s="113"/>
      <c r="Z223" s="113"/>
      <c r="AH223" s="106"/>
      <c r="AI223" s="106"/>
    </row>
    <row r="224">
      <c r="A224" s="112"/>
      <c r="B224" s="39"/>
      <c r="C224" s="38"/>
      <c r="D224" s="39"/>
      <c r="E224" s="113"/>
      <c r="F224" s="113"/>
      <c r="G224" s="112"/>
      <c r="H224" s="113"/>
      <c r="I224" s="113"/>
      <c r="J224" s="113"/>
      <c r="K224" s="46"/>
      <c r="L224" s="113"/>
      <c r="M224" s="46"/>
      <c r="N224" s="46"/>
      <c r="O224" s="60"/>
      <c r="P224" s="114"/>
      <c r="Q224" s="12"/>
      <c r="R224" s="115"/>
      <c r="S224" s="115"/>
      <c r="T224" s="115"/>
      <c r="U224" s="116"/>
      <c r="V224" s="117"/>
      <c r="W224" s="118"/>
      <c r="X224" s="119"/>
      <c r="Y224" s="113"/>
      <c r="Z224" s="113"/>
      <c r="AH224" s="106"/>
      <c r="AI224" s="106"/>
    </row>
    <row r="225">
      <c r="A225" s="112"/>
      <c r="B225" s="39"/>
      <c r="C225" s="38"/>
      <c r="D225" s="39"/>
      <c r="E225" s="113"/>
      <c r="F225" s="113"/>
      <c r="G225" s="112"/>
      <c r="H225" s="113"/>
      <c r="I225" s="113"/>
      <c r="J225" s="113"/>
      <c r="K225" s="46"/>
      <c r="L225" s="113"/>
      <c r="M225" s="46"/>
      <c r="N225" s="46"/>
      <c r="O225" s="60"/>
      <c r="P225" s="114"/>
      <c r="Q225" s="12"/>
      <c r="R225" s="115"/>
      <c r="S225" s="115"/>
      <c r="T225" s="115"/>
      <c r="U225" s="116"/>
      <c r="V225" s="117"/>
      <c r="W225" s="118"/>
      <c r="X225" s="119"/>
      <c r="Y225" s="113"/>
      <c r="Z225" s="113"/>
      <c r="AH225" s="106"/>
      <c r="AI225" s="106"/>
    </row>
    <row r="226">
      <c r="A226" s="112"/>
      <c r="B226" s="39"/>
      <c r="C226" s="38"/>
      <c r="D226" s="39"/>
      <c r="E226" s="113"/>
      <c r="F226" s="113"/>
      <c r="G226" s="112"/>
      <c r="H226" s="113"/>
      <c r="I226" s="113"/>
      <c r="J226" s="113"/>
      <c r="K226" s="46"/>
      <c r="L226" s="113"/>
      <c r="M226" s="46"/>
      <c r="N226" s="46"/>
      <c r="O226" s="60"/>
      <c r="P226" s="114"/>
      <c r="Q226" s="12"/>
      <c r="R226" s="115"/>
      <c r="S226" s="115"/>
      <c r="T226" s="115"/>
      <c r="U226" s="116"/>
      <c r="V226" s="117"/>
      <c r="W226" s="118"/>
      <c r="X226" s="119"/>
      <c r="Y226" s="113"/>
      <c r="Z226" s="113"/>
      <c r="AH226" s="106"/>
      <c r="AI226" s="106"/>
    </row>
    <row r="227">
      <c r="A227" s="120"/>
      <c r="B227" s="39"/>
      <c r="C227" s="38"/>
      <c r="D227" s="39"/>
      <c r="E227" s="113"/>
      <c r="F227" s="113"/>
      <c r="G227" s="112"/>
      <c r="H227" s="113"/>
      <c r="I227" s="113"/>
      <c r="J227" s="113"/>
      <c r="K227" s="46"/>
      <c r="L227" s="113"/>
      <c r="M227" s="46"/>
      <c r="N227" s="46"/>
      <c r="O227" s="60"/>
      <c r="P227" s="114"/>
      <c r="Q227" s="12"/>
      <c r="R227" s="115"/>
      <c r="S227" s="115"/>
      <c r="T227" s="115"/>
      <c r="U227" s="116"/>
      <c r="V227" s="117"/>
      <c r="W227" s="118"/>
      <c r="X227" s="119"/>
      <c r="Y227" s="113"/>
      <c r="Z227" s="113"/>
      <c r="AH227" s="106"/>
      <c r="AI227" s="106"/>
    </row>
    <row r="228">
      <c r="A228" s="120"/>
      <c r="B228" s="39"/>
      <c r="C228" s="38"/>
      <c r="D228" s="39"/>
      <c r="E228" s="113"/>
      <c r="F228" s="113"/>
      <c r="G228" s="112"/>
      <c r="H228" s="113"/>
      <c r="I228" s="113"/>
      <c r="J228" s="113"/>
      <c r="K228" s="46"/>
      <c r="L228" s="113"/>
      <c r="M228" s="46"/>
      <c r="N228" s="46"/>
      <c r="O228" s="60"/>
      <c r="P228" s="114"/>
      <c r="Q228" s="12"/>
      <c r="R228" s="115"/>
      <c r="S228" s="115"/>
      <c r="T228" s="115"/>
      <c r="U228" s="116"/>
      <c r="V228" s="117"/>
      <c r="W228" s="118"/>
      <c r="X228" s="119"/>
      <c r="Y228" s="113"/>
      <c r="Z228" s="113"/>
      <c r="AH228" s="106"/>
      <c r="AI228" s="106"/>
    </row>
    <row r="229">
      <c r="A229" s="120"/>
      <c r="B229" s="39"/>
      <c r="C229" s="38"/>
      <c r="D229" s="39"/>
      <c r="E229" s="113"/>
      <c r="F229" s="113"/>
      <c r="G229" s="112"/>
      <c r="H229" s="113"/>
      <c r="I229" s="113"/>
      <c r="J229" s="113"/>
      <c r="K229" s="46"/>
      <c r="L229" s="113"/>
      <c r="M229" s="46"/>
      <c r="N229" s="46"/>
      <c r="O229" s="60"/>
      <c r="P229" s="114"/>
      <c r="Q229" s="12"/>
      <c r="R229" s="115"/>
      <c r="S229" s="115"/>
      <c r="T229" s="115"/>
      <c r="U229" s="116"/>
      <c r="V229" s="117"/>
      <c r="W229" s="118"/>
      <c r="X229" s="119"/>
      <c r="Y229" s="113"/>
      <c r="Z229" s="113"/>
      <c r="AH229" s="106"/>
      <c r="AI229" s="106"/>
    </row>
    <row r="230">
      <c r="A230" s="120"/>
      <c r="B230" s="39"/>
      <c r="C230" s="38"/>
      <c r="D230" s="39"/>
      <c r="E230" s="113"/>
      <c r="F230" s="113"/>
      <c r="G230" s="112"/>
      <c r="H230" s="113"/>
      <c r="I230" s="113"/>
      <c r="J230" s="113"/>
      <c r="K230" s="46"/>
      <c r="L230" s="113"/>
      <c r="M230" s="46"/>
      <c r="N230" s="46"/>
      <c r="O230" s="60"/>
      <c r="P230" s="114"/>
      <c r="Q230" s="12"/>
      <c r="R230" s="115"/>
      <c r="S230" s="115"/>
      <c r="T230" s="115"/>
      <c r="U230" s="116"/>
      <c r="V230" s="117"/>
      <c r="W230" s="118"/>
      <c r="X230" s="119"/>
      <c r="Y230" s="113"/>
      <c r="Z230" s="113"/>
      <c r="AH230" s="106"/>
      <c r="AI230" s="106"/>
    </row>
    <row r="231">
      <c r="A231" s="120"/>
      <c r="B231" s="39"/>
      <c r="C231" s="38"/>
      <c r="D231" s="39"/>
      <c r="E231" s="113"/>
      <c r="F231" s="113"/>
      <c r="G231" s="112"/>
      <c r="H231" s="113"/>
      <c r="I231" s="113"/>
      <c r="J231" s="113"/>
      <c r="K231" s="46"/>
      <c r="L231" s="113"/>
      <c r="M231" s="46"/>
      <c r="N231" s="46"/>
      <c r="O231" s="60"/>
      <c r="P231" s="114"/>
      <c r="Q231" s="12"/>
      <c r="R231" s="115"/>
      <c r="S231" s="115"/>
      <c r="T231" s="115"/>
      <c r="U231" s="116"/>
      <c r="V231" s="117"/>
      <c r="W231" s="118"/>
      <c r="X231" s="119"/>
      <c r="Y231" s="113"/>
      <c r="Z231" s="113"/>
      <c r="AH231" s="106"/>
      <c r="AI231" s="106"/>
    </row>
    <row r="232">
      <c r="A232" s="120"/>
      <c r="B232" s="39"/>
      <c r="C232" s="38"/>
      <c r="D232" s="39"/>
      <c r="E232" s="113"/>
      <c r="F232" s="113"/>
      <c r="G232" s="112"/>
      <c r="H232" s="113"/>
      <c r="I232" s="113"/>
      <c r="J232" s="113"/>
      <c r="K232" s="46"/>
      <c r="L232" s="113"/>
      <c r="M232" s="46"/>
      <c r="N232" s="46"/>
      <c r="O232" s="60"/>
      <c r="P232" s="114"/>
      <c r="Q232" s="12"/>
      <c r="R232" s="115"/>
      <c r="S232" s="115"/>
      <c r="T232" s="115"/>
      <c r="U232" s="116"/>
      <c r="V232" s="117"/>
      <c r="W232" s="118"/>
      <c r="X232" s="119"/>
      <c r="Y232" s="113"/>
      <c r="Z232" s="113"/>
      <c r="AH232" s="106"/>
      <c r="AI232" s="106"/>
    </row>
    <row r="233">
      <c r="A233" s="120"/>
      <c r="B233" s="39"/>
      <c r="C233" s="38"/>
      <c r="D233" s="39"/>
      <c r="E233" s="113"/>
      <c r="F233" s="113"/>
      <c r="G233" s="112"/>
      <c r="H233" s="112"/>
      <c r="I233" s="113"/>
      <c r="J233" s="113"/>
      <c r="K233" s="46"/>
      <c r="L233" s="113"/>
      <c r="M233" s="46"/>
      <c r="N233" s="46"/>
      <c r="O233" s="60"/>
      <c r="P233" s="114"/>
      <c r="Q233" s="12"/>
      <c r="R233" s="115"/>
      <c r="S233" s="115"/>
      <c r="T233" s="115"/>
      <c r="U233" s="116"/>
      <c r="V233" s="117"/>
      <c r="W233" s="118"/>
      <c r="X233" s="119"/>
      <c r="Y233" s="113"/>
      <c r="Z233" s="113"/>
      <c r="AH233" s="106"/>
      <c r="AI233" s="106"/>
    </row>
    <row r="234">
      <c r="A234" s="120"/>
      <c r="B234" s="39"/>
      <c r="C234" s="38"/>
      <c r="D234" s="39"/>
      <c r="E234" s="113"/>
      <c r="F234" s="113"/>
      <c r="G234" s="112"/>
      <c r="H234" s="113"/>
      <c r="I234" s="113"/>
      <c r="J234" s="113"/>
      <c r="K234" s="46"/>
      <c r="L234" s="113"/>
      <c r="M234" s="46"/>
      <c r="N234" s="46"/>
      <c r="O234" s="60"/>
      <c r="P234" s="114"/>
      <c r="Q234" s="12"/>
      <c r="R234" s="115"/>
      <c r="S234" s="115"/>
      <c r="T234" s="115"/>
      <c r="U234" s="116"/>
      <c r="V234" s="117"/>
      <c r="W234" s="118"/>
      <c r="X234" s="119"/>
      <c r="Y234" s="113"/>
      <c r="Z234" s="113"/>
      <c r="AH234" s="106"/>
      <c r="AI234" s="106"/>
    </row>
    <row r="235">
      <c r="A235" s="120"/>
      <c r="B235" s="39"/>
      <c r="C235" s="38"/>
      <c r="D235" s="39"/>
      <c r="E235" s="113"/>
      <c r="F235" s="113"/>
      <c r="G235" s="112"/>
      <c r="H235" s="113"/>
      <c r="I235" s="113"/>
      <c r="J235" s="113"/>
      <c r="K235" s="46"/>
      <c r="L235" s="113"/>
      <c r="M235" s="46"/>
      <c r="N235" s="46"/>
      <c r="O235" s="60"/>
      <c r="P235" s="114"/>
      <c r="Q235" s="12"/>
      <c r="R235" s="115"/>
      <c r="S235" s="115"/>
      <c r="T235" s="115"/>
      <c r="U235" s="116"/>
      <c r="V235" s="117"/>
      <c r="W235" s="118"/>
      <c r="X235" s="119"/>
      <c r="Y235" s="113"/>
      <c r="Z235" s="113"/>
      <c r="AH235" s="106"/>
      <c r="AI235" s="106"/>
    </row>
    <row r="236">
      <c r="A236" s="120"/>
      <c r="B236" s="39"/>
      <c r="C236" s="38"/>
      <c r="D236" s="39"/>
      <c r="E236" s="113"/>
      <c r="F236" s="113"/>
      <c r="G236" s="112"/>
      <c r="H236" s="113"/>
      <c r="I236" s="113"/>
      <c r="J236" s="113"/>
      <c r="K236" s="46"/>
      <c r="L236" s="113"/>
      <c r="M236" s="46"/>
      <c r="N236" s="46"/>
      <c r="O236" s="60"/>
      <c r="P236" s="114"/>
      <c r="Q236" s="12"/>
      <c r="R236" s="115"/>
      <c r="S236" s="115"/>
      <c r="T236" s="115"/>
      <c r="U236" s="116"/>
      <c r="V236" s="117"/>
      <c r="W236" s="118"/>
      <c r="X236" s="119"/>
      <c r="Y236" s="113"/>
      <c r="Z236" s="113"/>
      <c r="AH236" s="106"/>
      <c r="AI236" s="106"/>
    </row>
    <row r="237">
      <c r="A237" s="38"/>
      <c r="B237" s="38"/>
      <c r="C237" s="38"/>
      <c r="D237" s="38"/>
      <c r="E237" s="38"/>
      <c r="F237" s="41"/>
      <c r="G237" s="43"/>
      <c r="H237" s="45"/>
      <c r="I237" s="38"/>
      <c r="J237" s="38"/>
      <c r="K237" s="46"/>
      <c r="L237" s="47"/>
      <c r="M237" s="46"/>
      <c r="N237" s="46"/>
      <c r="O237" s="38"/>
      <c r="P237" s="38"/>
      <c r="Q237" s="12"/>
      <c r="R237" s="50"/>
      <c r="S237" s="50"/>
      <c r="T237" s="50"/>
      <c r="U237" s="53"/>
      <c r="V237" s="54"/>
      <c r="W237" s="56"/>
      <c r="X237" s="119"/>
      <c r="Y237" s="113"/>
      <c r="Z237" s="113"/>
      <c r="AH237" s="106"/>
      <c r="AI237" s="106"/>
    </row>
    <row r="238">
      <c r="A238" s="38"/>
      <c r="B238" s="38"/>
      <c r="C238" s="38"/>
      <c r="D238" s="38"/>
      <c r="E238" s="38"/>
      <c r="F238" s="41"/>
      <c r="G238" s="43"/>
      <c r="H238" s="45"/>
      <c r="I238" s="38"/>
      <c r="J238" s="38"/>
      <c r="K238" s="46"/>
      <c r="L238" s="47"/>
      <c r="M238" s="46"/>
      <c r="N238" s="46"/>
      <c r="O238" s="38"/>
      <c r="P238" s="38"/>
      <c r="Q238" s="12"/>
      <c r="R238" s="50"/>
      <c r="S238" s="50"/>
      <c r="T238" s="50"/>
      <c r="U238" s="53"/>
      <c r="V238" s="54"/>
      <c r="W238" s="56"/>
      <c r="X238" s="119"/>
      <c r="Y238" s="113"/>
      <c r="Z238" s="113"/>
      <c r="AH238" s="106"/>
      <c r="AI238" s="106"/>
    </row>
    <row r="239">
      <c r="A239" s="38"/>
      <c r="B239" s="38"/>
      <c r="C239" s="38"/>
      <c r="D239" s="38"/>
      <c r="E239" s="38"/>
      <c r="F239" s="41"/>
      <c r="G239" s="43"/>
      <c r="H239" s="45"/>
      <c r="I239" s="38"/>
      <c r="J239" s="38"/>
      <c r="K239" s="46"/>
      <c r="L239" s="47"/>
      <c r="M239" s="46"/>
      <c r="N239" s="46"/>
      <c r="O239" s="38"/>
      <c r="P239" s="38"/>
      <c r="Q239" s="12"/>
      <c r="R239" s="50"/>
      <c r="S239" s="50"/>
      <c r="T239" s="50"/>
      <c r="U239" s="53"/>
      <c r="V239" s="54"/>
      <c r="W239" s="56"/>
      <c r="X239" s="119"/>
      <c r="Y239" s="113"/>
      <c r="Z239" s="113"/>
      <c r="AH239" s="106"/>
      <c r="AI239" s="106"/>
    </row>
    <row r="240">
      <c r="A240" s="38"/>
      <c r="B240" s="38"/>
      <c r="C240" s="38"/>
      <c r="D240" s="38"/>
      <c r="E240" s="38"/>
      <c r="F240" s="41"/>
      <c r="G240" s="43"/>
      <c r="H240" s="45"/>
      <c r="I240" s="38"/>
      <c r="J240" s="38"/>
      <c r="K240" s="46"/>
      <c r="L240" s="47"/>
      <c r="M240" s="46"/>
      <c r="N240" s="46"/>
      <c r="O240" s="38"/>
      <c r="P240" s="38"/>
      <c r="Q240" s="12"/>
      <c r="R240" s="50"/>
      <c r="S240" s="50"/>
      <c r="T240" s="50"/>
      <c r="U240" s="53"/>
      <c r="V240" s="54"/>
      <c r="W240" s="56"/>
      <c r="X240" s="119"/>
      <c r="Y240" s="113"/>
      <c r="Z240" s="113"/>
      <c r="AH240" s="106"/>
      <c r="AI240" s="106"/>
    </row>
    <row r="241">
      <c r="A241" s="38"/>
      <c r="B241" s="38"/>
      <c r="C241" s="38"/>
      <c r="D241" s="38"/>
      <c r="E241" s="38"/>
      <c r="F241" s="41"/>
      <c r="G241" s="43"/>
      <c r="H241" s="45"/>
      <c r="I241" s="38"/>
      <c r="J241" s="38"/>
      <c r="K241" s="46"/>
      <c r="L241" s="47"/>
      <c r="M241" s="46"/>
      <c r="N241" s="46"/>
      <c r="O241" s="38"/>
      <c r="P241" s="38"/>
      <c r="Q241" s="12"/>
      <c r="R241" s="50"/>
      <c r="S241" s="50"/>
      <c r="T241" s="50"/>
      <c r="U241" s="53"/>
      <c r="V241" s="54"/>
      <c r="W241" s="56"/>
      <c r="X241" s="119"/>
      <c r="Y241" s="113"/>
      <c r="Z241" s="113"/>
      <c r="AH241" s="106"/>
      <c r="AI241" s="106"/>
    </row>
    <row r="242">
      <c r="A242" s="38"/>
      <c r="B242" s="38"/>
      <c r="C242" s="38"/>
      <c r="D242" s="38"/>
      <c r="E242" s="38"/>
      <c r="F242" s="41"/>
      <c r="G242" s="43"/>
      <c r="H242" s="45"/>
      <c r="I242" s="38"/>
      <c r="J242" s="38"/>
      <c r="K242" s="46"/>
      <c r="L242" s="47"/>
      <c r="M242" s="46"/>
      <c r="N242" s="46"/>
      <c r="O242" s="38"/>
      <c r="P242" s="38"/>
      <c r="Q242" s="12"/>
      <c r="R242" s="50"/>
      <c r="S242" s="50"/>
      <c r="T242" s="50"/>
      <c r="U242" s="53"/>
      <c r="V242" s="54"/>
      <c r="W242" s="56"/>
      <c r="X242" s="119"/>
      <c r="Y242" s="113"/>
      <c r="Z242" s="113"/>
      <c r="AH242" s="106"/>
      <c r="AI242" s="106"/>
    </row>
    <row r="243">
      <c r="A243" s="38"/>
      <c r="B243" s="38"/>
      <c r="C243" s="38"/>
      <c r="D243" s="38"/>
      <c r="E243" s="38"/>
      <c r="F243" s="41"/>
      <c r="G243" s="43"/>
      <c r="H243" s="45"/>
      <c r="I243" s="38"/>
      <c r="J243" s="38"/>
      <c r="K243" s="46"/>
      <c r="L243" s="47"/>
      <c r="M243" s="46"/>
      <c r="N243" s="46"/>
      <c r="O243" s="38"/>
      <c r="P243" s="38"/>
      <c r="Q243" s="12"/>
      <c r="R243" s="50"/>
      <c r="S243" s="50"/>
      <c r="T243" s="50"/>
      <c r="U243" s="53"/>
      <c r="V243" s="54"/>
      <c r="W243" s="56"/>
      <c r="X243" s="119"/>
      <c r="Y243" s="113"/>
      <c r="Z243" s="113"/>
      <c r="AH243" s="106"/>
      <c r="AI243" s="106"/>
    </row>
    <row r="244">
      <c r="A244" s="38"/>
      <c r="B244" s="38"/>
      <c r="C244" s="38"/>
      <c r="D244" s="38"/>
      <c r="E244" s="38"/>
      <c r="F244" s="41"/>
      <c r="G244" s="43"/>
      <c r="H244" s="45"/>
      <c r="I244" s="38"/>
      <c r="J244" s="38"/>
      <c r="K244" s="46"/>
      <c r="L244" s="47"/>
      <c r="M244" s="46"/>
      <c r="N244" s="46"/>
      <c r="O244" s="38"/>
      <c r="P244" s="38"/>
      <c r="Q244" s="12"/>
      <c r="R244" s="50"/>
      <c r="S244" s="50"/>
      <c r="T244" s="50"/>
      <c r="U244" s="53"/>
      <c r="V244" s="54"/>
      <c r="W244" s="56"/>
      <c r="X244" s="119"/>
      <c r="Y244" s="113"/>
      <c r="Z244" s="113"/>
      <c r="AH244" s="106"/>
      <c r="AI244" s="106"/>
    </row>
    <row r="245">
      <c r="A245" s="38"/>
      <c r="B245" s="38"/>
      <c r="C245" s="38"/>
      <c r="D245" s="38"/>
      <c r="E245" s="38"/>
      <c r="F245" s="41"/>
      <c r="G245" s="43"/>
      <c r="H245" s="45"/>
      <c r="I245" s="38"/>
      <c r="J245" s="38"/>
      <c r="K245" s="46"/>
      <c r="L245" s="47"/>
      <c r="M245" s="46"/>
      <c r="N245" s="46"/>
      <c r="O245" s="38"/>
      <c r="P245" s="38"/>
      <c r="Q245" s="12"/>
      <c r="R245" s="50"/>
      <c r="S245" s="50"/>
      <c r="T245" s="50"/>
      <c r="U245" s="53"/>
      <c r="V245" s="54"/>
      <c r="W245" s="56"/>
      <c r="X245" s="119"/>
      <c r="Y245" s="113"/>
      <c r="Z245" s="113"/>
      <c r="AH245" s="106"/>
      <c r="AI245" s="106"/>
    </row>
    <row r="246">
      <c r="A246" s="38"/>
      <c r="B246" s="38"/>
      <c r="C246" s="38"/>
      <c r="D246" s="38"/>
      <c r="E246" s="38"/>
      <c r="F246" s="41"/>
      <c r="G246" s="43"/>
      <c r="H246" s="45"/>
      <c r="I246" s="38"/>
      <c r="J246" s="38"/>
      <c r="K246" s="46"/>
      <c r="L246" s="47"/>
      <c r="M246" s="46"/>
      <c r="N246" s="46"/>
      <c r="O246" s="38"/>
      <c r="P246" s="38"/>
      <c r="Q246" s="12"/>
      <c r="R246" s="50"/>
      <c r="S246" s="50"/>
      <c r="T246" s="50"/>
      <c r="U246" s="53"/>
      <c r="V246" s="54"/>
      <c r="W246" s="56"/>
      <c r="X246" s="119"/>
      <c r="Y246" s="113"/>
      <c r="Z246" s="113"/>
      <c r="AH246" s="106"/>
      <c r="AI246" s="106"/>
    </row>
    <row r="247">
      <c r="A247" s="38"/>
      <c r="B247" s="38"/>
      <c r="C247" s="38"/>
      <c r="D247" s="38"/>
      <c r="E247" s="38"/>
      <c r="F247" s="41"/>
      <c r="G247" s="43"/>
      <c r="H247" s="45"/>
      <c r="I247" s="38"/>
      <c r="J247" s="38"/>
      <c r="K247" s="46"/>
      <c r="L247" s="47"/>
      <c r="M247" s="46"/>
      <c r="N247" s="46"/>
      <c r="O247" s="38"/>
      <c r="P247" s="38"/>
      <c r="Q247" s="12"/>
      <c r="R247" s="50"/>
      <c r="S247" s="50"/>
      <c r="T247" s="50"/>
      <c r="U247" s="53"/>
      <c r="V247" s="54"/>
      <c r="W247" s="56"/>
      <c r="X247" s="119"/>
      <c r="Y247" s="113"/>
      <c r="Z247" s="113"/>
      <c r="AH247" s="106"/>
      <c r="AI247" s="106"/>
    </row>
    <row r="248">
      <c r="A248" s="38"/>
      <c r="B248" s="38"/>
      <c r="C248" s="38"/>
      <c r="D248" s="38"/>
      <c r="E248" s="38"/>
      <c r="F248" s="41"/>
      <c r="G248" s="43"/>
      <c r="H248" s="45"/>
      <c r="I248" s="38"/>
      <c r="J248" s="38"/>
      <c r="K248" s="46"/>
      <c r="L248" s="47"/>
      <c r="M248" s="46"/>
      <c r="N248" s="46"/>
      <c r="O248" s="38"/>
      <c r="P248" s="38"/>
      <c r="Q248" s="12"/>
      <c r="R248" s="50"/>
      <c r="S248" s="50"/>
      <c r="T248" s="50"/>
      <c r="U248" s="53"/>
      <c r="V248" s="54"/>
      <c r="W248" s="56"/>
      <c r="X248" s="119"/>
      <c r="Y248" s="113"/>
      <c r="Z248" s="113"/>
      <c r="AH248" s="106"/>
      <c r="AI248" s="106"/>
    </row>
    <row r="249">
      <c r="A249" s="38"/>
      <c r="B249" s="38"/>
      <c r="C249" s="38"/>
      <c r="D249" s="38"/>
      <c r="E249" s="38"/>
      <c r="F249" s="41"/>
      <c r="G249" s="43"/>
      <c r="H249" s="45"/>
      <c r="I249" s="38"/>
      <c r="J249" s="38"/>
      <c r="K249" s="46"/>
      <c r="L249" s="47"/>
      <c r="M249" s="46"/>
      <c r="N249" s="46"/>
      <c r="O249" s="38"/>
      <c r="P249" s="38"/>
      <c r="Q249" s="12"/>
      <c r="R249" s="50"/>
      <c r="S249" s="50"/>
      <c r="T249" s="50"/>
      <c r="U249" s="53"/>
      <c r="V249" s="54"/>
      <c r="W249" s="56"/>
      <c r="X249" s="119"/>
      <c r="Y249" s="113"/>
      <c r="Z249" s="113"/>
      <c r="AH249" s="106"/>
      <c r="AI249" s="106"/>
    </row>
    <row r="250">
      <c r="A250" s="38"/>
      <c r="B250" s="38"/>
      <c r="C250" s="38"/>
      <c r="D250" s="38"/>
      <c r="E250" s="38"/>
      <c r="F250" s="41"/>
      <c r="G250" s="43"/>
      <c r="H250" s="45"/>
      <c r="I250" s="38"/>
      <c r="J250" s="38"/>
      <c r="K250" s="46"/>
      <c r="L250" s="47"/>
      <c r="M250" s="46"/>
      <c r="N250" s="46"/>
      <c r="O250" s="38"/>
      <c r="P250" s="38"/>
      <c r="Q250" s="12"/>
      <c r="R250" s="50"/>
      <c r="S250" s="50"/>
      <c r="T250" s="50"/>
      <c r="U250" s="53"/>
      <c r="V250" s="54"/>
      <c r="W250" s="56"/>
      <c r="X250" s="119"/>
      <c r="Y250" s="113"/>
      <c r="Z250" s="113"/>
      <c r="AH250" s="106"/>
      <c r="AI250" s="106"/>
    </row>
    <row r="251">
      <c r="A251" s="38"/>
      <c r="B251" s="38"/>
      <c r="C251" s="38"/>
      <c r="D251" s="38"/>
      <c r="E251" s="38"/>
      <c r="F251" s="41"/>
      <c r="G251" s="43"/>
      <c r="H251" s="45"/>
      <c r="I251" s="38"/>
      <c r="J251" s="38"/>
      <c r="K251" s="46"/>
      <c r="L251" s="47"/>
      <c r="M251" s="46"/>
      <c r="N251" s="46"/>
      <c r="O251" s="38"/>
      <c r="P251" s="38"/>
      <c r="Q251" s="12"/>
      <c r="R251" s="50"/>
      <c r="S251" s="50"/>
      <c r="T251" s="50"/>
      <c r="U251" s="53"/>
      <c r="V251" s="54"/>
      <c r="W251" s="56"/>
      <c r="X251" s="119"/>
      <c r="Y251" s="113"/>
      <c r="Z251" s="113"/>
      <c r="AH251" s="106"/>
      <c r="AI251" s="106"/>
    </row>
    <row r="252">
      <c r="A252" s="38"/>
      <c r="B252" s="38"/>
      <c r="C252" s="38"/>
      <c r="D252" s="38"/>
      <c r="E252" s="38"/>
      <c r="F252" s="41"/>
      <c r="G252" s="43"/>
      <c r="H252" s="45"/>
      <c r="I252" s="38"/>
      <c r="J252" s="38"/>
      <c r="K252" s="46"/>
      <c r="L252" s="47"/>
      <c r="M252" s="46"/>
      <c r="N252" s="46"/>
      <c r="O252" s="38"/>
      <c r="P252" s="38"/>
      <c r="Q252" s="12"/>
      <c r="R252" s="50"/>
      <c r="S252" s="50"/>
      <c r="T252" s="50"/>
      <c r="U252" s="53"/>
      <c r="V252" s="54"/>
      <c r="W252" s="56"/>
      <c r="X252" s="119"/>
      <c r="Y252" s="113"/>
      <c r="Z252" s="113"/>
      <c r="AH252" s="106"/>
      <c r="AI252" s="106"/>
    </row>
    <row r="253">
      <c r="A253" s="38"/>
      <c r="B253" s="38"/>
      <c r="C253" s="38"/>
      <c r="D253" s="38"/>
      <c r="E253" s="38"/>
      <c r="F253" s="41"/>
      <c r="G253" s="43"/>
      <c r="H253" s="45"/>
      <c r="I253" s="38"/>
      <c r="J253" s="38"/>
      <c r="K253" s="46"/>
      <c r="L253" s="47"/>
      <c r="M253" s="46"/>
      <c r="N253" s="46"/>
      <c r="O253" s="38"/>
      <c r="P253" s="38"/>
      <c r="Q253" s="12"/>
      <c r="R253" s="50"/>
      <c r="S253" s="50"/>
      <c r="T253" s="50"/>
      <c r="U253" s="53"/>
      <c r="V253" s="54"/>
      <c r="W253" s="56"/>
      <c r="X253" s="119"/>
      <c r="Y253" s="113"/>
      <c r="Z253" s="113"/>
      <c r="AH253" s="106"/>
      <c r="AI253" s="106"/>
    </row>
    <row r="254">
      <c r="A254" s="38"/>
      <c r="B254" s="38"/>
      <c r="C254" s="38"/>
      <c r="D254" s="38"/>
      <c r="E254" s="38"/>
      <c r="F254" s="41"/>
      <c r="G254" s="43"/>
      <c r="H254" s="45"/>
      <c r="I254" s="38"/>
      <c r="J254" s="38"/>
      <c r="K254" s="46"/>
      <c r="L254" s="47"/>
      <c r="M254" s="46"/>
      <c r="N254" s="46"/>
      <c r="O254" s="38"/>
      <c r="P254" s="38"/>
      <c r="Q254" s="12"/>
      <c r="R254" s="50"/>
      <c r="S254" s="50"/>
      <c r="T254" s="50"/>
      <c r="U254" s="53"/>
      <c r="V254" s="54"/>
      <c r="W254" s="56"/>
      <c r="X254" s="119"/>
      <c r="Y254" s="113"/>
      <c r="Z254" s="113"/>
      <c r="AH254" s="106"/>
      <c r="AI254" s="106"/>
    </row>
    <row r="255">
      <c r="A255" s="38"/>
      <c r="B255" s="38"/>
      <c r="C255" s="38"/>
      <c r="D255" s="38"/>
      <c r="E255" s="38"/>
      <c r="F255" s="41"/>
      <c r="G255" s="43"/>
      <c r="H255" s="45"/>
      <c r="I255" s="38"/>
      <c r="J255" s="38"/>
      <c r="K255" s="46"/>
      <c r="L255" s="47"/>
      <c r="M255" s="46"/>
      <c r="N255" s="46"/>
      <c r="O255" s="38"/>
      <c r="P255" s="38"/>
      <c r="Q255" s="12"/>
      <c r="R255" s="50"/>
      <c r="S255" s="50"/>
      <c r="T255" s="50"/>
      <c r="U255" s="53"/>
      <c r="V255" s="54"/>
      <c r="W255" s="56"/>
      <c r="X255" s="119"/>
      <c r="Y255" s="113"/>
      <c r="Z255" s="113"/>
      <c r="AH255" s="106"/>
      <c r="AI255" s="106"/>
    </row>
    <row r="256">
      <c r="A256" s="38"/>
      <c r="B256" s="38"/>
      <c r="C256" s="38"/>
      <c r="D256" s="38"/>
      <c r="E256" s="38"/>
      <c r="F256" s="41"/>
      <c r="G256" s="43"/>
      <c r="H256" s="45"/>
      <c r="I256" s="38"/>
      <c r="J256" s="38"/>
      <c r="K256" s="46"/>
      <c r="L256" s="47"/>
      <c r="M256" s="46"/>
      <c r="N256" s="46"/>
      <c r="O256" s="38"/>
      <c r="P256" s="38"/>
      <c r="Q256" s="12"/>
      <c r="R256" s="50"/>
      <c r="S256" s="50"/>
      <c r="T256" s="50"/>
      <c r="U256" s="53"/>
      <c r="V256" s="54"/>
      <c r="W256" s="56"/>
      <c r="X256" s="119"/>
      <c r="Y256" s="113"/>
      <c r="Z256" s="113"/>
      <c r="AH256" s="106"/>
      <c r="AI256" s="106"/>
    </row>
    <row r="257">
      <c r="A257" s="38"/>
      <c r="B257" s="38"/>
      <c r="C257" s="38"/>
      <c r="D257" s="38"/>
      <c r="E257" s="38"/>
      <c r="F257" s="41"/>
      <c r="G257" s="43"/>
      <c r="H257" s="45"/>
      <c r="I257" s="38"/>
      <c r="J257" s="38"/>
      <c r="K257" s="46"/>
      <c r="L257" s="47"/>
      <c r="M257" s="46"/>
      <c r="N257" s="46"/>
      <c r="O257" s="38"/>
      <c r="P257" s="38"/>
      <c r="Q257" s="12"/>
      <c r="R257" s="50"/>
      <c r="S257" s="50"/>
      <c r="T257" s="50"/>
      <c r="U257" s="53"/>
      <c r="V257" s="54"/>
      <c r="W257" s="56"/>
      <c r="X257" s="119"/>
      <c r="Y257" s="113"/>
      <c r="Z257" s="113"/>
      <c r="AH257" s="106"/>
      <c r="AI257" s="106"/>
    </row>
    <row r="258">
      <c r="A258" s="38"/>
      <c r="B258" s="38"/>
      <c r="C258" s="38"/>
      <c r="D258" s="38"/>
      <c r="E258" s="38"/>
      <c r="F258" s="41"/>
      <c r="G258" s="43"/>
      <c r="H258" s="45"/>
      <c r="I258" s="38"/>
      <c r="J258" s="38"/>
      <c r="K258" s="46"/>
      <c r="L258" s="47"/>
      <c r="M258" s="46"/>
      <c r="N258" s="46"/>
      <c r="O258" s="38"/>
      <c r="P258" s="38"/>
      <c r="Q258" s="12"/>
      <c r="R258" s="50"/>
      <c r="S258" s="50"/>
      <c r="T258" s="50"/>
      <c r="U258" s="53"/>
      <c r="V258" s="54"/>
      <c r="W258" s="56"/>
      <c r="X258" s="119"/>
      <c r="Y258" s="113"/>
      <c r="Z258" s="113"/>
      <c r="AH258" s="106"/>
      <c r="AI258" s="106"/>
    </row>
    <row r="259">
      <c r="A259" s="38"/>
      <c r="B259" s="38"/>
      <c r="C259" s="38"/>
      <c r="D259" s="38"/>
      <c r="E259" s="38"/>
      <c r="F259" s="41"/>
      <c r="G259" s="43"/>
      <c r="H259" s="45"/>
      <c r="I259" s="38"/>
      <c r="J259" s="38"/>
      <c r="K259" s="46"/>
      <c r="L259" s="47"/>
      <c r="M259" s="46"/>
      <c r="N259" s="46"/>
      <c r="O259" s="38"/>
      <c r="P259" s="38"/>
      <c r="Q259" s="12"/>
      <c r="R259" s="50"/>
      <c r="S259" s="50"/>
      <c r="T259" s="50"/>
      <c r="U259" s="53"/>
      <c r="V259" s="54"/>
      <c r="W259" s="56"/>
      <c r="X259" s="119"/>
      <c r="Y259" s="113"/>
      <c r="Z259" s="113"/>
      <c r="AH259" s="106"/>
      <c r="AI259" s="106"/>
    </row>
    <row r="260">
      <c r="A260" s="38"/>
      <c r="B260" s="38"/>
      <c r="C260" s="38"/>
      <c r="D260" s="38"/>
      <c r="E260" s="38"/>
      <c r="F260" s="41"/>
      <c r="G260" s="43"/>
      <c r="H260" s="45"/>
      <c r="I260" s="38"/>
      <c r="J260" s="38"/>
      <c r="K260" s="46"/>
      <c r="L260" s="47"/>
      <c r="M260" s="46"/>
      <c r="N260" s="46"/>
      <c r="O260" s="38"/>
      <c r="P260" s="38"/>
      <c r="Q260" s="12"/>
      <c r="R260" s="50"/>
      <c r="S260" s="50"/>
      <c r="T260" s="50"/>
      <c r="U260" s="53"/>
      <c r="V260" s="54"/>
      <c r="W260" s="56"/>
      <c r="X260" s="119"/>
      <c r="Y260" s="113"/>
      <c r="Z260" s="113"/>
      <c r="AH260" s="106"/>
      <c r="AI260" s="106"/>
    </row>
    <row r="261">
      <c r="A261" s="38"/>
      <c r="B261" s="38"/>
      <c r="C261" s="38"/>
      <c r="D261" s="38"/>
      <c r="E261" s="38"/>
      <c r="F261" s="41"/>
      <c r="G261" s="43"/>
      <c r="H261" s="45"/>
      <c r="I261" s="38"/>
      <c r="J261" s="38"/>
      <c r="K261" s="46"/>
      <c r="L261" s="47"/>
      <c r="M261" s="46"/>
      <c r="N261" s="46"/>
      <c r="O261" s="38"/>
      <c r="P261" s="38"/>
      <c r="Q261" s="12"/>
      <c r="R261" s="50"/>
      <c r="S261" s="50"/>
      <c r="T261" s="50"/>
      <c r="U261" s="53"/>
      <c r="V261" s="54"/>
      <c r="W261" s="56"/>
      <c r="X261" s="119"/>
      <c r="Y261" s="113"/>
      <c r="Z261" s="113"/>
      <c r="AH261" s="106"/>
      <c r="AI261" s="106"/>
    </row>
    <row r="262">
      <c r="A262" s="38"/>
      <c r="B262" s="38"/>
      <c r="C262" s="38"/>
      <c r="D262" s="38"/>
      <c r="E262" s="38"/>
      <c r="F262" s="41"/>
      <c r="G262" s="43"/>
      <c r="H262" s="45"/>
      <c r="I262" s="38"/>
      <c r="J262" s="38"/>
      <c r="K262" s="46"/>
      <c r="L262" s="47"/>
      <c r="M262" s="46"/>
      <c r="N262" s="46"/>
      <c r="O262" s="38"/>
      <c r="P262" s="38"/>
      <c r="Q262" s="12"/>
      <c r="R262" s="50"/>
      <c r="S262" s="50"/>
      <c r="T262" s="50"/>
      <c r="U262" s="53"/>
      <c r="V262" s="54"/>
      <c r="W262" s="56"/>
      <c r="X262" s="119"/>
      <c r="Y262" s="113"/>
      <c r="Z262" s="113"/>
      <c r="AH262" s="106"/>
      <c r="AI262" s="106"/>
    </row>
    <row r="263">
      <c r="A263" s="38"/>
      <c r="B263" s="38"/>
      <c r="C263" s="38"/>
      <c r="D263" s="38"/>
      <c r="E263" s="38"/>
      <c r="F263" s="41"/>
      <c r="G263" s="43"/>
      <c r="H263" s="45"/>
      <c r="I263" s="38"/>
      <c r="J263" s="38"/>
      <c r="K263" s="46"/>
      <c r="L263" s="47"/>
      <c r="M263" s="46"/>
      <c r="N263" s="46"/>
      <c r="O263" s="38"/>
      <c r="P263" s="38"/>
      <c r="Q263" s="12"/>
      <c r="R263" s="50"/>
      <c r="S263" s="50"/>
      <c r="T263" s="50"/>
      <c r="U263" s="53"/>
      <c r="V263" s="54"/>
      <c r="W263" s="56"/>
      <c r="X263" s="119"/>
      <c r="Y263" s="113"/>
      <c r="Z263" s="113"/>
      <c r="AH263" s="106"/>
      <c r="AI263" s="106"/>
    </row>
    <row r="264">
      <c r="A264" s="38"/>
      <c r="B264" s="38"/>
      <c r="C264" s="38"/>
      <c r="D264" s="38"/>
      <c r="E264" s="38"/>
      <c r="F264" s="41"/>
      <c r="G264" s="43"/>
      <c r="H264" s="45"/>
      <c r="I264" s="38"/>
      <c r="J264" s="38"/>
      <c r="K264" s="46"/>
      <c r="L264" s="47"/>
      <c r="M264" s="46"/>
      <c r="N264" s="46"/>
      <c r="O264" s="38"/>
      <c r="P264" s="38"/>
      <c r="Q264" s="12"/>
      <c r="R264" s="50"/>
      <c r="S264" s="50"/>
      <c r="T264" s="50"/>
      <c r="U264" s="53"/>
      <c r="V264" s="54"/>
      <c r="W264" s="56"/>
      <c r="X264" s="119"/>
      <c r="Y264" s="113"/>
      <c r="Z264" s="113"/>
      <c r="AH264" s="106"/>
      <c r="AI264" s="106"/>
    </row>
    <row r="265">
      <c r="A265" s="38"/>
      <c r="B265" s="38"/>
      <c r="C265" s="38"/>
      <c r="D265" s="38"/>
      <c r="E265" s="38"/>
      <c r="F265" s="41"/>
      <c r="G265" s="43"/>
      <c r="H265" s="45"/>
      <c r="I265" s="38"/>
      <c r="J265" s="38"/>
      <c r="K265" s="46"/>
      <c r="L265" s="47"/>
      <c r="M265" s="46"/>
      <c r="N265" s="46"/>
      <c r="O265" s="38"/>
      <c r="P265" s="38"/>
      <c r="Q265" s="12"/>
      <c r="R265" s="50"/>
      <c r="S265" s="50"/>
      <c r="T265" s="50"/>
      <c r="U265" s="53"/>
      <c r="V265" s="54"/>
      <c r="W265" s="56"/>
      <c r="X265" s="119"/>
      <c r="Y265" s="113"/>
      <c r="Z265" s="113"/>
      <c r="AH265" s="106"/>
      <c r="AI265" s="106"/>
    </row>
    <row r="266">
      <c r="A266" s="38"/>
      <c r="B266" s="38"/>
      <c r="C266" s="38"/>
      <c r="D266" s="38"/>
      <c r="E266" s="38"/>
      <c r="F266" s="41"/>
      <c r="G266" s="43"/>
      <c r="H266" s="45"/>
      <c r="I266" s="38"/>
      <c r="J266" s="38"/>
      <c r="K266" s="46"/>
      <c r="L266" s="47"/>
      <c r="M266" s="46"/>
      <c r="N266" s="46"/>
      <c r="O266" s="38"/>
      <c r="P266" s="38"/>
      <c r="Q266" s="12"/>
      <c r="R266" s="50"/>
      <c r="S266" s="50"/>
      <c r="T266" s="50"/>
      <c r="U266" s="53"/>
      <c r="V266" s="54"/>
      <c r="W266" s="56"/>
      <c r="X266" s="119"/>
      <c r="Y266" s="113"/>
      <c r="Z266" s="113"/>
      <c r="AH266" s="106"/>
      <c r="AI266" s="106"/>
    </row>
    <row r="267">
      <c r="A267" s="38"/>
      <c r="B267" s="38"/>
      <c r="C267" s="38"/>
      <c r="D267" s="38"/>
      <c r="E267" s="38"/>
      <c r="F267" s="41"/>
      <c r="G267" s="43"/>
      <c r="H267" s="45"/>
      <c r="I267" s="38"/>
      <c r="J267" s="38"/>
      <c r="K267" s="46"/>
      <c r="L267" s="47"/>
      <c r="M267" s="46"/>
      <c r="N267" s="46"/>
      <c r="O267" s="38"/>
      <c r="P267" s="38"/>
      <c r="Q267" s="12"/>
      <c r="R267" s="50"/>
      <c r="S267" s="50"/>
      <c r="T267" s="50"/>
      <c r="U267" s="53"/>
      <c r="V267" s="54"/>
      <c r="W267" s="56"/>
      <c r="X267" s="119"/>
      <c r="Y267" s="113"/>
      <c r="Z267" s="113"/>
      <c r="AH267" s="106"/>
      <c r="AI267" s="106"/>
    </row>
    <row r="268">
      <c r="A268" s="38"/>
      <c r="B268" s="38"/>
      <c r="C268" s="38"/>
      <c r="D268" s="38"/>
      <c r="E268" s="38"/>
      <c r="F268" s="41"/>
      <c r="G268" s="43"/>
      <c r="H268" s="45"/>
      <c r="I268" s="38"/>
      <c r="J268" s="38"/>
      <c r="K268" s="46"/>
      <c r="L268" s="47"/>
      <c r="M268" s="46"/>
      <c r="N268" s="46"/>
      <c r="O268" s="38"/>
      <c r="P268" s="38"/>
      <c r="Q268" s="12"/>
      <c r="R268" s="50"/>
      <c r="S268" s="50"/>
      <c r="T268" s="50"/>
      <c r="U268" s="53"/>
      <c r="V268" s="54"/>
      <c r="W268" s="56"/>
      <c r="X268" s="119"/>
      <c r="Y268" s="113"/>
      <c r="Z268" s="113"/>
      <c r="AH268" s="106"/>
      <c r="AI268" s="106"/>
    </row>
    <row r="269">
      <c r="A269" s="38"/>
      <c r="B269" s="38"/>
      <c r="C269" s="38"/>
      <c r="D269" s="38"/>
      <c r="E269" s="38"/>
      <c r="F269" s="41"/>
      <c r="G269" s="43"/>
      <c r="H269" s="45"/>
      <c r="I269" s="38"/>
      <c r="J269" s="38"/>
      <c r="K269" s="46"/>
      <c r="L269" s="47"/>
      <c r="M269" s="46"/>
      <c r="N269" s="46"/>
      <c r="O269" s="38"/>
      <c r="P269" s="38"/>
      <c r="Q269" s="12"/>
      <c r="R269" s="50"/>
      <c r="S269" s="50"/>
      <c r="T269" s="50"/>
      <c r="U269" s="53"/>
      <c r="V269" s="54"/>
      <c r="W269" s="56"/>
      <c r="X269" s="119"/>
      <c r="Y269" s="113"/>
      <c r="Z269" s="113"/>
      <c r="AH269" s="106"/>
      <c r="AI269" s="106"/>
    </row>
    <row r="270">
      <c r="A270" s="38"/>
      <c r="B270" s="38"/>
      <c r="C270" s="38"/>
      <c r="D270" s="38"/>
      <c r="E270" s="38"/>
      <c r="F270" s="41"/>
      <c r="G270" s="43"/>
      <c r="H270" s="45"/>
      <c r="I270" s="38"/>
      <c r="J270" s="38"/>
      <c r="K270" s="46"/>
      <c r="L270" s="47"/>
      <c r="M270" s="46"/>
      <c r="N270" s="46"/>
      <c r="O270" s="38"/>
      <c r="P270" s="38"/>
      <c r="Q270" s="12"/>
      <c r="R270" s="50"/>
      <c r="S270" s="50"/>
      <c r="T270" s="50"/>
      <c r="U270" s="53"/>
      <c r="V270" s="54"/>
      <c r="W270" s="56"/>
      <c r="X270" s="119"/>
      <c r="Y270" s="113"/>
      <c r="Z270" s="113"/>
      <c r="AH270" s="106"/>
      <c r="AI270" s="106"/>
    </row>
    <row r="271">
      <c r="A271" s="38"/>
      <c r="B271" s="38"/>
      <c r="C271" s="38"/>
      <c r="D271" s="38"/>
      <c r="E271" s="38"/>
      <c r="F271" s="41"/>
      <c r="G271" s="43"/>
      <c r="H271" s="45"/>
      <c r="I271" s="38"/>
      <c r="J271" s="38"/>
      <c r="K271" s="46"/>
      <c r="L271" s="47"/>
      <c r="M271" s="46"/>
      <c r="N271" s="46"/>
      <c r="O271" s="38"/>
      <c r="P271" s="38"/>
      <c r="Q271" s="12"/>
      <c r="R271" s="50"/>
      <c r="S271" s="50"/>
      <c r="T271" s="50"/>
      <c r="U271" s="53"/>
      <c r="V271" s="54"/>
      <c r="W271" s="56"/>
      <c r="X271" s="119"/>
      <c r="Y271" s="113"/>
      <c r="Z271" s="113"/>
      <c r="AH271" s="106"/>
      <c r="AI271" s="106"/>
    </row>
    <row r="272">
      <c r="A272" s="38"/>
      <c r="B272" s="38"/>
      <c r="C272" s="38"/>
      <c r="D272" s="38"/>
      <c r="E272" s="38"/>
      <c r="F272" s="41"/>
      <c r="G272" s="43"/>
      <c r="H272" s="45"/>
      <c r="I272" s="38"/>
      <c r="J272" s="38"/>
      <c r="K272" s="46"/>
      <c r="L272" s="47"/>
      <c r="M272" s="46"/>
      <c r="N272" s="46"/>
      <c r="O272" s="38"/>
      <c r="P272" s="38"/>
      <c r="Q272" s="12"/>
      <c r="R272" s="50"/>
      <c r="S272" s="50"/>
      <c r="T272" s="50"/>
      <c r="U272" s="53"/>
      <c r="V272" s="54"/>
      <c r="W272" s="56"/>
      <c r="X272" s="119"/>
      <c r="Y272" s="113"/>
      <c r="Z272" s="113"/>
      <c r="AH272" s="106"/>
      <c r="AI272" s="106"/>
    </row>
    <row r="273">
      <c r="A273" s="38"/>
      <c r="B273" s="38"/>
      <c r="C273" s="38"/>
      <c r="D273" s="38"/>
      <c r="E273" s="38"/>
      <c r="F273" s="41"/>
      <c r="G273" s="43"/>
      <c r="H273" s="45"/>
      <c r="I273" s="38"/>
      <c r="J273" s="38"/>
      <c r="K273" s="46"/>
      <c r="L273" s="47"/>
      <c r="M273" s="46"/>
      <c r="N273" s="46"/>
      <c r="O273" s="38"/>
      <c r="P273" s="38"/>
      <c r="Q273" s="12"/>
      <c r="R273" s="50"/>
      <c r="S273" s="50"/>
      <c r="T273" s="50"/>
      <c r="U273" s="53"/>
      <c r="V273" s="54"/>
      <c r="W273" s="56"/>
      <c r="X273" s="119"/>
      <c r="Y273" s="113"/>
      <c r="Z273" s="113"/>
      <c r="AH273" s="106"/>
      <c r="AI273" s="106"/>
    </row>
    <row r="274">
      <c r="A274" s="38"/>
      <c r="B274" s="38"/>
      <c r="C274" s="38"/>
      <c r="D274" s="38"/>
      <c r="E274" s="38"/>
      <c r="F274" s="41"/>
      <c r="G274" s="43"/>
      <c r="H274" s="45"/>
      <c r="I274" s="38"/>
      <c r="J274" s="38"/>
      <c r="K274" s="46"/>
      <c r="L274" s="47"/>
      <c r="M274" s="46"/>
      <c r="N274" s="46"/>
      <c r="O274" s="38"/>
      <c r="P274" s="38"/>
      <c r="Q274" s="12"/>
      <c r="R274" s="50"/>
      <c r="S274" s="50"/>
      <c r="T274" s="50"/>
      <c r="U274" s="53"/>
      <c r="V274" s="54"/>
      <c r="W274" s="56"/>
      <c r="X274" s="119"/>
      <c r="Y274" s="113"/>
      <c r="Z274" s="113"/>
      <c r="AH274" s="106"/>
      <c r="AI274" s="106"/>
    </row>
    <row r="275">
      <c r="A275" s="38"/>
      <c r="B275" s="38"/>
      <c r="C275" s="38"/>
      <c r="D275" s="38"/>
      <c r="E275" s="38"/>
      <c r="F275" s="41"/>
      <c r="G275" s="43"/>
      <c r="H275" s="45"/>
      <c r="I275" s="38"/>
      <c r="J275" s="38"/>
      <c r="K275" s="46"/>
      <c r="L275" s="47"/>
      <c r="M275" s="46"/>
      <c r="N275" s="46"/>
      <c r="O275" s="38"/>
      <c r="P275" s="38"/>
      <c r="Q275" s="12"/>
      <c r="R275" s="50"/>
      <c r="S275" s="50"/>
      <c r="T275" s="50"/>
      <c r="U275" s="53"/>
      <c r="V275" s="54"/>
      <c r="W275" s="56"/>
      <c r="X275" s="119"/>
      <c r="Y275" s="113"/>
      <c r="Z275" s="113"/>
      <c r="AH275" s="106"/>
      <c r="AI275" s="106"/>
    </row>
    <row r="276">
      <c r="A276" s="38"/>
      <c r="B276" s="38"/>
      <c r="C276" s="38"/>
      <c r="D276" s="38"/>
      <c r="E276" s="38"/>
      <c r="F276" s="41"/>
      <c r="G276" s="43"/>
      <c r="H276" s="45"/>
      <c r="I276" s="38"/>
      <c r="J276" s="38"/>
      <c r="K276" s="46"/>
      <c r="L276" s="47"/>
      <c r="M276" s="46"/>
      <c r="N276" s="46"/>
      <c r="O276" s="38"/>
      <c r="P276" s="38"/>
      <c r="Q276" s="12"/>
      <c r="R276" s="50"/>
      <c r="S276" s="50"/>
      <c r="T276" s="50"/>
      <c r="U276" s="53"/>
      <c r="V276" s="54"/>
      <c r="W276" s="56"/>
      <c r="X276" s="119"/>
      <c r="Y276" s="113"/>
      <c r="Z276" s="113"/>
      <c r="AH276" s="106"/>
      <c r="AI276" s="106"/>
    </row>
    <row r="277">
      <c r="A277" s="38"/>
      <c r="B277" s="38"/>
      <c r="C277" s="38"/>
      <c r="D277" s="38"/>
      <c r="E277" s="38"/>
      <c r="F277" s="41"/>
      <c r="G277" s="43"/>
      <c r="H277" s="45"/>
      <c r="I277" s="38"/>
      <c r="J277" s="38"/>
      <c r="K277" s="46"/>
      <c r="L277" s="47"/>
      <c r="M277" s="46"/>
      <c r="N277" s="46"/>
      <c r="O277" s="38"/>
      <c r="P277" s="38"/>
      <c r="Q277" s="12"/>
      <c r="R277" s="50"/>
      <c r="S277" s="50"/>
      <c r="T277" s="50"/>
      <c r="U277" s="53"/>
      <c r="V277" s="54"/>
      <c r="W277" s="56"/>
      <c r="X277" s="119"/>
      <c r="Y277" s="113"/>
      <c r="Z277" s="113"/>
      <c r="AH277" s="106"/>
      <c r="AI277" s="106"/>
    </row>
    <row r="278">
      <c r="A278" s="38"/>
      <c r="B278" s="38"/>
      <c r="C278" s="38"/>
      <c r="D278" s="38"/>
      <c r="E278" s="38"/>
      <c r="F278" s="41"/>
      <c r="G278" s="43"/>
      <c r="H278" s="45"/>
      <c r="I278" s="38"/>
      <c r="J278" s="38"/>
      <c r="K278" s="46"/>
      <c r="L278" s="47"/>
      <c r="M278" s="46"/>
      <c r="N278" s="46"/>
      <c r="O278" s="38"/>
      <c r="P278" s="38"/>
      <c r="Q278" s="12"/>
      <c r="R278" s="50"/>
      <c r="S278" s="50"/>
      <c r="T278" s="50"/>
      <c r="U278" s="53"/>
      <c r="V278" s="54"/>
      <c r="W278" s="56"/>
      <c r="X278" s="119"/>
      <c r="Y278" s="113"/>
      <c r="Z278" s="113"/>
      <c r="AH278" s="106"/>
      <c r="AI278" s="106"/>
    </row>
    <row r="279">
      <c r="A279" s="38"/>
      <c r="B279" s="38"/>
      <c r="C279" s="38"/>
      <c r="D279" s="38"/>
      <c r="E279" s="38"/>
      <c r="F279" s="41"/>
      <c r="G279" s="43"/>
      <c r="H279" s="45"/>
      <c r="I279" s="38"/>
      <c r="J279" s="38"/>
      <c r="K279" s="46"/>
      <c r="L279" s="47"/>
      <c r="M279" s="46"/>
      <c r="N279" s="46"/>
      <c r="O279" s="38"/>
      <c r="P279" s="38"/>
      <c r="Q279" s="12"/>
      <c r="R279" s="50"/>
      <c r="S279" s="50"/>
      <c r="T279" s="50"/>
      <c r="U279" s="53"/>
      <c r="V279" s="54"/>
      <c r="W279" s="56"/>
      <c r="X279" s="119"/>
      <c r="Y279" s="113"/>
      <c r="Z279" s="113"/>
      <c r="AH279" s="106"/>
      <c r="AI279" s="106"/>
    </row>
    <row r="280">
      <c r="A280" s="38"/>
      <c r="B280" s="38"/>
      <c r="C280" s="38"/>
      <c r="D280" s="38"/>
      <c r="E280" s="38"/>
      <c r="F280" s="41"/>
      <c r="G280" s="43"/>
      <c r="H280" s="45"/>
      <c r="I280" s="38"/>
      <c r="J280" s="38"/>
      <c r="K280" s="46"/>
      <c r="L280" s="47"/>
      <c r="M280" s="46"/>
      <c r="N280" s="46"/>
      <c r="O280" s="38"/>
      <c r="P280" s="38"/>
      <c r="Q280" s="12"/>
      <c r="R280" s="50"/>
      <c r="S280" s="50"/>
      <c r="T280" s="50"/>
      <c r="U280" s="53"/>
      <c r="V280" s="54"/>
      <c r="W280" s="56"/>
      <c r="X280" s="119"/>
      <c r="Y280" s="113"/>
      <c r="Z280" s="113"/>
      <c r="AH280" s="106"/>
      <c r="AI280" s="106"/>
    </row>
    <row r="281">
      <c r="A281" s="38"/>
      <c r="B281" s="38"/>
      <c r="C281" s="38"/>
      <c r="D281" s="38"/>
      <c r="E281" s="38"/>
      <c r="F281" s="41"/>
      <c r="G281" s="43"/>
      <c r="H281" s="45"/>
      <c r="I281" s="38"/>
      <c r="J281" s="38"/>
      <c r="K281" s="46"/>
      <c r="L281" s="47"/>
      <c r="M281" s="46"/>
      <c r="N281" s="46"/>
      <c r="O281" s="38"/>
      <c r="P281" s="38"/>
      <c r="Q281" s="12"/>
      <c r="R281" s="50"/>
      <c r="S281" s="50"/>
      <c r="T281" s="50"/>
      <c r="U281" s="53"/>
      <c r="V281" s="54"/>
      <c r="W281" s="56"/>
      <c r="X281" s="119"/>
      <c r="Y281" s="113"/>
      <c r="Z281" s="113"/>
      <c r="AH281" s="106"/>
      <c r="AI281" s="106"/>
    </row>
    <row r="282">
      <c r="A282" s="38"/>
      <c r="B282" s="38"/>
      <c r="C282" s="38"/>
      <c r="D282" s="38"/>
      <c r="E282" s="38"/>
      <c r="F282" s="41"/>
      <c r="G282" s="43"/>
      <c r="H282" s="45"/>
      <c r="I282" s="38"/>
      <c r="J282" s="38"/>
      <c r="K282" s="46"/>
      <c r="L282" s="47"/>
      <c r="M282" s="46"/>
      <c r="N282" s="46"/>
      <c r="O282" s="38"/>
      <c r="P282" s="38"/>
      <c r="Q282" s="12"/>
      <c r="R282" s="50"/>
      <c r="S282" s="50"/>
      <c r="T282" s="50"/>
      <c r="U282" s="53"/>
      <c r="V282" s="54"/>
      <c r="W282" s="56"/>
      <c r="X282" s="119"/>
      <c r="Y282" s="113"/>
      <c r="Z282" s="113"/>
      <c r="AH282" s="106"/>
      <c r="AI282" s="106"/>
    </row>
    <row r="283">
      <c r="A283" s="38"/>
      <c r="B283" s="38"/>
      <c r="C283" s="38"/>
      <c r="D283" s="38"/>
      <c r="E283" s="38"/>
      <c r="F283" s="41"/>
      <c r="G283" s="43"/>
      <c r="H283" s="45"/>
      <c r="I283" s="38"/>
      <c r="J283" s="38"/>
      <c r="K283" s="46"/>
      <c r="L283" s="47"/>
      <c r="M283" s="46"/>
      <c r="N283" s="46"/>
      <c r="O283" s="38"/>
      <c r="P283" s="38"/>
      <c r="Q283" s="12"/>
      <c r="R283" s="50"/>
      <c r="S283" s="50"/>
      <c r="T283" s="50"/>
      <c r="U283" s="53"/>
      <c r="V283" s="54"/>
      <c r="W283" s="56"/>
      <c r="X283" s="119"/>
      <c r="Y283" s="113"/>
      <c r="Z283" s="113"/>
      <c r="AH283" s="106"/>
      <c r="AI283" s="106"/>
    </row>
    <row r="284">
      <c r="A284" s="38"/>
      <c r="B284" s="38"/>
      <c r="C284" s="38"/>
      <c r="D284" s="38"/>
      <c r="E284" s="38"/>
      <c r="F284" s="41"/>
      <c r="G284" s="43"/>
      <c r="H284" s="45"/>
      <c r="I284" s="38"/>
      <c r="J284" s="38"/>
      <c r="K284" s="46"/>
      <c r="L284" s="47"/>
      <c r="M284" s="46"/>
      <c r="N284" s="46"/>
      <c r="O284" s="38"/>
      <c r="P284" s="38"/>
      <c r="Q284" s="12"/>
      <c r="R284" s="50"/>
      <c r="S284" s="50"/>
      <c r="T284" s="50"/>
      <c r="U284" s="53"/>
      <c r="V284" s="54"/>
      <c r="W284" s="56"/>
      <c r="X284" s="119"/>
      <c r="Y284" s="113"/>
      <c r="Z284" s="113"/>
      <c r="AH284" s="106"/>
      <c r="AI284" s="106"/>
    </row>
    <row r="285">
      <c r="A285" s="38"/>
      <c r="B285" s="38"/>
      <c r="C285" s="38"/>
      <c r="D285" s="38"/>
      <c r="E285" s="38"/>
      <c r="F285" s="41"/>
      <c r="G285" s="43"/>
      <c r="H285" s="45"/>
      <c r="I285" s="38"/>
      <c r="J285" s="38"/>
      <c r="K285" s="46"/>
      <c r="L285" s="47"/>
      <c r="M285" s="46"/>
      <c r="N285" s="46"/>
      <c r="O285" s="38"/>
      <c r="P285" s="38"/>
      <c r="Q285" s="12"/>
      <c r="R285" s="50"/>
      <c r="S285" s="50"/>
      <c r="T285" s="50"/>
      <c r="U285" s="53"/>
      <c r="V285" s="54"/>
      <c r="W285" s="56"/>
      <c r="X285" s="119"/>
      <c r="Y285" s="113"/>
      <c r="Z285" s="113"/>
      <c r="AH285" s="106"/>
      <c r="AI285" s="106"/>
    </row>
    <row r="286">
      <c r="A286" s="38"/>
      <c r="B286" s="38"/>
      <c r="C286" s="38"/>
      <c r="D286" s="38"/>
      <c r="E286" s="38"/>
      <c r="F286" s="41"/>
      <c r="G286" s="43"/>
      <c r="H286" s="45"/>
      <c r="I286" s="38"/>
      <c r="J286" s="38"/>
      <c r="K286" s="46"/>
      <c r="L286" s="47"/>
      <c r="M286" s="46"/>
      <c r="N286" s="46"/>
      <c r="O286" s="38"/>
      <c r="P286" s="38"/>
      <c r="Q286" s="12"/>
      <c r="R286" s="50"/>
      <c r="S286" s="50"/>
      <c r="T286" s="50"/>
      <c r="U286" s="53"/>
      <c r="V286" s="54"/>
      <c r="W286" s="56"/>
      <c r="X286" s="119"/>
      <c r="Y286" s="113"/>
      <c r="Z286" s="113"/>
      <c r="AH286" s="106"/>
      <c r="AI286" s="106"/>
    </row>
    <row r="287">
      <c r="A287" s="38"/>
      <c r="B287" s="38"/>
      <c r="C287" s="38"/>
      <c r="D287" s="38"/>
      <c r="E287" s="38"/>
      <c r="F287" s="41"/>
      <c r="G287" s="43"/>
      <c r="H287" s="45"/>
      <c r="I287" s="38"/>
      <c r="J287" s="38"/>
      <c r="K287" s="46"/>
      <c r="L287" s="47"/>
      <c r="M287" s="46"/>
      <c r="N287" s="46"/>
      <c r="O287" s="38"/>
      <c r="P287" s="38"/>
      <c r="Q287" s="12"/>
      <c r="R287" s="50"/>
      <c r="S287" s="50"/>
      <c r="T287" s="50"/>
      <c r="U287" s="53"/>
      <c r="V287" s="54"/>
      <c r="W287" s="56"/>
      <c r="X287" s="119"/>
      <c r="Y287" s="113"/>
      <c r="Z287" s="113"/>
      <c r="AH287" s="106"/>
      <c r="AI287" s="106"/>
    </row>
    <row r="288">
      <c r="A288" s="38"/>
      <c r="B288" s="38"/>
      <c r="C288" s="38"/>
      <c r="D288" s="38"/>
      <c r="E288" s="38"/>
      <c r="F288" s="41"/>
      <c r="G288" s="43"/>
      <c r="H288" s="45"/>
      <c r="I288" s="38"/>
      <c r="J288" s="38"/>
      <c r="K288" s="46"/>
      <c r="L288" s="47"/>
      <c r="M288" s="46"/>
      <c r="N288" s="46"/>
      <c r="O288" s="38"/>
      <c r="P288" s="38"/>
      <c r="Q288" s="12"/>
      <c r="R288" s="50"/>
      <c r="S288" s="50"/>
      <c r="T288" s="50"/>
      <c r="U288" s="53"/>
      <c r="V288" s="54"/>
      <c r="W288" s="56"/>
      <c r="X288" s="119"/>
      <c r="Y288" s="113"/>
      <c r="Z288" s="113"/>
      <c r="AH288" s="106"/>
      <c r="AI288" s="106"/>
    </row>
    <row r="289">
      <c r="A289" s="38"/>
      <c r="B289" s="38"/>
      <c r="C289" s="38"/>
      <c r="D289" s="38"/>
      <c r="E289" s="38"/>
      <c r="F289" s="41"/>
      <c r="G289" s="43"/>
      <c r="H289" s="45"/>
      <c r="I289" s="38"/>
      <c r="J289" s="38"/>
      <c r="K289" s="46"/>
      <c r="L289" s="47"/>
      <c r="M289" s="46"/>
      <c r="N289" s="46"/>
      <c r="O289" s="38"/>
      <c r="P289" s="38"/>
      <c r="Q289" s="12"/>
      <c r="R289" s="50"/>
      <c r="S289" s="50"/>
      <c r="T289" s="50"/>
      <c r="U289" s="53"/>
      <c r="V289" s="54"/>
      <c r="W289" s="56"/>
      <c r="X289" s="119"/>
      <c r="Y289" s="113"/>
      <c r="Z289" s="113"/>
      <c r="AH289" s="106"/>
      <c r="AI289" s="106"/>
    </row>
    <row r="290">
      <c r="A290" s="38"/>
      <c r="B290" s="38"/>
      <c r="C290" s="38"/>
      <c r="D290" s="38"/>
      <c r="E290" s="38"/>
      <c r="F290" s="41"/>
      <c r="G290" s="43"/>
      <c r="H290" s="45"/>
      <c r="I290" s="38"/>
      <c r="J290" s="38"/>
      <c r="K290" s="46"/>
      <c r="L290" s="47"/>
      <c r="M290" s="46"/>
      <c r="N290" s="46"/>
      <c r="O290" s="38"/>
      <c r="P290" s="38"/>
      <c r="Q290" s="12"/>
      <c r="R290" s="50"/>
      <c r="S290" s="50"/>
      <c r="T290" s="50"/>
      <c r="U290" s="53"/>
      <c r="V290" s="54"/>
      <c r="W290" s="56"/>
      <c r="X290" s="119"/>
      <c r="Y290" s="113"/>
      <c r="Z290" s="113"/>
      <c r="AH290" s="106"/>
      <c r="AI290" s="106"/>
    </row>
    <row r="291">
      <c r="A291" s="38"/>
      <c r="B291" s="38"/>
      <c r="C291" s="38"/>
      <c r="D291" s="38"/>
      <c r="E291" s="38"/>
      <c r="F291" s="41"/>
      <c r="G291" s="43"/>
      <c r="H291" s="45"/>
      <c r="I291" s="38"/>
      <c r="J291" s="38"/>
      <c r="K291" s="46"/>
      <c r="L291" s="47"/>
      <c r="M291" s="46"/>
      <c r="N291" s="46"/>
      <c r="O291" s="38"/>
      <c r="P291" s="38"/>
      <c r="Q291" s="12"/>
      <c r="R291" s="50"/>
      <c r="S291" s="50"/>
      <c r="T291" s="50"/>
      <c r="U291" s="53"/>
      <c r="V291" s="54"/>
      <c r="W291" s="56"/>
      <c r="X291" s="119"/>
      <c r="Y291" s="113"/>
      <c r="Z291" s="113"/>
      <c r="AH291" s="106"/>
      <c r="AI291" s="106"/>
    </row>
    <row r="292">
      <c r="A292" s="38"/>
      <c r="B292" s="38"/>
      <c r="C292" s="38"/>
      <c r="D292" s="38"/>
      <c r="E292" s="38"/>
      <c r="F292" s="41"/>
      <c r="G292" s="43"/>
      <c r="H292" s="45"/>
      <c r="I292" s="38"/>
      <c r="J292" s="38"/>
      <c r="K292" s="46"/>
      <c r="L292" s="47"/>
      <c r="M292" s="46"/>
      <c r="N292" s="46"/>
      <c r="O292" s="38"/>
      <c r="P292" s="38"/>
      <c r="Q292" s="12"/>
      <c r="R292" s="50"/>
      <c r="S292" s="50"/>
      <c r="T292" s="50"/>
      <c r="U292" s="53"/>
      <c r="V292" s="54"/>
      <c r="W292" s="56"/>
      <c r="X292" s="119"/>
      <c r="Y292" s="113"/>
      <c r="Z292" s="113"/>
      <c r="AH292" s="106"/>
      <c r="AI292" s="106"/>
    </row>
    <row r="293">
      <c r="A293" s="38"/>
      <c r="B293" s="38"/>
      <c r="C293" s="38"/>
      <c r="D293" s="38"/>
      <c r="E293" s="38"/>
      <c r="F293" s="41"/>
      <c r="G293" s="43"/>
      <c r="H293" s="45"/>
      <c r="I293" s="38"/>
      <c r="J293" s="38"/>
      <c r="K293" s="46"/>
      <c r="L293" s="47"/>
      <c r="M293" s="46"/>
      <c r="N293" s="46"/>
      <c r="O293" s="38"/>
      <c r="P293" s="38"/>
      <c r="Q293" s="12"/>
      <c r="R293" s="50"/>
      <c r="S293" s="50"/>
      <c r="T293" s="50"/>
      <c r="U293" s="53"/>
      <c r="V293" s="54"/>
      <c r="W293" s="56"/>
      <c r="X293" s="119"/>
      <c r="Y293" s="113"/>
      <c r="Z293" s="113"/>
      <c r="AH293" s="106"/>
      <c r="AI293" s="106"/>
    </row>
    <row r="294">
      <c r="A294" s="38"/>
      <c r="B294" s="38"/>
      <c r="C294" s="38"/>
      <c r="D294" s="38"/>
      <c r="E294" s="38"/>
      <c r="F294" s="41"/>
      <c r="G294" s="43"/>
      <c r="H294" s="45"/>
      <c r="I294" s="38"/>
      <c r="J294" s="38"/>
      <c r="K294" s="46"/>
      <c r="L294" s="47"/>
      <c r="M294" s="46"/>
      <c r="N294" s="46"/>
      <c r="O294" s="38"/>
      <c r="P294" s="38"/>
      <c r="Q294" s="12"/>
      <c r="R294" s="50"/>
      <c r="S294" s="50"/>
      <c r="T294" s="50"/>
      <c r="U294" s="53"/>
      <c r="V294" s="54"/>
      <c r="W294" s="56"/>
      <c r="X294" s="119"/>
      <c r="Y294" s="113"/>
      <c r="Z294" s="113"/>
      <c r="AH294" s="106"/>
      <c r="AI294" s="106"/>
    </row>
    <row r="295">
      <c r="A295" s="38"/>
      <c r="B295" s="38"/>
      <c r="C295" s="38"/>
      <c r="D295" s="38"/>
      <c r="E295" s="38"/>
      <c r="F295" s="41"/>
      <c r="G295" s="43"/>
      <c r="H295" s="45"/>
      <c r="I295" s="38"/>
      <c r="J295" s="38"/>
      <c r="K295" s="46"/>
      <c r="L295" s="47"/>
      <c r="M295" s="46"/>
      <c r="N295" s="46"/>
      <c r="O295" s="38"/>
      <c r="P295" s="38"/>
      <c r="Q295" s="12"/>
      <c r="R295" s="50"/>
      <c r="S295" s="50"/>
      <c r="T295" s="50"/>
      <c r="U295" s="53"/>
      <c r="V295" s="54"/>
      <c r="W295" s="56"/>
      <c r="X295" s="119"/>
      <c r="Y295" s="113"/>
      <c r="Z295" s="113"/>
      <c r="AH295" s="106"/>
      <c r="AI295" s="106"/>
    </row>
    <row r="296">
      <c r="A296" s="38"/>
      <c r="B296" s="38"/>
      <c r="C296" s="38"/>
      <c r="D296" s="38"/>
      <c r="E296" s="38"/>
      <c r="F296" s="41"/>
      <c r="G296" s="43"/>
      <c r="H296" s="45"/>
      <c r="I296" s="38"/>
      <c r="J296" s="38"/>
      <c r="K296" s="46"/>
      <c r="L296" s="47"/>
      <c r="M296" s="46"/>
      <c r="N296" s="46"/>
      <c r="O296" s="38"/>
      <c r="P296" s="38"/>
      <c r="Q296" s="12"/>
      <c r="R296" s="50"/>
      <c r="S296" s="50"/>
      <c r="T296" s="50"/>
      <c r="U296" s="53"/>
      <c r="V296" s="54"/>
      <c r="W296" s="56"/>
      <c r="X296" s="119"/>
      <c r="Y296" s="113"/>
      <c r="Z296" s="113"/>
      <c r="AH296" s="106"/>
      <c r="AI296" s="106"/>
    </row>
    <row r="297">
      <c r="A297" s="38"/>
      <c r="B297" s="38"/>
      <c r="C297" s="38"/>
      <c r="D297" s="38"/>
      <c r="E297" s="38"/>
      <c r="F297" s="41"/>
      <c r="G297" s="43"/>
      <c r="H297" s="45"/>
      <c r="I297" s="38"/>
      <c r="J297" s="38"/>
      <c r="K297" s="46"/>
      <c r="L297" s="47"/>
      <c r="M297" s="46"/>
      <c r="N297" s="46"/>
      <c r="O297" s="38"/>
      <c r="P297" s="38"/>
      <c r="Q297" s="12"/>
      <c r="R297" s="50"/>
      <c r="S297" s="50"/>
      <c r="T297" s="50"/>
      <c r="U297" s="53"/>
      <c r="V297" s="54"/>
      <c r="W297" s="56"/>
      <c r="X297" s="119"/>
      <c r="Y297" s="113"/>
      <c r="Z297" s="113"/>
      <c r="AH297" s="106"/>
      <c r="AI297" s="106"/>
    </row>
    <row r="298">
      <c r="A298" s="38"/>
      <c r="B298" s="38"/>
      <c r="C298" s="38"/>
      <c r="D298" s="38"/>
      <c r="E298" s="38"/>
      <c r="F298" s="41"/>
      <c r="G298" s="43"/>
      <c r="H298" s="45"/>
      <c r="I298" s="38"/>
      <c r="J298" s="38"/>
      <c r="K298" s="46"/>
      <c r="L298" s="47"/>
      <c r="M298" s="46"/>
      <c r="N298" s="46"/>
      <c r="O298" s="38"/>
      <c r="P298" s="38"/>
      <c r="Q298" s="12"/>
      <c r="R298" s="50"/>
      <c r="S298" s="50"/>
      <c r="T298" s="50"/>
      <c r="U298" s="53"/>
      <c r="V298" s="54"/>
      <c r="W298" s="56"/>
      <c r="X298" s="119"/>
      <c r="Y298" s="113"/>
      <c r="Z298" s="113"/>
      <c r="AH298" s="106"/>
      <c r="AI298" s="106"/>
    </row>
    <row r="299">
      <c r="A299" s="38"/>
      <c r="B299" s="38"/>
      <c r="C299" s="38"/>
      <c r="D299" s="38"/>
      <c r="E299" s="38"/>
      <c r="F299" s="41"/>
      <c r="G299" s="43"/>
      <c r="H299" s="45"/>
      <c r="I299" s="38"/>
      <c r="J299" s="38"/>
      <c r="K299" s="46"/>
      <c r="L299" s="47"/>
      <c r="M299" s="46"/>
      <c r="N299" s="46"/>
      <c r="O299" s="38"/>
      <c r="P299" s="38"/>
      <c r="Q299" s="12"/>
      <c r="R299" s="50"/>
      <c r="S299" s="50"/>
      <c r="T299" s="50"/>
      <c r="U299" s="53"/>
      <c r="V299" s="54"/>
      <c r="W299" s="56"/>
      <c r="X299" s="119"/>
      <c r="Y299" s="113"/>
      <c r="Z299" s="113"/>
      <c r="AH299" s="106"/>
      <c r="AI299" s="106"/>
    </row>
    <row r="300">
      <c r="A300" s="38"/>
      <c r="B300" s="38"/>
      <c r="C300" s="38"/>
      <c r="D300" s="38"/>
      <c r="E300" s="38"/>
      <c r="F300" s="41"/>
      <c r="G300" s="43"/>
      <c r="H300" s="45"/>
      <c r="I300" s="38"/>
      <c r="J300" s="38"/>
      <c r="K300" s="46"/>
      <c r="L300" s="47"/>
      <c r="M300" s="46"/>
      <c r="N300" s="46"/>
      <c r="O300" s="38"/>
      <c r="P300" s="38"/>
      <c r="Q300" s="12"/>
      <c r="R300" s="50"/>
      <c r="S300" s="50"/>
      <c r="T300" s="50"/>
      <c r="U300" s="53"/>
      <c r="V300" s="54"/>
      <c r="W300" s="56"/>
      <c r="X300" s="119"/>
      <c r="Y300" s="113"/>
      <c r="Z300" s="113"/>
      <c r="AH300" s="106"/>
      <c r="AI300" s="106"/>
    </row>
    <row r="301">
      <c r="A301" s="38"/>
      <c r="B301" s="38"/>
      <c r="C301" s="38"/>
      <c r="D301" s="38"/>
      <c r="E301" s="38"/>
      <c r="F301" s="41"/>
      <c r="G301" s="43"/>
      <c r="H301" s="45"/>
      <c r="I301" s="38"/>
      <c r="J301" s="38"/>
      <c r="K301" s="46"/>
      <c r="L301" s="47"/>
      <c r="M301" s="46"/>
      <c r="N301" s="46"/>
      <c r="O301" s="38"/>
      <c r="P301" s="38"/>
      <c r="Q301" s="12"/>
      <c r="R301" s="50"/>
      <c r="S301" s="50"/>
      <c r="T301" s="50"/>
      <c r="U301" s="53"/>
      <c r="V301" s="54"/>
      <c r="W301" s="56"/>
      <c r="X301" s="119"/>
      <c r="Y301" s="113"/>
      <c r="Z301" s="113"/>
      <c r="AH301" s="106"/>
      <c r="AI301" s="106"/>
    </row>
    <row r="302">
      <c r="A302" s="38"/>
      <c r="B302" s="38"/>
      <c r="C302" s="38"/>
      <c r="D302" s="38"/>
      <c r="E302" s="38"/>
      <c r="F302" s="41"/>
      <c r="G302" s="43"/>
      <c r="H302" s="45"/>
      <c r="I302" s="38"/>
      <c r="J302" s="38"/>
      <c r="K302" s="46"/>
      <c r="L302" s="47"/>
      <c r="M302" s="46"/>
      <c r="N302" s="46"/>
      <c r="O302" s="38"/>
      <c r="P302" s="38"/>
      <c r="Q302" s="12"/>
      <c r="R302" s="50"/>
      <c r="S302" s="50"/>
      <c r="T302" s="50"/>
      <c r="U302" s="53"/>
      <c r="V302" s="54"/>
      <c r="W302" s="56"/>
      <c r="X302" s="119"/>
      <c r="Y302" s="113"/>
      <c r="Z302" s="113"/>
      <c r="AH302" s="106"/>
      <c r="AI302" s="106"/>
    </row>
    <row r="303">
      <c r="A303" s="38"/>
      <c r="B303" s="38"/>
      <c r="C303" s="38"/>
      <c r="D303" s="38"/>
      <c r="E303" s="38"/>
      <c r="F303" s="41"/>
      <c r="G303" s="43"/>
      <c r="H303" s="45"/>
      <c r="I303" s="38"/>
      <c r="J303" s="38"/>
      <c r="K303" s="46"/>
      <c r="L303" s="47"/>
      <c r="M303" s="46"/>
      <c r="N303" s="46"/>
      <c r="O303" s="38"/>
      <c r="P303" s="38"/>
      <c r="Q303" s="12"/>
      <c r="R303" s="50"/>
      <c r="S303" s="50"/>
      <c r="T303" s="50"/>
      <c r="U303" s="53"/>
      <c r="V303" s="54"/>
      <c r="W303" s="56"/>
      <c r="X303" s="119"/>
      <c r="Y303" s="113"/>
      <c r="Z303" s="113"/>
      <c r="AH303" s="106"/>
      <c r="AI303" s="106"/>
    </row>
    <row r="304">
      <c r="A304" s="38"/>
      <c r="B304" s="38"/>
      <c r="C304" s="38"/>
      <c r="D304" s="38"/>
      <c r="E304" s="38"/>
      <c r="F304" s="41"/>
      <c r="G304" s="43"/>
      <c r="H304" s="45"/>
      <c r="I304" s="38"/>
      <c r="J304" s="38"/>
      <c r="K304" s="46"/>
      <c r="L304" s="47"/>
      <c r="M304" s="46"/>
      <c r="N304" s="46"/>
      <c r="O304" s="38"/>
      <c r="P304" s="38"/>
      <c r="Q304" s="12"/>
      <c r="R304" s="50"/>
      <c r="S304" s="50"/>
      <c r="T304" s="50"/>
      <c r="U304" s="53"/>
      <c r="V304" s="54"/>
      <c r="W304" s="56"/>
      <c r="X304" s="119"/>
      <c r="Y304" s="113"/>
      <c r="Z304" s="113"/>
      <c r="AH304" s="106"/>
      <c r="AI304" s="106"/>
    </row>
    <row r="305">
      <c r="A305" s="38"/>
      <c r="B305" s="38"/>
      <c r="C305" s="38"/>
      <c r="D305" s="38"/>
      <c r="E305" s="38"/>
      <c r="F305" s="41"/>
      <c r="G305" s="43"/>
      <c r="H305" s="45"/>
      <c r="I305" s="38"/>
      <c r="J305" s="38"/>
      <c r="K305" s="46"/>
      <c r="L305" s="47"/>
      <c r="M305" s="46"/>
      <c r="N305" s="46"/>
      <c r="O305" s="38"/>
      <c r="P305" s="38"/>
      <c r="Q305" s="12"/>
      <c r="R305" s="50"/>
      <c r="S305" s="50"/>
      <c r="T305" s="50"/>
      <c r="U305" s="53"/>
      <c r="V305" s="54"/>
      <c r="W305" s="56"/>
      <c r="X305" s="119"/>
      <c r="Y305" s="113"/>
      <c r="Z305" s="113"/>
      <c r="AH305" s="106"/>
      <c r="AI305" s="106"/>
    </row>
    <row r="306">
      <c r="A306" s="38"/>
      <c r="B306" s="38"/>
      <c r="C306" s="38"/>
      <c r="D306" s="38"/>
      <c r="E306" s="38"/>
      <c r="F306" s="41"/>
      <c r="G306" s="43"/>
      <c r="H306" s="45"/>
      <c r="I306" s="38"/>
      <c r="J306" s="38"/>
      <c r="K306" s="46"/>
      <c r="L306" s="47"/>
      <c r="M306" s="46"/>
      <c r="N306" s="46"/>
      <c r="O306" s="38"/>
      <c r="P306" s="38"/>
      <c r="Q306" s="12"/>
      <c r="R306" s="50"/>
      <c r="S306" s="50"/>
      <c r="T306" s="50"/>
      <c r="U306" s="53"/>
      <c r="V306" s="54"/>
      <c r="W306" s="56"/>
      <c r="X306" s="119"/>
      <c r="Y306" s="113"/>
      <c r="Z306" s="113"/>
      <c r="AH306" s="106"/>
      <c r="AI306" s="106"/>
    </row>
    <row r="307">
      <c r="A307" s="38"/>
      <c r="B307" s="38"/>
      <c r="C307" s="38"/>
      <c r="D307" s="38"/>
      <c r="E307" s="38"/>
      <c r="F307" s="41"/>
      <c r="G307" s="43"/>
      <c r="H307" s="45"/>
      <c r="I307" s="38"/>
      <c r="J307" s="38"/>
      <c r="K307" s="46"/>
      <c r="L307" s="47"/>
      <c r="M307" s="46"/>
      <c r="N307" s="46"/>
      <c r="O307" s="38"/>
      <c r="P307" s="38"/>
      <c r="Q307" s="12"/>
      <c r="R307" s="50"/>
      <c r="S307" s="50"/>
      <c r="T307" s="50"/>
      <c r="U307" s="53"/>
      <c r="V307" s="54"/>
      <c r="W307" s="56"/>
      <c r="X307" s="119"/>
      <c r="Y307" s="113"/>
      <c r="Z307" s="113"/>
      <c r="AH307" s="106"/>
      <c r="AI307" s="106"/>
    </row>
    <row r="308">
      <c r="A308" s="38"/>
      <c r="B308" s="38"/>
      <c r="C308" s="38"/>
      <c r="D308" s="38"/>
      <c r="E308" s="38"/>
      <c r="F308" s="41"/>
      <c r="G308" s="43"/>
      <c r="H308" s="45"/>
      <c r="I308" s="38"/>
      <c r="J308" s="38"/>
      <c r="K308" s="46"/>
      <c r="L308" s="47"/>
      <c r="M308" s="46"/>
      <c r="N308" s="46"/>
      <c r="O308" s="38"/>
      <c r="P308" s="38"/>
      <c r="Q308" s="12"/>
      <c r="R308" s="50"/>
      <c r="S308" s="50"/>
      <c r="T308" s="50"/>
      <c r="U308" s="53"/>
      <c r="V308" s="54"/>
      <c r="W308" s="56"/>
      <c r="X308" s="119"/>
      <c r="Y308" s="113"/>
      <c r="Z308" s="113"/>
      <c r="AH308" s="106"/>
      <c r="AI308" s="106"/>
    </row>
    <row r="309">
      <c r="A309" s="38"/>
      <c r="B309" s="38"/>
      <c r="C309" s="38"/>
      <c r="D309" s="38"/>
      <c r="E309" s="38"/>
      <c r="F309" s="41"/>
      <c r="G309" s="43"/>
      <c r="H309" s="45"/>
      <c r="I309" s="38"/>
      <c r="J309" s="38"/>
      <c r="K309" s="46"/>
      <c r="L309" s="47"/>
      <c r="M309" s="46"/>
      <c r="N309" s="46"/>
      <c r="O309" s="38"/>
      <c r="P309" s="38"/>
      <c r="Q309" s="12"/>
      <c r="R309" s="50"/>
      <c r="S309" s="50"/>
      <c r="T309" s="50"/>
      <c r="U309" s="53"/>
      <c r="V309" s="54"/>
      <c r="W309" s="56"/>
      <c r="X309" s="119"/>
      <c r="Y309" s="113"/>
      <c r="Z309" s="113"/>
      <c r="AH309" s="106"/>
      <c r="AI309" s="106"/>
    </row>
    <row r="310">
      <c r="A310" s="38"/>
      <c r="B310" s="38"/>
      <c r="C310" s="38"/>
      <c r="D310" s="38"/>
      <c r="E310" s="38"/>
      <c r="F310" s="41"/>
      <c r="G310" s="43"/>
      <c r="H310" s="45"/>
      <c r="I310" s="38"/>
      <c r="J310" s="38"/>
      <c r="K310" s="46"/>
      <c r="L310" s="47"/>
      <c r="M310" s="46"/>
      <c r="N310" s="46"/>
      <c r="O310" s="38"/>
      <c r="P310" s="38"/>
      <c r="Q310" s="12"/>
      <c r="R310" s="50"/>
      <c r="S310" s="50"/>
      <c r="T310" s="50"/>
      <c r="U310" s="53"/>
      <c r="V310" s="54"/>
      <c r="W310" s="56"/>
      <c r="X310" s="119"/>
      <c r="Y310" s="113"/>
      <c r="Z310" s="113"/>
      <c r="AH310" s="106"/>
      <c r="AI310" s="106"/>
    </row>
    <row r="311">
      <c r="A311" s="38"/>
      <c r="B311" s="38"/>
      <c r="C311" s="38"/>
      <c r="D311" s="38"/>
      <c r="E311" s="38"/>
      <c r="F311" s="41"/>
      <c r="G311" s="43"/>
      <c r="H311" s="45"/>
      <c r="I311" s="38"/>
      <c r="J311" s="38"/>
      <c r="K311" s="46"/>
      <c r="L311" s="47"/>
      <c r="M311" s="46"/>
      <c r="N311" s="46"/>
      <c r="O311" s="38"/>
      <c r="P311" s="38"/>
      <c r="Q311" s="12"/>
      <c r="R311" s="50"/>
      <c r="S311" s="50"/>
      <c r="T311" s="50"/>
      <c r="U311" s="53"/>
      <c r="V311" s="54"/>
      <c r="W311" s="56"/>
      <c r="X311" s="119"/>
      <c r="Y311" s="113"/>
      <c r="Z311" s="113"/>
      <c r="AH311" s="106"/>
      <c r="AI311" s="106"/>
    </row>
    <row r="312">
      <c r="A312" s="38"/>
      <c r="B312" s="38"/>
      <c r="C312" s="38"/>
      <c r="D312" s="38"/>
      <c r="E312" s="38"/>
      <c r="F312" s="41"/>
      <c r="G312" s="43"/>
      <c r="H312" s="45"/>
      <c r="I312" s="38"/>
      <c r="J312" s="38"/>
      <c r="K312" s="46"/>
      <c r="L312" s="47"/>
      <c r="M312" s="46"/>
      <c r="N312" s="46"/>
      <c r="O312" s="38"/>
      <c r="P312" s="38"/>
      <c r="Q312" s="12"/>
      <c r="R312" s="50"/>
      <c r="S312" s="50"/>
      <c r="T312" s="50"/>
      <c r="U312" s="53"/>
      <c r="V312" s="54"/>
      <c r="W312" s="56"/>
      <c r="X312" s="119"/>
      <c r="Y312" s="113"/>
      <c r="Z312" s="113"/>
      <c r="AH312" s="106"/>
      <c r="AI312" s="106"/>
    </row>
    <row r="313">
      <c r="A313" s="38"/>
      <c r="B313" s="38"/>
      <c r="C313" s="38"/>
      <c r="D313" s="38"/>
      <c r="E313" s="38"/>
      <c r="F313" s="41"/>
      <c r="G313" s="43"/>
      <c r="H313" s="45"/>
      <c r="I313" s="38"/>
      <c r="J313" s="38"/>
      <c r="K313" s="46"/>
      <c r="L313" s="47"/>
      <c r="M313" s="46"/>
      <c r="N313" s="46"/>
      <c r="O313" s="38"/>
      <c r="P313" s="38"/>
      <c r="Q313" s="12"/>
      <c r="R313" s="50"/>
      <c r="S313" s="50"/>
      <c r="T313" s="50"/>
      <c r="U313" s="53"/>
      <c r="V313" s="54"/>
      <c r="W313" s="56"/>
      <c r="X313" s="119"/>
      <c r="Y313" s="113"/>
      <c r="Z313" s="113"/>
      <c r="AH313" s="106"/>
      <c r="AI313" s="106"/>
    </row>
    <row r="314">
      <c r="A314" s="38"/>
      <c r="B314" s="38"/>
      <c r="C314" s="38"/>
      <c r="D314" s="38"/>
      <c r="E314" s="38"/>
      <c r="F314" s="41"/>
      <c r="G314" s="43"/>
      <c r="H314" s="45"/>
      <c r="I314" s="38"/>
      <c r="J314" s="38"/>
      <c r="K314" s="46"/>
      <c r="L314" s="47"/>
      <c r="M314" s="46"/>
      <c r="N314" s="46"/>
      <c r="O314" s="38"/>
      <c r="P314" s="38"/>
      <c r="Q314" s="12"/>
      <c r="R314" s="50"/>
      <c r="S314" s="50"/>
      <c r="T314" s="50"/>
      <c r="U314" s="53"/>
      <c r="V314" s="54"/>
      <c r="W314" s="56"/>
      <c r="X314" s="119"/>
      <c r="Y314" s="113"/>
      <c r="Z314" s="113"/>
      <c r="AH314" s="106"/>
      <c r="AI314" s="106"/>
    </row>
    <row r="315">
      <c r="A315" s="38"/>
      <c r="B315" s="38"/>
      <c r="C315" s="38"/>
      <c r="D315" s="38"/>
      <c r="E315" s="38"/>
      <c r="F315" s="41"/>
      <c r="G315" s="43"/>
      <c r="H315" s="45"/>
      <c r="I315" s="38"/>
      <c r="J315" s="38"/>
      <c r="K315" s="46"/>
      <c r="L315" s="47"/>
      <c r="M315" s="46"/>
      <c r="N315" s="46"/>
      <c r="O315" s="38"/>
      <c r="P315" s="38"/>
      <c r="Q315" s="12"/>
      <c r="R315" s="50"/>
      <c r="S315" s="50"/>
      <c r="T315" s="50"/>
      <c r="U315" s="53"/>
      <c r="V315" s="54"/>
      <c r="W315" s="56"/>
      <c r="X315" s="119"/>
      <c r="Y315" s="113"/>
      <c r="Z315" s="113"/>
      <c r="AH315" s="106"/>
      <c r="AI315" s="106"/>
    </row>
    <row r="316">
      <c r="A316" s="38"/>
      <c r="B316" s="38"/>
      <c r="C316" s="38"/>
      <c r="D316" s="38"/>
      <c r="E316" s="38"/>
      <c r="F316" s="41"/>
      <c r="G316" s="43"/>
      <c r="H316" s="45"/>
      <c r="I316" s="38"/>
      <c r="J316" s="38"/>
      <c r="K316" s="46"/>
      <c r="L316" s="47"/>
      <c r="M316" s="46"/>
      <c r="N316" s="46"/>
      <c r="O316" s="38"/>
      <c r="P316" s="38"/>
      <c r="Q316" s="12"/>
      <c r="R316" s="50"/>
      <c r="S316" s="50"/>
      <c r="T316" s="50"/>
      <c r="U316" s="53"/>
      <c r="V316" s="54"/>
      <c r="W316" s="56"/>
      <c r="X316" s="119"/>
      <c r="Y316" s="113"/>
      <c r="Z316" s="113"/>
      <c r="AH316" s="106"/>
      <c r="AI316" s="106"/>
    </row>
    <row r="317">
      <c r="A317" s="38"/>
      <c r="B317" s="38"/>
      <c r="C317" s="38"/>
      <c r="D317" s="38"/>
      <c r="E317" s="38"/>
      <c r="F317" s="41"/>
      <c r="G317" s="43"/>
      <c r="H317" s="45"/>
      <c r="I317" s="38"/>
      <c r="J317" s="38"/>
      <c r="K317" s="46"/>
      <c r="L317" s="47"/>
      <c r="M317" s="46"/>
      <c r="N317" s="46"/>
      <c r="O317" s="38"/>
      <c r="P317" s="38"/>
      <c r="Q317" s="12"/>
      <c r="R317" s="50"/>
      <c r="S317" s="50"/>
      <c r="T317" s="50"/>
      <c r="U317" s="53"/>
      <c r="V317" s="54"/>
      <c r="W317" s="56"/>
      <c r="X317" s="119"/>
      <c r="Y317" s="113"/>
      <c r="Z317" s="113"/>
      <c r="AH317" s="106"/>
      <c r="AI317" s="106"/>
    </row>
    <row r="318">
      <c r="A318" s="38"/>
      <c r="B318" s="38"/>
      <c r="C318" s="38"/>
      <c r="D318" s="38"/>
      <c r="E318" s="38"/>
      <c r="F318" s="41"/>
      <c r="G318" s="43"/>
      <c r="H318" s="45"/>
      <c r="I318" s="38"/>
      <c r="J318" s="38"/>
      <c r="K318" s="46"/>
      <c r="L318" s="47"/>
      <c r="M318" s="46"/>
      <c r="N318" s="46"/>
      <c r="O318" s="38"/>
      <c r="P318" s="38"/>
      <c r="Q318" s="12"/>
      <c r="R318" s="50"/>
      <c r="S318" s="50"/>
      <c r="T318" s="50"/>
      <c r="U318" s="53"/>
      <c r="V318" s="54"/>
      <c r="W318" s="56"/>
      <c r="X318" s="119"/>
      <c r="Y318" s="113"/>
      <c r="Z318" s="113"/>
      <c r="AH318" s="106"/>
      <c r="AI318" s="106"/>
    </row>
    <row r="319">
      <c r="A319" s="38"/>
      <c r="B319" s="38"/>
      <c r="C319" s="38"/>
      <c r="D319" s="38"/>
      <c r="E319" s="38"/>
      <c r="F319" s="41"/>
      <c r="G319" s="43"/>
      <c r="H319" s="45"/>
      <c r="I319" s="38"/>
      <c r="J319" s="38"/>
      <c r="K319" s="46"/>
      <c r="L319" s="47"/>
      <c r="M319" s="46"/>
      <c r="N319" s="46"/>
      <c r="O319" s="38"/>
      <c r="P319" s="38"/>
      <c r="Q319" s="12"/>
      <c r="R319" s="50"/>
      <c r="S319" s="50"/>
      <c r="T319" s="50"/>
      <c r="U319" s="53"/>
      <c r="V319" s="54"/>
      <c r="W319" s="56"/>
      <c r="X319" s="119"/>
      <c r="Y319" s="113"/>
      <c r="Z319" s="113"/>
      <c r="AH319" s="106"/>
      <c r="AI319" s="106"/>
    </row>
    <row r="320">
      <c r="A320" s="38"/>
      <c r="B320" s="38"/>
      <c r="C320" s="38"/>
      <c r="D320" s="38"/>
      <c r="E320" s="38"/>
      <c r="F320" s="41"/>
      <c r="G320" s="43"/>
      <c r="H320" s="45"/>
      <c r="I320" s="38"/>
      <c r="J320" s="38"/>
      <c r="K320" s="46"/>
      <c r="L320" s="47"/>
      <c r="M320" s="46"/>
      <c r="N320" s="46"/>
      <c r="O320" s="38"/>
      <c r="P320" s="38"/>
      <c r="Q320" s="12"/>
      <c r="R320" s="50"/>
      <c r="S320" s="50"/>
      <c r="T320" s="50"/>
      <c r="U320" s="53"/>
      <c r="V320" s="54"/>
      <c r="W320" s="56"/>
      <c r="X320" s="119"/>
      <c r="Y320" s="113"/>
      <c r="Z320" s="113"/>
      <c r="AH320" s="106"/>
      <c r="AI320" s="106"/>
    </row>
    <row r="321">
      <c r="A321" s="38"/>
      <c r="B321" s="38"/>
      <c r="C321" s="38"/>
      <c r="D321" s="38"/>
      <c r="E321" s="38"/>
      <c r="F321" s="41"/>
      <c r="G321" s="43"/>
      <c r="H321" s="45"/>
      <c r="I321" s="38"/>
      <c r="J321" s="38"/>
      <c r="K321" s="46"/>
      <c r="L321" s="47"/>
      <c r="M321" s="46"/>
      <c r="N321" s="46"/>
      <c r="O321" s="38"/>
      <c r="P321" s="38"/>
      <c r="Q321" s="12"/>
      <c r="R321" s="50"/>
      <c r="S321" s="50"/>
      <c r="T321" s="50"/>
      <c r="U321" s="53"/>
      <c r="V321" s="54"/>
      <c r="W321" s="56"/>
      <c r="X321" s="119"/>
      <c r="Y321" s="113"/>
      <c r="Z321" s="113"/>
      <c r="AH321" s="106"/>
      <c r="AI321" s="106"/>
    </row>
    <row r="322">
      <c r="A322" s="38"/>
      <c r="B322" s="38"/>
      <c r="C322" s="38"/>
      <c r="D322" s="38"/>
      <c r="E322" s="38"/>
      <c r="F322" s="41"/>
      <c r="G322" s="43"/>
      <c r="H322" s="45"/>
      <c r="I322" s="38"/>
      <c r="J322" s="38"/>
      <c r="K322" s="46"/>
      <c r="L322" s="47"/>
      <c r="M322" s="46"/>
      <c r="N322" s="46"/>
      <c r="O322" s="38"/>
      <c r="P322" s="38"/>
      <c r="Q322" s="12"/>
      <c r="R322" s="50"/>
      <c r="S322" s="50"/>
      <c r="T322" s="50"/>
      <c r="U322" s="53"/>
      <c r="V322" s="54"/>
      <c r="W322" s="56"/>
      <c r="X322" s="119"/>
      <c r="Y322" s="113"/>
      <c r="Z322" s="113"/>
      <c r="AH322" s="106"/>
      <c r="AI322" s="106"/>
    </row>
    <row r="323">
      <c r="A323" s="38"/>
      <c r="B323" s="38"/>
      <c r="C323" s="38"/>
      <c r="D323" s="38"/>
      <c r="E323" s="38"/>
      <c r="F323" s="41"/>
      <c r="G323" s="43"/>
      <c r="H323" s="45"/>
      <c r="I323" s="38"/>
      <c r="J323" s="38"/>
      <c r="K323" s="46"/>
      <c r="L323" s="47"/>
      <c r="M323" s="46"/>
      <c r="N323" s="46"/>
      <c r="O323" s="38"/>
      <c r="P323" s="38"/>
      <c r="Q323" s="12"/>
      <c r="R323" s="50"/>
      <c r="S323" s="50"/>
      <c r="T323" s="50"/>
      <c r="U323" s="53"/>
      <c r="V323" s="54"/>
      <c r="W323" s="56"/>
      <c r="X323" s="119"/>
      <c r="Y323" s="113"/>
      <c r="Z323" s="113"/>
      <c r="AH323" s="106"/>
      <c r="AI323" s="106"/>
    </row>
    <row r="324">
      <c r="A324" s="38"/>
      <c r="B324" s="38"/>
      <c r="C324" s="38"/>
      <c r="D324" s="38"/>
      <c r="E324" s="38"/>
      <c r="F324" s="41"/>
      <c r="G324" s="43"/>
      <c r="H324" s="45"/>
      <c r="I324" s="38"/>
      <c r="J324" s="38"/>
      <c r="K324" s="46"/>
      <c r="L324" s="47"/>
      <c r="M324" s="46"/>
      <c r="N324" s="46"/>
      <c r="O324" s="38"/>
      <c r="P324" s="38"/>
      <c r="Q324" s="12"/>
      <c r="R324" s="50"/>
      <c r="S324" s="50"/>
      <c r="T324" s="50"/>
      <c r="U324" s="53"/>
      <c r="V324" s="54"/>
      <c r="W324" s="56"/>
      <c r="X324" s="119"/>
      <c r="Y324" s="113"/>
      <c r="Z324" s="113"/>
      <c r="AH324" s="106"/>
      <c r="AI324" s="106"/>
    </row>
    <row r="325">
      <c r="A325" s="38"/>
      <c r="B325" s="38"/>
      <c r="C325" s="38"/>
      <c r="D325" s="38"/>
      <c r="E325" s="38"/>
      <c r="F325" s="41"/>
      <c r="G325" s="43"/>
      <c r="H325" s="45"/>
      <c r="I325" s="38"/>
      <c r="J325" s="38"/>
      <c r="K325" s="46"/>
      <c r="L325" s="47"/>
      <c r="M325" s="46"/>
      <c r="N325" s="46"/>
      <c r="O325" s="38"/>
      <c r="P325" s="38"/>
      <c r="Q325" s="12"/>
      <c r="R325" s="50"/>
      <c r="S325" s="50"/>
      <c r="T325" s="50"/>
      <c r="U325" s="53"/>
      <c r="V325" s="54"/>
      <c r="W325" s="56"/>
      <c r="X325" s="119"/>
      <c r="Y325" s="113"/>
      <c r="Z325" s="113"/>
      <c r="AH325" s="106"/>
      <c r="AI325" s="106"/>
    </row>
    <row r="326">
      <c r="A326" s="38"/>
      <c r="B326" s="38"/>
      <c r="C326" s="38"/>
      <c r="D326" s="38"/>
      <c r="E326" s="38"/>
      <c r="F326" s="41"/>
      <c r="G326" s="43"/>
      <c r="H326" s="45"/>
      <c r="I326" s="38"/>
      <c r="J326" s="38"/>
      <c r="K326" s="46"/>
      <c r="L326" s="47"/>
      <c r="M326" s="46"/>
      <c r="N326" s="46"/>
      <c r="O326" s="38"/>
      <c r="P326" s="38"/>
      <c r="Q326" s="12"/>
      <c r="R326" s="50"/>
      <c r="S326" s="50"/>
      <c r="T326" s="50"/>
      <c r="U326" s="53"/>
      <c r="V326" s="54"/>
      <c r="W326" s="56"/>
      <c r="X326" s="119"/>
      <c r="Y326" s="113"/>
      <c r="Z326" s="113"/>
      <c r="AH326" s="106"/>
      <c r="AI326" s="106"/>
    </row>
    <row r="327">
      <c r="A327" s="38"/>
      <c r="B327" s="38"/>
      <c r="C327" s="38"/>
      <c r="D327" s="38"/>
      <c r="E327" s="38"/>
      <c r="F327" s="41"/>
      <c r="G327" s="43"/>
      <c r="H327" s="45"/>
      <c r="I327" s="38"/>
      <c r="J327" s="38"/>
      <c r="K327" s="46"/>
      <c r="L327" s="47"/>
      <c r="M327" s="46"/>
      <c r="N327" s="46"/>
      <c r="O327" s="38"/>
      <c r="P327" s="38"/>
      <c r="Q327" s="12"/>
      <c r="R327" s="50"/>
      <c r="S327" s="50"/>
      <c r="T327" s="50"/>
      <c r="U327" s="53"/>
      <c r="V327" s="54"/>
      <c r="W327" s="56"/>
      <c r="X327" s="119"/>
      <c r="Y327" s="113"/>
      <c r="Z327" s="113"/>
      <c r="AH327" s="106"/>
      <c r="AI327" s="106"/>
    </row>
    <row r="328">
      <c r="A328" s="38"/>
      <c r="B328" s="38"/>
      <c r="C328" s="38"/>
      <c r="D328" s="38"/>
      <c r="E328" s="38"/>
      <c r="F328" s="41"/>
      <c r="G328" s="43"/>
      <c r="H328" s="45"/>
      <c r="I328" s="38"/>
      <c r="J328" s="38"/>
      <c r="K328" s="46"/>
      <c r="L328" s="47"/>
      <c r="M328" s="46"/>
      <c r="N328" s="46"/>
      <c r="O328" s="38"/>
      <c r="P328" s="38"/>
      <c r="Q328" s="12"/>
      <c r="R328" s="50"/>
      <c r="S328" s="50"/>
      <c r="T328" s="50"/>
      <c r="U328" s="53"/>
      <c r="V328" s="54"/>
      <c r="W328" s="56"/>
      <c r="X328" s="119"/>
      <c r="Y328" s="113"/>
      <c r="Z328" s="113"/>
      <c r="AH328" s="106"/>
      <c r="AI328" s="106"/>
    </row>
    <row r="329">
      <c r="A329" s="38"/>
      <c r="B329" s="38"/>
      <c r="C329" s="38"/>
      <c r="D329" s="38"/>
      <c r="E329" s="38"/>
      <c r="F329" s="41"/>
      <c r="G329" s="43"/>
      <c r="H329" s="45"/>
      <c r="I329" s="38"/>
      <c r="J329" s="38"/>
      <c r="K329" s="46"/>
      <c r="L329" s="47"/>
      <c r="M329" s="46"/>
      <c r="N329" s="46"/>
      <c r="O329" s="38"/>
      <c r="P329" s="38"/>
      <c r="Q329" s="12"/>
      <c r="R329" s="50"/>
      <c r="S329" s="50"/>
      <c r="T329" s="50"/>
      <c r="U329" s="53"/>
      <c r="V329" s="54"/>
      <c r="W329" s="56"/>
      <c r="X329" s="119"/>
      <c r="Y329" s="113"/>
      <c r="Z329" s="113"/>
      <c r="AH329" s="106"/>
      <c r="AI329" s="106"/>
    </row>
    <row r="330">
      <c r="A330" s="38"/>
      <c r="B330" s="38"/>
      <c r="C330" s="38"/>
      <c r="D330" s="38"/>
      <c r="E330" s="38"/>
      <c r="F330" s="41"/>
      <c r="G330" s="43"/>
      <c r="H330" s="45"/>
      <c r="I330" s="38"/>
      <c r="J330" s="38"/>
      <c r="K330" s="46"/>
      <c r="L330" s="47"/>
      <c r="M330" s="46"/>
      <c r="N330" s="46"/>
      <c r="O330" s="38"/>
      <c r="P330" s="38"/>
      <c r="Q330" s="12"/>
      <c r="R330" s="50"/>
      <c r="S330" s="50"/>
      <c r="T330" s="50"/>
      <c r="U330" s="53"/>
      <c r="V330" s="54"/>
      <c r="W330" s="56"/>
      <c r="X330" s="119"/>
      <c r="Y330" s="113"/>
      <c r="Z330" s="113"/>
      <c r="AH330" s="106"/>
      <c r="AI330" s="106"/>
    </row>
    <row r="331">
      <c r="A331" s="38"/>
      <c r="B331" s="38"/>
      <c r="C331" s="38"/>
      <c r="D331" s="38"/>
      <c r="E331" s="38"/>
      <c r="F331" s="41"/>
      <c r="G331" s="43"/>
      <c r="H331" s="45"/>
      <c r="I331" s="38"/>
      <c r="J331" s="38"/>
      <c r="K331" s="46"/>
      <c r="L331" s="47"/>
      <c r="M331" s="46"/>
      <c r="N331" s="46"/>
      <c r="O331" s="38"/>
      <c r="P331" s="38"/>
      <c r="Q331" s="12"/>
      <c r="R331" s="50"/>
      <c r="S331" s="50"/>
      <c r="T331" s="50"/>
      <c r="U331" s="53"/>
      <c r="V331" s="54"/>
      <c r="W331" s="56"/>
      <c r="X331" s="119"/>
      <c r="Y331" s="113"/>
      <c r="Z331" s="113"/>
      <c r="AH331" s="106"/>
      <c r="AI331" s="106"/>
    </row>
    <row r="332">
      <c r="A332" s="38"/>
      <c r="B332" s="38"/>
      <c r="C332" s="38"/>
      <c r="D332" s="38"/>
      <c r="E332" s="38"/>
      <c r="F332" s="41"/>
      <c r="G332" s="43"/>
      <c r="H332" s="45"/>
      <c r="I332" s="38"/>
      <c r="J332" s="38"/>
      <c r="K332" s="46"/>
      <c r="L332" s="47"/>
      <c r="M332" s="46"/>
      <c r="N332" s="46"/>
      <c r="O332" s="38"/>
      <c r="P332" s="38"/>
      <c r="Q332" s="12"/>
      <c r="R332" s="50"/>
      <c r="S332" s="50"/>
      <c r="T332" s="50"/>
      <c r="U332" s="53"/>
      <c r="V332" s="54"/>
      <c r="W332" s="56"/>
      <c r="X332" s="119"/>
      <c r="Y332" s="113"/>
      <c r="Z332" s="113"/>
      <c r="AH332" s="106"/>
      <c r="AI332" s="106"/>
    </row>
    <row r="333">
      <c r="A333" s="38"/>
      <c r="B333" s="38"/>
      <c r="C333" s="38"/>
      <c r="D333" s="38"/>
      <c r="E333" s="38"/>
      <c r="F333" s="41"/>
      <c r="G333" s="43"/>
      <c r="H333" s="45"/>
      <c r="I333" s="38"/>
      <c r="J333" s="38"/>
      <c r="K333" s="46"/>
      <c r="L333" s="47"/>
      <c r="M333" s="46"/>
      <c r="N333" s="46"/>
      <c r="O333" s="38"/>
      <c r="P333" s="38"/>
      <c r="Q333" s="12"/>
      <c r="R333" s="50"/>
      <c r="S333" s="50"/>
      <c r="T333" s="50"/>
      <c r="U333" s="53"/>
      <c r="V333" s="54"/>
      <c r="W333" s="56"/>
      <c r="X333" s="119"/>
      <c r="Y333" s="113"/>
      <c r="Z333" s="113"/>
      <c r="AH333" s="106"/>
      <c r="AI333" s="106"/>
    </row>
    <row r="334">
      <c r="A334" s="38"/>
      <c r="B334" s="38"/>
      <c r="C334" s="38"/>
      <c r="D334" s="38"/>
      <c r="E334" s="38"/>
      <c r="F334" s="41"/>
      <c r="G334" s="43"/>
      <c r="H334" s="45"/>
      <c r="I334" s="38"/>
      <c r="J334" s="38"/>
      <c r="K334" s="46"/>
      <c r="L334" s="47"/>
      <c r="M334" s="46"/>
      <c r="N334" s="46"/>
      <c r="O334" s="38"/>
      <c r="P334" s="38"/>
      <c r="Q334" s="12"/>
      <c r="R334" s="50"/>
      <c r="S334" s="50"/>
      <c r="T334" s="50"/>
      <c r="U334" s="53"/>
      <c r="V334" s="54"/>
      <c r="W334" s="56"/>
      <c r="X334" s="119"/>
      <c r="Y334" s="113"/>
      <c r="Z334" s="113"/>
      <c r="AH334" s="106"/>
      <c r="AI334" s="106"/>
    </row>
    <row r="335">
      <c r="A335" s="38"/>
      <c r="B335" s="38"/>
      <c r="C335" s="38"/>
      <c r="D335" s="38"/>
      <c r="E335" s="38"/>
      <c r="F335" s="41"/>
      <c r="G335" s="43"/>
      <c r="H335" s="45"/>
      <c r="I335" s="38"/>
      <c r="J335" s="38"/>
      <c r="K335" s="46"/>
      <c r="L335" s="47"/>
      <c r="M335" s="46"/>
      <c r="N335" s="46"/>
      <c r="O335" s="38"/>
      <c r="P335" s="38"/>
      <c r="Q335" s="12"/>
      <c r="R335" s="50"/>
      <c r="S335" s="50"/>
      <c r="T335" s="50"/>
      <c r="U335" s="53"/>
      <c r="V335" s="54"/>
      <c r="W335" s="56"/>
      <c r="X335" s="119"/>
      <c r="Y335" s="113"/>
      <c r="Z335" s="113"/>
      <c r="AH335" s="106"/>
      <c r="AI335" s="106"/>
    </row>
    <row r="336">
      <c r="A336" s="38"/>
      <c r="B336" s="38"/>
      <c r="C336" s="38"/>
      <c r="D336" s="38"/>
      <c r="E336" s="38"/>
      <c r="F336" s="41"/>
      <c r="G336" s="43"/>
      <c r="H336" s="45"/>
      <c r="I336" s="38"/>
      <c r="J336" s="38"/>
      <c r="K336" s="46"/>
      <c r="L336" s="47"/>
      <c r="M336" s="46"/>
      <c r="N336" s="46"/>
      <c r="O336" s="38"/>
      <c r="P336" s="38"/>
      <c r="Q336" s="12"/>
      <c r="R336" s="50"/>
      <c r="S336" s="50"/>
      <c r="T336" s="50"/>
      <c r="U336" s="53"/>
      <c r="V336" s="54"/>
      <c r="W336" s="56"/>
      <c r="X336" s="119"/>
      <c r="Y336" s="113"/>
      <c r="Z336" s="113"/>
      <c r="AH336" s="106"/>
      <c r="AI336" s="106"/>
    </row>
    <row r="337">
      <c r="A337" s="38"/>
      <c r="B337" s="38"/>
      <c r="C337" s="38"/>
      <c r="D337" s="38"/>
      <c r="E337" s="38"/>
      <c r="F337" s="41"/>
      <c r="G337" s="43"/>
      <c r="H337" s="45"/>
      <c r="I337" s="38"/>
      <c r="J337" s="38"/>
      <c r="K337" s="46"/>
      <c r="L337" s="47"/>
      <c r="M337" s="46"/>
      <c r="N337" s="46"/>
      <c r="O337" s="38"/>
      <c r="P337" s="38"/>
      <c r="Q337" s="12"/>
      <c r="R337" s="50"/>
      <c r="S337" s="50"/>
      <c r="T337" s="50"/>
      <c r="U337" s="53"/>
      <c r="V337" s="54"/>
      <c r="W337" s="56"/>
      <c r="X337" s="119"/>
      <c r="Y337" s="113"/>
      <c r="Z337" s="113"/>
      <c r="AH337" s="106"/>
      <c r="AI337" s="106"/>
    </row>
    <row r="338">
      <c r="A338" s="38"/>
      <c r="B338" s="38"/>
      <c r="C338" s="38"/>
      <c r="D338" s="38"/>
      <c r="E338" s="38"/>
      <c r="F338" s="41"/>
      <c r="G338" s="43"/>
      <c r="H338" s="45"/>
      <c r="I338" s="38"/>
      <c r="J338" s="38"/>
      <c r="K338" s="46"/>
      <c r="L338" s="47"/>
      <c r="M338" s="46"/>
      <c r="N338" s="46"/>
      <c r="O338" s="38"/>
      <c r="P338" s="38"/>
      <c r="Q338" s="12"/>
      <c r="R338" s="50"/>
      <c r="S338" s="50"/>
      <c r="T338" s="50"/>
      <c r="U338" s="53"/>
      <c r="V338" s="54"/>
      <c r="W338" s="56"/>
      <c r="X338" s="119"/>
      <c r="Y338" s="113"/>
      <c r="Z338" s="113"/>
      <c r="AH338" s="106"/>
      <c r="AI338" s="106"/>
    </row>
    <row r="339">
      <c r="A339" s="38"/>
      <c r="B339" s="38"/>
      <c r="C339" s="38"/>
      <c r="D339" s="38"/>
      <c r="E339" s="38"/>
      <c r="F339" s="41"/>
      <c r="G339" s="43"/>
      <c r="H339" s="45"/>
      <c r="I339" s="38"/>
      <c r="J339" s="38"/>
      <c r="K339" s="46"/>
      <c r="L339" s="47"/>
      <c r="M339" s="46"/>
      <c r="N339" s="46"/>
      <c r="O339" s="38"/>
      <c r="P339" s="38"/>
      <c r="Q339" s="12"/>
      <c r="R339" s="50"/>
      <c r="S339" s="50"/>
      <c r="T339" s="50"/>
      <c r="U339" s="53"/>
      <c r="V339" s="54"/>
      <c r="W339" s="56"/>
      <c r="X339" s="119"/>
      <c r="Y339" s="113"/>
      <c r="Z339" s="113"/>
      <c r="AH339" s="106"/>
      <c r="AI339" s="106"/>
    </row>
    <row r="340">
      <c r="A340" s="38"/>
      <c r="B340" s="38"/>
      <c r="C340" s="38"/>
      <c r="D340" s="38"/>
      <c r="E340" s="38"/>
      <c r="F340" s="41"/>
      <c r="G340" s="43"/>
      <c r="H340" s="45"/>
      <c r="I340" s="38"/>
      <c r="J340" s="38"/>
      <c r="K340" s="46"/>
      <c r="L340" s="47"/>
      <c r="M340" s="46"/>
      <c r="N340" s="46"/>
      <c r="O340" s="38"/>
      <c r="P340" s="38"/>
      <c r="Q340" s="12"/>
      <c r="R340" s="50"/>
      <c r="S340" s="50"/>
      <c r="T340" s="50"/>
      <c r="U340" s="53"/>
      <c r="V340" s="54"/>
      <c r="W340" s="56"/>
      <c r="X340" s="119"/>
      <c r="Y340" s="113"/>
      <c r="Z340" s="113"/>
      <c r="AH340" s="106"/>
      <c r="AI340" s="106"/>
    </row>
    <row r="341">
      <c r="A341" s="38"/>
      <c r="B341" s="38"/>
      <c r="C341" s="38"/>
      <c r="D341" s="38"/>
      <c r="E341" s="38"/>
      <c r="F341" s="41"/>
      <c r="G341" s="43"/>
      <c r="H341" s="45"/>
      <c r="I341" s="38"/>
      <c r="J341" s="38"/>
      <c r="K341" s="46"/>
      <c r="L341" s="47"/>
      <c r="M341" s="46"/>
      <c r="N341" s="46"/>
      <c r="O341" s="38"/>
      <c r="P341" s="38"/>
      <c r="Q341" s="12"/>
      <c r="R341" s="50"/>
      <c r="S341" s="50"/>
      <c r="T341" s="50"/>
      <c r="U341" s="53"/>
      <c r="V341" s="54"/>
      <c r="W341" s="56"/>
      <c r="X341" s="119"/>
      <c r="Y341" s="113"/>
      <c r="Z341" s="113"/>
      <c r="AH341" s="106"/>
      <c r="AI341" s="106"/>
    </row>
    <row r="342">
      <c r="A342" s="38"/>
      <c r="B342" s="38"/>
      <c r="C342" s="38"/>
      <c r="D342" s="38"/>
      <c r="E342" s="38"/>
      <c r="F342" s="41"/>
      <c r="G342" s="43"/>
      <c r="H342" s="45"/>
      <c r="I342" s="38"/>
      <c r="J342" s="38"/>
      <c r="K342" s="46"/>
      <c r="L342" s="47"/>
      <c r="M342" s="46"/>
      <c r="N342" s="46"/>
      <c r="O342" s="38"/>
      <c r="P342" s="38"/>
      <c r="Q342" s="12"/>
      <c r="R342" s="50"/>
      <c r="S342" s="50"/>
      <c r="T342" s="50"/>
      <c r="U342" s="53"/>
      <c r="V342" s="54"/>
      <c r="W342" s="56"/>
      <c r="X342" s="119"/>
      <c r="Y342" s="113"/>
      <c r="Z342" s="113"/>
      <c r="AH342" s="106"/>
      <c r="AI342" s="106"/>
    </row>
    <row r="343">
      <c r="A343" s="38"/>
      <c r="B343" s="38"/>
      <c r="C343" s="38"/>
      <c r="D343" s="38"/>
      <c r="E343" s="38"/>
      <c r="F343" s="41"/>
      <c r="G343" s="43"/>
      <c r="H343" s="45"/>
      <c r="I343" s="38"/>
      <c r="J343" s="38"/>
      <c r="K343" s="46"/>
      <c r="L343" s="47"/>
      <c r="M343" s="46"/>
      <c r="N343" s="46"/>
      <c r="O343" s="38"/>
      <c r="P343" s="38"/>
      <c r="Q343" s="12"/>
      <c r="R343" s="50"/>
      <c r="S343" s="50"/>
      <c r="T343" s="50"/>
      <c r="U343" s="53"/>
      <c r="V343" s="54"/>
      <c r="W343" s="56"/>
      <c r="X343" s="119"/>
      <c r="Y343" s="113"/>
      <c r="Z343" s="113"/>
      <c r="AH343" s="106"/>
      <c r="AI343" s="106"/>
    </row>
    <row r="344">
      <c r="A344" s="38"/>
      <c r="B344" s="38"/>
      <c r="C344" s="38"/>
      <c r="D344" s="38"/>
      <c r="E344" s="38"/>
      <c r="F344" s="41"/>
      <c r="G344" s="43"/>
      <c r="H344" s="45"/>
      <c r="I344" s="38"/>
      <c r="J344" s="38"/>
      <c r="K344" s="46"/>
      <c r="L344" s="47"/>
      <c r="M344" s="46"/>
      <c r="N344" s="46"/>
      <c r="O344" s="38"/>
      <c r="P344" s="38"/>
      <c r="Q344" s="12"/>
      <c r="R344" s="50"/>
      <c r="S344" s="50"/>
      <c r="T344" s="50"/>
      <c r="U344" s="53"/>
      <c r="V344" s="54"/>
      <c r="W344" s="56"/>
      <c r="X344" s="119"/>
      <c r="Y344" s="113"/>
      <c r="Z344" s="113"/>
      <c r="AH344" s="106"/>
      <c r="AI344" s="106"/>
    </row>
    <row r="345">
      <c r="A345" s="38"/>
      <c r="B345" s="38"/>
      <c r="C345" s="38"/>
      <c r="D345" s="38"/>
      <c r="E345" s="38"/>
      <c r="F345" s="41"/>
      <c r="G345" s="43"/>
      <c r="H345" s="45"/>
      <c r="I345" s="38"/>
      <c r="J345" s="38"/>
      <c r="K345" s="46"/>
      <c r="L345" s="47"/>
      <c r="M345" s="46"/>
      <c r="N345" s="46"/>
      <c r="O345" s="38"/>
      <c r="P345" s="38"/>
      <c r="Q345" s="12"/>
      <c r="R345" s="50"/>
      <c r="S345" s="50"/>
      <c r="T345" s="50"/>
      <c r="U345" s="53"/>
      <c r="V345" s="54"/>
      <c r="W345" s="56"/>
      <c r="X345" s="119"/>
      <c r="Y345" s="113"/>
      <c r="Z345" s="113"/>
      <c r="AH345" s="106"/>
      <c r="AI345" s="106"/>
    </row>
    <row r="346">
      <c r="A346" s="38"/>
      <c r="B346" s="38"/>
      <c r="C346" s="38"/>
      <c r="D346" s="38"/>
      <c r="E346" s="38"/>
      <c r="F346" s="41"/>
      <c r="G346" s="43"/>
      <c r="H346" s="45"/>
      <c r="I346" s="38"/>
      <c r="J346" s="38"/>
      <c r="K346" s="46"/>
      <c r="L346" s="47"/>
      <c r="M346" s="46"/>
      <c r="N346" s="46"/>
      <c r="O346" s="38"/>
      <c r="P346" s="38"/>
      <c r="Q346" s="12"/>
      <c r="R346" s="50"/>
      <c r="S346" s="50"/>
      <c r="T346" s="50"/>
      <c r="U346" s="53"/>
      <c r="V346" s="54"/>
      <c r="W346" s="56"/>
      <c r="X346" s="119"/>
      <c r="Y346" s="113"/>
      <c r="Z346" s="113"/>
      <c r="AH346" s="106"/>
      <c r="AI346" s="106"/>
    </row>
    <row r="347">
      <c r="A347" s="38"/>
      <c r="B347" s="38"/>
      <c r="C347" s="38"/>
      <c r="D347" s="38"/>
      <c r="E347" s="38"/>
      <c r="F347" s="41"/>
      <c r="G347" s="43"/>
      <c r="H347" s="45"/>
      <c r="I347" s="38"/>
      <c r="J347" s="38"/>
      <c r="K347" s="46"/>
      <c r="L347" s="47"/>
      <c r="M347" s="46"/>
      <c r="N347" s="46"/>
      <c r="O347" s="38"/>
      <c r="P347" s="38"/>
      <c r="Q347" s="12"/>
      <c r="R347" s="50"/>
      <c r="S347" s="50"/>
      <c r="T347" s="50"/>
      <c r="U347" s="53"/>
      <c r="V347" s="54"/>
      <c r="W347" s="56"/>
      <c r="X347" s="119"/>
      <c r="Y347" s="113"/>
      <c r="Z347" s="113"/>
      <c r="AH347" s="106"/>
      <c r="AI347" s="106"/>
    </row>
    <row r="348">
      <c r="A348" s="38"/>
      <c r="B348" s="38"/>
      <c r="C348" s="38"/>
      <c r="D348" s="38"/>
      <c r="E348" s="38"/>
      <c r="F348" s="41"/>
      <c r="G348" s="43"/>
      <c r="H348" s="45"/>
      <c r="I348" s="38"/>
      <c r="J348" s="38"/>
      <c r="K348" s="46"/>
      <c r="L348" s="47"/>
      <c r="M348" s="46"/>
      <c r="N348" s="46"/>
      <c r="O348" s="38"/>
      <c r="P348" s="38"/>
      <c r="Q348" s="12"/>
      <c r="R348" s="50"/>
      <c r="S348" s="50"/>
      <c r="T348" s="50"/>
      <c r="U348" s="53"/>
      <c r="V348" s="54"/>
      <c r="W348" s="56"/>
      <c r="X348" s="119"/>
      <c r="Y348" s="113"/>
      <c r="Z348" s="113"/>
      <c r="AH348" s="106"/>
      <c r="AI348" s="106"/>
    </row>
    <row r="349">
      <c r="A349" s="38"/>
      <c r="B349" s="38"/>
      <c r="C349" s="38"/>
      <c r="D349" s="38"/>
      <c r="E349" s="38"/>
      <c r="F349" s="41"/>
      <c r="G349" s="43"/>
      <c r="H349" s="45"/>
      <c r="I349" s="38"/>
      <c r="J349" s="38"/>
      <c r="K349" s="46"/>
      <c r="L349" s="47"/>
      <c r="M349" s="46"/>
      <c r="N349" s="46"/>
      <c r="O349" s="38"/>
      <c r="P349" s="38"/>
      <c r="Q349" s="12"/>
      <c r="R349" s="50"/>
      <c r="S349" s="50"/>
      <c r="T349" s="50"/>
      <c r="U349" s="53"/>
      <c r="V349" s="54"/>
      <c r="W349" s="56"/>
      <c r="X349" s="119"/>
      <c r="Y349" s="113"/>
      <c r="Z349" s="113"/>
      <c r="AH349" s="106"/>
      <c r="AI349" s="106"/>
    </row>
    <row r="350">
      <c r="A350" s="38"/>
      <c r="B350" s="38"/>
      <c r="C350" s="38"/>
      <c r="D350" s="38"/>
      <c r="E350" s="38"/>
      <c r="F350" s="41"/>
      <c r="G350" s="43"/>
      <c r="H350" s="45"/>
      <c r="I350" s="38"/>
      <c r="J350" s="38"/>
      <c r="K350" s="46"/>
      <c r="L350" s="47"/>
      <c r="M350" s="46"/>
      <c r="N350" s="46"/>
      <c r="O350" s="38"/>
      <c r="P350" s="38"/>
      <c r="Q350" s="12"/>
      <c r="R350" s="50"/>
      <c r="S350" s="50"/>
      <c r="T350" s="50"/>
      <c r="U350" s="53"/>
      <c r="V350" s="54"/>
      <c r="W350" s="56"/>
      <c r="X350" s="119"/>
      <c r="Y350" s="113"/>
      <c r="Z350" s="113"/>
      <c r="AH350" s="106"/>
      <c r="AI350" s="106"/>
    </row>
    <row r="351">
      <c r="A351" s="38"/>
      <c r="B351" s="38"/>
      <c r="C351" s="38"/>
      <c r="D351" s="38"/>
      <c r="E351" s="38"/>
      <c r="F351" s="41"/>
      <c r="G351" s="43"/>
      <c r="H351" s="45"/>
      <c r="I351" s="38"/>
      <c r="J351" s="38"/>
      <c r="K351" s="46"/>
      <c r="L351" s="47"/>
      <c r="M351" s="46"/>
      <c r="N351" s="46"/>
      <c r="O351" s="38"/>
      <c r="P351" s="38"/>
      <c r="Q351" s="12"/>
      <c r="R351" s="50"/>
      <c r="S351" s="50"/>
      <c r="T351" s="50"/>
      <c r="U351" s="53"/>
      <c r="V351" s="54"/>
      <c r="W351" s="56"/>
      <c r="X351" s="119"/>
      <c r="Y351" s="113"/>
      <c r="Z351" s="113"/>
      <c r="AH351" s="106"/>
      <c r="AI351" s="106"/>
    </row>
    <row r="352">
      <c r="A352" s="38"/>
      <c r="B352" s="38"/>
      <c r="C352" s="38"/>
      <c r="D352" s="38"/>
      <c r="E352" s="38"/>
      <c r="F352" s="41"/>
      <c r="G352" s="43"/>
      <c r="H352" s="45"/>
      <c r="I352" s="38"/>
      <c r="J352" s="38"/>
      <c r="K352" s="46"/>
      <c r="L352" s="47"/>
      <c r="M352" s="46"/>
      <c r="N352" s="46"/>
      <c r="O352" s="38"/>
      <c r="P352" s="38"/>
      <c r="Q352" s="12"/>
      <c r="R352" s="50"/>
      <c r="S352" s="50"/>
      <c r="T352" s="50"/>
      <c r="U352" s="53"/>
      <c r="V352" s="54"/>
      <c r="W352" s="56"/>
      <c r="X352" s="119"/>
      <c r="Y352" s="113"/>
      <c r="Z352" s="113"/>
      <c r="AH352" s="106"/>
      <c r="AI352" s="106"/>
    </row>
    <row r="353">
      <c r="A353" s="38"/>
      <c r="B353" s="38"/>
      <c r="C353" s="38"/>
      <c r="D353" s="38"/>
      <c r="E353" s="38"/>
      <c r="F353" s="41"/>
      <c r="G353" s="43"/>
      <c r="H353" s="45"/>
      <c r="I353" s="38"/>
      <c r="J353" s="38"/>
      <c r="K353" s="46"/>
      <c r="L353" s="47"/>
      <c r="M353" s="46"/>
      <c r="N353" s="46"/>
      <c r="O353" s="38"/>
      <c r="P353" s="38"/>
      <c r="Q353" s="12"/>
      <c r="R353" s="50"/>
      <c r="S353" s="50"/>
      <c r="T353" s="50"/>
      <c r="U353" s="53"/>
      <c r="V353" s="54"/>
      <c r="W353" s="56"/>
      <c r="X353" s="119"/>
      <c r="Y353" s="113"/>
      <c r="Z353" s="113"/>
      <c r="AH353" s="106"/>
      <c r="AI353" s="106"/>
    </row>
    <row r="354">
      <c r="A354" s="38"/>
      <c r="B354" s="38"/>
      <c r="C354" s="38"/>
      <c r="D354" s="38"/>
      <c r="E354" s="38"/>
      <c r="F354" s="41"/>
      <c r="G354" s="43"/>
      <c r="H354" s="45"/>
      <c r="I354" s="38"/>
      <c r="J354" s="38"/>
      <c r="K354" s="46"/>
      <c r="L354" s="47"/>
      <c r="M354" s="46"/>
      <c r="N354" s="46"/>
      <c r="O354" s="38"/>
      <c r="P354" s="38"/>
      <c r="Q354" s="12"/>
      <c r="R354" s="50"/>
      <c r="S354" s="50"/>
      <c r="T354" s="50"/>
      <c r="U354" s="53"/>
      <c r="V354" s="54"/>
      <c r="W354" s="56"/>
      <c r="X354" s="119"/>
      <c r="Y354" s="113"/>
      <c r="Z354" s="113"/>
      <c r="AH354" s="106"/>
      <c r="AI354" s="106"/>
    </row>
    <row r="355">
      <c r="A355" s="38"/>
      <c r="B355" s="38"/>
      <c r="C355" s="38"/>
      <c r="D355" s="38"/>
      <c r="E355" s="38"/>
      <c r="F355" s="41"/>
      <c r="G355" s="43"/>
      <c r="H355" s="45"/>
      <c r="I355" s="38"/>
      <c r="J355" s="38"/>
      <c r="K355" s="46"/>
      <c r="L355" s="47"/>
      <c r="M355" s="46"/>
      <c r="N355" s="46"/>
      <c r="O355" s="38"/>
      <c r="P355" s="38"/>
      <c r="Q355" s="12"/>
      <c r="R355" s="50"/>
      <c r="S355" s="50"/>
      <c r="T355" s="50"/>
      <c r="U355" s="53"/>
      <c r="V355" s="54"/>
      <c r="W355" s="56"/>
      <c r="X355" s="119"/>
      <c r="Y355" s="113"/>
      <c r="Z355" s="113"/>
      <c r="AH355" s="106"/>
      <c r="AI355" s="106"/>
    </row>
    <row r="356">
      <c r="A356" s="38"/>
      <c r="B356" s="38"/>
      <c r="C356" s="38"/>
      <c r="D356" s="38"/>
      <c r="E356" s="38"/>
      <c r="F356" s="41"/>
      <c r="G356" s="43"/>
      <c r="H356" s="45"/>
      <c r="I356" s="38"/>
      <c r="J356" s="38"/>
      <c r="K356" s="46"/>
      <c r="L356" s="47"/>
      <c r="M356" s="46"/>
      <c r="N356" s="46"/>
      <c r="O356" s="38"/>
      <c r="P356" s="38"/>
      <c r="Q356" s="12"/>
      <c r="R356" s="50"/>
      <c r="S356" s="50"/>
      <c r="T356" s="50"/>
      <c r="U356" s="53"/>
      <c r="V356" s="54"/>
      <c r="W356" s="56"/>
      <c r="X356" s="119"/>
      <c r="Y356" s="113"/>
      <c r="Z356" s="113"/>
      <c r="AH356" s="106"/>
      <c r="AI356" s="106"/>
    </row>
    <row r="357">
      <c r="A357" s="38"/>
      <c r="B357" s="38"/>
      <c r="C357" s="38"/>
      <c r="D357" s="38"/>
      <c r="E357" s="38"/>
      <c r="F357" s="41"/>
      <c r="G357" s="43"/>
      <c r="H357" s="45"/>
      <c r="I357" s="38"/>
      <c r="J357" s="38"/>
      <c r="K357" s="46"/>
      <c r="L357" s="47"/>
      <c r="M357" s="46"/>
      <c r="N357" s="46"/>
      <c r="O357" s="38"/>
      <c r="P357" s="38"/>
      <c r="Q357" s="12"/>
      <c r="R357" s="50"/>
      <c r="S357" s="50"/>
      <c r="T357" s="50"/>
      <c r="U357" s="53"/>
      <c r="V357" s="54"/>
      <c r="W357" s="56"/>
      <c r="X357" s="119"/>
      <c r="Y357" s="113"/>
      <c r="Z357" s="113"/>
      <c r="AH357" s="106"/>
      <c r="AI357" s="106"/>
    </row>
    <row r="358">
      <c r="A358" s="38"/>
      <c r="B358" s="38"/>
      <c r="C358" s="38"/>
      <c r="D358" s="38"/>
      <c r="E358" s="38"/>
      <c r="F358" s="41"/>
      <c r="G358" s="43"/>
      <c r="H358" s="45"/>
      <c r="I358" s="38"/>
      <c r="J358" s="38"/>
      <c r="K358" s="46"/>
      <c r="L358" s="47"/>
      <c r="M358" s="46"/>
      <c r="N358" s="46"/>
      <c r="O358" s="38"/>
      <c r="P358" s="38"/>
      <c r="Q358" s="12"/>
      <c r="R358" s="50"/>
      <c r="S358" s="50"/>
      <c r="T358" s="50"/>
      <c r="U358" s="53"/>
      <c r="V358" s="54"/>
      <c r="W358" s="56"/>
      <c r="X358" s="119"/>
      <c r="Y358" s="113"/>
      <c r="Z358" s="113"/>
      <c r="AH358" s="106"/>
      <c r="AI358" s="106"/>
    </row>
    <row r="359">
      <c r="A359" s="38"/>
      <c r="B359" s="38"/>
      <c r="C359" s="38"/>
      <c r="D359" s="38"/>
      <c r="E359" s="38"/>
      <c r="F359" s="41"/>
      <c r="G359" s="43"/>
      <c r="H359" s="45"/>
      <c r="I359" s="38"/>
      <c r="J359" s="38"/>
      <c r="K359" s="46"/>
      <c r="L359" s="47"/>
      <c r="M359" s="46"/>
      <c r="N359" s="46"/>
      <c r="O359" s="38"/>
      <c r="P359" s="38"/>
      <c r="Q359" s="12"/>
      <c r="R359" s="50"/>
      <c r="S359" s="50"/>
      <c r="T359" s="50"/>
      <c r="U359" s="53"/>
      <c r="V359" s="54"/>
      <c r="W359" s="56"/>
      <c r="X359" s="119"/>
      <c r="Y359" s="113"/>
      <c r="Z359" s="113"/>
      <c r="AH359" s="106"/>
      <c r="AI359" s="106"/>
    </row>
    <row r="360">
      <c r="A360" s="38"/>
      <c r="B360" s="38"/>
      <c r="C360" s="38"/>
      <c r="D360" s="38"/>
      <c r="E360" s="38"/>
      <c r="F360" s="41"/>
      <c r="G360" s="43"/>
      <c r="H360" s="45"/>
      <c r="I360" s="38"/>
      <c r="J360" s="38"/>
      <c r="K360" s="46"/>
      <c r="L360" s="47"/>
      <c r="M360" s="46"/>
      <c r="N360" s="46"/>
      <c r="O360" s="38"/>
      <c r="P360" s="38"/>
      <c r="Q360" s="12"/>
      <c r="R360" s="50"/>
      <c r="S360" s="50"/>
      <c r="T360" s="50"/>
      <c r="U360" s="53"/>
      <c r="V360" s="54"/>
      <c r="W360" s="56"/>
      <c r="X360" s="119"/>
      <c r="Y360" s="113"/>
      <c r="Z360" s="113"/>
      <c r="AH360" s="106"/>
      <c r="AI360" s="106"/>
    </row>
    <row r="361">
      <c r="A361" s="38"/>
      <c r="B361" s="38"/>
      <c r="C361" s="38"/>
      <c r="D361" s="38"/>
      <c r="E361" s="38"/>
      <c r="F361" s="41"/>
      <c r="G361" s="43"/>
      <c r="H361" s="45"/>
      <c r="I361" s="38"/>
      <c r="J361" s="38"/>
      <c r="K361" s="46"/>
      <c r="L361" s="47"/>
      <c r="M361" s="46"/>
      <c r="N361" s="46"/>
      <c r="O361" s="38"/>
      <c r="P361" s="38"/>
      <c r="Q361" s="12"/>
      <c r="R361" s="50"/>
      <c r="S361" s="50"/>
      <c r="T361" s="50"/>
      <c r="U361" s="53"/>
      <c r="V361" s="54"/>
      <c r="W361" s="56"/>
      <c r="X361" s="119"/>
      <c r="Y361" s="113"/>
      <c r="Z361" s="113"/>
      <c r="AH361" s="106"/>
      <c r="AI361" s="106"/>
    </row>
    <row r="362">
      <c r="A362" s="38"/>
      <c r="B362" s="38"/>
      <c r="C362" s="38"/>
      <c r="D362" s="38"/>
      <c r="E362" s="38"/>
      <c r="F362" s="41"/>
      <c r="G362" s="43"/>
      <c r="H362" s="45"/>
      <c r="I362" s="38"/>
      <c r="J362" s="38"/>
      <c r="K362" s="46"/>
      <c r="L362" s="47"/>
      <c r="M362" s="46"/>
      <c r="N362" s="46"/>
      <c r="O362" s="38"/>
      <c r="P362" s="38"/>
      <c r="Q362" s="12"/>
      <c r="R362" s="50"/>
      <c r="S362" s="50"/>
      <c r="T362" s="50"/>
      <c r="U362" s="53"/>
      <c r="V362" s="54"/>
      <c r="W362" s="56"/>
      <c r="X362" s="119"/>
      <c r="Y362" s="113"/>
      <c r="Z362" s="113"/>
      <c r="AH362" s="106"/>
      <c r="AI362" s="106"/>
    </row>
    <row r="363">
      <c r="A363" s="38"/>
      <c r="B363" s="38"/>
      <c r="C363" s="38"/>
      <c r="D363" s="38"/>
      <c r="E363" s="38"/>
      <c r="F363" s="41"/>
      <c r="G363" s="43"/>
      <c r="H363" s="45"/>
      <c r="I363" s="38"/>
      <c r="J363" s="38"/>
      <c r="K363" s="46"/>
      <c r="L363" s="47"/>
      <c r="M363" s="46"/>
      <c r="N363" s="46"/>
      <c r="O363" s="38"/>
      <c r="P363" s="38"/>
      <c r="Q363" s="12"/>
      <c r="R363" s="50"/>
      <c r="S363" s="50"/>
      <c r="T363" s="50"/>
      <c r="U363" s="53"/>
      <c r="V363" s="54"/>
      <c r="W363" s="56"/>
      <c r="X363" s="119"/>
      <c r="Y363" s="113"/>
      <c r="Z363" s="113"/>
      <c r="AH363" s="106"/>
      <c r="AI363" s="106"/>
    </row>
    <row r="364">
      <c r="A364" s="38"/>
      <c r="B364" s="38"/>
      <c r="C364" s="38"/>
      <c r="D364" s="38"/>
      <c r="E364" s="38"/>
      <c r="F364" s="41"/>
      <c r="G364" s="43"/>
      <c r="H364" s="45"/>
      <c r="I364" s="38"/>
      <c r="J364" s="38"/>
      <c r="K364" s="46"/>
      <c r="L364" s="47"/>
      <c r="M364" s="46"/>
      <c r="N364" s="46"/>
      <c r="O364" s="38"/>
      <c r="P364" s="38"/>
      <c r="Q364" s="12"/>
      <c r="R364" s="50"/>
      <c r="S364" s="50"/>
      <c r="T364" s="50"/>
      <c r="U364" s="53"/>
      <c r="V364" s="54"/>
      <c r="W364" s="56"/>
      <c r="X364" s="119"/>
      <c r="Y364" s="113"/>
      <c r="Z364" s="113"/>
      <c r="AH364" s="106"/>
      <c r="AI364" s="106"/>
    </row>
    <row r="365">
      <c r="A365" s="38"/>
      <c r="B365" s="38"/>
      <c r="C365" s="38"/>
      <c r="D365" s="38"/>
      <c r="E365" s="38"/>
      <c r="F365" s="41"/>
      <c r="G365" s="43"/>
      <c r="H365" s="45"/>
      <c r="I365" s="38"/>
      <c r="J365" s="38"/>
      <c r="K365" s="46"/>
      <c r="L365" s="47"/>
      <c r="M365" s="46"/>
      <c r="N365" s="46"/>
      <c r="O365" s="38"/>
      <c r="P365" s="38"/>
      <c r="Q365" s="12"/>
      <c r="R365" s="50"/>
      <c r="S365" s="50"/>
      <c r="T365" s="50"/>
      <c r="U365" s="53"/>
      <c r="V365" s="54"/>
      <c r="W365" s="56"/>
      <c r="X365" s="119"/>
      <c r="Y365" s="113"/>
      <c r="Z365" s="113"/>
      <c r="AH365" s="106"/>
      <c r="AI365" s="106"/>
    </row>
    <row r="366">
      <c r="A366" s="38"/>
      <c r="B366" s="38"/>
      <c r="C366" s="38"/>
      <c r="D366" s="38"/>
      <c r="E366" s="38"/>
      <c r="F366" s="41"/>
      <c r="G366" s="43"/>
      <c r="H366" s="45"/>
      <c r="I366" s="38"/>
      <c r="J366" s="38"/>
      <c r="K366" s="46"/>
      <c r="L366" s="47"/>
      <c r="M366" s="46"/>
      <c r="N366" s="46"/>
      <c r="O366" s="38"/>
      <c r="P366" s="38"/>
      <c r="Q366" s="12"/>
      <c r="R366" s="50"/>
      <c r="S366" s="50"/>
      <c r="T366" s="50"/>
      <c r="U366" s="53"/>
      <c r="V366" s="54"/>
      <c r="W366" s="56"/>
      <c r="X366" s="119"/>
      <c r="Y366" s="113"/>
      <c r="Z366" s="113"/>
      <c r="AH366" s="106"/>
      <c r="AI366" s="106"/>
    </row>
    <row r="367">
      <c r="A367" s="38"/>
      <c r="B367" s="38"/>
      <c r="C367" s="38"/>
      <c r="D367" s="38"/>
      <c r="E367" s="38"/>
      <c r="F367" s="41"/>
      <c r="G367" s="43"/>
      <c r="H367" s="45"/>
      <c r="I367" s="38"/>
      <c r="J367" s="38"/>
      <c r="K367" s="46"/>
      <c r="L367" s="47"/>
      <c r="M367" s="46"/>
      <c r="N367" s="46"/>
      <c r="O367" s="38"/>
      <c r="P367" s="38"/>
      <c r="Q367" s="12"/>
      <c r="R367" s="50"/>
      <c r="S367" s="50"/>
      <c r="T367" s="50"/>
      <c r="U367" s="53"/>
      <c r="V367" s="54"/>
      <c r="W367" s="56"/>
      <c r="X367" s="119"/>
      <c r="Y367" s="113"/>
      <c r="Z367" s="113"/>
      <c r="AH367" s="106"/>
      <c r="AI367" s="106"/>
    </row>
    <row r="368">
      <c r="A368" s="38"/>
      <c r="B368" s="38"/>
      <c r="C368" s="38"/>
      <c r="D368" s="38"/>
      <c r="E368" s="38"/>
      <c r="F368" s="41"/>
      <c r="G368" s="43"/>
      <c r="H368" s="45"/>
      <c r="I368" s="38"/>
      <c r="J368" s="38"/>
      <c r="K368" s="46"/>
      <c r="L368" s="47"/>
      <c r="M368" s="46"/>
      <c r="N368" s="46"/>
      <c r="O368" s="38"/>
      <c r="P368" s="38"/>
      <c r="Q368" s="12"/>
      <c r="R368" s="50"/>
      <c r="S368" s="50"/>
      <c r="T368" s="50"/>
      <c r="U368" s="53"/>
      <c r="V368" s="54"/>
      <c r="W368" s="56"/>
      <c r="X368" s="119"/>
      <c r="Y368" s="113"/>
      <c r="Z368" s="113"/>
      <c r="AH368" s="106"/>
      <c r="AI368" s="106"/>
    </row>
    <row r="369">
      <c r="A369" s="38"/>
      <c r="B369" s="38"/>
      <c r="C369" s="38"/>
      <c r="D369" s="38"/>
      <c r="E369" s="38"/>
      <c r="F369" s="41"/>
      <c r="G369" s="43"/>
      <c r="H369" s="45"/>
      <c r="I369" s="38"/>
      <c r="J369" s="38"/>
      <c r="K369" s="46"/>
      <c r="L369" s="47"/>
      <c r="M369" s="46"/>
      <c r="N369" s="46"/>
      <c r="O369" s="38"/>
      <c r="P369" s="38"/>
      <c r="Q369" s="12"/>
      <c r="R369" s="50"/>
      <c r="S369" s="50"/>
      <c r="T369" s="50"/>
      <c r="U369" s="53"/>
      <c r="V369" s="54"/>
      <c r="W369" s="56"/>
      <c r="X369" s="119"/>
      <c r="Y369" s="113"/>
      <c r="Z369" s="113"/>
      <c r="AH369" s="106"/>
      <c r="AI369" s="106"/>
    </row>
    <row r="370">
      <c r="A370" s="38"/>
      <c r="B370" s="38"/>
      <c r="C370" s="38"/>
      <c r="D370" s="38"/>
      <c r="E370" s="38"/>
      <c r="F370" s="41"/>
      <c r="G370" s="43"/>
      <c r="H370" s="45"/>
      <c r="I370" s="38"/>
      <c r="J370" s="38"/>
      <c r="K370" s="46"/>
      <c r="L370" s="47"/>
      <c r="M370" s="46"/>
      <c r="N370" s="46"/>
      <c r="O370" s="38"/>
      <c r="P370" s="38"/>
      <c r="Q370" s="12"/>
      <c r="R370" s="50"/>
      <c r="S370" s="50"/>
      <c r="T370" s="50"/>
      <c r="U370" s="53"/>
      <c r="V370" s="54"/>
      <c r="W370" s="56"/>
      <c r="X370" s="119"/>
      <c r="Y370" s="113"/>
      <c r="Z370" s="113"/>
      <c r="AH370" s="106"/>
      <c r="AI370" s="106"/>
    </row>
    <row r="371">
      <c r="A371" s="38"/>
      <c r="B371" s="38"/>
      <c r="C371" s="38"/>
      <c r="D371" s="38"/>
      <c r="E371" s="38"/>
      <c r="F371" s="41"/>
      <c r="G371" s="43"/>
      <c r="H371" s="45"/>
      <c r="I371" s="38"/>
      <c r="J371" s="38"/>
      <c r="K371" s="46"/>
      <c r="L371" s="47"/>
      <c r="M371" s="46"/>
      <c r="N371" s="46"/>
      <c r="O371" s="38"/>
      <c r="P371" s="38"/>
      <c r="Q371" s="12"/>
      <c r="R371" s="50"/>
      <c r="S371" s="50"/>
      <c r="T371" s="50"/>
      <c r="U371" s="53"/>
      <c r="V371" s="54"/>
      <c r="W371" s="56"/>
      <c r="X371" s="119"/>
      <c r="Y371" s="113"/>
      <c r="Z371" s="113"/>
      <c r="AH371" s="106"/>
      <c r="AI371" s="106"/>
    </row>
    <row r="372">
      <c r="A372" s="38"/>
      <c r="B372" s="38"/>
      <c r="C372" s="38"/>
      <c r="D372" s="38"/>
      <c r="E372" s="38"/>
      <c r="F372" s="41"/>
      <c r="G372" s="43"/>
      <c r="H372" s="45"/>
      <c r="I372" s="38"/>
      <c r="J372" s="38"/>
      <c r="K372" s="46"/>
      <c r="L372" s="47"/>
      <c r="M372" s="46"/>
      <c r="N372" s="46"/>
      <c r="O372" s="38"/>
      <c r="P372" s="38"/>
      <c r="Q372" s="12"/>
      <c r="R372" s="50"/>
      <c r="S372" s="50"/>
      <c r="T372" s="50"/>
      <c r="U372" s="53"/>
      <c r="V372" s="54"/>
      <c r="W372" s="56"/>
      <c r="X372" s="119"/>
      <c r="Y372" s="113"/>
      <c r="Z372" s="113"/>
      <c r="AH372" s="106"/>
      <c r="AI372" s="106"/>
    </row>
    <row r="373">
      <c r="A373" s="38"/>
      <c r="B373" s="38"/>
      <c r="C373" s="38"/>
      <c r="D373" s="38"/>
      <c r="E373" s="38"/>
      <c r="F373" s="41"/>
      <c r="G373" s="43"/>
      <c r="H373" s="45"/>
      <c r="I373" s="38"/>
      <c r="J373" s="38"/>
      <c r="K373" s="46"/>
      <c r="L373" s="47"/>
      <c r="M373" s="46"/>
      <c r="N373" s="46"/>
      <c r="O373" s="38"/>
      <c r="P373" s="38"/>
      <c r="Q373" s="12"/>
      <c r="R373" s="50"/>
      <c r="S373" s="50"/>
      <c r="T373" s="50"/>
      <c r="U373" s="53"/>
      <c r="V373" s="54"/>
      <c r="W373" s="56"/>
      <c r="X373" s="119"/>
      <c r="Y373" s="113"/>
      <c r="Z373" s="113"/>
      <c r="AH373" s="106"/>
      <c r="AI373" s="106"/>
    </row>
    <row r="374">
      <c r="A374" s="38"/>
      <c r="B374" s="38"/>
      <c r="C374" s="38"/>
      <c r="D374" s="38"/>
      <c r="E374" s="38"/>
      <c r="F374" s="41"/>
      <c r="G374" s="43"/>
      <c r="H374" s="45"/>
      <c r="I374" s="38"/>
      <c r="J374" s="38"/>
      <c r="K374" s="46"/>
      <c r="L374" s="47"/>
      <c r="M374" s="46"/>
      <c r="N374" s="46"/>
      <c r="O374" s="38"/>
      <c r="P374" s="38"/>
      <c r="Q374" s="12"/>
      <c r="R374" s="50"/>
      <c r="S374" s="50"/>
      <c r="T374" s="50"/>
      <c r="U374" s="53"/>
      <c r="V374" s="54"/>
      <c r="W374" s="56"/>
      <c r="X374" s="119"/>
      <c r="Y374" s="113"/>
      <c r="Z374" s="113"/>
      <c r="AH374" s="106"/>
      <c r="AI374" s="106"/>
    </row>
    <row r="375">
      <c r="A375" s="38"/>
      <c r="B375" s="38"/>
      <c r="C375" s="38"/>
      <c r="D375" s="38"/>
      <c r="E375" s="38"/>
      <c r="F375" s="41"/>
      <c r="G375" s="43"/>
      <c r="H375" s="45"/>
      <c r="I375" s="38"/>
      <c r="J375" s="38"/>
      <c r="K375" s="46"/>
      <c r="L375" s="47"/>
      <c r="M375" s="46"/>
      <c r="N375" s="46"/>
      <c r="O375" s="38"/>
      <c r="P375" s="38"/>
      <c r="Q375" s="12"/>
      <c r="R375" s="50"/>
      <c r="S375" s="50"/>
      <c r="T375" s="50"/>
      <c r="U375" s="53"/>
      <c r="V375" s="54"/>
      <c r="W375" s="56"/>
      <c r="X375" s="119"/>
      <c r="Y375" s="113"/>
      <c r="Z375" s="113"/>
      <c r="AH375" s="106"/>
      <c r="AI375" s="106"/>
    </row>
    <row r="376">
      <c r="A376" s="38"/>
      <c r="B376" s="38"/>
      <c r="C376" s="38"/>
      <c r="D376" s="38"/>
      <c r="E376" s="38"/>
      <c r="F376" s="41"/>
      <c r="G376" s="43"/>
      <c r="H376" s="45"/>
      <c r="I376" s="38"/>
      <c r="J376" s="38"/>
      <c r="K376" s="46"/>
      <c r="L376" s="47"/>
      <c r="M376" s="46"/>
      <c r="N376" s="46"/>
      <c r="O376" s="38"/>
      <c r="P376" s="38"/>
      <c r="Q376" s="12"/>
      <c r="R376" s="50"/>
      <c r="S376" s="50"/>
      <c r="T376" s="50"/>
      <c r="U376" s="53"/>
      <c r="V376" s="54"/>
      <c r="W376" s="56"/>
      <c r="X376" s="119"/>
      <c r="Y376" s="113"/>
      <c r="Z376" s="113"/>
      <c r="AH376" s="106"/>
      <c r="AI376" s="106"/>
    </row>
    <row r="377">
      <c r="A377" s="38"/>
      <c r="B377" s="38"/>
      <c r="C377" s="38"/>
      <c r="D377" s="38"/>
      <c r="E377" s="38"/>
      <c r="F377" s="41"/>
      <c r="G377" s="43"/>
      <c r="H377" s="45"/>
      <c r="I377" s="38"/>
      <c r="J377" s="38"/>
      <c r="K377" s="46"/>
      <c r="L377" s="47"/>
      <c r="M377" s="46"/>
      <c r="N377" s="46"/>
      <c r="O377" s="38"/>
      <c r="P377" s="38"/>
      <c r="Q377" s="12"/>
      <c r="R377" s="50"/>
      <c r="S377" s="50"/>
      <c r="T377" s="50"/>
      <c r="U377" s="53"/>
      <c r="V377" s="54"/>
      <c r="W377" s="56"/>
      <c r="X377" s="119"/>
      <c r="Y377" s="113"/>
      <c r="Z377" s="113"/>
      <c r="AH377" s="106"/>
      <c r="AI377" s="106"/>
    </row>
    <row r="378">
      <c r="A378" s="38"/>
      <c r="B378" s="38"/>
      <c r="C378" s="38"/>
      <c r="D378" s="38"/>
      <c r="E378" s="38"/>
      <c r="F378" s="41"/>
      <c r="G378" s="43"/>
      <c r="H378" s="45"/>
      <c r="I378" s="38"/>
      <c r="J378" s="38"/>
      <c r="K378" s="46"/>
      <c r="L378" s="47"/>
      <c r="M378" s="46"/>
      <c r="N378" s="46"/>
      <c r="O378" s="38"/>
      <c r="P378" s="38"/>
      <c r="Q378" s="12"/>
      <c r="R378" s="50"/>
      <c r="S378" s="50"/>
      <c r="T378" s="50"/>
      <c r="U378" s="53"/>
      <c r="V378" s="54"/>
      <c r="W378" s="56"/>
      <c r="X378" s="119"/>
      <c r="Y378" s="113"/>
      <c r="Z378" s="113"/>
      <c r="AH378" s="106"/>
      <c r="AI378" s="106"/>
    </row>
    <row r="379">
      <c r="A379" s="38"/>
      <c r="B379" s="38"/>
      <c r="C379" s="38"/>
      <c r="D379" s="38"/>
      <c r="E379" s="38"/>
      <c r="F379" s="41"/>
      <c r="G379" s="43"/>
      <c r="H379" s="45"/>
      <c r="I379" s="38"/>
      <c r="J379" s="38"/>
      <c r="K379" s="46"/>
      <c r="L379" s="47"/>
      <c r="M379" s="46"/>
      <c r="N379" s="46"/>
      <c r="O379" s="38"/>
      <c r="P379" s="38"/>
      <c r="Q379" s="12"/>
      <c r="R379" s="50"/>
      <c r="S379" s="50"/>
      <c r="T379" s="50"/>
      <c r="U379" s="53"/>
      <c r="V379" s="54"/>
      <c r="W379" s="56"/>
      <c r="X379" s="119"/>
      <c r="Y379" s="113"/>
      <c r="Z379" s="113"/>
      <c r="AH379" s="106"/>
      <c r="AI379" s="106"/>
    </row>
    <row r="380">
      <c r="A380" s="38"/>
      <c r="B380" s="38"/>
      <c r="C380" s="38"/>
      <c r="D380" s="38"/>
      <c r="E380" s="38"/>
      <c r="F380" s="41"/>
      <c r="G380" s="43"/>
      <c r="H380" s="45"/>
      <c r="I380" s="38"/>
      <c r="J380" s="38"/>
      <c r="K380" s="46"/>
      <c r="L380" s="47"/>
      <c r="M380" s="46"/>
      <c r="N380" s="46"/>
      <c r="O380" s="38"/>
      <c r="P380" s="38"/>
      <c r="Q380" s="12"/>
      <c r="R380" s="50"/>
      <c r="S380" s="50"/>
      <c r="T380" s="50"/>
      <c r="U380" s="53"/>
      <c r="V380" s="54"/>
      <c r="W380" s="56"/>
      <c r="X380" s="119"/>
      <c r="Y380" s="113"/>
      <c r="Z380" s="113"/>
      <c r="AH380" s="106"/>
      <c r="AI380" s="106"/>
    </row>
    <row r="381">
      <c r="A381" s="38"/>
      <c r="B381" s="38"/>
      <c r="C381" s="38"/>
      <c r="D381" s="38"/>
      <c r="E381" s="38"/>
      <c r="F381" s="41"/>
      <c r="G381" s="43"/>
      <c r="H381" s="45"/>
      <c r="I381" s="38"/>
      <c r="J381" s="38"/>
      <c r="K381" s="46"/>
      <c r="L381" s="47"/>
      <c r="M381" s="46"/>
      <c r="N381" s="46"/>
      <c r="O381" s="38"/>
      <c r="P381" s="38"/>
      <c r="Q381" s="12"/>
      <c r="R381" s="50"/>
      <c r="S381" s="50"/>
      <c r="T381" s="50"/>
      <c r="U381" s="53"/>
      <c r="V381" s="54"/>
      <c r="W381" s="56"/>
      <c r="X381" s="119"/>
      <c r="Y381" s="113"/>
      <c r="Z381" s="113"/>
      <c r="AH381" s="106"/>
      <c r="AI381" s="106"/>
    </row>
    <row r="382">
      <c r="A382" s="38"/>
      <c r="B382" s="38"/>
      <c r="C382" s="38"/>
      <c r="D382" s="38"/>
      <c r="E382" s="38"/>
      <c r="F382" s="41"/>
      <c r="G382" s="43"/>
      <c r="H382" s="45"/>
      <c r="I382" s="38"/>
      <c r="J382" s="38"/>
      <c r="K382" s="46"/>
      <c r="L382" s="47"/>
      <c r="M382" s="46"/>
      <c r="N382" s="46"/>
      <c r="O382" s="38"/>
      <c r="P382" s="38"/>
      <c r="Q382" s="12"/>
      <c r="R382" s="50"/>
      <c r="S382" s="50"/>
      <c r="T382" s="50"/>
      <c r="U382" s="53"/>
      <c r="V382" s="54"/>
      <c r="W382" s="56"/>
      <c r="X382" s="119"/>
      <c r="Y382" s="113"/>
      <c r="Z382" s="113"/>
      <c r="AH382" s="106"/>
      <c r="AI382" s="106"/>
    </row>
    <row r="383">
      <c r="A383" s="38"/>
      <c r="B383" s="38"/>
      <c r="C383" s="38"/>
      <c r="D383" s="38"/>
      <c r="E383" s="38"/>
      <c r="F383" s="41"/>
      <c r="G383" s="43"/>
      <c r="H383" s="45"/>
      <c r="I383" s="38"/>
      <c r="J383" s="38"/>
      <c r="K383" s="46"/>
      <c r="L383" s="47"/>
      <c r="M383" s="46"/>
      <c r="N383" s="46"/>
      <c r="O383" s="38"/>
      <c r="P383" s="38"/>
      <c r="Q383" s="12"/>
      <c r="R383" s="50"/>
      <c r="S383" s="50"/>
      <c r="T383" s="50"/>
      <c r="U383" s="53"/>
      <c r="V383" s="54"/>
      <c r="W383" s="56"/>
      <c r="X383" s="119"/>
      <c r="Y383" s="113"/>
      <c r="Z383" s="113"/>
      <c r="AH383" s="106"/>
      <c r="AI383" s="106"/>
    </row>
    <row r="384">
      <c r="A384" s="38"/>
      <c r="B384" s="38"/>
      <c r="C384" s="38"/>
      <c r="D384" s="38"/>
      <c r="E384" s="38"/>
      <c r="F384" s="41"/>
      <c r="G384" s="43"/>
      <c r="H384" s="45"/>
      <c r="I384" s="38"/>
      <c r="J384" s="38"/>
      <c r="K384" s="46"/>
      <c r="L384" s="47"/>
      <c r="M384" s="46"/>
      <c r="N384" s="46"/>
      <c r="O384" s="38"/>
      <c r="P384" s="38"/>
      <c r="Q384" s="12"/>
      <c r="R384" s="50"/>
      <c r="S384" s="50"/>
      <c r="T384" s="50"/>
      <c r="U384" s="53"/>
      <c r="V384" s="54"/>
      <c r="W384" s="56"/>
      <c r="X384" s="119"/>
      <c r="Y384" s="113"/>
      <c r="Z384" s="113"/>
      <c r="AH384" s="106"/>
      <c r="AI384" s="106"/>
    </row>
    <row r="385">
      <c r="A385" s="38"/>
      <c r="B385" s="38"/>
      <c r="C385" s="38"/>
      <c r="D385" s="38"/>
      <c r="E385" s="38"/>
      <c r="F385" s="41"/>
      <c r="G385" s="43"/>
      <c r="H385" s="45"/>
      <c r="I385" s="38"/>
      <c r="J385" s="38"/>
      <c r="K385" s="46"/>
      <c r="L385" s="47"/>
      <c r="M385" s="46"/>
      <c r="N385" s="46"/>
      <c r="O385" s="38"/>
      <c r="P385" s="38"/>
      <c r="Q385" s="12"/>
      <c r="R385" s="50"/>
      <c r="S385" s="50"/>
      <c r="T385" s="50"/>
      <c r="U385" s="53"/>
      <c r="V385" s="54"/>
      <c r="W385" s="56"/>
      <c r="X385" s="119"/>
      <c r="Y385" s="113"/>
      <c r="Z385" s="113"/>
      <c r="AH385" s="106"/>
      <c r="AI385" s="106"/>
    </row>
    <row r="386">
      <c r="A386" s="38"/>
      <c r="B386" s="38"/>
      <c r="C386" s="38"/>
      <c r="D386" s="38"/>
      <c r="E386" s="38"/>
      <c r="F386" s="41"/>
      <c r="G386" s="43"/>
      <c r="H386" s="45"/>
      <c r="I386" s="38"/>
      <c r="J386" s="38"/>
      <c r="K386" s="46"/>
      <c r="L386" s="47"/>
      <c r="M386" s="46"/>
      <c r="N386" s="46"/>
      <c r="O386" s="38"/>
      <c r="P386" s="38"/>
      <c r="Q386" s="12"/>
      <c r="R386" s="50"/>
      <c r="S386" s="50"/>
      <c r="T386" s="50"/>
      <c r="U386" s="53"/>
      <c r="V386" s="54"/>
      <c r="W386" s="56"/>
      <c r="X386" s="119"/>
      <c r="Y386" s="113"/>
      <c r="Z386" s="113"/>
      <c r="AH386" s="106"/>
      <c r="AI386" s="106"/>
    </row>
    <row r="387">
      <c r="A387" s="38"/>
      <c r="B387" s="38"/>
      <c r="C387" s="38"/>
      <c r="D387" s="38"/>
      <c r="E387" s="38"/>
      <c r="F387" s="41"/>
      <c r="G387" s="43"/>
      <c r="H387" s="45"/>
      <c r="I387" s="38"/>
      <c r="J387" s="38"/>
      <c r="K387" s="46"/>
      <c r="L387" s="47"/>
      <c r="M387" s="46"/>
      <c r="N387" s="46"/>
      <c r="O387" s="38"/>
      <c r="P387" s="38"/>
      <c r="Q387" s="12"/>
      <c r="R387" s="50"/>
      <c r="S387" s="50"/>
      <c r="T387" s="50"/>
      <c r="U387" s="53"/>
      <c r="V387" s="54"/>
      <c r="W387" s="56"/>
      <c r="X387" s="119"/>
      <c r="Y387" s="113"/>
      <c r="Z387" s="113"/>
      <c r="AH387" s="106"/>
      <c r="AI387" s="106"/>
    </row>
    <row r="388">
      <c r="A388" s="38"/>
      <c r="B388" s="38"/>
      <c r="C388" s="38"/>
      <c r="D388" s="38"/>
      <c r="E388" s="38"/>
      <c r="F388" s="41"/>
      <c r="G388" s="43"/>
      <c r="H388" s="45"/>
      <c r="I388" s="38"/>
      <c r="J388" s="38"/>
      <c r="K388" s="46"/>
      <c r="L388" s="47"/>
      <c r="M388" s="46"/>
      <c r="N388" s="46"/>
      <c r="O388" s="38"/>
      <c r="P388" s="38"/>
      <c r="Q388" s="12"/>
      <c r="R388" s="50"/>
      <c r="S388" s="50"/>
      <c r="T388" s="50"/>
      <c r="U388" s="53"/>
      <c r="V388" s="54"/>
      <c r="W388" s="56"/>
      <c r="X388" s="119"/>
      <c r="Y388" s="113"/>
      <c r="Z388" s="113"/>
      <c r="AH388" s="106"/>
      <c r="AI388" s="106"/>
    </row>
    <row r="389">
      <c r="A389" s="38"/>
      <c r="B389" s="38"/>
      <c r="C389" s="38"/>
      <c r="D389" s="38"/>
      <c r="E389" s="38"/>
      <c r="F389" s="41"/>
      <c r="G389" s="43"/>
      <c r="H389" s="45"/>
      <c r="I389" s="38"/>
      <c r="J389" s="38"/>
      <c r="K389" s="46"/>
      <c r="L389" s="47"/>
      <c r="M389" s="46"/>
      <c r="N389" s="46"/>
      <c r="O389" s="38"/>
      <c r="P389" s="38"/>
      <c r="Q389" s="12"/>
      <c r="R389" s="50"/>
      <c r="S389" s="50"/>
      <c r="T389" s="50"/>
      <c r="U389" s="53"/>
      <c r="V389" s="54"/>
      <c r="W389" s="56"/>
      <c r="X389" s="119"/>
      <c r="Y389" s="113"/>
      <c r="Z389" s="113"/>
      <c r="AH389" s="106"/>
      <c r="AI389" s="106"/>
    </row>
    <row r="390">
      <c r="A390" s="38"/>
      <c r="B390" s="38"/>
      <c r="C390" s="38"/>
      <c r="D390" s="38"/>
      <c r="E390" s="38"/>
      <c r="F390" s="41"/>
      <c r="G390" s="43"/>
      <c r="H390" s="45"/>
      <c r="I390" s="38"/>
      <c r="J390" s="38"/>
      <c r="K390" s="46"/>
      <c r="L390" s="47"/>
      <c r="M390" s="46"/>
      <c r="N390" s="46"/>
      <c r="O390" s="38"/>
      <c r="P390" s="38"/>
      <c r="Q390" s="12"/>
      <c r="R390" s="50"/>
      <c r="S390" s="50"/>
      <c r="T390" s="50"/>
      <c r="U390" s="53"/>
      <c r="V390" s="54"/>
      <c r="W390" s="56"/>
      <c r="X390" s="119"/>
      <c r="Y390" s="113"/>
      <c r="Z390" s="113"/>
      <c r="AH390" s="106"/>
      <c r="AI390" s="106"/>
    </row>
    <row r="391">
      <c r="A391" s="38"/>
      <c r="B391" s="38"/>
      <c r="C391" s="38"/>
      <c r="D391" s="38"/>
      <c r="E391" s="38"/>
      <c r="F391" s="41"/>
      <c r="G391" s="43"/>
      <c r="H391" s="45"/>
      <c r="I391" s="38"/>
      <c r="J391" s="38"/>
      <c r="K391" s="46"/>
      <c r="L391" s="47"/>
      <c r="M391" s="46"/>
      <c r="N391" s="46"/>
      <c r="O391" s="38"/>
      <c r="P391" s="38"/>
      <c r="Q391" s="12"/>
      <c r="R391" s="50"/>
      <c r="S391" s="50"/>
      <c r="T391" s="50"/>
      <c r="U391" s="53"/>
      <c r="V391" s="54"/>
      <c r="W391" s="56"/>
      <c r="X391" s="119"/>
      <c r="Y391" s="113"/>
      <c r="Z391" s="113"/>
      <c r="AH391" s="106"/>
      <c r="AI391" s="106"/>
    </row>
    <row r="392">
      <c r="A392" s="38"/>
      <c r="B392" s="38"/>
      <c r="C392" s="38"/>
      <c r="D392" s="38"/>
      <c r="E392" s="38"/>
      <c r="F392" s="41"/>
      <c r="G392" s="43"/>
      <c r="H392" s="45"/>
      <c r="I392" s="38"/>
      <c r="J392" s="38"/>
      <c r="K392" s="46"/>
      <c r="L392" s="47"/>
      <c r="M392" s="46"/>
      <c r="N392" s="46"/>
      <c r="O392" s="38"/>
      <c r="P392" s="38"/>
      <c r="Q392" s="12"/>
      <c r="R392" s="50"/>
      <c r="S392" s="50"/>
      <c r="T392" s="50"/>
      <c r="U392" s="53"/>
      <c r="V392" s="54"/>
      <c r="W392" s="56"/>
      <c r="X392" s="119"/>
      <c r="Y392" s="113"/>
      <c r="Z392" s="113"/>
      <c r="AH392" s="106"/>
      <c r="AI392" s="106"/>
    </row>
    <row r="393">
      <c r="A393" s="38"/>
      <c r="B393" s="38"/>
      <c r="C393" s="38"/>
      <c r="D393" s="38"/>
      <c r="E393" s="38"/>
      <c r="F393" s="41"/>
      <c r="G393" s="43"/>
      <c r="H393" s="45"/>
      <c r="I393" s="38"/>
      <c r="J393" s="38"/>
      <c r="K393" s="46"/>
      <c r="L393" s="47"/>
      <c r="M393" s="46"/>
      <c r="N393" s="46"/>
      <c r="O393" s="38"/>
      <c r="P393" s="38"/>
      <c r="Q393" s="12"/>
      <c r="R393" s="50"/>
      <c r="S393" s="50"/>
      <c r="T393" s="50"/>
      <c r="U393" s="53"/>
      <c r="V393" s="54"/>
      <c r="W393" s="56"/>
      <c r="X393" s="119"/>
      <c r="Y393" s="113"/>
      <c r="Z393" s="113"/>
      <c r="AH393" s="106"/>
      <c r="AI393" s="106"/>
    </row>
    <row r="394">
      <c r="A394" s="38"/>
      <c r="B394" s="38"/>
      <c r="C394" s="38"/>
      <c r="D394" s="38"/>
      <c r="E394" s="38"/>
      <c r="F394" s="41"/>
      <c r="G394" s="43"/>
      <c r="H394" s="45"/>
      <c r="I394" s="38"/>
      <c r="J394" s="38"/>
      <c r="K394" s="46"/>
      <c r="L394" s="47"/>
      <c r="M394" s="46"/>
      <c r="N394" s="46"/>
      <c r="O394" s="38"/>
      <c r="P394" s="38"/>
      <c r="Q394" s="12"/>
      <c r="R394" s="50"/>
      <c r="S394" s="50"/>
      <c r="T394" s="50"/>
      <c r="U394" s="53"/>
      <c r="V394" s="54"/>
      <c r="W394" s="56"/>
      <c r="X394" s="119"/>
      <c r="Y394" s="113"/>
      <c r="Z394" s="113"/>
      <c r="AH394" s="106"/>
      <c r="AI394" s="106"/>
    </row>
    <row r="395">
      <c r="A395" s="38"/>
      <c r="B395" s="38"/>
      <c r="C395" s="38"/>
      <c r="D395" s="38"/>
      <c r="E395" s="38"/>
      <c r="F395" s="41"/>
      <c r="G395" s="43"/>
      <c r="H395" s="45"/>
      <c r="I395" s="38"/>
      <c r="J395" s="38"/>
      <c r="K395" s="46"/>
      <c r="L395" s="47"/>
      <c r="M395" s="46"/>
      <c r="N395" s="46"/>
      <c r="O395" s="38"/>
      <c r="P395" s="38"/>
      <c r="Q395" s="12"/>
      <c r="R395" s="50"/>
      <c r="S395" s="50"/>
      <c r="T395" s="50"/>
      <c r="U395" s="53"/>
      <c r="V395" s="54"/>
      <c r="W395" s="56"/>
      <c r="X395" s="119"/>
      <c r="Y395" s="113"/>
      <c r="Z395" s="113"/>
      <c r="AH395" s="106"/>
      <c r="AI395" s="106"/>
    </row>
    <row r="396">
      <c r="A396" s="38"/>
      <c r="B396" s="38"/>
      <c r="C396" s="38"/>
      <c r="D396" s="38"/>
      <c r="E396" s="38"/>
      <c r="F396" s="41"/>
      <c r="G396" s="43"/>
      <c r="H396" s="45"/>
      <c r="I396" s="38"/>
      <c r="J396" s="38"/>
      <c r="K396" s="46"/>
      <c r="L396" s="47"/>
      <c r="M396" s="46"/>
      <c r="N396" s="46"/>
      <c r="O396" s="38"/>
      <c r="P396" s="38"/>
      <c r="Q396" s="12"/>
      <c r="R396" s="50"/>
      <c r="S396" s="50"/>
      <c r="T396" s="50"/>
      <c r="U396" s="53"/>
      <c r="V396" s="54"/>
      <c r="W396" s="56"/>
      <c r="X396" s="119"/>
      <c r="Y396" s="113"/>
      <c r="Z396" s="113"/>
      <c r="AH396" s="106"/>
      <c r="AI396" s="106"/>
    </row>
    <row r="397">
      <c r="A397" s="38"/>
      <c r="B397" s="38"/>
      <c r="C397" s="38"/>
      <c r="D397" s="38"/>
      <c r="E397" s="38"/>
      <c r="F397" s="41"/>
      <c r="G397" s="43"/>
      <c r="H397" s="45"/>
      <c r="I397" s="38"/>
      <c r="J397" s="38"/>
      <c r="K397" s="46"/>
      <c r="L397" s="47"/>
      <c r="M397" s="46"/>
      <c r="N397" s="46"/>
      <c r="O397" s="38"/>
      <c r="P397" s="38"/>
      <c r="Q397" s="12"/>
      <c r="R397" s="50"/>
      <c r="S397" s="50"/>
      <c r="T397" s="50"/>
      <c r="U397" s="53"/>
      <c r="V397" s="54"/>
      <c r="W397" s="56"/>
      <c r="X397" s="119"/>
      <c r="Y397" s="113"/>
      <c r="Z397" s="113"/>
      <c r="AH397" s="106"/>
      <c r="AI397" s="106"/>
    </row>
    <row r="398">
      <c r="A398" s="38"/>
      <c r="B398" s="38"/>
      <c r="C398" s="38"/>
      <c r="D398" s="38"/>
      <c r="E398" s="38"/>
      <c r="F398" s="41"/>
      <c r="G398" s="43"/>
      <c r="H398" s="45"/>
      <c r="I398" s="38"/>
      <c r="J398" s="38"/>
      <c r="K398" s="46"/>
      <c r="L398" s="47"/>
      <c r="M398" s="46"/>
      <c r="N398" s="46"/>
      <c r="O398" s="38"/>
      <c r="P398" s="38"/>
      <c r="Q398" s="12"/>
      <c r="R398" s="50"/>
      <c r="S398" s="50"/>
      <c r="T398" s="50"/>
      <c r="U398" s="53"/>
      <c r="V398" s="54"/>
      <c r="W398" s="56"/>
      <c r="X398" s="119"/>
      <c r="Y398" s="113"/>
      <c r="Z398" s="113"/>
      <c r="AH398" s="106"/>
      <c r="AI398" s="106"/>
    </row>
    <row r="399">
      <c r="A399" s="38"/>
      <c r="B399" s="38"/>
      <c r="C399" s="38"/>
      <c r="D399" s="38"/>
      <c r="E399" s="38"/>
      <c r="F399" s="41"/>
      <c r="G399" s="43"/>
      <c r="H399" s="45"/>
      <c r="I399" s="38"/>
      <c r="J399" s="38"/>
      <c r="K399" s="46"/>
      <c r="L399" s="47"/>
      <c r="M399" s="46"/>
      <c r="N399" s="46"/>
      <c r="O399" s="38"/>
      <c r="P399" s="38"/>
      <c r="Q399" s="12"/>
      <c r="R399" s="50"/>
      <c r="S399" s="50"/>
      <c r="T399" s="50"/>
      <c r="U399" s="53"/>
      <c r="V399" s="54"/>
      <c r="W399" s="56"/>
      <c r="X399" s="119"/>
      <c r="Y399" s="113"/>
      <c r="Z399" s="113"/>
      <c r="AH399" s="106"/>
      <c r="AI399" s="106"/>
    </row>
    <row r="400">
      <c r="A400" s="38"/>
      <c r="B400" s="38"/>
      <c r="C400" s="38"/>
      <c r="D400" s="38"/>
      <c r="E400" s="38"/>
      <c r="F400" s="41"/>
      <c r="G400" s="43"/>
      <c r="H400" s="45"/>
      <c r="I400" s="38"/>
      <c r="J400" s="38"/>
      <c r="K400" s="46"/>
      <c r="L400" s="47"/>
      <c r="M400" s="46"/>
      <c r="N400" s="46"/>
      <c r="O400" s="38"/>
      <c r="P400" s="38"/>
      <c r="Q400" s="12"/>
      <c r="R400" s="50"/>
      <c r="S400" s="50"/>
      <c r="T400" s="50"/>
      <c r="U400" s="53"/>
      <c r="V400" s="54"/>
      <c r="W400" s="56"/>
      <c r="X400" s="119"/>
      <c r="Y400" s="113"/>
      <c r="Z400" s="113"/>
      <c r="AH400" s="106"/>
      <c r="AI400" s="106"/>
    </row>
    <row r="401">
      <c r="A401" s="38"/>
      <c r="B401" s="38"/>
      <c r="C401" s="38"/>
      <c r="D401" s="38"/>
      <c r="E401" s="38"/>
      <c r="F401" s="41"/>
      <c r="G401" s="43"/>
      <c r="H401" s="45"/>
      <c r="I401" s="38"/>
      <c r="J401" s="38"/>
      <c r="K401" s="46"/>
      <c r="L401" s="47"/>
      <c r="M401" s="46"/>
      <c r="N401" s="46"/>
      <c r="O401" s="38"/>
      <c r="P401" s="38"/>
      <c r="Q401" s="12"/>
      <c r="R401" s="50"/>
      <c r="S401" s="50"/>
      <c r="T401" s="50"/>
      <c r="U401" s="53"/>
      <c r="V401" s="54"/>
      <c r="W401" s="56"/>
      <c r="X401" s="119"/>
      <c r="Y401" s="113"/>
      <c r="Z401" s="113"/>
      <c r="AH401" s="106"/>
      <c r="AI401" s="106"/>
    </row>
    <row r="402">
      <c r="A402" s="38"/>
      <c r="B402" s="38"/>
      <c r="C402" s="38"/>
      <c r="D402" s="38"/>
      <c r="E402" s="38"/>
      <c r="F402" s="41"/>
      <c r="G402" s="43"/>
      <c r="H402" s="45"/>
      <c r="I402" s="38"/>
      <c r="J402" s="38"/>
      <c r="K402" s="46"/>
      <c r="L402" s="47"/>
      <c r="M402" s="46"/>
      <c r="N402" s="46"/>
      <c r="O402" s="38"/>
      <c r="P402" s="38"/>
      <c r="Q402" s="12"/>
      <c r="R402" s="50"/>
      <c r="S402" s="50"/>
      <c r="T402" s="50"/>
      <c r="U402" s="53"/>
      <c r="V402" s="54"/>
      <c r="W402" s="56"/>
      <c r="X402" s="119"/>
      <c r="Y402" s="113"/>
      <c r="Z402" s="113"/>
      <c r="AH402" s="106"/>
      <c r="AI402" s="106"/>
    </row>
    <row r="403">
      <c r="A403" s="38"/>
      <c r="B403" s="38"/>
      <c r="C403" s="38"/>
      <c r="D403" s="38"/>
      <c r="E403" s="38"/>
      <c r="F403" s="41"/>
      <c r="G403" s="43"/>
      <c r="H403" s="45"/>
      <c r="I403" s="38"/>
      <c r="J403" s="38"/>
      <c r="K403" s="46"/>
      <c r="L403" s="47"/>
      <c r="M403" s="46"/>
      <c r="N403" s="46"/>
      <c r="O403" s="38"/>
      <c r="P403" s="38"/>
      <c r="Q403" s="12"/>
      <c r="R403" s="50"/>
      <c r="S403" s="50"/>
      <c r="T403" s="50"/>
      <c r="U403" s="53"/>
      <c r="V403" s="54"/>
      <c r="W403" s="56"/>
      <c r="X403" s="119"/>
      <c r="Y403" s="113"/>
      <c r="Z403" s="113"/>
      <c r="AH403" s="106"/>
      <c r="AI403" s="106"/>
    </row>
    <row r="404">
      <c r="A404" s="38"/>
      <c r="B404" s="38"/>
      <c r="C404" s="38"/>
      <c r="D404" s="38"/>
      <c r="E404" s="38"/>
      <c r="F404" s="41"/>
      <c r="G404" s="43"/>
      <c r="H404" s="45"/>
      <c r="I404" s="38"/>
      <c r="J404" s="38"/>
      <c r="K404" s="46"/>
      <c r="L404" s="47"/>
      <c r="M404" s="46"/>
      <c r="N404" s="46"/>
      <c r="O404" s="38"/>
      <c r="P404" s="38"/>
      <c r="Q404" s="12"/>
      <c r="R404" s="50"/>
      <c r="S404" s="50"/>
      <c r="T404" s="50"/>
      <c r="U404" s="53"/>
      <c r="V404" s="54"/>
      <c r="W404" s="56"/>
      <c r="X404" s="119"/>
      <c r="Y404" s="113"/>
      <c r="Z404" s="113"/>
      <c r="AH404" s="106"/>
      <c r="AI404" s="106"/>
    </row>
    <row r="405">
      <c r="A405" s="38"/>
      <c r="B405" s="38"/>
      <c r="C405" s="38"/>
      <c r="D405" s="38"/>
      <c r="E405" s="38"/>
      <c r="F405" s="41"/>
      <c r="G405" s="43"/>
      <c r="H405" s="45"/>
      <c r="I405" s="38"/>
      <c r="J405" s="38"/>
      <c r="K405" s="46"/>
      <c r="L405" s="47"/>
      <c r="M405" s="46"/>
      <c r="N405" s="46"/>
      <c r="O405" s="38"/>
      <c r="P405" s="38"/>
      <c r="Q405" s="12"/>
      <c r="R405" s="50"/>
      <c r="S405" s="50"/>
      <c r="T405" s="50"/>
      <c r="U405" s="53"/>
      <c r="V405" s="54"/>
      <c r="W405" s="56"/>
      <c r="X405" s="119"/>
      <c r="Y405" s="113"/>
      <c r="Z405" s="113"/>
      <c r="AH405" s="106"/>
      <c r="AI405" s="106"/>
    </row>
    <row r="406">
      <c r="A406" s="38"/>
      <c r="B406" s="38"/>
      <c r="C406" s="38"/>
      <c r="D406" s="38"/>
      <c r="E406" s="38"/>
      <c r="F406" s="41"/>
      <c r="G406" s="43"/>
      <c r="H406" s="45"/>
      <c r="I406" s="38"/>
      <c r="J406" s="38"/>
      <c r="K406" s="46"/>
      <c r="L406" s="47"/>
      <c r="M406" s="46"/>
      <c r="N406" s="46"/>
      <c r="O406" s="38"/>
      <c r="P406" s="38"/>
      <c r="Q406" s="12"/>
      <c r="R406" s="50"/>
      <c r="S406" s="50"/>
      <c r="T406" s="50"/>
      <c r="U406" s="53"/>
      <c r="V406" s="54"/>
      <c r="W406" s="56"/>
      <c r="X406" s="119"/>
      <c r="Y406" s="113"/>
      <c r="Z406" s="113"/>
      <c r="AH406" s="106"/>
      <c r="AI406" s="106"/>
    </row>
    <row r="407">
      <c r="A407" s="38"/>
      <c r="B407" s="38"/>
      <c r="C407" s="38"/>
      <c r="D407" s="38"/>
      <c r="E407" s="38"/>
      <c r="F407" s="41"/>
      <c r="G407" s="43"/>
      <c r="H407" s="45"/>
      <c r="I407" s="38"/>
      <c r="J407" s="38"/>
      <c r="K407" s="46"/>
      <c r="L407" s="47"/>
      <c r="M407" s="46"/>
      <c r="N407" s="46"/>
      <c r="O407" s="38"/>
      <c r="P407" s="38"/>
      <c r="Q407" s="12"/>
      <c r="R407" s="50"/>
      <c r="S407" s="50"/>
      <c r="T407" s="50"/>
      <c r="U407" s="53"/>
      <c r="V407" s="54"/>
      <c r="W407" s="56"/>
      <c r="X407" s="119"/>
      <c r="Y407" s="113"/>
      <c r="Z407" s="113"/>
      <c r="AH407" s="106"/>
      <c r="AI407" s="106"/>
    </row>
    <row r="408">
      <c r="A408" s="38"/>
      <c r="B408" s="38"/>
      <c r="C408" s="38"/>
      <c r="D408" s="38"/>
      <c r="E408" s="38"/>
      <c r="F408" s="41"/>
      <c r="G408" s="43"/>
      <c r="H408" s="45"/>
      <c r="I408" s="38"/>
      <c r="J408" s="38"/>
      <c r="K408" s="46"/>
      <c r="L408" s="47"/>
      <c r="M408" s="46"/>
      <c r="N408" s="46"/>
      <c r="O408" s="38"/>
      <c r="P408" s="38"/>
      <c r="Q408" s="12"/>
      <c r="R408" s="50"/>
      <c r="S408" s="50"/>
      <c r="T408" s="50"/>
      <c r="U408" s="53"/>
      <c r="V408" s="54"/>
      <c r="W408" s="56"/>
      <c r="X408" s="119"/>
      <c r="Y408" s="113"/>
      <c r="Z408" s="113"/>
      <c r="AH408" s="106"/>
      <c r="AI408" s="106"/>
    </row>
    <row r="409">
      <c r="A409" s="38"/>
      <c r="B409" s="38"/>
      <c r="C409" s="38"/>
      <c r="D409" s="38"/>
      <c r="E409" s="38"/>
      <c r="F409" s="41"/>
      <c r="G409" s="43"/>
      <c r="H409" s="45"/>
      <c r="I409" s="38"/>
      <c r="J409" s="38"/>
      <c r="K409" s="46"/>
      <c r="L409" s="47"/>
      <c r="M409" s="46"/>
      <c r="N409" s="46"/>
      <c r="O409" s="38"/>
      <c r="P409" s="38"/>
      <c r="Q409" s="12"/>
      <c r="R409" s="50"/>
      <c r="S409" s="50"/>
      <c r="T409" s="50"/>
      <c r="U409" s="53"/>
      <c r="V409" s="54"/>
      <c r="W409" s="56"/>
      <c r="X409" s="119"/>
      <c r="Y409" s="113"/>
      <c r="Z409" s="113"/>
      <c r="AH409" s="106"/>
      <c r="AI409" s="106"/>
    </row>
    <row r="410">
      <c r="A410" s="38"/>
      <c r="B410" s="38"/>
      <c r="C410" s="38"/>
      <c r="D410" s="38"/>
      <c r="E410" s="38"/>
      <c r="F410" s="41"/>
      <c r="G410" s="43"/>
      <c r="H410" s="45"/>
      <c r="I410" s="38"/>
      <c r="J410" s="38"/>
      <c r="K410" s="46"/>
      <c r="L410" s="47"/>
      <c r="M410" s="46"/>
      <c r="N410" s="46"/>
      <c r="O410" s="38"/>
      <c r="P410" s="38"/>
      <c r="Q410" s="12"/>
      <c r="R410" s="50"/>
      <c r="S410" s="50"/>
      <c r="T410" s="50"/>
      <c r="U410" s="53"/>
      <c r="V410" s="54"/>
      <c r="W410" s="56"/>
      <c r="X410" s="119"/>
      <c r="Y410" s="113"/>
      <c r="Z410" s="113"/>
      <c r="AH410" s="106"/>
      <c r="AI410" s="106"/>
    </row>
    <row r="411">
      <c r="A411" s="38"/>
      <c r="B411" s="38"/>
      <c r="C411" s="38"/>
      <c r="D411" s="38"/>
      <c r="E411" s="38"/>
      <c r="F411" s="41"/>
      <c r="G411" s="43"/>
      <c r="H411" s="45"/>
      <c r="I411" s="38"/>
      <c r="J411" s="38"/>
      <c r="K411" s="46"/>
      <c r="L411" s="47"/>
      <c r="M411" s="46"/>
      <c r="N411" s="46"/>
      <c r="O411" s="38"/>
      <c r="P411" s="38"/>
      <c r="Q411" s="12"/>
      <c r="R411" s="50"/>
      <c r="S411" s="50"/>
      <c r="T411" s="50"/>
      <c r="U411" s="53"/>
      <c r="V411" s="54"/>
      <c r="W411" s="56"/>
      <c r="X411" s="119"/>
      <c r="Y411" s="113"/>
      <c r="Z411" s="113"/>
      <c r="AH411" s="106"/>
      <c r="AI411" s="106"/>
    </row>
    <row r="412">
      <c r="A412" s="38"/>
      <c r="B412" s="38"/>
      <c r="C412" s="38"/>
      <c r="D412" s="38"/>
      <c r="E412" s="38"/>
      <c r="F412" s="41"/>
      <c r="G412" s="43"/>
      <c r="H412" s="45"/>
      <c r="I412" s="38"/>
      <c r="J412" s="38"/>
      <c r="K412" s="46"/>
      <c r="L412" s="47"/>
      <c r="M412" s="46"/>
      <c r="N412" s="46"/>
      <c r="O412" s="38"/>
      <c r="P412" s="38"/>
      <c r="Q412" s="12"/>
      <c r="R412" s="50"/>
      <c r="S412" s="50"/>
      <c r="T412" s="50"/>
      <c r="U412" s="53"/>
      <c r="V412" s="54"/>
      <c r="W412" s="56"/>
      <c r="X412" s="119"/>
      <c r="Y412" s="113"/>
      <c r="Z412" s="113"/>
      <c r="AH412" s="106"/>
      <c r="AI412" s="106"/>
    </row>
    <row r="413">
      <c r="A413" s="38"/>
      <c r="B413" s="38"/>
      <c r="C413" s="38"/>
      <c r="D413" s="38"/>
      <c r="E413" s="38"/>
      <c r="F413" s="41"/>
      <c r="G413" s="43"/>
      <c r="H413" s="45"/>
      <c r="I413" s="38"/>
      <c r="J413" s="38"/>
      <c r="K413" s="46"/>
      <c r="L413" s="47"/>
      <c r="M413" s="46"/>
      <c r="N413" s="46"/>
      <c r="O413" s="38"/>
      <c r="P413" s="38"/>
      <c r="Q413" s="12"/>
      <c r="R413" s="50"/>
      <c r="S413" s="50"/>
      <c r="T413" s="50"/>
      <c r="U413" s="53"/>
      <c r="V413" s="54"/>
      <c r="W413" s="56"/>
      <c r="X413" s="119"/>
      <c r="Y413" s="113"/>
      <c r="Z413" s="113"/>
      <c r="AH413" s="106"/>
      <c r="AI413" s="106"/>
    </row>
    <row r="414">
      <c r="A414" s="38"/>
      <c r="B414" s="38"/>
      <c r="C414" s="38"/>
      <c r="D414" s="38"/>
      <c r="E414" s="38"/>
      <c r="F414" s="41"/>
      <c r="G414" s="43"/>
      <c r="H414" s="45"/>
      <c r="I414" s="38"/>
      <c r="J414" s="38"/>
      <c r="K414" s="46"/>
      <c r="L414" s="47"/>
      <c r="M414" s="46"/>
      <c r="N414" s="46"/>
      <c r="O414" s="38"/>
      <c r="P414" s="38"/>
      <c r="Q414" s="12"/>
      <c r="R414" s="50"/>
      <c r="S414" s="50"/>
      <c r="T414" s="50"/>
      <c r="U414" s="53"/>
      <c r="V414" s="54"/>
      <c r="W414" s="56"/>
      <c r="X414" s="119"/>
      <c r="Y414" s="113"/>
      <c r="Z414" s="113"/>
      <c r="AH414" s="106"/>
      <c r="AI414" s="106"/>
    </row>
    <row r="415">
      <c r="A415" s="38"/>
      <c r="B415" s="38"/>
      <c r="C415" s="38"/>
      <c r="D415" s="38"/>
      <c r="E415" s="38"/>
      <c r="F415" s="41"/>
      <c r="G415" s="43"/>
      <c r="H415" s="45"/>
      <c r="I415" s="38"/>
      <c r="J415" s="38"/>
      <c r="K415" s="46"/>
      <c r="L415" s="47"/>
      <c r="M415" s="46"/>
      <c r="N415" s="46"/>
      <c r="O415" s="38"/>
      <c r="P415" s="38"/>
      <c r="Q415" s="12"/>
      <c r="R415" s="50"/>
      <c r="S415" s="50"/>
      <c r="T415" s="50"/>
      <c r="U415" s="53"/>
      <c r="V415" s="54"/>
      <c r="W415" s="56"/>
      <c r="X415" s="119"/>
      <c r="Y415" s="113"/>
      <c r="Z415" s="113"/>
      <c r="AH415" s="106"/>
      <c r="AI415" s="106"/>
    </row>
    <row r="416">
      <c r="A416" s="38"/>
      <c r="B416" s="38"/>
      <c r="C416" s="38"/>
      <c r="D416" s="38"/>
      <c r="E416" s="38"/>
      <c r="F416" s="41"/>
      <c r="G416" s="43"/>
      <c r="H416" s="45"/>
      <c r="I416" s="38"/>
      <c r="J416" s="38"/>
      <c r="K416" s="46"/>
      <c r="L416" s="47"/>
      <c r="M416" s="46"/>
      <c r="N416" s="46"/>
      <c r="O416" s="38"/>
      <c r="P416" s="38"/>
      <c r="Q416" s="12"/>
      <c r="R416" s="50"/>
      <c r="S416" s="50"/>
      <c r="T416" s="50"/>
      <c r="U416" s="53"/>
      <c r="V416" s="54"/>
      <c r="W416" s="56"/>
      <c r="X416" s="119"/>
      <c r="Y416" s="113"/>
      <c r="Z416" s="113"/>
      <c r="AH416" s="106"/>
      <c r="AI416" s="106"/>
    </row>
    <row r="417">
      <c r="A417" s="38"/>
      <c r="B417" s="38"/>
      <c r="C417" s="38"/>
      <c r="D417" s="38"/>
      <c r="E417" s="38"/>
      <c r="F417" s="41"/>
      <c r="G417" s="43"/>
      <c r="H417" s="45"/>
      <c r="I417" s="38"/>
      <c r="J417" s="38"/>
      <c r="K417" s="46"/>
      <c r="L417" s="47"/>
      <c r="M417" s="46"/>
      <c r="N417" s="46"/>
      <c r="O417" s="38"/>
      <c r="P417" s="38"/>
      <c r="Q417" s="12"/>
      <c r="R417" s="50"/>
      <c r="S417" s="50"/>
      <c r="T417" s="50"/>
      <c r="U417" s="53"/>
      <c r="V417" s="54"/>
      <c r="W417" s="56"/>
      <c r="X417" s="119"/>
      <c r="Y417" s="113"/>
      <c r="Z417" s="113"/>
      <c r="AH417" s="106"/>
      <c r="AI417" s="106"/>
    </row>
    <row r="418">
      <c r="A418" s="38"/>
      <c r="B418" s="38"/>
      <c r="C418" s="38"/>
      <c r="D418" s="38"/>
      <c r="E418" s="38"/>
      <c r="F418" s="41"/>
      <c r="G418" s="43"/>
      <c r="H418" s="45"/>
      <c r="I418" s="38"/>
      <c r="J418" s="38"/>
      <c r="K418" s="46"/>
      <c r="L418" s="47"/>
      <c r="M418" s="46"/>
      <c r="N418" s="46"/>
      <c r="O418" s="38"/>
      <c r="P418" s="38"/>
      <c r="Q418" s="12"/>
      <c r="R418" s="50"/>
      <c r="S418" s="50"/>
      <c r="T418" s="50"/>
      <c r="U418" s="53"/>
      <c r="V418" s="54"/>
      <c r="W418" s="56"/>
      <c r="X418" s="119"/>
      <c r="Y418" s="113"/>
      <c r="Z418" s="113"/>
      <c r="AH418" s="106"/>
      <c r="AI418" s="106"/>
    </row>
    <row r="419">
      <c r="A419" s="38"/>
      <c r="B419" s="38"/>
      <c r="C419" s="38"/>
      <c r="D419" s="38"/>
      <c r="E419" s="38"/>
      <c r="F419" s="41"/>
      <c r="G419" s="43"/>
      <c r="H419" s="45"/>
      <c r="I419" s="38"/>
      <c r="J419" s="38"/>
      <c r="K419" s="46"/>
      <c r="L419" s="47"/>
      <c r="M419" s="46"/>
      <c r="N419" s="46"/>
      <c r="O419" s="38"/>
      <c r="P419" s="38"/>
      <c r="Q419" s="12"/>
      <c r="R419" s="50"/>
      <c r="S419" s="50"/>
      <c r="T419" s="50"/>
      <c r="U419" s="53"/>
      <c r="V419" s="54"/>
      <c r="W419" s="56"/>
      <c r="X419" s="119"/>
      <c r="Y419" s="113"/>
      <c r="Z419" s="113"/>
      <c r="AH419" s="106"/>
      <c r="AI419" s="106"/>
    </row>
    <row r="420">
      <c r="A420" s="38"/>
      <c r="B420" s="38"/>
      <c r="C420" s="38"/>
      <c r="D420" s="38"/>
      <c r="E420" s="38"/>
      <c r="F420" s="41"/>
      <c r="G420" s="43"/>
      <c r="H420" s="45"/>
      <c r="I420" s="38"/>
      <c r="J420" s="38"/>
      <c r="K420" s="46"/>
      <c r="L420" s="47"/>
      <c r="M420" s="46"/>
      <c r="N420" s="46"/>
      <c r="O420" s="38"/>
      <c r="P420" s="38"/>
      <c r="Q420" s="12"/>
      <c r="R420" s="50"/>
      <c r="S420" s="50"/>
      <c r="T420" s="50"/>
      <c r="U420" s="53"/>
      <c r="V420" s="54"/>
      <c r="W420" s="56"/>
      <c r="X420" s="119"/>
      <c r="Y420" s="113"/>
      <c r="Z420" s="113"/>
      <c r="AH420" s="106"/>
      <c r="AI420" s="106"/>
    </row>
    <row r="421">
      <c r="A421" s="38"/>
      <c r="B421" s="38"/>
      <c r="C421" s="38"/>
      <c r="D421" s="38"/>
      <c r="E421" s="38"/>
      <c r="F421" s="41"/>
      <c r="G421" s="43"/>
      <c r="H421" s="45"/>
      <c r="I421" s="38"/>
      <c r="J421" s="38"/>
      <c r="K421" s="46"/>
      <c r="L421" s="47"/>
      <c r="M421" s="46"/>
      <c r="N421" s="46"/>
      <c r="O421" s="38"/>
      <c r="P421" s="38"/>
      <c r="Q421" s="12"/>
      <c r="R421" s="50"/>
      <c r="S421" s="50"/>
      <c r="T421" s="50"/>
      <c r="U421" s="53"/>
      <c r="V421" s="54"/>
      <c r="W421" s="56"/>
      <c r="X421" s="119"/>
      <c r="Y421" s="113"/>
      <c r="Z421" s="113"/>
      <c r="AH421" s="106"/>
      <c r="AI421" s="106"/>
    </row>
    <row r="422">
      <c r="A422" s="38"/>
      <c r="B422" s="38"/>
      <c r="C422" s="38"/>
      <c r="D422" s="38"/>
      <c r="E422" s="38"/>
      <c r="F422" s="41"/>
      <c r="G422" s="43"/>
      <c r="H422" s="45"/>
      <c r="I422" s="38"/>
      <c r="J422" s="38"/>
      <c r="K422" s="46"/>
      <c r="L422" s="47"/>
      <c r="M422" s="46"/>
      <c r="N422" s="46"/>
      <c r="O422" s="38"/>
      <c r="P422" s="38"/>
      <c r="Q422" s="12"/>
      <c r="R422" s="50"/>
      <c r="S422" s="50"/>
      <c r="T422" s="50"/>
      <c r="U422" s="53"/>
      <c r="V422" s="54"/>
      <c r="W422" s="56"/>
      <c r="X422" s="119"/>
      <c r="Y422" s="113"/>
      <c r="Z422" s="113"/>
      <c r="AH422" s="106"/>
      <c r="AI422" s="106"/>
    </row>
    <row r="423">
      <c r="A423" s="38"/>
      <c r="B423" s="38"/>
      <c r="C423" s="38"/>
      <c r="D423" s="38"/>
      <c r="E423" s="38"/>
      <c r="F423" s="41"/>
      <c r="G423" s="43"/>
      <c r="H423" s="45"/>
      <c r="I423" s="38"/>
      <c r="J423" s="38"/>
      <c r="K423" s="46"/>
      <c r="L423" s="47"/>
      <c r="M423" s="46"/>
      <c r="N423" s="46"/>
      <c r="O423" s="38"/>
      <c r="P423" s="38"/>
      <c r="Q423" s="12"/>
      <c r="R423" s="50"/>
      <c r="S423" s="50"/>
      <c r="T423" s="50"/>
      <c r="U423" s="53"/>
      <c r="V423" s="54"/>
      <c r="W423" s="56"/>
      <c r="X423" s="119"/>
      <c r="Y423" s="113"/>
      <c r="Z423" s="113"/>
      <c r="AH423" s="106"/>
      <c r="AI423" s="106"/>
    </row>
    <row r="424">
      <c r="A424" s="38"/>
      <c r="B424" s="38"/>
      <c r="C424" s="38"/>
      <c r="D424" s="38"/>
      <c r="E424" s="38"/>
      <c r="F424" s="41"/>
      <c r="G424" s="43"/>
      <c r="H424" s="45"/>
      <c r="I424" s="38"/>
      <c r="J424" s="38"/>
      <c r="K424" s="46"/>
      <c r="L424" s="47"/>
      <c r="M424" s="46"/>
      <c r="N424" s="46"/>
      <c r="O424" s="38"/>
      <c r="P424" s="38"/>
      <c r="Q424" s="12"/>
      <c r="R424" s="50"/>
      <c r="S424" s="50"/>
      <c r="T424" s="50"/>
      <c r="U424" s="53"/>
      <c r="V424" s="54"/>
      <c r="W424" s="56"/>
      <c r="X424" s="119"/>
      <c r="Y424" s="113"/>
      <c r="Z424" s="113"/>
      <c r="AH424" s="106"/>
      <c r="AI424" s="106"/>
    </row>
    <row r="425">
      <c r="A425" s="38"/>
      <c r="B425" s="38"/>
      <c r="C425" s="38"/>
      <c r="D425" s="38"/>
      <c r="E425" s="38"/>
      <c r="F425" s="41"/>
      <c r="G425" s="43"/>
      <c r="H425" s="45"/>
      <c r="I425" s="38"/>
      <c r="J425" s="38"/>
      <c r="K425" s="46"/>
      <c r="L425" s="47"/>
      <c r="M425" s="46"/>
      <c r="N425" s="46"/>
      <c r="O425" s="38"/>
      <c r="P425" s="38"/>
      <c r="Q425" s="12"/>
      <c r="R425" s="50"/>
      <c r="S425" s="50"/>
      <c r="T425" s="50"/>
      <c r="U425" s="53"/>
      <c r="V425" s="54"/>
      <c r="W425" s="56"/>
      <c r="X425" s="119"/>
      <c r="Y425" s="113"/>
      <c r="Z425" s="113"/>
      <c r="AH425" s="106"/>
      <c r="AI425" s="106"/>
    </row>
    <row r="426">
      <c r="A426" s="38"/>
      <c r="B426" s="38"/>
      <c r="C426" s="38"/>
      <c r="D426" s="38"/>
      <c r="E426" s="38"/>
      <c r="F426" s="41"/>
      <c r="G426" s="43"/>
      <c r="H426" s="45"/>
      <c r="I426" s="38"/>
      <c r="J426" s="38"/>
      <c r="K426" s="46"/>
      <c r="L426" s="47"/>
      <c r="M426" s="46"/>
      <c r="N426" s="46"/>
      <c r="O426" s="38"/>
      <c r="P426" s="38"/>
      <c r="Q426" s="12"/>
      <c r="R426" s="50"/>
      <c r="S426" s="50"/>
      <c r="T426" s="50"/>
      <c r="U426" s="53"/>
      <c r="V426" s="54"/>
      <c r="W426" s="56"/>
      <c r="X426" s="119"/>
      <c r="Y426" s="113"/>
      <c r="Z426" s="113"/>
      <c r="AH426" s="106"/>
      <c r="AI426" s="106"/>
    </row>
    <row r="427">
      <c r="A427" s="38"/>
      <c r="B427" s="38"/>
      <c r="C427" s="38"/>
      <c r="D427" s="38"/>
      <c r="E427" s="38"/>
      <c r="F427" s="41"/>
      <c r="G427" s="43"/>
      <c r="H427" s="45"/>
      <c r="I427" s="38"/>
      <c r="J427" s="38"/>
      <c r="K427" s="46"/>
      <c r="L427" s="47"/>
      <c r="M427" s="46"/>
      <c r="N427" s="46"/>
      <c r="O427" s="38"/>
      <c r="P427" s="38"/>
      <c r="Q427" s="12"/>
      <c r="R427" s="50"/>
      <c r="S427" s="50"/>
      <c r="T427" s="50"/>
      <c r="U427" s="53"/>
      <c r="V427" s="54"/>
      <c r="W427" s="56"/>
      <c r="X427" s="119"/>
      <c r="Y427" s="113"/>
      <c r="Z427" s="113"/>
      <c r="AH427" s="106"/>
      <c r="AI427" s="106"/>
    </row>
    <row r="428">
      <c r="A428" s="38"/>
      <c r="B428" s="38"/>
      <c r="C428" s="38"/>
      <c r="D428" s="38"/>
      <c r="E428" s="38"/>
      <c r="F428" s="41"/>
      <c r="G428" s="43"/>
      <c r="H428" s="45"/>
      <c r="I428" s="38"/>
      <c r="J428" s="38"/>
      <c r="K428" s="46"/>
      <c r="L428" s="47"/>
      <c r="M428" s="46"/>
      <c r="N428" s="46"/>
      <c r="O428" s="38"/>
      <c r="P428" s="38"/>
      <c r="Q428" s="12"/>
      <c r="R428" s="50"/>
      <c r="S428" s="50"/>
      <c r="T428" s="50"/>
      <c r="U428" s="53"/>
      <c r="V428" s="54"/>
      <c r="W428" s="56"/>
      <c r="X428" s="119"/>
      <c r="Y428" s="113"/>
      <c r="Z428" s="113"/>
      <c r="AH428" s="106"/>
      <c r="AI428" s="106"/>
    </row>
    <row r="429">
      <c r="A429" s="38"/>
      <c r="B429" s="38"/>
      <c r="C429" s="38"/>
      <c r="D429" s="38"/>
      <c r="E429" s="38"/>
      <c r="F429" s="41"/>
      <c r="G429" s="43"/>
      <c r="H429" s="45"/>
      <c r="I429" s="38"/>
      <c r="J429" s="38"/>
      <c r="K429" s="46"/>
      <c r="L429" s="47"/>
      <c r="M429" s="46"/>
      <c r="N429" s="46"/>
      <c r="O429" s="38"/>
      <c r="P429" s="38"/>
      <c r="Q429" s="12"/>
      <c r="R429" s="50"/>
      <c r="S429" s="50"/>
      <c r="T429" s="50"/>
      <c r="U429" s="53"/>
      <c r="V429" s="54"/>
      <c r="W429" s="56"/>
      <c r="X429" s="119"/>
      <c r="Y429" s="113"/>
      <c r="Z429" s="113"/>
      <c r="AH429" s="106"/>
      <c r="AI429" s="106"/>
    </row>
    <row r="430">
      <c r="A430" s="38"/>
      <c r="B430" s="38"/>
      <c r="C430" s="38"/>
      <c r="D430" s="38"/>
      <c r="E430" s="38"/>
      <c r="F430" s="41"/>
      <c r="G430" s="43"/>
      <c r="H430" s="45"/>
      <c r="I430" s="38"/>
      <c r="J430" s="38"/>
      <c r="K430" s="46"/>
      <c r="L430" s="47"/>
      <c r="M430" s="46"/>
      <c r="N430" s="46"/>
      <c r="O430" s="38"/>
      <c r="P430" s="38"/>
      <c r="Q430" s="12"/>
      <c r="R430" s="50"/>
      <c r="S430" s="50"/>
      <c r="T430" s="50"/>
      <c r="U430" s="53"/>
      <c r="V430" s="54"/>
      <c r="W430" s="56"/>
      <c r="X430" s="119"/>
      <c r="Y430" s="113"/>
      <c r="Z430" s="113"/>
      <c r="AH430" s="106"/>
      <c r="AI430" s="106"/>
    </row>
    <row r="431">
      <c r="A431" s="38"/>
      <c r="B431" s="38"/>
      <c r="C431" s="38"/>
      <c r="D431" s="38"/>
      <c r="E431" s="38"/>
      <c r="F431" s="41"/>
      <c r="G431" s="43"/>
      <c r="H431" s="45"/>
      <c r="I431" s="38"/>
      <c r="J431" s="38"/>
      <c r="K431" s="46"/>
      <c r="L431" s="47"/>
      <c r="M431" s="46"/>
      <c r="N431" s="46"/>
      <c r="O431" s="38"/>
      <c r="P431" s="38"/>
      <c r="Q431" s="12"/>
      <c r="R431" s="50"/>
      <c r="S431" s="50"/>
      <c r="T431" s="50"/>
      <c r="U431" s="53"/>
      <c r="V431" s="54"/>
      <c r="W431" s="56"/>
      <c r="X431" s="119"/>
      <c r="Y431" s="113"/>
      <c r="Z431" s="113"/>
      <c r="AH431" s="106"/>
      <c r="AI431" s="106"/>
    </row>
    <row r="432">
      <c r="A432" s="38"/>
      <c r="B432" s="38"/>
      <c r="C432" s="38"/>
      <c r="D432" s="38"/>
      <c r="E432" s="38"/>
      <c r="F432" s="41"/>
      <c r="G432" s="43"/>
      <c r="H432" s="45"/>
      <c r="I432" s="38"/>
      <c r="J432" s="38"/>
      <c r="K432" s="46"/>
      <c r="L432" s="47"/>
      <c r="M432" s="46"/>
      <c r="N432" s="46"/>
      <c r="O432" s="38"/>
      <c r="P432" s="38"/>
      <c r="Q432" s="12"/>
      <c r="R432" s="50"/>
      <c r="S432" s="50"/>
      <c r="T432" s="50"/>
      <c r="U432" s="53"/>
      <c r="V432" s="54"/>
      <c r="W432" s="56"/>
      <c r="X432" s="119"/>
      <c r="Y432" s="113"/>
      <c r="Z432" s="113"/>
      <c r="AH432" s="106"/>
      <c r="AI432" s="106"/>
    </row>
    <row r="433">
      <c r="A433" s="38"/>
      <c r="B433" s="38"/>
      <c r="C433" s="38"/>
      <c r="D433" s="38"/>
      <c r="E433" s="38"/>
      <c r="F433" s="41"/>
      <c r="G433" s="43"/>
      <c r="H433" s="45"/>
      <c r="I433" s="38"/>
      <c r="J433" s="38"/>
      <c r="K433" s="46"/>
      <c r="L433" s="47"/>
      <c r="M433" s="46"/>
      <c r="N433" s="46"/>
      <c r="O433" s="38"/>
      <c r="P433" s="38"/>
      <c r="Q433" s="12"/>
      <c r="R433" s="50"/>
      <c r="S433" s="50"/>
      <c r="T433" s="50"/>
      <c r="U433" s="53"/>
      <c r="V433" s="54"/>
      <c r="W433" s="56"/>
      <c r="X433" s="119"/>
      <c r="Y433" s="113"/>
      <c r="Z433" s="113"/>
      <c r="AH433" s="106"/>
      <c r="AI433" s="106"/>
    </row>
    <row r="434">
      <c r="A434" s="38"/>
      <c r="B434" s="38"/>
      <c r="C434" s="38"/>
      <c r="D434" s="38"/>
      <c r="E434" s="38"/>
      <c r="F434" s="41"/>
      <c r="G434" s="43"/>
      <c r="H434" s="45"/>
      <c r="I434" s="38"/>
      <c r="J434" s="38"/>
      <c r="K434" s="46"/>
      <c r="L434" s="47"/>
      <c r="M434" s="46"/>
      <c r="N434" s="46"/>
      <c r="O434" s="38"/>
      <c r="P434" s="38"/>
      <c r="Q434" s="12"/>
      <c r="R434" s="50"/>
      <c r="S434" s="50"/>
      <c r="T434" s="50"/>
      <c r="U434" s="53"/>
      <c r="V434" s="54"/>
      <c r="W434" s="56"/>
      <c r="X434" s="119"/>
      <c r="Y434" s="113"/>
      <c r="Z434" s="113"/>
      <c r="AH434" s="106"/>
      <c r="AI434" s="106"/>
    </row>
    <row r="435">
      <c r="A435" s="38"/>
      <c r="B435" s="38"/>
      <c r="C435" s="38"/>
      <c r="D435" s="38"/>
      <c r="E435" s="38"/>
      <c r="F435" s="41"/>
      <c r="G435" s="43"/>
      <c r="H435" s="45"/>
      <c r="I435" s="38"/>
      <c r="J435" s="38"/>
      <c r="K435" s="46"/>
      <c r="L435" s="47"/>
      <c r="M435" s="46"/>
      <c r="N435" s="46"/>
      <c r="O435" s="38"/>
      <c r="P435" s="38"/>
      <c r="Q435" s="12"/>
      <c r="R435" s="50"/>
      <c r="S435" s="50"/>
      <c r="T435" s="50"/>
      <c r="U435" s="53"/>
      <c r="V435" s="54"/>
      <c r="W435" s="56"/>
      <c r="X435" s="119"/>
      <c r="Y435" s="113"/>
      <c r="Z435" s="113"/>
      <c r="AH435" s="106"/>
      <c r="AI435" s="106"/>
    </row>
    <row r="436">
      <c r="A436" s="38"/>
      <c r="B436" s="38"/>
      <c r="C436" s="38"/>
      <c r="D436" s="38"/>
      <c r="E436" s="38"/>
      <c r="F436" s="41"/>
      <c r="G436" s="43"/>
      <c r="H436" s="45"/>
      <c r="I436" s="38"/>
      <c r="J436" s="38"/>
      <c r="K436" s="46"/>
      <c r="L436" s="47"/>
      <c r="M436" s="46"/>
      <c r="N436" s="46"/>
      <c r="O436" s="38"/>
      <c r="P436" s="38"/>
      <c r="Q436" s="12"/>
      <c r="R436" s="50"/>
      <c r="S436" s="50"/>
      <c r="T436" s="50"/>
      <c r="U436" s="53"/>
      <c r="V436" s="54"/>
      <c r="W436" s="56"/>
      <c r="X436" s="119"/>
      <c r="Y436" s="113"/>
      <c r="Z436" s="113"/>
      <c r="AH436" s="106"/>
      <c r="AI436" s="106"/>
    </row>
    <row r="437">
      <c r="A437" s="38"/>
      <c r="B437" s="38"/>
      <c r="C437" s="38"/>
      <c r="D437" s="38"/>
      <c r="E437" s="38"/>
      <c r="F437" s="41"/>
      <c r="G437" s="43"/>
      <c r="H437" s="45"/>
      <c r="I437" s="38"/>
      <c r="J437" s="38"/>
      <c r="K437" s="46"/>
      <c r="L437" s="47"/>
      <c r="M437" s="46"/>
      <c r="N437" s="46"/>
      <c r="O437" s="38"/>
      <c r="P437" s="38"/>
      <c r="Q437" s="12"/>
      <c r="R437" s="50"/>
      <c r="S437" s="50"/>
      <c r="T437" s="50"/>
      <c r="U437" s="53"/>
      <c r="V437" s="54"/>
      <c r="W437" s="56"/>
      <c r="X437" s="119"/>
      <c r="Y437" s="113"/>
      <c r="Z437" s="113"/>
      <c r="AH437" s="106"/>
      <c r="AI437" s="106"/>
    </row>
    <row r="438">
      <c r="A438" s="38"/>
      <c r="B438" s="38"/>
      <c r="C438" s="38"/>
      <c r="D438" s="38"/>
      <c r="E438" s="38"/>
      <c r="F438" s="41"/>
      <c r="G438" s="43"/>
      <c r="H438" s="45"/>
      <c r="I438" s="38"/>
      <c r="J438" s="38"/>
      <c r="K438" s="46"/>
      <c r="L438" s="47"/>
      <c r="M438" s="46"/>
      <c r="N438" s="46"/>
      <c r="O438" s="38"/>
      <c r="P438" s="38"/>
      <c r="Q438" s="12"/>
      <c r="R438" s="50"/>
      <c r="S438" s="50"/>
      <c r="T438" s="50"/>
      <c r="U438" s="53"/>
      <c r="V438" s="54"/>
      <c r="W438" s="56"/>
      <c r="X438" s="119"/>
      <c r="Y438" s="113"/>
      <c r="Z438" s="113"/>
      <c r="AH438" s="106"/>
      <c r="AI438" s="106"/>
    </row>
    <row r="439">
      <c r="A439" s="38"/>
      <c r="B439" s="38"/>
      <c r="C439" s="38"/>
      <c r="D439" s="38"/>
      <c r="E439" s="38"/>
      <c r="F439" s="41"/>
      <c r="G439" s="43"/>
      <c r="H439" s="45"/>
      <c r="I439" s="38"/>
      <c r="J439" s="38"/>
      <c r="K439" s="46"/>
      <c r="L439" s="47"/>
      <c r="M439" s="46"/>
      <c r="N439" s="46"/>
      <c r="O439" s="38"/>
      <c r="P439" s="38"/>
      <c r="Q439" s="12"/>
      <c r="R439" s="50"/>
      <c r="S439" s="50"/>
      <c r="T439" s="50"/>
      <c r="U439" s="53"/>
      <c r="V439" s="54"/>
      <c r="W439" s="56"/>
      <c r="X439" s="119"/>
      <c r="Y439" s="113"/>
      <c r="Z439" s="113"/>
      <c r="AH439" s="106"/>
      <c r="AI439" s="106"/>
    </row>
    <row r="440">
      <c r="A440" s="38"/>
      <c r="B440" s="38"/>
      <c r="C440" s="38"/>
      <c r="D440" s="38"/>
      <c r="E440" s="38"/>
      <c r="F440" s="41"/>
      <c r="G440" s="43"/>
      <c r="H440" s="45"/>
      <c r="I440" s="38"/>
      <c r="J440" s="38"/>
      <c r="K440" s="46"/>
      <c r="L440" s="47"/>
      <c r="M440" s="46"/>
      <c r="N440" s="46"/>
      <c r="O440" s="38"/>
      <c r="P440" s="38"/>
      <c r="Q440" s="12"/>
      <c r="R440" s="50"/>
      <c r="S440" s="50"/>
      <c r="T440" s="50"/>
      <c r="U440" s="53"/>
      <c r="V440" s="54"/>
      <c r="W440" s="56"/>
      <c r="X440" s="119"/>
      <c r="Y440" s="113"/>
      <c r="Z440" s="113"/>
      <c r="AH440" s="106"/>
      <c r="AI440" s="106"/>
    </row>
    <row r="441">
      <c r="A441" s="38"/>
      <c r="B441" s="38"/>
      <c r="C441" s="38"/>
      <c r="D441" s="38"/>
      <c r="E441" s="38"/>
      <c r="F441" s="41"/>
      <c r="G441" s="43"/>
      <c r="H441" s="45"/>
      <c r="I441" s="38"/>
      <c r="J441" s="38"/>
      <c r="K441" s="46"/>
      <c r="L441" s="47"/>
      <c r="M441" s="46"/>
      <c r="N441" s="46"/>
      <c r="O441" s="38"/>
      <c r="P441" s="38"/>
      <c r="Q441" s="12"/>
      <c r="R441" s="50"/>
      <c r="S441" s="50"/>
      <c r="T441" s="50"/>
      <c r="U441" s="53"/>
      <c r="V441" s="54"/>
      <c r="W441" s="56"/>
      <c r="X441" s="119"/>
      <c r="Y441" s="113"/>
      <c r="Z441" s="113"/>
      <c r="AH441" s="106"/>
      <c r="AI441" s="106"/>
    </row>
    <row r="442">
      <c r="A442" s="38"/>
      <c r="B442" s="38"/>
      <c r="C442" s="38"/>
      <c r="D442" s="38"/>
      <c r="E442" s="38"/>
      <c r="F442" s="41"/>
      <c r="G442" s="43"/>
      <c r="H442" s="45"/>
      <c r="I442" s="38"/>
      <c r="J442" s="38"/>
      <c r="K442" s="46"/>
      <c r="L442" s="47"/>
      <c r="M442" s="46"/>
      <c r="N442" s="46"/>
      <c r="O442" s="38"/>
      <c r="P442" s="38"/>
      <c r="Q442" s="12"/>
      <c r="R442" s="50"/>
      <c r="S442" s="50"/>
      <c r="T442" s="50"/>
      <c r="U442" s="53"/>
      <c r="V442" s="54"/>
      <c r="W442" s="56"/>
      <c r="X442" s="119"/>
      <c r="Y442" s="113"/>
      <c r="Z442" s="113"/>
      <c r="AH442" s="106"/>
      <c r="AI442" s="106"/>
    </row>
    <row r="443">
      <c r="A443" s="38"/>
      <c r="B443" s="38"/>
      <c r="C443" s="38"/>
      <c r="D443" s="38"/>
      <c r="E443" s="38"/>
      <c r="F443" s="41"/>
      <c r="G443" s="43"/>
      <c r="H443" s="45"/>
      <c r="I443" s="38"/>
      <c r="J443" s="38"/>
      <c r="K443" s="46"/>
      <c r="L443" s="47"/>
      <c r="M443" s="46"/>
      <c r="N443" s="46"/>
      <c r="O443" s="38"/>
      <c r="P443" s="38"/>
      <c r="Q443" s="12"/>
      <c r="R443" s="50"/>
      <c r="S443" s="50"/>
      <c r="T443" s="50"/>
      <c r="U443" s="53"/>
      <c r="V443" s="54"/>
      <c r="W443" s="56"/>
      <c r="X443" s="119"/>
      <c r="Y443" s="113"/>
      <c r="Z443" s="113"/>
      <c r="AH443" s="106"/>
      <c r="AI443" s="106"/>
    </row>
    <row r="444">
      <c r="A444" s="38"/>
      <c r="B444" s="38"/>
      <c r="C444" s="38"/>
      <c r="D444" s="38"/>
      <c r="E444" s="38"/>
      <c r="F444" s="41"/>
      <c r="G444" s="43"/>
      <c r="H444" s="45"/>
      <c r="I444" s="38"/>
      <c r="J444" s="38"/>
      <c r="K444" s="46"/>
      <c r="L444" s="47"/>
      <c r="M444" s="46"/>
      <c r="N444" s="46"/>
      <c r="O444" s="38"/>
      <c r="P444" s="38"/>
      <c r="Q444" s="12"/>
      <c r="R444" s="50"/>
      <c r="S444" s="50"/>
      <c r="T444" s="50"/>
      <c r="U444" s="53"/>
      <c r="V444" s="54"/>
      <c r="W444" s="56"/>
      <c r="X444" s="119"/>
      <c r="Y444" s="113"/>
      <c r="Z444" s="113"/>
      <c r="AH444" s="106"/>
      <c r="AI444" s="106"/>
    </row>
    <row r="445">
      <c r="A445" s="38"/>
      <c r="B445" s="38"/>
      <c r="C445" s="38"/>
      <c r="D445" s="38"/>
      <c r="E445" s="38"/>
      <c r="F445" s="41"/>
      <c r="G445" s="43"/>
      <c r="H445" s="45"/>
      <c r="I445" s="38"/>
      <c r="J445" s="38"/>
      <c r="K445" s="46"/>
      <c r="L445" s="47"/>
      <c r="M445" s="46"/>
      <c r="N445" s="46"/>
      <c r="O445" s="38"/>
      <c r="P445" s="38"/>
      <c r="Q445" s="12"/>
      <c r="R445" s="50"/>
      <c r="S445" s="50"/>
      <c r="T445" s="50"/>
      <c r="U445" s="53"/>
      <c r="V445" s="54"/>
      <c r="W445" s="56"/>
      <c r="X445" s="119"/>
      <c r="Y445" s="113"/>
      <c r="Z445" s="113"/>
      <c r="AH445" s="106"/>
      <c r="AI445" s="106"/>
    </row>
    <row r="446">
      <c r="A446" s="38"/>
      <c r="B446" s="38"/>
      <c r="C446" s="38"/>
      <c r="D446" s="38"/>
      <c r="E446" s="38"/>
      <c r="F446" s="41"/>
      <c r="G446" s="43"/>
      <c r="H446" s="45"/>
      <c r="I446" s="38"/>
      <c r="J446" s="38"/>
      <c r="K446" s="46"/>
      <c r="L446" s="47"/>
      <c r="M446" s="46"/>
      <c r="N446" s="46"/>
      <c r="O446" s="38"/>
      <c r="P446" s="38"/>
      <c r="Q446" s="12"/>
      <c r="R446" s="50"/>
      <c r="S446" s="50"/>
      <c r="T446" s="50"/>
      <c r="U446" s="53"/>
      <c r="V446" s="54"/>
      <c r="W446" s="56"/>
      <c r="X446" s="119"/>
      <c r="Y446" s="113"/>
      <c r="Z446" s="113"/>
      <c r="AH446" s="106"/>
      <c r="AI446" s="106"/>
    </row>
    <row r="447">
      <c r="A447" s="38"/>
      <c r="B447" s="38"/>
      <c r="C447" s="38"/>
      <c r="D447" s="38"/>
      <c r="E447" s="38"/>
      <c r="F447" s="41"/>
      <c r="G447" s="43"/>
      <c r="H447" s="45"/>
      <c r="I447" s="38"/>
      <c r="J447" s="38"/>
      <c r="K447" s="46"/>
      <c r="L447" s="47"/>
      <c r="M447" s="46"/>
      <c r="N447" s="46"/>
      <c r="O447" s="38"/>
      <c r="P447" s="38"/>
      <c r="Q447" s="12"/>
      <c r="R447" s="50"/>
      <c r="S447" s="50"/>
      <c r="T447" s="50"/>
      <c r="U447" s="53"/>
      <c r="V447" s="54"/>
      <c r="W447" s="56"/>
      <c r="X447" s="119"/>
      <c r="Y447" s="113"/>
      <c r="Z447" s="113"/>
      <c r="AH447" s="106"/>
      <c r="AI447" s="106"/>
    </row>
    <row r="448">
      <c r="A448" s="38"/>
      <c r="B448" s="38"/>
      <c r="C448" s="38"/>
      <c r="D448" s="38"/>
      <c r="E448" s="38"/>
      <c r="F448" s="41"/>
      <c r="G448" s="43"/>
      <c r="H448" s="45"/>
      <c r="I448" s="38"/>
      <c r="J448" s="38"/>
      <c r="K448" s="46"/>
      <c r="L448" s="47"/>
      <c r="M448" s="46"/>
      <c r="N448" s="46"/>
      <c r="O448" s="38"/>
      <c r="P448" s="38"/>
      <c r="Q448" s="12"/>
      <c r="R448" s="50"/>
      <c r="S448" s="50"/>
      <c r="T448" s="50"/>
      <c r="U448" s="53"/>
      <c r="V448" s="54"/>
      <c r="W448" s="56"/>
      <c r="X448" s="119"/>
      <c r="Y448" s="113"/>
      <c r="Z448" s="113"/>
      <c r="AH448" s="106"/>
      <c r="AI448" s="106"/>
    </row>
    <row r="449">
      <c r="A449" s="38"/>
      <c r="B449" s="38"/>
      <c r="C449" s="38"/>
      <c r="D449" s="38"/>
      <c r="E449" s="38"/>
      <c r="F449" s="41"/>
      <c r="G449" s="43"/>
      <c r="H449" s="45"/>
      <c r="I449" s="38"/>
      <c r="J449" s="38"/>
      <c r="K449" s="46"/>
      <c r="L449" s="47"/>
      <c r="M449" s="46"/>
      <c r="N449" s="46"/>
      <c r="O449" s="38"/>
      <c r="P449" s="38"/>
      <c r="Q449" s="12"/>
      <c r="R449" s="50"/>
      <c r="S449" s="50"/>
      <c r="T449" s="50"/>
      <c r="U449" s="53"/>
      <c r="V449" s="54"/>
      <c r="W449" s="56"/>
      <c r="X449" s="119"/>
      <c r="Y449" s="113"/>
      <c r="Z449" s="113"/>
      <c r="AH449" s="106"/>
      <c r="AI449" s="106"/>
    </row>
    <row r="450">
      <c r="A450" s="38"/>
      <c r="B450" s="38"/>
      <c r="C450" s="38"/>
      <c r="D450" s="38"/>
      <c r="E450" s="38"/>
      <c r="F450" s="41"/>
      <c r="G450" s="43"/>
      <c r="H450" s="45"/>
      <c r="I450" s="38"/>
      <c r="J450" s="38"/>
      <c r="K450" s="46"/>
      <c r="L450" s="47"/>
      <c r="M450" s="46"/>
      <c r="N450" s="46"/>
      <c r="O450" s="38"/>
      <c r="P450" s="38"/>
      <c r="Q450" s="12"/>
      <c r="R450" s="50"/>
      <c r="S450" s="50"/>
      <c r="T450" s="50"/>
      <c r="U450" s="53"/>
      <c r="V450" s="54"/>
      <c r="W450" s="56"/>
      <c r="X450" s="119"/>
      <c r="Y450" s="113"/>
      <c r="Z450" s="113"/>
      <c r="AH450" s="106"/>
      <c r="AI450" s="106"/>
    </row>
    <row r="451">
      <c r="A451" s="38"/>
      <c r="B451" s="38"/>
      <c r="C451" s="38"/>
      <c r="D451" s="38"/>
      <c r="E451" s="38"/>
      <c r="F451" s="41"/>
      <c r="G451" s="43"/>
      <c r="H451" s="45"/>
      <c r="I451" s="38"/>
      <c r="J451" s="38"/>
      <c r="K451" s="46"/>
      <c r="L451" s="47"/>
      <c r="M451" s="46"/>
      <c r="N451" s="46"/>
      <c r="O451" s="38"/>
      <c r="P451" s="38"/>
      <c r="Q451" s="12"/>
      <c r="R451" s="50"/>
      <c r="S451" s="50"/>
      <c r="T451" s="50"/>
      <c r="U451" s="53"/>
      <c r="V451" s="54"/>
      <c r="W451" s="56"/>
      <c r="X451" s="119"/>
      <c r="Y451" s="113"/>
      <c r="Z451" s="113"/>
      <c r="AH451" s="106"/>
      <c r="AI451" s="106"/>
    </row>
    <row r="452">
      <c r="A452" s="38"/>
      <c r="B452" s="38"/>
      <c r="C452" s="38"/>
      <c r="D452" s="38"/>
      <c r="E452" s="38"/>
      <c r="F452" s="41"/>
      <c r="G452" s="43"/>
      <c r="H452" s="45"/>
      <c r="I452" s="38"/>
      <c r="J452" s="38"/>
      <c r="K452" s="46"/>
      <c r="L452" s="47"/>
      <c r="M452" s="46"/>
      <c r="N452" s="46"/>
      <c r="O452" s="38"/>
      <c r="P452" s="38"/>
      <c r="Q452" s="12"/>
      <c r="R452" s="50"/>
      <c r="S452" s="50"/>
      <c r="T452" s="50"/>
      <c r="U452" s="53"/>
      <c r="V452" s="54"/>
      <c r="W452" s="56"/>
      <c r="X452" s="119"/>
      <c r="Y452" s="113"/>
      <c r="Z452" s="113"/>
      <c r="AH452" s="106"/>
      <c r="AI452" s="106"/>
    </row>
    <row r="453">
      <c r="A453" s="38"/>
      <c r="B453" s="38"/>
      <c r="C453" s="38"/>
      <c r="D453" s="38"/>
      <c r="E453" s="38"/>
      <c r="F453" s="41"/>
      <c r="G453" s="43"/>
      <c r="H453" s="45"/>
      <c r="I453" s="38"/>
      <c r="J453" s="38"/>
      <c r="K453" s="46"/>
      <c r="L453" s="47"/>
      <c r="M453" s="46"/>
      <c r="N453" s="46"/>
      <c r="O453" s="38"/>
      <c r="P453" s="38"/>
      <c r="Q453" s="12"/>
      <c r="R453" s="50"/>
      <c r="S453" s="50"/>
      <c r="T453" s="50"/>
      <c r="U453" s="53"/>
      <c r="V453" s="54"/>
      <c r="W453" s="56"/>
      <c r="X453" s="119"/>
      <c r="Y453" s="113"/>
      <c r="Z453" s="113"/>
      <c r="AH453" s="106"/>
      <c r="AI453" s="106"/>
    </row>
    <row r="454">
      <c r="A454" s="38"/>
      <c r="B454" s="38"/>
      <c r="C454" s="38"/>
      <c r="D454" s="38"/>
      <c r="E454" s="38"/>
      <c r="F454" s="41"/>
      <c r="G454" s="43"/>
      <c r="H454" s="45"/>
      <c r="I454" s="38"/>
      <c r="J454" s="38"/>
      <c r="K454" s="46"/>
      <c r="L454" s="47"/>
      <c r="M454" s="46"/>
      <c r="N454" s="46"/>
      <c r="O454" s="38"/>
      <c r="P454" s="38"/>
      <c r="Q454" s="12"/>
      <c r="R454" s="50"/>
      <c r="S454" s="50"/>
      <c r="T454" s="50"/>
      <c r="U454" s="53"/>
      <c r="V454" s="54"/>
      <c r="W454" s="56"/>
      <c r="X454" s="119"/>
      <c r="Y454" s="113"/>
      <c r="Z454" s="113"/>
      <c r="AH454" s="106"/>
      <c r="AI454" s="106"/>
    </row>
    <row r="455">
      <c r="A455" s="38"/>
      <c r="B455" s="38"/>
      <c r="C455" s="38"/>
      <c r="D455" s="38"/>
      <c r="E455" s="38"/>
      <c r="F455" s="41"/>
      <c r="G455" s="43"/>
      <c r="H455" s="45"/>
      <c r="I455" s="38"/>
      <c r="J455" s="38"/>
      <c r="K455" s="46"/>
      <c r="L455" s="47"/>
      <c r="M455" s="46"/>
      <c r="N455" s="46"/>
      <c r="O455" s="38"/>
      <c r="P455" s="38"/>
      <c r="Q455" s="12"/>
      <c r="R455" s="50"/>
      <c r="S455" s="50"/>
      <c r="T455" s="50"/>
      <c r="U455" s="53"/>
      <c r="V455" s="54"/>
      <c r="W455" s="56"/>
      <c r="X455" s="119"/>
      <c r="Y455" s="113"/>
      <c r="Z455" s="113"/>
      <c r="AH455" s="106"/>
      <c r="AI455" s="106"/>
    </row>
    <row r="456">
      <c r="A456" s="38"/>
      <c r="B456" s="38"/>
      <c r="C456" s="38"/>
      <c r="D456" s="38"/>
      <c r="E456" s="38"/>
      <c r="F456" s="41"/>
      <c r="G456" s="43"/>
      <c r="H456" s="45"/>
      <c r="I456" s="38"/>
      <c r="J456" s="38"/>
      <c r="K456" s="46"/>
      <c r="L456" s="47"/>
      <c r="M456" s="46"/>
      <c r="N456" s="46"/>
      <c r="O456" s="38"/>
      <c r="P456" s="38"/>
      <c r="Q456" s="12"/>
      <c r="R456" s="50"/>
      <c r="S456" s="50"/>
      <c r="T456" s="50"/>
      <c r="U456" s="53"/>
      <c r="V456" s="54"/>
      <c r="W456" s="56"/>
      <c r="X456" s="119"/>
      <c r="Y456" s="113"/>
      <c r="Z456" s="113"/>
      <c r="AH456" s="106"/>
      <c r="AI456" s="106"/>
    </row>
    <row r="457">
      <c r="A457" s="38"/>
      <c r="B457" s="38"/>
      <c r="C457" s="38"/>
      <c r="D457" s="38"/>
      <c r="E457" s="38"/>
      <c r="F457" s="41"/>
      <c r="G457" s="43"/>
      <c r="H457" s="45"/>
      <c r="I457" s="38"/>
      <c r="J457" s="38"/>
      <c r="K457" s="46"/>
      <c r="L457" s="47"/>
      <c r="M457" s="46"/>
      <c r="N457" s="46"/>
      <c r="O457" s="38"/>
      <c r="P457" s="38"/>
      <c r="Q457" s="12"/>
      <c r="R457" s="50"/>
      <c r="S457" s="50"/>
      <c r="T457" s="50"/>
      <c r="U457" s="53"/>
      <c r="V457" s="54"/>
      <c r="W457" s="56"/>
      <c r="X457" s="119"/>
      <c r="Y457" s="113"/>
      <c r="Z457" s="113"/>
      <c r="AH457" s="106"/>
      <c r="AI457" s="106"/>
    </row>
    <row r="458">
      <c r="A458" s="38"/>
      <c r="B458" s="38"/>
      <c r="C458" s="38"/>
      <c r="D458" s="38"/>
      <c r="E458" s="38"/>
      <c r="F458" s="41"/>
      <c r="G458" s="43"/>
      <c r="H458" s="45"/>
      <c r="I458" s="38"/>
      <c r="J458" s="38"/>
      <c r="K458" s="46"/>
      <c r="L458" s="47"/>
      <c r="M458" s="46"/>
      <c r="N458" s="46"/>
      <c r="O458" s="38"/>
      <c r="P458" s="38"/>
      <c r="Q458" s="12"/>
      <c r="R458" s="50"/>
      <c r="S458" s="50"/>
      <c r="T458" s="50"/>
      <c r="U458" s="53"/>
      <c r="V458" s="54"/>
      <c r="W458" s="56"/>
      <c r="X458" s="119"/>
      <c r="Y458" s="113"/>
      <c r="Z458" s="113"/>
      <c r="AH458" s="106"/>
      <c r="AI458" s="106"/>
    </row>
    <row r="459">
      <c r="A459" s="38"/>
      <c r="B459" s="38"/>
      <c r="C459" s="38"/>
      <c r="D459" s="38"/>
      <c r="E459" s="38"/>
      <c r="F459" s="41"/>
      <c r="G459" s="43"/>
      <c r="H459" s="45"/>
      <c r="I459" s="38"/>
      <c r="J459" s="38"/>
      <c r="K459" s="46"/>
      <c r="L459" s="47"/>
      <c r="M459" s="46"/>
      <c r="N459" s="46"/>
      <c r="O459" s="38"/>
      <c r="P459" s="38"/>
      <c r="Q459" s="12"/>
      <c r="R459" s="50"/>
      <c r="S459" s="50"/>
      <c r="T459" s="50"/>
      <c r="U459" s="53"/>
      <c r="V459" s="54"/>
      <c r="W459" s="56"/>
      <c r="X459" s="119"/>
      <c r="Y459" s="113"/>
      <c r="Z459" s="113"/>
      <c r="AH459" s="106"/>
      <c r="AI459" s="106"/>
    </row>
    <row r="460">
      <c r="A460" s="38"/>
      <c r="B460" s="38"/>
      <c r="C460" s="38"/>
      <c r="D460" s="38"/>
      <c r="E460" s="38"/>
      <c r="F460" s="41"/>
      <c r="G460" s="43"/>
      <c r="H460" s="45"/>
      <c r="I460" s="38"/>
      <c r="J460" s="38"/>
      <c r="K460" s="46"/>
      <c r="L460" s="47"/>
      <c r="M460" s="46"/>
      <c r="N460" s="46"/>
      <c r="O460" s="38"/>
      <c r="P460" s="38"/>
      <c r="Q460" s="12"/>
      <c r="R460" s="50"/>
      <c r="S460" s="50"/>
      <c r="T460" s="50"/>
      <c r="U460" s="53"/>
      <c r="V460" s="54"/>
      <c r="W460" s="56"/>
      <c r="X460" s="119"/>
      <c r="Y460" s="113"/>
      <c r="Z460" s="113"/>
      <c r="AH460" s="106"/>
      <c r="AI460" s="106"/>
    </row>
    <row r="461">
      <c r="A461" s="38"/>
      <c r="B461" s="38"/>
      <c r="C461" s="38"/>
      <c r="D461" s="38"/>
      <c r="E461" s="38"/>
      <c r="F461" s="41"/>
      <c r="G461" s="43"/>
      <c r="H461" s="45"/>
      <c r="I461" s="38"/>
      <c r="J461" s="38"/>
      <c r="K461" s="46"/>
      <c r="L461" s="47"/>
      <c r="M461" s="46"/>
      <c r="N461" s="46"/>
      <c r="O461" s="38"/>
      <c r="P461" s="38"/>
      <c r="Q461" s="12"/>
      <c r="R461" s="50"/>
      <c r="S461" s="50"/>
      <c r="T461" s="50"/>
      <c r="U461" s="53"/>
      <c r="V461" s="54"/>
      <c r="W461" s="56"/>
      <c r="X461" s="119"/>
      <c r="Y461" s="113"/>
      <c r="Z461" s="113"/>
      <c r="AH461" s="106"/>
      <c r="AI461" s="106"/>
    </row>
    <row r="462">
      <c r="A462" s="38"/>
      <c r="B462" s="38"/>
      <c r="C462" s="38"/>
      <c r="D462" s="38"/>
      <c r="E462" s="38"/>
      <c r="F462" s="41"/>
      <c r="G462" s="43"/>
      <c r="H462" s="45"/>
      <c r="I462" s="38"/>
      <c r="J462" s="38"/>
      <c r="K462" s="46"/>
      <c r="L462" s="47"/>
      <c r="M462" s="46"/>
      <c r="N462" s="46"/>
      <c r="O462" s="38"/>
      <c r="P462" s="38"/>
      <c r="Q462" s="12"/>
      <c r="R462" s="50"/>
      <c r="S462" s="50"/>
      <c r="T462" s="50"/>
      <c r="U462" s="53"/>
      <c r="V462" s="54"/>
      <c r="W462" s="56"/>
      <c r="X462" s="119"/>
      <c r="Y462" s="113"/>
      <c r="Z462" s="113"/>
      <c r="AH462" s="106"/>
      <c r="AI462" s="106"/>
    </row>
    <row r="463">
      <c r="A463" s="38"/>
      <c r="B463" s="38"/>
      <c r="C463" s="38"/>
      <c r="D463" s="38"/>
      <c r="E463" s="38"/>
      <c r="F463" s="41"/>
      <c r="G463" s="43"/>
      <c r="H463" s="45"/>
      <c r="I463" s="38"/>
      <c r="J463" s="38"/>
      <c r="K463" s="46"/>
      <c r="L463" s="47"/>
      <c r="M463" s="46"/>
      <c r="N463" s="46"/>
      <c r="O463" s="38"/>
      <c r="P463" s="38"/>
      <c r="Q463" s="12"/>
      <c r="R463" s="50"/>
      <c r="S463" s="50"/>
      <c r="T463" s="50"/>
      <c r="U463" s="53"/>
      <c r="V463" s="54"/>
      <c r="W463" s="56"/>
      <c r="X463" s="119"/>
      <c r="Y463" s="113"/>
      <c r="Z463" s="113"/>
      <c r="AH463" s="106"/>
      <c r="AI463" s="106"/>
    </row>
    <row r="464">
      <c r="A464" s="38"/>
      <c r="B464" s="38"/>
      <c r="C464" s="38"/>
      <c r="D464" s="38"/>
      <c r="E464" s="38"/>
      <c r="F464" s="41"/>
      <c r="G464" s="43"/>
      <c r="H464" s="45"/>
      <c r="I464" s="38"/>
      <c r="J464" s="38"/>
      <c r="K464" s="46"/>
      <c r="L464" s="47"/>
      <c r="M464" s="46"/>
      <c r="N464" s="46"/>
      <c r="O464" s="38"/>
      <c r="P464" s="38"/>
      <c r="Q464" s="12"/>
      <c r="R464" s="50"/>
      <c r="S464" s="50"/>
      <c r="T464" s="50"/>
      <c r="U464" s="53"/>
      <c r="V464" s="54"/>
      <c r="W464" s="56"/>
      <c r="X464" s="119"/>
      <c r="Y464" s="113"/>
      <c r="Z464" s="113"/>
      <c r="AH464" s="106"/>
      <c r="AI464" s="106"/>
    </row>
    <row r="465">
      <c r="A465" s="38"/>
      <c r="B465" s="38"/>
      <c r="C465" s="38"/>
      <c r="D465" s="38"/>
      <c r="E465" s="38"/>
      <c r="F465" s="41"/>
      <c r="G465" s="43"/>
      <c r="H465" s="45"/>
      <c r="I465" s="38"/>
      <c r="J465" s="38"/>
      <c r="K465" s="46"/>
      <c r="L465" s="47"/>
      <c r="M465" s="46"/>
      <c r="N465" s="46"/>
      <c r="O465" s="38"/>
      <c r="P465" s="38"/>
      <c r="Q465" s="12"/>
      <c r="R465" s="50"/>
      <c r="S465" s="50"/>
      <c r="T465" s="50"/>
      <c r="U465" s="53"/>
      <c r="V465" s="54"/>
      <c r="W465" s="56"/>
      <c r="X465" s="119"/>
      <c r="Y465" s="113"/>
      <c r="Z465" s="113"/>
      <c r="AH465" s="106"/>
      <c r="AI465" s="106"/>
    </row>
    <row r="466">
      <c r="A466" s="38"/>
      <c r="B466" s="38"/>
      <c r="C466" s="38"/>
      <c r="D466" s="38"/>
      <c r="E466" s="38"/>
      <c r="F466" s="41"/>
      <c r="G466" s="43"/>
      <c r="H466" s="45"/>
      <c r="I466" s="38"/>
      <c r="J466" s="38"/>
      <c r="K466" s="46"/>
      <c r="L466" s="47"/>
      <c r="M466" s="46"/>
      <c r="N466" s="46"/>
      <c r="O466" s="38"/>
      <c r="P466" s="38"/>
      <c r="Q466" s="12"/>
      <c r="R466" s="50"/>
      <c r="S466" s="50"/>
      <c r="T466" s="50"/>
      <c r="U466" s="53"/>
      <c r="V466" s="54"/>
      <c r="W466" s="56"/>
      <c r="X466" s="119"/>
      <c r="Y466" s="113"/>
      <c r="Z466" s="113"/>
      <c r="AH466" s="106"/>
      <c r="AI466" s="106"/>
    </row>
    <row r="467">
      <c r="A467" s="38"/>
      <c r="B467" s="38"/>
      <c r="C467" s="38"/>
      <c r="D467" s="38"/>
      <c r="E467" s="38"/>
      <c r="F467" s="41"/>
      <c r="G467" s="43"/>
      <c r="H467" s="45"/>
      <c r="I467" s="38"/>
      <c r="J467" s="38"/>
      <c r="K467" s="46"/>
      <c r="L467" s="47"/>
      <c r="M467" s="46"/>
      <c r="N467" s="46"/>
      <c r="O467" s="38"/>
      <c r="P467" s="38"/>
      <c r="Q467" s="12"/>
      <c r="R467" s="50"/>
      <c r="S467" s="50"/>
      <c r="T467" s="50"/>
      <c r="U467" s="53"/>
      <c r="V467" s="54"/>
      <c r="W467" s="56"/>
      <c r="X467" s="119"/>
      <c r="Y467" s="113"/>
      <c r="Z467" s="113"/>
      <c r="AH467" s="106"/>
      <c r="AI467" s="106"/>
    </row>
    <row r="468">
      <c r="A468" s="38"/>
      <c r="B468" s="38"/>
      <c r="C468" s="38"/>
      <c r="D468" s="38"/>
      <c r="E468" s="38"/>
      <c r="F468" s="41"/>
      <c r="G468" s="43"/>
      <c r="H468" s="45"/>
      <c r="I468" s="38"/>
      <c r="J468" s="38"/>
      <c r="K468" s="46"/>
      <c r="L468" s="47"/>
      <c r="M468" s="46"/>
      <c r="N468" s="46"/>
      <c r="O468" s="38"/>
      <c r="P468" s="38"/>
      <c r="Q468" s="12"/>
      <c r="R468" s="50"/>
      <c r="S468" s="50"/>
      <c r="T468" s="50"/>
      <c r="U468" s="53"/>
      <c r="V468" s="54"/>
      <c r="W468" s="56"/>
      <c r="X468" s="119"/>
      <c r="Y468" s="113"/>
      <c r="Z468" s="113"/>
      <c r="AH468" s="106"/>
      <c r="AI468" s="106"/>
    </row>
    <row r="469">
      <c r="A469" s="38"/>
      <c r="B469" s="38"/>
      <c r="C469" s="38"/>
      <c r="D469" s="38"/>
      <c r="E469" s="38"/>
      <c r="F469" s="41"/>
      <c r="G469" s="43"/>
      <c r="H469" s="45"/>
      <c r="I469" s="38"/>
      <c r="J469" s="38"/>
      <c r="K469" s="46"/>
      <c r="L469" s="47"/>
      <c r="M469" s="46"/>
      <c r="N469" s="46"/>
      <c r="O469" s="38"/>
      <c r="P469" s="38"/>
      <c r="Q469" s="12"/>
      <c r="R469" s="50"/>
      <c r="S469" s="50"/>
      <c r="T469" s="50"/>
      <c r="U469" s="53"/>
      <c r="V469" s="54"/>
      <c r="W469" s="56"/>
      <c r="X469" s="119"/>
      <c r="Y469" s="113"/>
      <c r="Z469" s="113"/>
      <c r="AH469" s="106"/>
      <c r="AI469" s="106"/>
    </row>
    <row r="470">
      <c r="A470" s="38"/>
      <c r="B470" s="38"/>
      <c r="C470" s="38"/>
      <c r="D470" s="38"/>
      <c r="E470" s="38"/>
      <c r="F470" s="41"/>
      <c r="G470" s="43"/>
      <c r="H470" s="45"/>
      <c r="I470" s="38"/>
      <c r="J470" s="38"/>
      <c r="K470" s="46"/>
      <c r="L470" s="47"/>
      <c r="M470" s="46"/>
      <c r="N470" s="46"/>
      <c r="O470" s="38"/>
      <c r="P470" s="38"/>
      <c r="Q470" s="12"/>
      <c r="R470" s="50"/>
      <c r="S470" s="50"/>
      <c r="T470" s="50"/>
      <c r="U470" s="53"/>
      <c r="V470" s="54"/>
      <c r="W470" s="56"/>
      <c r="X470" s="119"/>
      <c r="Y470" s="113"/>
      <c r="Z470" s="113"/>
      <c r="AH470" s="106"/>
      <c r="AI470" s="106"/>
    </row>
    <row r="471">
      <c r="A471" s="38"/>
      <c r="B471" s="38"/>
      <c r="C471" s="38"/>
      <c r="D471" s="38"/>
      <c r="E471" s="38"/>
      <c r="F471" s="41"/>
      <c r="G471" s="43"/>
      <c r="H471" s="45"/>
      <c r="I471" s="38"/>
      <c r="J471" s="38"/>
      <c r="K471" s="46"/>
      <c r="L471" s="47"/>
      <c r="M471" s="46"/>
      <c r="N471" s="46"/>
      <c r="O471" s="38"/>
      <c r="P471" s="38"/>
      <c r="Q471" s="12"/>
      <c r="R471" s="50"/>
      <c r="S471" s="50"/>
      <c r="T471" s="50"/>
      <c r="U471" s="53"/>
      <c r="V471" s="54"/>
      <c r="W471" s="56"/>
      <c r="X471" s="119"/>
      <c r="Y471" s="113"/>
      <c r="Z471" s="113"/>
      <c r="AH471" s="106"/>
      <c r="AI471" s="106"/>
    </row>
    <row r="472">
      <c r="A472" s="38"/>
      <c r="B472" s="38"/>
      <c r="C472" s="38"/>
      <c r="D472" s="38"/>
      <c r="E472" s="38"/>
      <c r="F472" s="41"/>
      <c r="G472" s="43"/>
      <c r="H472" s="45"/>
      <c r="I472" s="38"/>
      <c r="J472" s="38"/>
      <c r="K472" s="46"/>
      <c r="L472" s="47"/>
      <c r="M472" s="46"/>
      <c r="N472" s="46"/>
      <c r="O472" s="38"/>
      <c r="P472" s="38"/>
      <c r="Q472" s="12"/>
      <c r="R472" s="50"/>
      <c r="S472" s="50"/>
      <c r="T472" s="50"/>
      <c r="U472" s="53"/>
      <c r="V472" s="54"/>
      <c r="W472" s="56"/>
      <c r="X472" s="119"/>
      <c r="Y472" s="113"/>
      <c r="Z472" s="113"/>
      <c r="AH472" s="106"/>
      <c r="AI472" s="106"/>
    </row>
    <row r="473">
      <c r="A473" s="38"/>
      <c r="B473" s="38"/>
      <c r="C473" s="38"/>
      <c r="D473" s="38"/>
      <c r="E473" s="38"/>
      <c r="F473" s="41"/>
      <c r="G473" s="43"/>
      <c r="H473" s="45"/>
      <c r="I473" s="38"/>
      <c r="J473" s="38"/>
      <c r="K473" s="46"/>
      <c r="L473" s="47"/>
      <c r="M473" s="46"/>
      <c r="N473" s="46"/>
      <c r="O473" s="38"/>
      <c r="P473" s="38"/>
      <c r="Q473" s="12"/>
      <c r="R473" s="50"/>
      <c r="S473" s="50"/>
      <c r="T473" s="50"/>
      <c r="U473" s="53"/>
      <c r="V473" s="54"/>
      <c r="W473" s="56"/>
      <c r="X473" s="119"/>
      <c r="Y473" s="113"/>
      <c r="Z473" s="113"/>
      <c r="AH473" s="106"/>
      <c r="AI473" s="106"/>
    </row>
    <row r="474">
      <c r="A474" s="38"/>
      <c r="B474" s="38"/>
      <c r="C474" s="38"/>
      <c r="D474" s="38"/>
      <c r="E474" s="38"/>
      <c r="F474" s="41"/>
      <c r="G474" s="43"/>
      <c r="H474" s="45"/>
      <c r="I474" s="38"/>
      <c r="J474" s="38"/>
      <c r="K474" s="46"/>
      <c r="L474" s="47"/>
      <c r="M474" s="46"/>
      <c r="N474" s="46"/>
      <c r="O474" s="38"/>
      <c r="P474" s="38"/>
      <c r="Q474" s="12"/>
      <c r="R474" s="50"/>
      <c r="S474" s="50"/>
      <c r="T474" s="50"/>
      <c r="U474" s="53"/>
      <c r="V474" s="54"/>
      <c r="W474" s="56"/>
      <c r="X474" s="119"/>
      <c r="Y474" s="113"/>
      <c r="Z474" s="113"/>
      <c r="AH474" s="106"/>
      <c r="AI474" s="106"/>
    </row>
    <row r="475">
      <c r="A475" s="38"/>
      <c r="B475" s="38"/>
      <c r="C475" s="38"/>
      <c r="D475" s="38"/>
      <c r="E475" s="38"/>
      <c r="F475" s="41"/>
      <c r="G475" s="43"/>
      <c r="H475" s="45"/>
      <c r="I475" s="38"/>
      <c r="J475" s="38"/>
      <c r="K475" s="46"/>
      <c r="L475" s="47"/>
      <c r="M475" s="46"/>
      <c r="N475" s="46"/>
      <c r="O475" s="38"/>
      <c r="P475" s="38"/>
      <c r="Q475" s="12"/>
      <c r="R475" s="50"/>
      <c r="S475" s="50"/>
      <c r="T475" s="50"/>
      <c r="U475" s="53"/>
      <c r="V475" s="54"/>
      <c r="W475" s="56"/>
      <c r="X475" s="119"/>
      <c r="Y475" s="113"/>
      <c r="Z475" s="113"/>
      <c r="AH475" s="106"/>
      <c r="AI475" s="106"/>
    </row>
    <row r="476">
      <c r="A476" s="38"/>
      <c r="B476" s="38"/>
      <c r="C476" s="38"/>
      <c r="D476" s="38"/>
      <c r="E476" s="38"/>
      <c r="F476" s="41"/>
      <c r="G476" s="43"/>
      <c r="H476" s="45"/>
      <c r="I476" s="38"/>
      <c r="J476" s="38"/>
      <c r="K476" s="46"/>
      <c r="L476" s="47"/>
      <c r="M476" s="46"/>
      <c r="N476" s="46"/>
      <c r="O476" s="38"/>
      <c r="P476" s="38"/>
      <c r="Q476" s="12"/>
      <c r="R476" s="50"/>
      <c r="S476" s="50"/>
      <c r="T476" s="50"/>
      <c r="U476" s="53"/>
      <c r="V476" s="54"/>
      <c r="W476" s="56"/>
      <c r="X476" s="119"/>
      <c r="Y476" s="113"/>
      <c r="Z476" s="113"/>
      <c r="AH476" s="106"/>
      <c r="AI476" s="106"/>
    </row>
    <row r="477">
      <c r="A477" s="38"/>
      <c r="B477" s="38"/>
      <c r="C477" s="38"/>
      <c r="D477" s="38"/>
      <c r="E477" s="38"/>
      <c r="F477" s="41"/>
      <c r="G477" s="43"/>
      <c r="H477" s="45"/>
      <c r="I477" s="38"/>
      <c r="J477" s="38"/>
      <c r="K477" s="46"/>
      <c r="L477" s="47"/>
      <c r="M477" s="46"/>
      <c r="N477" s="46"/>
      <c r="O477" s="38"/>
      <c r="P477" s="38"/>
      <c r="Q477" s="12"/>
      <c r="R477" s="50"/>
      <c r="S477" s="50"/>
      <c r="T477" s="50"/>
      <c r="U477" s="53"/>
      <c r="V477" s="54"/>
      <c r="W477" s="56"/>
      <c r="X477" s="119"/>
      <c r="Y477" s="113"/>
      <c r="Z477" s="113"/>
      <c r="AH477" s="106"/>
      <c r="AI477" s="106"/>
    </row>
    <row r="478">
      <c r="A478" s="38"/>
      <c r="B478" s="38"/>
      <c r="C478" s="38"/>
      <c r="D478" s="38"/>
      <c r="E478" s="38"/>
      <c r="F478" s="41"/>
      <c r="G478" s="43"/>
      <c r="H478" s="45"/>
      <c r="I478" s="38"/>
      <c r="J478" s="38"/>
      <c r="K478" s="46"/>
      <c r="L478" s="47"/>
      <c r="M478" s="46"/>
      <c r="N478" s="46"/>
      <c r="O478" s="38"/>
      <c r="P478" s="38"/>
      <c r="Q478" s="12"/>
      <c r="R478" s="50"/>
      <c r="S478" s="50"/>
      <c r="T478" s="50"/>
      <c r="U478" s="53"/>
      <c r="V478" s="54"/>
      <c r="W478" s="56"/>
      <c r="X478" s="119"/>
      <c r="Y478" s="113"/>
      <c r="Z478" s="113"/>
      <c r="AH478" s="106"/>
      <c r="AI478" s="106"/>
    </row>
    <row r="479">
      <c r="A479" s="38"/>
      <c r="B479" s="38"/>
      <c r="C479" s="38"/>
      <c r="D479" s="38"/>
      <c r="E479" s="38"/>
      <c r="F479" s="41"/>
      <c r="G479" s="43"/>
      <c r="H479" s="45"/>
      <c r="I479" s="38"/>
      <c r="J479" s="38"/>
      <c r="K479" s="46"/>
      <c r="L479" s="47"/>
      <c r="M479" s="46"/>
      <c r="N479" s="46"/>
      <c r="O479" s="38"/>
      <c r="P479" s="38"/>
      <c r="Q479" s="12"/>
      <c r="R479" s="50"/>
      <c r="S479" s="50"/>
      <c r="T479" s="50"/>
      <c r="U479" s="53"/>
      <c r="V479" s="54"/>
      <c r="W479" s="56"/>
      <c r="X479" s="119"/>
      <c r="Y479" s="113"/>
      <c r="Z479" s="113"/>
      <c r="AH479" s="106"/>
      <c r="AI479" s="106"/>
    </row>
    <row r="480">
      <c r="A480" s="38"/>
      <c r="B480" s="38"/>
      <c r="C480" s="38"/>
      <c r="D480" s="38"/>
      <c r="E480" s="38"/>
      <c r="F480" s="41"/>
      <c r="G480" s="43"/>
      <c r="H480" s="45"/>
      <c r="I480" s="38"/>
      <c r="J480" s="38"/>
      <c r="K480" s="46"/>
      <c r="L480" s="47"/>
      <c r="M480" s="46"/>
      <c r="N480" s="46"/>
      <c r="O480" s="38"/>
      <c r="P480" s="38"/>
      <c r="Q480" s="12"/>
      <c r="R480" s="50"/>
      <c r="S480" s="50"/>
      <c r="T480" s="50"/>
      <c r="U480" s="53"/>
      <c r="V480" s="54"/>
      <c r="W480" s="56"/>
      <c r="X480" s="119"/>
      <c r="Y480" s="113"/>
      <c r="Z480" s="113"/>
      <c r="AH480" s="106"/>
      <c r="AI480" s="106"/>
    </row>
    <row r="481">
      <c r="A481" s="38"/>
      <c r="B481" s="38"/>
      <c r="C481" s="38"/>
      <c r="D481" s="38"/>
      <c r="E481" s="38"/>
      <c r="F481" s="41"/>
      <c r="G481" s="43"/>
      <c r="H481" s="45"/>
      <c r="I481" s="38"/>
      <c r="J481" s="38"/>
      <c r="K481" s="46"/>
      <c r="L481" s="47"/>
      <c r="M481" s="46"/>
      <c r="N481" s="46"/>
      <c r="O481" s="38"/>
      <c r="P481" s="38"/>
      <c r="Q481" s="12"/>
      <c r="R481" s="50"/>
      <c r="S481" s="50"/>
      <c r="T481" s="50"/>
      <c r="U481" s="53"/>
      <c r="V481" s="54"/>
      <c r="W481" s="56"/>
      <c r="X481" s="119"/>
      <c r="Y481" s="113"/>
      <c r="Z481" s="113"/>
      <c r="AH481" s="106"/>
      <c r="AI481" s="106"/>
    </row>
    <row r="482">
      <c r="A482" s="38"/>
      <c r="B482" s="38"/>
      <c r="C482" s="38"/>
      <c r="D482" s="38"/>
      <c r="E482" s="38"/>
      <c r="F482" s="41"/>
      <c r="G482" s="43"/>
      <c r="H482" s="45"/>
      <c r="I482" s="38"/>
      <c r="J482" s="38"/>
      <c r="K482" s="46"/>
      <c r="L482" s="47"/>
      <c r="M482" s="46"/>
      <c r="N482" s="46"/>
      <c r="O482" s="38"/>
      <c r="P482" s="38"/>
      <c r="Q482" s="12"/>
      <c r="R482" s="50"/>
      <c r="S482" s="50"/>
      <c r="T482" s="50"/>
      <c r="U482" s="53"/>
      <c r="V482" s="54"/>
      <c r="W482" s="56"/>
      <c r="X482" s="119"/>
      <c r="Y482" s="113"/>
      <c r="Z482" s="113"/>
      <c r="AH482" s="106"/>
      <c r="AI482" s="106"/>
    </row>
    <row r="483">
      <c r="A483" s="38"/>
      <c r="B483" s="38"/>
      <c r="C483" s="38"/>
      <c r="D483" s="38"/>
      <c r="E483" s="38"/>
      <c r="F483" s="41"/>
      <c r="G483" s="43"/>
      <c r="H483" s="45"/>
      <c r="I483" s="38"/>
      <c r="J483" s="38"/>
      <c r="K483" s="46"/>
      <c r="L483" s="47"/>
      <c r="M483" s="46"/>
      <c r="N483" s="46"/>
      <c r="O483" s="38"/>
      <c r="P483" s="38"/>
      <c r="Q483" s="12"/>
      <c r="R483" s="50"/>
      <c r="S483" s="50"/>
      <c r="T483" s="50"/>
      <c r="U483" s="53"/>
      <c r="V483" s="54"/>
      <c r="W483" s="56"/>
      <c r="X483" s="119"/>
      <c r="Y483" s="113"/>
      <c r="Z483" s="113"/>
      <c r="AH483" s="106"/>
      <c r="AI483" s="106"/>
    </row>
    <row r="484">
      <c r="A484" s="38"/>
      <c r="B484" s="38"/>
      <c r="C484" s="38"/>
      <c r="D484" s="38"/>
      <c r="E484" s="38"/>
      <c r="F484" s="41"/>
      <c r="G484" s="43"/>
      <c r="H484" s="45"/>
      <c r="I484" s="38"/>
      <c r="J484" s="38"/>
      <c r="K484" s="46"/>
      <c r="L484" s="47"/>
      <c r="M484" s="46"/>
      <c r="N484" s="46"/>
      <c r="O484" s="38"/>
      <c r="P484" s="38"/>
      <c r="Q484" s="12"/>
      <c r="R484" s="50"/>
      <c r="S484" s="50"/>
      <c r="T484" s="50"/>
      <c r="U484" s="53"/>
      <c r="V484" s="54"/>
      <c r="W484" s="56"/>
      <c r="X484" s="119"/>
      <c r="Y484" s="113"/>
      <c r="Z484" s="113"/>
      <c r="AH484" s="106"/>
      <c r="AI484" s="106"/>
    </row>
    <row r="485">
      <c r="A485" s="38"/>
      <c r="B485" s="38"/>
      <c r="C485" s="38"/>
      <c r="D485" s="38"/>
      <c r="E485" s="38"/>
      <c r="F485" s="41"/>
      <c r="G485" s="43"/>
      <c r="H485" s="45"/>
      <c r="I485" s="38"/>
      <c r="J485" s="38"/>
      <c r="K485" s="46"/>
      <c r="L485" s="47"/>
      <c r="M485" s="46"/>
      <c r="N485" s="46"/>
      <c r="O485" s="38"/>
      <c r="P485" s="38"/>
      <c r="Q485" s="12"/>
      <c r="R485" s="50"/>
      <c r="S485" s="50"/>
      <c r="T485" s="50"/>
      <c r="U485" s="53"/>
      <c r="V485" s="54"/>
      <c r="W485" s="56"/>
      <c r="X485" s="119"/>
      <c r="Y485" s="113"/>
      <c r="Z485" s="113"/>
      <c r="AH485" s="106"/>
      <c r="AI485" s="106"/>
    </row>
    <row r="486">
      <c r="A486" s="38"/>
      <c r="B486" s="38"/>
      <c r="C486" s="38"/>
      <c r="D486" s="38"/>
      <c r="E486" s="38"/>
      <c r="F486" s="41"/>
      <c r="G486" s="43"/>
      <c r="H486" s="45"/>
      <c r="I486" s="38"/>
      <c r="J486" s="38"/>
      <c r="K486" s="46"/>
      <c r="L486" s="47"/>
      <c r="M486" s="46"/>
      <c r="N486" s="46"/>
      <c r="O486" s="38"/>
      <c r="P486" s="38"/>
      <c r="Q486" s="12"/>
      <c r="R486" s="50"/>
      <c r="S486" s="50"/>
      <c r="T486" s="50"/>
      <c r="U486" s="53"/>
      <c r="V486" s="54"/>
      <c r="W486" s="56"/>
      <c r="X486" s="119"/>
      <c r="Y486" s="113"/>
      <c r="Z486" s="113"/>
      <c r="AH486" s="106"/>
      <c r="AI486" s="106"/>
    </row>
    <row r="487">
      <c r="A487" s="38"/>
      <c r="B487" s="38"/>
      <c r="C487" s="38"/>
      <c r="D487" s="38"/>
      <c r="E487" s="38"/>
      <c r="F487" s="41"/>
      <c r="G487" s="43"/>
      <c r="H487" s="45"/>
      <c r="I487" s="38"/>
      <c r="J487" s="38"/>
      <c r="K487" s="46"/>
      <c r="L487" s="47"/>
      <c r="M487" s="46"/>
      <c r="N487" s="46"/>
      <c r="O487" s="38"/>
      <c r="P487" s="38"/>
      <c r="Q487" s="12"/>
      <c r="R487" s="50"/>
      <c r="S487" s="50"/>
      <c r="T487" s="50"/>
      <c r="U487" s="53"/>
      <c r="V487" s="54"/>
      <c r="W487" s="56"/>
      <c r="X487" s="119"/>
      <c r="Y487" s="113"/>
      <c r="Z487" s="113"/>
      <c r="AH487" s="106"/>
      <c r="AI487" s="106"/>
    </row>
    <row r="488">
      <c r="A488" s="38"/>
      <c r="B488" s="38"/>
      <c r="C488" s="38"/>
      <c r="D488" s="38"/>
      <c r="E488" s="38"/>
      <c r="F488" s="41"/>
      <c r="G488" s="43"/>
      <c r="H488" s="45"/>
      <c r="I488" s="38"/>
      <c r="J488" s="38"/>
      <c r="K488" s="46"/>
      <c r="L488" s="47"/>
      <c r="M488" s="46"/>
      <c r="N488" s="46"/>
      <c r="O488" s="38"/>
      <c r="P488" s="38"/>
      <c r="Q488" s="12"/>
      <c r="R488" s="50"/>
      <c r="S488" s="50"/>
      <c r="T488" s="50"/>
      <c r="U488" s="53"/>
      <c r="V488" s="54"/>
      <c r="W488" s="56"/>
      <c r="X488" s="119"/>
      <c r="Y488" s="113"/>
      <c r="Z488" s="113"/>
      <c r="AH488" s="106"/>
      <c r="AI488" s="106"/>
    </row>
    <row r="489">
      <c r="A489" s="38"/>
      <c r="B489" s="38"/>
      <c r="C489" s="38"/>
      <c r="D489" s="38"/>
      <c r="E489" s="38"/>
      <c r="F489" s="41"/>
      <c r="G489" s="43"/>
      <c r="H489" s="45"/>
      <c r="I489" s="38"/>
      <c r="J489" s="38"/>
      <c r="K489" s="46"/>
      <c r="L489" s="47"/>
      <c r="M489" s="46"/>
      <c r="N489" s="46"/>
      <c r="O489" s="38"/>
      <c r="P489" s="38"/>
      <c r="Q489" s="12"/>
      <c r="R489" s="50"/>
      <c r="S489" s="50"/>
      <c r="T489" s="50"/>
      <c r="U489" s="53"/>
      <c r="V489" s="54"/>
      <c r="W489" s="56"/>
      <c r="X489" s="119"/>
      <c r="Y489" s="113"/>
      <c r="Z489" s="113"/>
      <c r="AH489" s="106"/>
      <c r="AI489" s="106"/>
    </row>
    <row r="490">
      <c r="A490" s="38"/>
      <c r="B490" s="38"/>
      <c r="C490" s="38"/>
      <c r="D490" s="38"/>
      <c r="E490" s="38"/>
      <c r="F490" s="41"/>
      <c r="G490" s="43"/>
      <c r="H490" s="45"/>
      <c r="I490" s="38"/>
      <c r="J490" s="38"/>
      <c r="K490" s="46"/>
      <c r="L490" s="47"/>
      <c r="M490" s="46"/>
      <c r="N490" s="46"/>
      <c r="O490" s="38"/>
      <c r="P490" s="38"/>
      <c r="Q490" s="12"/>
      <c r="R490" s="50"/>
      <c r="S490" s="50"/>
      <c r="T490" s="50"/>
      <c r="U490" s="53"/>
      <c r="V490" s="54"/>
      <c r="W490" s="56"/>
      <c r="X490" s="119"/>
      <c r="Y490" s="113"/>
      <c r="Z490" s="113"/>
      <c r="AH490" s="106"/>
      <c r="AI490" s="106"/>
    </row>
    <row r="491">
      <c r="A491" s="38"/>
      <c r="B491" s="38"/>
      <c r="C491" s="38"/>
      <c r="D491" s="38"/>
      <c r="E491" s="38"/>
      <c r="F491" s="41"/>
      <c r="G491" s="43"/>
      <c r="H491" s="45"/>
      <c r="I491" s="38"/>
      <c r="J491" s="38"/>
      <c r="K491" s="46"/>
      <c r="L491" s="47"/>
      <c r="M491" s="46"/>
      <c r="N491" s="46"/>
      <c r="O491" s="38"/>
      <c r="P491" s="38"/>
      <c r="Q491" s="12"/>
      <c r="R491" s="50"/>
      <c r="S491" s="50"/>
      <c r="T491" s="50"/>
      <c r="U491" s="53"/>
      <c r="V491" s="54"/>
      <c r="W491" s="56"/>
      <c r="X491" s="119"/>
      <c r="Y491" s="113"/>
      <c r="Z491" s="113"/>
      <c r="AH491" s="106"/>
      <c r="AI491" s="106"/>
    </row>
    <row r="492">
      <c r="A492" s="38"/>
      <c r="B492" s="38"/>
      <c r="C492" s="38"/>
      <c r="D492" s="38"/>
      <c r="E492" s="38"/>
      <c r="F492" s="41"/>
      <c r="G492" s="43"/>
      <c r="H492" s="45"/>
      <c r="I492" s="38"/>
      <c r="J492" s="38"/>
      <c r="K492" s="46"/>
      <c r="L492" s="47"/>
      <c r="M492" s="46"/>
      <c r="N492" s="46"/>
      <c r="O492" s="38"/>
      <c r="P492" s="38"/>
      <c r="Q492" s="12"/>
      <c r="R492" s="50"/>
      <c r="S492" s="50"/>
      <c r="T492" s="50"/>
      <c r="U492" s="53"/>
      <c r="V492" s="54"/>
      <c r="W492" s="56"/>
      <c r="X492" s="119"/>
      <c r="Y492" s="113"/>
      <c r="Z492" s="113"/>
      <c r="AH492" s="106"/>
      <c r="AI492" s="106"/>
    </row>
    <row r="493">
      <c r="A493" s="38"/>
      <c r="B493" s="38"/>
      <c r="C493" s="38"/>
      <c r="D493" s="38"/>
      <c r="E493" s="38"/>
      <c r="F493" s="41"/>
      <c r="G493" s="43"/>
      <c r="H493" s="45"/>
      <c r="I493" s="38"/>
      <c r="J493" s="38"/>
      <c r="K493" s="46"/>
      <c r="L493" s="47"/>
      <c r="M493" s="46"/>
      <c r="N493" s="46"/>
      <c r="O493" s="38"/>
      <c r="P493" s="38"/>
      <c r="Q493" s="12"/>
      <c r="R493" s="50"/>
      <c r="S493" s="50"/>
      <c r="T493" s="50"/>
      <c r="U493" s="53"/>
      <c r="V493" s="54"/>
      <c r="W493" s="56"/>
      <c r="X493" s="119"/>
      <c r="Y493" s="113"/>
      <c r="Z493" s="113"/>
      <c r="AH493" s="106"/>
      <c r="AI493" s="106"/>
    </row>
    <row r="494">
      <c r="A494" s="38"/>
      <c r="B494" s="38"/>
      <c r="C494" s="38"/>
      <c r="D494" s="38"/>
      <c r="E494" s="38"/>
      <c r="F494" s="41"/>
      <c r="G494" s="43"/>
      <c r="H494" s="45"/>
      <c r="I494" s="38"/>
      <c r="J494" s="38"/>
      <c r="K494" s="46"/>
      <c r="L494" s="47"/>
      <c r="M494" s="46"/>
      <c r="N494" s="46"/>
      <c r="O494" s="38"/>
      <c r="P494" s="38"/>
      <c r="Q494" s="12"/>
      <c r="R494" s="50"/>
      <c r="S494" s="50"/>
      <c r="T494" s="50"/>
      <c r="U494" s="53"/>
      <c r="V494" s="54"/>
      <c r="W494" s="56"/>
      <c r="X494" s="119"/>
      <c r="Y494" s="113"/>
      <c r="Z494" s="113"/>
      <c r="AH494" s="106"/>
      <c r="AI494" s="106"/>
    </row>
    <row r="495">
      <c r="A495" s="38"/>
      <c r="B495" s="38"/>
      <c r="C495" s="38"/>
      <c r="D495" s="38"/>
      <c r="E495" s="38"/>
      <c r="F495" s="41"/>
      <c r="G495" s="43"/>
      <c r="H495" s="45"/>
      <c r="I495" s="38"/>
      <c r="J495" s="38"/>
      <c r="K495" s="46"/>
      <c r="L495" s="47"/>
      <c r="M495" s="46"/>
      <c r="N495" s="46"/>
      <c r="O495" s="38"/>
      <c r="P495" s="38"/>
      <c r="Q495" s="12"/>
      <c r="R495" s="50"/>
      <c r="S495" s="50"/>
      <c r="T495" s="50"/>
      <c r="U495" s="53"/>
      <c r="V495" s="54"/>
      <c r="W495" s="56"/>
      <c r="X495" s="119"/>
      <c r="Y495" s="113"/>
      <c r="Z495" s="113"/>
      <c r="AH495" s="106"/>
      <c r="AI495" s="106"/>
    </row>
    <row r="496">
      <c r="A496" s="38"/>
      <c r="B496" s="38"/>
      <c r="C496" s="38"/>
      <c r="D496" s="38"/>
      <c r="E496" s="38"/>
      <c r="F496" s="41"/>
      <c r="G496" s="43"/>
      <c r="H496" s="45"/>
      <c r="I496" s="38"/>
      <c r="J496" s="38"/>
      <c r="K496" s="46"/>
      <c r="L496" s="47"/>
      <c r="M496" s="46"/>
      <c r="N496" s="46"/>
      <c r="O496" s="38"/>
      <c r="P496" s="38"/>
      <c r="Q496" s="12"/>
      <c r="R496" s="50"/>
      <c r="S496" s="50"/>
      <c r="T496" s="50"/>
      <c r="U496" s="53"/>
      <c r="V496" s="54"/>
      <c r="W496" s="56"/>
      <c r="X496" s="119"/>
      <c r="Y496" s="113"/>
      <c r="Z496" s="113"/>
      <c r="AH496" s="106"/>
      <c r="AI496" s="106"/>
    </row>
    <row r="497">
      <c r="A497" s="38"/>
      <c r="B497" s="38"/>
      <c r="C497" s="38"/>
      <c r="D497" s="38"/>
      <c r="E497" s="38"/>
      <c r="F497" s="41"/>
      <c r="G497" s="43"/>
      <c r="H497" s="45"/>
      <c r="I497" s="38"/>
      <c r="J497" s="38"/>
      <c r="K497" s="46"/>
      <c r="L497" s="47"/>
      <c r="M497" s="46"/>
      <c r="N497" s="46"/>
      <c r="O497" s="38"/>
      <c r="P497" s="38"/>
      <c r="Q497" s="12"/>
      <c r="R497" s="50"/>
      <c r="S497" s="50"/>
      <c r="T497" s="50"/>
      <c r="U497" s="53"/>
      <c r="V497" s="54"/>
      <c r="W497" s="56"/>
      <c r="X497" s="119"/>
      <c r="Y497" s="113"/>
      <c r="Z497" s="113"/>
      <c r="AH497" s="106"/>
      <c r="AI497" s="106"/>
    </row>
    <row r="498">
      <c r="A498" s="38"/>
      <c r="B498" s="38"/>
      <c r="C498" s="38"/>
      <c r="D498" s="38"/>
      <c r="E498" s="38"/>
      <c r="F498" s="41"/>
      <c r="G498" s="43"/>
      <c r="H498" s="45"/>
      <c r="I498" s="38"/>
      <c r="J498" s="38"/>
      <c r="K498" s="46"/>
      <c r="L498" s="47"/>
      <c r="M498" s="46"/>
      <c r="N498" s="46"/>
      <c r="O498" s="38"/>
      <c r="P498" s="38"/>
      <c r="Q498" s="12"/>
      <c r="R498" s="50"/>
      <c r="S498" s="50"/>
      <c r="T498" s="50"/>
      <c r="U498" s="53"/>
      <c r="V498" s="54"/>
      <c r="W498" s="56"/>
      <c r="X498" s="119"/>
      <c r="Y498" s="113"/>
      <c r="Z498" s="113"/>
      <c r="AH498" s="106"/>
      <c r="AI498" s="106"/>
    </row>
    <row r="499">
      <c r="A499" s="38"/>
      <c r="B499" s="38"/>
      <c r="C499" s="38"/>
      <c r="D499" s="38"/>
      <c r="E499" s="38"/>
      <c r="F499" s="41"/>
      <c r="G499" s="43"/>
      <c r="H499" s="45"/>
      <c r="I499" s="38"/>
      <c r="J499" s="38"/>
      <c r="K499" s="46"/>
      <c r="L499" s="47"/>
      <c r="M499" s="46"/>
      <c r="N499" s="46"/>
      <c r="O499" s="38"/>
      <c r="P499" s="38"/>
      <c r="Q499" s="12"/>
      <c r="R499" s="50"/>
      <c r="S499" s="50"/>
      <c r="T499" s="50"/>
      <c r="U499" s="53"/>
      <c r="V499" s="54"/>
      <c r="W499" s="56"/>
      <c r="X499" s="119"/>
      <c r="Y499" s="113"/>
      <c r="Z499" s="113"/>
      <c r="AH499" s="106"/>
      <c r="AI499" s="106"/>
    </row>
    <row r="500">
      <c r="A500" s="38"/>
      <c r="B500" s="38"/>
      <c r="C500" s="38"/>
      <c r="D500" s="38"/>
      <c r="E500" s="38"/>
      <c r="F500" s="41"/>
      <c r="G500" s="43"/>
      <c r="H500" s="45"/>
      <c r="I500" s="38"/>
      <c r="J500" s="38"/>
      <c r="K500" s="46"/>
      <c r="L500" s="47"/>
      <c r="M500" s="46"/>
      <c r="N500" s="46"/>
      <c r="O500" s="38"/>
      <c r="P500" s="38"/>
      <c r="Q500" s="12"/>
      <c r="R500" s="50"/>
      <c r="S500" s="50"/>
      <c r="T500" s="50"/>
      <c r="U500" s="53"/>
      <c r="V500" s="54"/>
      <c r="W500" s="56"/>
      <c r="X500" s="119"/>
      <c r="Y500" s="113"/>
      <c r="Z500" s="113"/>
      <c r="AH500" s="106"/>
      <c r="AI500" s="106"/>
    </row>
    <row r="501">
      <c r="A501" s="38"/>
      <c r="B501" s="38"/>
      <c r="C501" s="38"/>
      <c r="D501" s="38"/>
      <c r="E501" s="38"/>
      <c r="F501" s="41"/>
      <c r="G501" s="43"/>
      <c r="H501" s="45"/>
      <c r="I501" s="38"/>
      <c r="J501" s="38"/>
      <c r="K501" s="46"/>
      <c r="L501" s="47"/>
      <c r="M501" s="46"/>
      <c r="N501" s="46"/>
      <c r="O501" s="38"/>
      <c r="P501" s="38"/>
      <c r="Q501" s="12"/>
      <c r="R501" s="50"/>
      <c r="S501" s="50"/>
      <c r="T501" s="50"/>
      <c r="U501" s="53"/>
      <c r="V501" s="54"/>
      <c r="W501" s="56"/>
      <c r="X501" s="119"/>
      <c r="Y501" s="113"/>
      <c r="Z501" s="113"/>
      <c r="AH501" s="106"/>
      <c r="AI501" s="106"/>
    </row>
    <row r="502">
      <c r="A502" s="38"/>
      <c r="B502" s="38"/>
      <c r="C502" s="38"/>
      <c r="D502" s="38"/>
      <c r="E502" s="38"/>
      <c r="F502" s="41"/>
      <c r="G502" s="43"/>
      <c r="H502" s="45"/>
      <c r="I502" s="38"/>
      <c r="J502" s="38"/>
      <c r="K502" s="46"/>
      <c r="L502" s="47"/>
      <c r="M502" s="46"/>
      <c r="N502" s="46"/>
      <c r="O502" s="38"/>
      <c r="P502" s="38"/>
      <c r="Q502" s="12"/>
      <c r="R502" s="50"/>
      <c r="S502" s="50"/>
      <c r="T502" s="50"/>
      <c r="U502" s="53"/>
      <c r="V502" s="54"/>
      <c r="W502" s="56"/>
      <c r="X502" s="119"/>
      <c r="Y502" s="113"/>
      <c r="Z502" s="113"/>
      <c r="AH502" s="106"/>
      <c r="AI502" s="106"/>
    </row>
    <row r="503">
      <c r="A503" s="38"/>
      <c r="B503" s="38"/>
      <c r="C503" s="38"/>
      <c r="D503" s="38"/>
      <c r="E503" s="38"/>
      <c r="F503" s="41"/>
      <c r="G503" s="43"/>
      <c r="H503" s="45"/>
      <c r="I503" s="38"/>
      <c r="J503" s="38"/>
      <c r="K503" s="46"/>
      <c r="L503" s="47"/>
      <c r="M503" s="46"/>
      <c r="N503" s="46"/>
      <c r="O503" s="38"/>
      <c r="P503" s="38"/>
      <c r="Q503" s="12"/>
      <c r="R503" s="50"/>
      <c r="S503" s="50"/>
      <c r="T503" s="50"/>
      <c r="U503" s="53"/>
      <c r="V503" s="54"/>
      <c r="W503" s="56"/>
      <c r="X503" s="119"/>
      <c r="Y503" s="113"/>
      <c r="Z503" s="113"/>
      <c r="AH503" s="106"/>
      <c r="AI503" s="106"/>
    </row>
    <row r="504">
      <c r="A504" s="38"/>
      <c r="B504" s="38"/>
      <c r="C504" s="38"/>
      <c r="D504" s="38"/>
      <c r="E504" s="38"/>
      <c r="F504" s="41"/>
      <c r="G504" s="43"/>
      <c r="H504" s="45"/>
      <c r="I504" s="38"/>
      <c r="J504" s="38"/>
      <c r="K504" s="46"/>
      <c r="L504" s="47"/>
      <c r="M504" s="46"/>
      <c r="N504" s="46"/>
      <c r="O504" s="38"/>
      <c r="P504" s="38"/>
      <c r="Q504" s="12"/>
      <c r="R504" s="50"/>
      <c r="S504" s="50"/>
      <c r="T504" s="50"/>
      <c r="U504" s="53"/>
      <c r="V504" s="54"/>
      <c r="W504" s="56"/>
      <c r="X504" s="119"/>
      <c r="Y504" s="113"/>
      <c r="Z504" s="113"/>
      <c r="AH504" s="106"/>
      <c r="AI504" s="106"/>
    </row>
    <row r="505">
      <c r="A505" s="38"/>
      <c r="B505" s="38"/>
      <c r="C505" s="38"/>
      <c r="D505" s="38"/>
      <c r="E505" s="38"/>
      <c r="F505" s="41"/>
      <c r="G505" s="43"/>
      <c r="H505" s="45"/>
      <c r="I505" s="38"/>
      <c r="J505" s="38"/>
      <c r="K505" s="46"/>
      <c r="L505" s="47"/>
      <c r="M505" s="46"/>
      <c r="N505" s="46"/>
      <c r="O505" s="38"/>
      <c r="P505" s="38"/>
      <c r="Q505" s="12"/>
      <c r="R505" s="50"/>
      <c r="S505" s="50"/>
      <c r="T505" s="50"/>
      <c r="U505" s="53"/>
      <c r="V505" s="54"/>
      <c r="W505" s="56"/>
      <c r="X505" s="119"/>
      <c r="Y505" s="113"/>
      <c r="Z505" s="113"/>
      <c r="AH505" s="106"/>
      <c r="AI505" s="106"/>
    </row>
    <row r="506">
      <c r="A506" s="38"/>
      <c r="B506" s="38"/>
      <c r="C506" s="38"/>
      <c r="D506" s="38"/>
      <c r="E506" s="38"/>
      <c r="F506" s="41"/>
      <c r="G506" s="43"/>
      <c r="H506" s="45"/>
      <c r="I506" s="38"/>
      <c r="J506" s="38"/>
      <c r="K506" s="46"/>
      <c r="L506" s="47"/>
      <c r="M506" s="46"/>
      <c r="N506" s="46"/>
      <c r="O506" s="38"/>
      <c r="P506" s="38"/>
      <c r="Q506" s="12"/>
      <c r="R506" s="50"/>
      <c r="S506" s="50"/>
      <c r="T506" s="50"/>
      <c r="U506" s="53"/>
      <c r="V506" s="54"/>
      <c r="W506" s="56"/>
      <c r="X506" s="119"/>
      <c r="Y506" s="113"/>
      <c r="Z506" s="113"/>
      <c r="AH506" s="106"/>
      <c r="AI506" s="106"/>
    </row>
    <row r="507">
      <c r="A507" s="38"/>
      <c r="B507" s="38"/>
      <c r="C507" s="38"/>
      <c r="D507" s="38"/>
      <c r="E507" s="38"/>
      <c r="F507" s="41"/>
      <c r="G507" s="43"/>
      <c r="H507" s="45"/>
      <c r="I507" s="38"/>
      <c r="J507" s="38"/>
      <c r="K507" s="46"/>
      <c r="L507" s="47"/>
      <c r="M507" s="46"/>
      <c r="N507" s="46"/>
      <c r="O507" s="38"/>
      <c r="P507" s="38"/>
      <c r="Q507" s="12"/>
      <c r="R507" s="50"/>
      <c r="S507" s="50"/>
      <c r="T507" s="50"/>
      <c r="U507" s="53"/>
      <c r="V507" s="54"/>
      <c r="W507" s="56"/>
      <c r="X507" s="119"/>
      <c r="Y507" s="113"/>
      <c r="Z507" s="113"/>
      <c r="AH507" s="106"/>
      <c r="AI507" s="106"/>
    </row>
    <row r="508">
      <c r="A508" s="38"/>
      <c r="B508" s="38"/>
      <c r="C508" s="38"/>
      <c r="D508" s="38"/>
      <c r="E508" s="38"/>
      <c r="F508" s="41"/>
      <c r="G508" s="43"/>
      <c r="H508" s="45"/>
      <c r="I508" s="38"/>
      <c r="J508" s="38"/>
      <c r="K508" s="46"/>
      <c r="L508" s="47"/>
      <c r="M508" s="46"/>
      <c r="N508" s="46"/>
      <c r="O508" s="38"/>
      <c r="P508" s="38"/>
      <c r="Q508" s="12"/>
      <c r="R508" s="50"/>
      <c r="S508" s="50"/>
      <c r="T508" s="50"/>
      <c r="U508" s="53"/>
      <c r="V508" s="54"/>
      <c r="W508" s="56"/>
      <c r="X508" s="119"/>
      <c r="Y508" s="113"/>
      <c r="Z508" s="113"/>
      <c r="AH508" s="106"/>
      <c r="AI508" s="106"/>
    </row>
    <row r="509">
      <c r="A509" s="38"/>
      <c r="B509" s="38"/>
      <c r="C509" s="38"/>
      <c r="D509" s="38"/>
      <c r="E509" s="38"/>
      <c r="F509" s="41"/>
      <c r="G509" s="43"/>
      <c r="H509" s="45"/>
      <c r="I509" s="38"/>
      <c r="J509" s="38"/>
      <c r="K509" s="46"/>
      <c r="L509" s="47"/>
      <c r="M509" s="46"/>
      <c r="N509" s="46"/>
      <c r="O509" s="38"/>
      <c r="P509" s="38"/>
      <c r="Q509" s="12"/>
      <c r="R509" s="50"/>
      <c r="S509" s="50"/>
      <c r="T509" s="50"/>
      <c r="U509" s="53"/>
      <c r="V509" s="54"/>
      <c r="W509" s="56"/>
      <c r="X509" s="119"/>
      <c r="Y509" s="113"/>
      <c r="Z509" s="113"/>
      <c r="AH509" s="106"/>
      <c r="AI509" s="106"/>
    </row>
    <row r="510">
      <c r="A510" s="38"/>
      <c r="B510" s="38"/>
      <c r="C510" s="38"/>
      <c r="D510" s="38"/>
      <c r="E510" s="38"/>
      <c r="F510" s="41"/>
      <c r="G510" s="43"/>
      <c r="H510" s="45"/>
      <c r="I510" s="38"/>
      <c r="J510" s="38"/>
      <c r="K510" s="46"/>
      <c r="L510" s="47"/>
      <c r="M510" s="46"/>
      <c r="N510" s="46"/>
      <c r="O510" s="38"/>
      <c r="P510" s="38"/>
      <c r="Q510" s="12"/>
      <c r="R510" s="50"/>
      <c r="S510" s="50"/>
      <c r="T510" s="50"/>
      <c r="U510" s="53"/>
      <c r="V510" s="54"/>
      <c r="W510" s="56"/>
      <c r="X510" s="119"/>
      <c r="Y510" s="113"/>
      <c r="Z510" s="113"/>
      <c r="AH510" s="106"/>
      <c r="AI510" s="106"/>
    </row>
    <row r="511">
      <c r="A511" s="38"/>
      <c r="B511" s="38"/>
      <c r="C511" s="38"/>
      <c r="D511" s="38"/>
      <c r="E511" s="38"/>
      <c r="F511" s="41"/>
      <c r="G511" s="43"/>
      <c r="H511" s="45"/>
      <c r="I511" s="38"/>
      <c r="J511" s="38"/>
      <c r="K511" s="46"/>
      <c r="L511" s="47"/>
      <c r="M511" s="46"/>
      <c r="N511" s="46"/>
      <c r="O511" s="38"/>
      <c r="P511" s="38"/>
      <c r="Q511" s="12"/>
      <c r="R511" s="50"/>
      <c r="S511" s="50"/>
      <c r="T511" s="50"/>
      <c r="U511" s="53"/>
      <c r="V511" s="54"/>
      <c r="W511" s="56"/>
      <c r="X511" s="119"/>
      <c r="Y511" s="113"/>
      <c r="Z511" s="113"/>
      <c r="AH511" s="106"/>
      <c r="AI511" s="106"/>
    </row>
    <row r="512">
      <c r="A512" s="38"/>
      <c r="B512" s="38"/>
      <c r="C512" s="38"/>
      <c r="D512" s="38"/>
      <c r="E512" s="38"/>
      <c r="F512" s="41"/>
      <c r="G512" s="43"/>
      <c r="H512" s="45"/>
      <c r="I512" s="38"/>
      <c r="J512" s="38"/>
      <c r="K512" s="46"/>
      <c r="L512" s="47"/>
      <c r="M512" s="46"/>
      <c r="N512" s="46"/>
      <c r="O512" s="38"/>
      <c r="P512" s="38"/>
      <c r="Q512" s="12"/>
      <c r="R512" s="50"/>
      <c r="S512" s="50"/>
      <c r="T512" s="50"/>
      <c r="U512" s="53"/>
      <c r="V512" s="54"/>
      <c r="W512" s="56"/>
      <c r="X512" s="119"/>
      <c r="Y512" s="113"/>
      <c r="Z512" s="113"/>
      <c r="AH512" s="106"/>
      <c r="AI512" s="106"/>
    </row>
    <row r="513">
      <c r="A513" s="38"/>
      <c r="B513" s="38"/>
      <c r="C513" s="38"/>
      <c r="D513" s="38"/>
      <c r="E513" s="38"/>
      <c r="F513" s="41"/>
      <c r="G513" s="43"/>
      <c r="H513" s="45"/>
      <c r="I513" s="38"/>
      <c r="J513" s="38"/>
      <c r="K513" s="46"/>
      <c r="L513" s="47"/>
      <c r="M513" s="46"/>
      <c r="N513" s="46"/>
      <c r="O513" s="38"/>
      <c r="P513" s="38"/>
      <c r="Q513" s="12"/>
      <c r="R513" s="50"/>
      <c r="S513" s="50"/>
      <c r="T513" s="50"/>
      <c r="U513" s="53"/>
      <c r="V513" s="54"/>
      <c r="W513" s="56"/>
      <c r="X513" s="119"/>
      <c r="Y513" s="113"/>
      <c r="Z513" s="113"/>
      <c r="AH513" s="106"/>
      <c r="AI513" s="106"/>
    </row>
    <row r="514">
      <c r="A514" s="38"/>
      <c r="B514" s="38"/>
      <c r="C514" s="38"/>
      <c r="D514" s="38"/>
      <c r="E514" s="38"/>
      <c r="F514" s="41"/>
      <c r="G514" s="43"/>
      <c r="H514" s="45"/>
      <c r="I514" s="38"/>
      <c r="J514" s="38"/>
      <c r="K514" s="46"/>
      <c r="L514" s="47"/>
      <c r="M514" s="46"/>
      <c r="N514" s="46"/>
      <c r="O514" s="38"/>
      <c r="P514" s="38"/>
      <c r="Q514" s="12"/>
      <c r="R514" s="50"/>
      <c r="S514" s="50"/>
      <c r="T514" s="50"/>
      <c r="U514" s="53"/>
      <c r="V514" s="54"/>
      <c r="W514" s="56"/>
      <c r="X514" s="119"/>
      <c r="Y514" s="113"/>
      <c r="Z514" s="113"/>
      <c r="AH514" s="106"/>
      <c r="AI514" s="106"/>
    </row>
    <row r="515">
      <c r="A515" s="38"/>
      <c r="B515" s="38"/>
      <c r="C515" s="38"/>
      <c r="D515" s="38"/>
      <c r="E515" s="38"/>
      <c r="F515" s="41"/>
      <c r="G515" s="43"/>
      <c r="H515" s="45"/>
      <c r="I515" s="38"/>
      <c r="J515" s="38"/>
      <c r="K515" s="46"/>
      <c r="L515" s="47"/>
      <c r="M515" s="46"/>
      <c r="N515" s="46"/>
      <c r="O515" s="38"/>
      <c r="P515" s="38"/>
      <c r="Q515" s="12"/>
      <c r="R515" s="50"/>
      <c r="S515" s="50"/>
      <c r="T515" s="50"/>
      <c r="U515" s="53"/>
      <c r="V515" s="54"/>
      <c r="W515" s="56"/>
      <c r="X515" s="119"/>
      <c r="Y515" s="113"/>
      <c r="Z515" s="113"/>
      <c r="AH515" s="106"/>
      <c r="AI515" s="106"/>
    </row>
    <row r="516">
      <c r="A516" s="38"/>
      <c r="B516" s="38"/>
      <c r="C516" s="38"/>
      <c r="D516" s="38"/>
      <c r="E516" s="38"/>
      <c r="F516" s="41"/>
      <c r="G516" s="43"/>
      <c r="H516" s="45"/>
      <c r="I516" s="38"/>
      <c r="J516" s="38"/>
      <c r="K516" s="46"/>
      <c r="L516" s="47"/>
      <c r="M516" s="46"/>
      <c r="N516" s="46"/>
      <c r="O516" s="38"/>
      <c r="P516" s="38"/>
      <c r="Q516" s="12"/>
      <c r="R516" s="50"/>
      <c r="S516" s="50"/>
      <c r="T516" s="50"/>
      <c r="U516" s="53"/>
      <c r="V516" s="54"/>
      <c r="W516" s="56"/>
      <c r="X516" s="119"/>
      <c r="Y516" s="113"/>
      <c r="Z516" s="113"/>
      <c r="AH516" s="106"/>
      <c r="AI516" s="106"/>
    </row>
    <row r="517">
      <c r="A517" s="38"/>
      <c r="B517" s="38"/>
      <c r="C517" s="38"/>
      <c r="D517" s="38"/>
      <c r="E517" s="38"/>
      <c r="F517" s="41"/>
      <c r="G517" s="43"/>
      <c r="H517" s="45"/>
      <c r="I517" s="38"/>
      <c r="J517" s="38"/>
      <c r="K517" s="46"/>
      <c r="L517" s="47"/>
      <c r="M517" s="46"/>
      <c r="N517" s="46"/>
      <c r="O517" s="38"/>
      <c r="P517" s="38"/>
      <c r="Q517" s="12"/>
      <c r="R517" s="50"/>
      <c r="S517" s="50"/>
      <c r="T517" s="50"/>
      <c r="U517" s="53"/>
      <c r="V517" s="54"/>
      <c r="W517" s="56"/>
      <c r="X517" s="119"/>
      <c r="Y517" s="113"/>
      <c r="Z517" s="113"/>
      <c r="AH517" s="106"/>
      <c r="AI517" s="106"/>
    </row>
    <row r="518">
      <c r="A518" s="38"/>
      <c r="B518" s="38"/>
      <c r="C518" s="38"/>
      <c r="D518" s="38"/>
      <c r="E518" s="38"/>
      <c r="F518" s="41"/>
      <c r="G518" s="43"/>
      <c r="H518" s="45"/>
      <c r="I518" s="38"/>
      <c r="J518" s="38"/>
      <c r="K518" s="46"/>
      <c r="L518" s="47"/>
      <c r="M518" s="46"/>
      <c r="N518" s="46"/>
      <c r="O518" s="38"/>
      <c r="P518" s="38"/>
      <c r="Q518" s="12"/>
      <c r="R518" s="50"/>
      <c r="S518" s="50"/>
      <c r="T518" s="50"/>
      <c r="U518" s="53"/>
      <c r="V518" s="54"/>
      <c r="W518" s="56"/>
      <c r="X518" s="119"/>
      <c r="Y518" s="113"/>
      <c r="Z518" s="113"/>
      <c r="AH518" s="106"/>
      <c r="AI518" s="106"/>
    </row>
    <row r="519">
      <c r="A519" s="38"/>
      <c r="B519" s="38"/>
      <c r="C519" s="38"/>
      <c r="D519" s="38"/>
      <c r="E519" s="38"/>
      <c r="F519" s="41"/>
      <c r="G519" s="43"/>
      <c r="H519" s="45"/>
      <c r="I519" s="38"/>
      <c r="J519" s="38"/>
      <c r="K519" s="46"/>
      <c r="L519" s="47"/>
      <c r="M519" s="46"/>
      <c r="N519" s="46"/>
      <c r="O519" s="38"/>
      <c r="P519" s="38"/>
      <c r="Q519" s="12"/>
      <c r="R519" s="50"/>
      <c r="S519" s="50"/>
      <c r="T519" s="50"/>
      <c r="U519" s="53"/>
      <c r="V519" s="54"/>
      <c r="W519" s="56"/>
      <c r="X519" s="119"/>
      <c r="Y519" s="113"/>
      <c r="Z519" s="113"/>
      <c r="AH519" s="106"/>
      <c r="AI519" s="106"/>
    </row>
    <row r="520">
      <c r="A520" s="38"/>
      <c r="B520" s="38"/>
      <c r="C520" s="38"/>
      <c r="D520" s="38"/>
      <c r="E520" s="38"/>
      <c r="F520" s="41"/>
      <c r="G520" s="43"/>
      <c r="H520" s="45"/>
      <c r="I520" s="38"/>
      <c r="J520" s="38"/>
      <c r="K520" s="46"/>
      <c r="L520" s="47"/>
      <c r="M520" s="46"/>
      <c r="N520" s="46"/>
      <c r="O520" s="38"/>
      <c r="P520" s="38"/>
      <c r="Q520" s="12"/>
      <c r="R520" s="50"/>
      <c r="S520" s="50"/>
      <c r="T520" s="50"/>
      <c r="U520" s="53"/>
      <c r="V520" s="54"/>
      <c r="W520" s="56"/>
      <c r="X520" s="119"/>
      <c r="Y520" s="113"/>
      <c r="Z520" s="113"/>
      <c r="AH520" s="106"/>
      <c r="AI520" s="106"/>
    </row>
    <row r="521">
      <c r="A521" s="38"/>
      <c r="B521" s="38"/>
      <c r="C521" s="38"/>
      <c r="D521" s="38"/>
      <c r="E521" s="38"/>
      <c r="F521" s="41"/>
      <c r="G521" s="43"/>
      <c r="H521" s="45"/>
      <c r="I521" s="38"/>
      <c r="J521" s="38"/>
      <c r="K521" s="46"/>
      <c r="L521" s="47"/>
      <c r="M521" s="46"/>
      <c r="N521" s="46"/>
      <c r="O521" s="38"/>
      <c r="P521" s="38"/>
      <c r="Q521" s="12"/>
      <c r="R521" s="50"/>
      <c r="S521" s="50"/>
      <c r="T521" s="50"/>
      <c r="U521" s="53"/>
      <c r="V521" s="54"/>
      <c r="W521" s="56"/>
      <c r="X521" s="119"/>
      <c r="Y521" s="113"/>
      <c r="Z521" s="113"/>
      <c r="AH521" s="106"/>
      <c r="AI521" s="106"/>
    </row>
    <row r="522">
      <c r="A522" s="38"/>
      <c r="B522" s="38"/>
      <c r="C522" s="38"/>
      <c r="D522" s="38"/>
      <c r="E522" s="38"/>
      <c r="F522" s="41"/>
      <c r="G522" s="43"/>
      <c r="H522" s="45"/>
      <c r="I522" s="38"/>
      <c r="J522" s="38"/>
      <c r="K522" s="46"/>
      <c r="L522" s="47"/>
      <c r="M522" s="46"/>
      <c r="N522" s="46"/>
      <c r="O522" s="38"/>
      <c r="P522" s="38"/>
      <c r="Q522" s="12"/>
      <c r="R522" s="50"/>
      <c r="S522" s="50"/>
      <c r="T522" s="50"/>
      <c r="U522" s="53"/>
      <c r="V522" s="54"/>
      <c r="W522" s="56"/>
      <c r="X522" s="119"/>
      <c r="Y522" s="113"/>
      <c r="Z522" s="113"/>
      <c r="AH522" s="106"/>
      <c r="AI522" s="106"/>
    </row>
    <row r="523">
      <c r="A523" s="38"/>
      <c r="B523" s="38"/>
      <c r="C523" s="38"/>
      <c r="D523" s="38"/>
      <c r="E523" s="38"/>
      <c r="F523" s="41"/>
      <c r="G523" s="43"/>
      <c r="H523" s="45"/>
      <c r="I523" s="38"/>
      <c r="J523" s="38"/>
      <c r="K523" s="46"/>
      <c r="L523" s="47"/>
      <c r="M523" s="46"/>
      <c r="N523" s="46"/>
      <c r="O523" s="38"/>
      <c r="P523" s="38"/>
      <c r="Q523" s="12"/>
      <c r="R523" s="50"/>
      <c r="S523" s="50"/>
      <c r="T523" s="50"/>
      <c r="U523" s="53"/>
      <c r="V523" s="54"/>
      <c r="W523" s="56"/>
      <c r="X523" s="119"/>
      <c r="Y523" s="113"/>
      <c r="Z523" s="113"/>
      <c r="AH523" s="106"/>
      <c r="AI523" s="106"/>
    </row>
    <row r="524">
      <c r="A524" s="38"/>
      <c r="B524" s="38"/>
      <c r="C524" s="38"/>
      <c r="D524" s="38"/>
      <c r="E524" s="38"/>
      <c r="F524" s="41"/>
      <c r="G524" s="43"/>
      <c r="H524" s="45"/>
      <c r="I524" s="38"/>
      <c r="J524" s="38"/>
      <c r="K524" s="46"/>
      <c r="L524" s="47"/>
      <c r="M524" s="46"/>
      <c r="N524" s="46"/>
      <c r="O524" s="38"/>
      <c r="P524" s="38"/>
      <c r="Q524" s="12"/>
      <c r="R524" s="50"/>
      <c r="S524" s="50"/>
      <c r="T524" s="50"/>
      <c r="U524" s="53"/>
      <c r="V524" s="54"/>
      <c r="W524" s="56"/>
      <c r="X524" s="119"/>
      <c r="Y524" s="113"/>
      <c r="Z524" s="113"/>
      <c r="AH524" s="106"/>
      <c r="AI524" s="106"/>
    </row>
    <row r="525">
      <c r="A525" s="38"/>
      <c r="B525" s="38"/>
      <c r="C525" s="38"/>
      <c r="D525" s="38"/>
      <c r="E525" s="38"/>
      <c r="F525" s="41"/>
      <c r="G525" s="43"/>
      <c r="H525" s="45"/>
      <c r="I525" s="38"/>
      <c r="J525" s="38"/>
      <c r="K525" s="46"/>
      <c r="L525" s="47"/>
      <c r="M525" s="46"/>
      <c r="N525" s="46"/>
      <c r="O525" s="38"/>
      <c r="P525" s="38"/>
      <c r="Q525" s="12"/>
      <c r="R525" s="50"/>
      <c r="S525" s="50"/>
      <c r="T525" s="50"/>
      <c r="U525" s="53"/>
      <c r="V525" s="54"/>
      <c r="W525" s="56"/>
      <c r="X525" s="119"/>
      <c r="Y525" s="113"/>
      <c r="Z525" s="113"/>
      <c r="AH525" s="106"/>
      <c r="AI525" s="106"/>
    </row>
    <row r="526">
      <c r="A526" s="38"/>
      <c r="B526" s="38"/>
      <c r="C526" s="38"/>
      <c r="D526" s="38"/>
      <c r="E526" s="38"/>
      <c r="F526" s="41"/>
      <c r="G526" s="43"/>
      <c r="H526" s="45"/>
      <c r="I526" s="38"/>
      <c r="J526" s="38"/>
      <c r="K526" s="46"/>
      <c r="L526" s="47"/>
      <c r="M526" s="46"/>
      <c r="N526" s="46"/>
      <c r="O526" s="38"/>
      <c r="P526" s="38"/>
      <c r="Q526" s="12"/>
      <c r="R526" s="50"/>
      <c r="S526" s="50"/>
      <c r="T526" s="50"/>
      <c r="U526" s="53"/>
      <c r="V526" s="54"/>
      <c r="W526" s="56"/>
      <c r="X526" s="119"/>
      <c r="Y526" s="113"/>
      <c r="Z526" s="113"/>
      <c r="AH526" s="106"/>
      <c r="AI526" s="106"/>
    </row>
    <row r="527">
      <c r="A527" s="38"/>
      <c r="B527" s="38"/>
      <c r="C527" s="38"/>
      <c r="D527" s="38"/>
      <c r="E527" s="38"/>
      <c r="F527" s="41"/>
      <c r="G527" s="43"/>
      <c r="H527" s="45"/>
      <c r="I527" s="38"/>
      <c r="J527" s="38"/>
      <c r="K527" s="46"/>
      <c r="L527" s="47"/>
      <c r="M527" s="46"/>
      <c r="N527" s="46"/>
      <c r="O527" s="38"/>
      <c r="P527" s="38"/>
      <c r="Q527" s="12"/>
      <c r="R527" s="50"/>
      <c r="S527" s="50"/>
      <c r="T527" s="50"/>
      <c r="U527" s="53"/>
      <c r="V527" s="54"/>
      <c r="W527" s="56"/>
      <c r="X527" s="119"/>
      <c r="Y527" s="113"/>
      <c r="Z527" s="113"/>
      <c r="AH527" s="106"/>
      <c r="AI527" s="106"/>
    </row>
    <row r="528">
      <c r="A528" s="38"/>
      <c r="B528" s="38"/>
      <c r="C528" s="38"/>
      <c r="D528" s="38"/>
      <c r="E528" s="38"/>
      <c r="F528" s="41"/>
      <c r="G528" s="43"/>
      <c r="H528" s="45"/>
      <c r="I528" s="38"/>
      <c r="J528" s="38"/>
      <c r="K528" s="46"/>
      <c r="L528" s="47"/>
      <c r="M528" s="46"/>
      <c r="N528" s="46"/>
      <c r="O528" s="38"/>
      <c r="P528" s="38"/>
      <c r="Q528" s="12"/>
      <c r="R528" s="50"/>
      <c r="S528" s="50"/>
      <c r="T528" s="50"/>
      <c r="U528" s="53"/>
      <c r="V528" s="54"/>
      <c r="W528" s="56"/>
      <c r="X528" s="119"/>
      <c r="Y528" s="113"/>
      <c r="Z528" s="113"/>
      <c r="AH528" s="106"/>
      <c r="AI528" s="106"/>
    </row>
    <row r="529">
      <c r="A529" s="38"/>
      <c r="B529" s="38"/>
      <c r="C529" s="38"/>
      <c r="D529" s="38"/>
      <c r="E529" s="38"/>
      <c r="F529" s="41"/>
      <c r="G529" s="43"/>
      <c r="H529" s="45"/>
      <c r="I529" s="38"/>
      <c r="J529" s="38"/>
      <c r="K529" s="46"/>
      <c r="L529" s="47"/>
      <c r="M529" s="46"/>
      <c r="N529" s="46"/>
      <c r="O529" s="38"/>
      <c r="P529" s="38"/>
      <c r="Q529" s="12"/>
      <c r="R529" s="50"/>
      <c r="S529" s="50"/>
      <c r="T529" s="50"/>
      <c r="U529" s="53"/>
      <c r="V529" s="54"/>
      <c r="W529" s="56"/>
      <c r="X529" s="119"/>
      <c r="Y529" s="113"/>
      <c r="Z529" s="113"/>
      <c r="AH529" s="106"/>
      <c r="AI529" s="106"/>
    </row>
    <row r="530">
      <c r="A530" s="38"/>
      <c r="B530" s="38"/>
      <c r="C530" s="38"/>
      <c r="D530" s="38"/>
      <c r="E530" s="38"/>
      <c r="F530" s="41"/>
      <c r="G530" s="43"/>
      <c r="H530" s="45"/>
      <c r="I530" s="38"/>
      <c r="J530" s="38"/>
      <c r="K530" s="46"/>
      <c r="L530" s="47"/>
      <c r="M530" s="46"/>
      <c r="N530" s="46"/>
      <c r="O530" s="38"/>
      <c r="P530" s="38"/>
      <c r="Q530" s="12"/>
      <c r="R530" s="50"/>
      <c r="S530" s="50"/>
      <c r="T530" s="50"/>
      <c r="U530" s="53"/>
      <c r="V530" s="54"/>
      <c r="W530" s="56"/>
      <c r="X530" s="119"/>
      <c r="Y530" s="113"/>
      <c r="Z530" s="113"/>
      <c r="AH530" s="106"/>
      <c r="AI530" s="106"/>
    </row>
    <row r="531">
      <c r="A531" s="38"/>
      <c r="B531" s="38"/>
      <c r="C531" s="38"/>
      <c r="D531" s="38"/>
      <c r="E531" s="38"/>
      <c r="F531" s="41"/>
      <c r="G531" s="43"/>
      <c r="H531" s="45"/>
      <c r="I531" s="38"/>
      <c r="J531" s="38"/>
      <c r="K531" s="46"/>
      <c r="L531" s="47"/>
      <c r="M531" s="46"/>
      <c r="N531" s="46"/>
      <c r="O531" s="38"/>
      <c r="P531" s="38"/>
      <c r="Q531" s="12"/>
      <c r="R531" s="50"/>
      <c r="S531" s="50"/>
      <c r="T531" s="50"/>
      <c r="U531" s="53"/>
      <c r="V531" s="54"/>
      <c r="W531" s="56"/>
      <c r="X531" s="119"/>
      <c r="Y531" s="113"/>
      <c r="Z531" s="113"/>
      <c r="AH531" s="106"/>
      <c r="AI531" s="106"/>
    </row>
    <row r="532">
      <c r="A532" s="38"/>
      <c r="B532" s="38"/>
      <c r="C532" s="38"/>
      <c r="D532" s="38"/>
      <c r="E532" s="38"/>
      <c r="F532" s="41"/>
      <c r="G532" s="43"/>
      <c r="H532" s="45"/>
      <c r="I532" s="38"/>
      <c r="J532" s="38"/>
      <c r="K532" s="46"/>
      <c r="L532" s="47"/>
      <c r="M532" s="46"/>
      <c r="N532" s="46"/>
      <c r="O532" s="38"/>
      <c r="P532" s="38"/>
      <c r="Q532" s="12"/>
      <c r="R532" s="50"/>
      <c r="S532" s="50"/>
      <c r="T532" s="50"/>
      <c r="U532" s="53"/>
      <c r="V532" s="54"/>
      <c r="W532" s="56"/>
      <c r="X532" s="119"/>
      <c r="Y532" s="113"/>
      <c r="Z532" s="113"/>
      <c r="AH532" s="106"/>
      <c r="AI532" s="106"/>
    </row>
    <row r="533">
      <c r="A533" s="38"/>
      <c r="B533" s="38"/>
      <c r="C533" s="38"/>
      <c r="D533" s="38"/>
      <c r="E533" s="38"/>
      <c r="F533" s="41"/>
      <c r="G533" s="43"/>
      <c r="H533" s="45"/>
      <c r="I533" s="38"/>
      <c r="J533" s="38"/>
      <c r="K533" s="46"/>
      <c r="L533" s="47"/>
      <c r="M533" s="46"/>
      <c r="N533" s="46"/>
      <c r="O533" s="38"/>
      <c r="P533" s="38"/>
      <c r="Q533" s="12"/>
      <c r="R533" s="50"/>
      <c r="S533" s="50"/>
      <c r="T533" s="50"/>
      <c r="U533" s="53"/>
      <c r="V533" s="54"/>
      <c r="W533" s="56"/>
      <c r="X533" s="119"/>
      <c r="Y533" s="113"/>
      <c r="Z533" s="113"/>
      <c r="AH533" s="106"/>
      <c r="AI533" s="106"/>
    </row>
    <row r="534">
      <c r="A534" s="38"/>
      <c r="B534" s="38"/>
      <c r="C534" s="38"/>
      <c r="D534" s="38"/>
      <c r="E534" s="38"/>
      <c r="F534" s="41"/>
      <c r="G534" s="43"/>
      <c r="H534" s="45"/>
      <c r="I534" s="38"/>
      <c r="J534" s="38"/>
      <c r="K534" s="46"/>
      <c r="L534" s="47"/>
      <c r="M534" s="46"/>
      <c r="N534" s="46"/>
      <c r="O534" s="38"/>
      <c r="P534" s="38"/>
      <c r="Q534" s="12"/>
      <c r="R534" s="50"/>
      <c r="S534" s="50"/>
      <c r="T534" s="50"/>
      <c r="U534" s="53"/>
      <c r="V534" s="54"/>
      <c r="W534" s="56"/>
      <c r="X534" s="119"/>
      <c r="Y534" s="113"/>
      <c r="Z534" s="113"/>
      <c r="AH534" s="106"/>
      <c r="AI534" s="106"/>
    </row>
    <row r="535">
      <c r="A535" s="38"/>
      <c r="B535" s="38"/>
      <c r="C535" s="38"/>
      <c r="D535" s="38"/>
      <c r="E535" s="38"/>
      <c r="F535" s="41"/>
      <c r="G535" s="43"/>
      <c r="H535" s="45"/>
      <c r="I535" s="38"/>
      <c r="J535" s="38"/>
      <c r="K535" s="46"/>
      <c r="L535" s="47"/>
      <c r="M535" s="46"/>
      <c r="N535" s="46"/>
      <c r="O535" s="38"/>
      <c r="P535" s="38"/>
      <c r="Q535" s="12"/>
      <c r="R535" s="50"/>
      <c r="S535" s="50"/>
      <c r="T535" s="50"/>
      <c r="U535" s="53"/>
      <c r="V535" s="54"/>
      <c r="W535" s="56"/>
      <c r="X535" s="119"/>
      <c r="Y535" s="113"/>
      <c r="Z535" s="113"/>
      <c r="AH535" s="106"/>
      <c r="AI535" s="106"/>
    </row>
    <row r="536">
      <c r="A536" s="38"/>
      <c r="B536" s="38"/>
      <c r="C536" s="38"/>
      <c r="D536" s="38"/>
      <c r="E536" s="38"/>
      <c r="F536" s="41"/>
      <c r="G536" s="43"/>
      <c r="H536" s="45"/>
      <c r="I536" s="38"/>
      <c r="J536" s="38"/>
      <c r="K536" s="46"/>
      <c r="L536" s="47"/>
      <c r="M536" s="46"/>
      <c r="N536" s="46"/>
      <c r="O536" s="38"/>
      <c r="P536" s="38"/>
      <c r="Q536" s="12"/>
      <c r="R536" s="50"/>
      <c r="S536" s="50"/>
      <c r="T536" s="50"/>
      <c r="U536" s="53"/>
      <c r="V536" s="54"/>
      <c r="W536" s="56"/>
      <c r="X536" s="119"/>
      <c r="Y536" s="113"/>
      <c r="Z536" s="113"/>
      <c r="AH536" s="106"/>
      <c r="AI536" s="106"/>
    </row>
    <row r="537">
      <c r="A537" s="38"/>
      <c r="B537" s="38"/>
      <c r="C537" s="38"/>
      <c r="D537" s="38"/>
      <c r="E537" s="38"/>
      <c r="F537" s="41"/>
      <c r="G537" s="43"/>
      <c r="H537" s="45"/>
      <c r="I537" s="38"/>
      <c r="J537" s="38"/>
      <c r="K537" s="46"/>
      <c r="L537" s="47"/>
      <c r="M537" s="46"/>
      <c r="N537" s="46"/>
      <c r="O537" s="38"/>
      <c r="P537" s="38"/>
      <c r="Q537" s="12"/>
      <c r="R537" s="50"/>
      <c r="S537" s="50"/>
      <c r="T537" s="50"/>
      <c r="U537" s="53"/>
      <c r="V537" s="54"/>
      <c r="W537" s="56"/>
      <c r="X537" s="119"/>
      <c r="Y537" s="113"/>
      <c r="Z537" s="113"/>
      <c r="AH537" s="106"/>
      <c r="AI537" s="106"/>
    </row>
    <row r="538">
      <c r="A538" s="38"/>
      <c r="B538" s="38"/>
      <c r="C538" s="38"/>
      <c r="D538" s="38"/>
      <c r="E538" s="38"/>
      <c r="F538" s="41"/>
      <c r="G538" s="43"/>
      <c r="H538" s="45"/>
      <c r="I538" s="38"/>
      <c r="J538" s="38"/>
      <c r="K538" s="46"/>
      <c r="L538" s="47"/>
      <c r="M538" s="46"/>
      <c r="N538" s="46"/>
      <c r="O538" s="38"/>
      <c r="P538" s="38"/>
      <c r="Q538" s="12"/>
      <c r="R538" s="50"/>
      <c r="S538" s="50"/>
      <c r="T538" s="50"/>
      <c r="U538" s="53"/>
      <c r="V538" s="54"/>
      <c r="W538" s="56"/>
      <c r="X538" s="119"/>
      <c r="Y538" s="113"/>
      <c r="Z538" s="113"/>
      <c r="AH538" s="106"/>
      <c r="AI538" s="106"/>
    </row>
    <row r="539">
      <c r="A539" s="38"/>
      <c r="B539" s="38"/>
      <c r="C539" s="38"/>
      <c r="D539" s="38"/>
      <c r="E539" s="38"/>
      <c r="F539" s="41"/>
      <c r="G539" s="43"/>
      <c r="H539" s="45"/>
      <c r="I539" s="38"/>
      <c r="J539" s="38"/>
      <c r="K539" s="46"/>
      <c r="L539" s="47"/>
      <c r="M539" s="46"/>
      <c r="N539" s="46"/>
      <c r="O539" s="38"/>
      <c r="P539" s="38"/>
      <c r="Q539" s="12"/>
      <c r="R539" s="50"/>
      <c r="S539" s="50"/>
      <c r="T539" s="50"/>
      <c r="U539" s="53"/>
      <c r="V539" s="54"/>
      <c r="W539" s="56"/>
      <c r="X539" s="119"/>
      <c r="Y539" s="113"/>
      <c r="Z539" s="113"/>
      <c r="AH539" s="106"/>
      <c r="AI539" s="106"/>
    </row>
    <row r="540">
      <c r="A540" s="38"/>
      <c r="B540" s="38"/>
      <c r="C540" s="38"/>
      <c r="D540" s="38"/>
      <c r="E540" s="38"/>
      <c r="F540" s="41"/>
      <c r="G540" s="43"/>
      <c r="H540" s="45"/>
      <c r="I540" s="38"/>
      <c r="J540" s="38"/>
      <c r="K540" s="46"/>
      <c r="L540" s="47"/>
      <c r="M540" s="46"/>
      <c r="N540" s="46"/>
      <c r="O540" s="38"/>
      <c r="P540" s="38"/>
      <c r="Q540" s="12"/>
      <c r="R540" s="50"/>
      <c r="S540" s="50"/>
      <c r="T540" s="50"/>
      <c r="U540" s="53"/>
      <c r="V540" s="54"/>
      <c r="W540" s="56"/>
      <c r="X540" s="119"/>
      <c r="Y540" s="113"/>
      <c r="Z540" s="113"/>
      <c r="AH540" s="106"/>
      <c r="AI540" s="106"/>
    </row>
    <row r="541">
      <c r="A541" s="38"/>
      <c r="B541" s="38"/>
      <c r="C541" s="38"/>
      <c r="D541" s="38"/>
      <c r="E541" s="38"/>
      <c r="F541" s="41"/>
      <c r="G541" s="43"/>
      <c r="H541" s="45"/>
      <c r="I541" s="38"/>
      <c r="J541" s="38"/>
      <c r="K541" s="46"/>
      <c r="L541" s="47"/>
      <c r="M541" s="46"/>
      <c r="N541" s="46"/>
      <c r="O541" s="38"/>
      <c r="P541" s="38"/>
      <c r="Q541" s="12"/>
      <c r="R541" s="50"/>
      <c r="S541" s="50"/>
      <c r="T541" s="50"/>
      <c r="U541" s="53"/>
      <c r="V541" s="54"/>
      <c r="W541" s="56"/>
      <c r="X541" s="119"/>
      <c r="Y541" s="113"/>
      <c r="Z541" s="113"/>
      <c r="AH541" s="106"/>
      <c r="AI541" s="106"/>
    </row>
    <row r="542">
      <c r="A542" s="38"/>
      <c r="B542" s="38"/>
      <c r="C542" s="38"/>
      <c r="D542" s="38"/>
      <c r="E542" s="38"/>
      <c r="F542" s="41"/>
      <c r="G542" s="43"/>
      <c r="H542" s="45"/>
      <c r="I542" s="38"/>
      <c r="J542" s="38"/>
      <c r="K542" s="46"/>
      <c r="L542" s="47"/>
      <c r="M542" s="46"/>
      <c r="N542" s="46"/>
      <c r="O542" s="38"/>
      <c r="P542" s="38"/>
      <c r="Q542" s="12"/>
      <c r="R542" s="50"/>
      <c r="S542" s="50"/>
      <c r="T542" s="50"/>
      <c r="U542" s="53"/>
      <c r="V542" s="54"/>
      <c r="W542" s="56"/>
      <c r="X542" s="119"/>
      <c r="Y542" s="113"/>
      <c r="Z542" s="113"/>
      <c r="AH542" s="106"/>
      <c r="AI542" s="106"/>
    </row>
    <row r="543">
      <c r="A543" s="38"/>
      <c r="B543" s="38"/>
      <c r="C543" s="38"/>
      <c r="D543" s="38"/>
      <c r="E543" s="38"/>
      <c r="F543" s="41"/>
      <c r="G543" s="43"/>
      <c r="H543" s="45"/>
      <c r="I543" s="38"/>
      <c r="J543" s="38"/>
      <c r="K543" s="46"/>
      <c r="L543" s="47"/>
      <c r="M543" s="46"/>
      <c r="N543" s="46"/>
      <c r="O543" s="38"/>
      <c r="P543" s="38"/>
      <c r="Q543" s="12"/>
      <c r="R543" s="50"/>
      <c r="S543" s="50"/>
      <c r="T543" s="50"/>
      <c r="U543" s="53"/>
      <c r="V543" s="54"/>
      <c r="W543" s="56"/>
      <c r="X543" s="119"/>
      <c r="Y543" s="113"/>
      <c r="Z543" s="113"/>
      <c r="AH543" s="106"/>
      <c r="AI543" s="106"/>
    </row>
    <row r="544">
      <c r="A544" s="38"/>
      <c r="B544" s="38"/>
      <c r="C544" s="38"/>
      <c r="D544" s="38"/>
      <c r="E544" s="38"/>
      <c r="F544" s="41"/>
      <c r="G544" s="43"/>
      <c r="H544" s="45"/>
      <c r="I544" s="38"/>
      <c r="J544" s="38"/>
      <c r="K544" s="46"/>
      <c r="L544" s="47"/>
      <c r="M544" s="46"/>
      <c r="N544" s="46"/>
      <c r="O544" s="38"/>
      <c r="P544" s="38"/>
      <c r="Q544" s="12"/>
      <c r="R544" s="50"/>
      <c r="S544" s="50"/>
      <c r="T544" s="50"/>
      <c r="U544" s="53"/>
      <c r="V544" s="54"/>
      <c r="W544" s="56"/>
      <c r="X544" s="119"/>
      <c r="Y544" s="113"/>
      <c r="Z544" s="113"/>
      <c r="AH544" s="106"/>
      <c r="AI544" s="106"/>
    </row>
    <row r="545">
      <c r="A545" s="38"/>
      <c r="B545" s="38"/>
      <c r="C545" s="38"/>
      <c r="D545" s="38"/>
      <c r="E545" s="38"/>
      <c r="F545" s="41"/>
      <c r="G545" s="43"/>
      <c r="H545" s="45"/>
      <c r="I545" s="38"/>
      <c r="J545" s="38"/>
      <c r="K545" s="46"/>
      <c r="L545" s="47"/>
      <c r="M545" s="46"/>
      <c r="N545" s="46"/>
      <c r="O545" s="38"/>
      <c r="P545" s="38"/>
      <c r="Q545" s="12"/>
      <c r="R545" s="50"/>
      <c r="S545" s="50"/>
      <c r="T545" s="50"/>
      <c r="U545" s="53"/>
      <c r="V545" s="54"/>
      <c r="W545" s="56"/>
      <c r="X545" s="119"/>
      <c r="Y545" s="113"/>
      <c r="Z545" s="113"/>
      <c r="AH545" s="106"/>
      <c r="AI545" s="106"/>
    </row>
    <row r="546">
      <c r="A546" s="38"/>
      <c r="B546" s="38"/>
      <c r="C546" s="38"/>
      <c r="D546" s="38"/>
      <c r="E546" s="38"/>
      <c r="F546" s="41"/>
      <c r="G546" s="43"/>
      <c r="H546" s="45"/>
      <c r="I546" s="38"/>
      <c r="J546" s="38"/>
      <c r="K546" s="46"/>
      <c r="L546" s="47"/>
      <c r="M546" s="46"/>
      <c r="N546" s="46"/>
      <c r="O546" s="38"/>
      <c r="P546" s="38"/>
      <c r="Q546" s="12"/>
      <c r="R546" s="50"/>
      <c r="S546" s="50"/>
      <c r="T546" s="50"/>
      <c r="U546" s="53"/>
      <c r="V546" s="54"/>
      <c r="W546" s="56"/>
      <c r="X546" s="119"/>
      <c r="Y546" s="113"/>
      <c r="Z546" s="113"/>
      <c r="AH546" s="106"/>
      <c r="AI546" s="106"/>
    </row>
    <row r="547">
      <c r="A547" s="38"/>
      <c r="B547" s="38"/>
      <c r="C547" s="38"/>
      <c r="D547" s="38"/>
      <c r="E547" s="38"/>
      <c r="F547" s="41"/>
      <c r="G547" s="43"/>
      <c r="H547" s="45"/>
      <c r="I547" s="38"/>
      <c r="J547" s="38"/>
      <c r="K547" s="46"/>
      <c r="L547" s="47"/>
      <c r="M547" s="46"/>
      <c r="N547" s="46"/>
      <c r="O547" s="38"/>
      <c r="P547" s="38"/>
      <c r="Q547" s="12"/>
      <c r="R547" s="50"/>
      <c r="S547" s="50"/>
      <c r="T547" s="50"/>
      <c r="U547" s="53"/>
      <c r="V547" s="54"/>
      <c r="W547" s="56"/>
      <c r="X547" s="119"/>
      <c r="Y547" s="113"/>
      <c r="Z547" s="113"/>
      <c r="AH547" s="106"/>
      <c r="AI547" s="106"/>
    </row>
    <row r="548">
      <c r="A548" s="38"/>
      <c r="B548" s="38"/>
      <c r="C548" s="38"/>
      <c r="D548" s="38"/>
      <c r="E548" s="38"/>
      <c r="F548" s="41"/>
      <c r="G548" s="43"/>
      <c r="H548" s="45"/>
      <c r="I548" s="38"/>
      <c r="J548" s="38"/>
      <c r="K548" s="46"/>
      <c r="L548" s="47"/>
      <c r="M548" s="46"/>
      <c r="N548" s="46"/>
      <c r="O548" s="38"/>
      <c r="P548" s="38"/>
      <c r="Q548" s="12"/>
      <c r="R548" s="50"/>
      <c r="S548" s="50"/>
      <c r="T548" s="50"/>
      <c r="U548" s="53"/>
      <c r="V548" s="54"/>
      <c r="W548" s="56"/>
      <c r="X548" s="119"/>
      <c r="Y548" s="113"/>
      <c r="Z548" s="113"/>
      <c r="AH548" s="106"/>
      <c r="AI548" s="106"/>
    </row>
    <row r="549">
      <c r="A549" s="38"/>
      <c r="B549" s="38"/>
      <c r="C549" s="38"/>
      <c r="D549" s="38"/>
      <c r="E549" s="38"/>
      <c r="F549" s="41"/>
      <c r="G549" s="43"/>
      <c r="H549" s="45"/>
      <c r="I549" s="38"/>
      <c r="J549" s="38"/>
      <c r="K549" s="46"/>
      <c r="L549" s="47"/>
      <c r="M549" s="46"/>
      <c r="N549" s="46"/>
      <c r="O549" s="38"/>
      <c r="P549" s="38"/>
      <c r="Q549" s="12"/>
      <c r="R549" s="50"/>
      <c r="S549" s="50"/>
      <c r="T549" s="50"/>
      <c r="U549" s="53"/>
      <c r="V549" s="54"/>
      <c r="W549" s="56"/>
      <c r="X549" s="119"/>
      <c r="Y549" s="113"/>
      <c r="Z549" s="113"/>
      <c r="AH549" s="106"/>
      <c r="AI549" s="106"/>
    </row>
    <row r="550">
      <c r="A550" s="38"/>
      <c r="B550" s="38"/>
      <c r="C550" s="38"/>
      <c r="D550" s="38"/>
      <c r="E550" s="38"/>
      <c r="F550" s="41"/>
      <c r="G550" s="43"/>
      <c r="H550" s="45"/>
      <c r="I550" s="38"/>
      <c r="J550" s="38"/>
      <c r="K550" s="46"/>
      <c r="L550" s="47"/>
      <c r="M550" s="46"/>
      <c r="N550" s="46"/>
      <c r="O550" s="38"/>
      <c r="P550" s="38"/>
      <c r="Q550" s="12"/>
      <c r="R550" s="50"/>
      <c r="S550" s="50"/>
      <c r="T550" s="50"/>
      <c r="U550" s="53"/>
      <c r="V550" s="54"/>
      <c r="W550" s="56"/>
      <c r="X550" s="119"/>
      <c r="Y550" s="113"/>
      <c r="Z550" s="113"/>
      <c r="AH550" s="106"/>
      <c r="AI550" s="106"/>
    </row>
    <row r="551">
      <c r="A551" s="38"/>
      <c r="B551" s="38"/>
      <c r="C551" s="38"/>
      <c r="D551" s="38"/>
      <c r="E551" s="38"/>
      <c r="F551" s="41"/>
      <c r="G551" s="43"/>
      <c r="H551" s="45"/>
      <c r="I551" s="38"/>
      <c r="J551" s="38"/>
      <c r="K551" s="46"/>
      <c r="L551" s="47"/>
      <c r="M551" s="46"/>
      <c r="N551" s="46"/>
      <c r="O551" s="38"/>
      <c r="P551" s="38"/>
      <c r="Q551" s="12"/>
      <c r="R551" s="50"/>
      <c r="S551" s="50"/>
      <c r="T551" s="50"/>
      <c r="U551" s="53"/>
      <c r="V551" s="54"/>
      <c r="W551" s="56"/>
      <c r="X551" s="119"/>
      <c r="Y551" s="113"/>
      <c r="Z551" s="113"/>
      <c r="AH551" s="106"/>
      <c r="AI551" s="106"/>
    </row>
    <row r="552">
      <c r="A552" s="38"/>
      <c r="B552" s="38"/>
      <c r="C552" s="38"/>
      <c r="D552" s="38"/>
      <c r="E552" s="38"/>
      <c r="F552" s="41"/>
      <c r="G552" s="43"/>
      <c r="H552" s="45"/>
      <c r="I552" s="38"/>
      <c r="J552" s="38"/>
      <c r="K552" s="46"/>
      <c r="L552" s="47"/>
      <c r="M552" s="46"/>
      <c r="N552" s="46"/>
      <c r="O552" s="38"/>
      <c r="P552" s="38"/>
      <c r="Q552" s="12"/>
      <c r="R552" s="50"/>
      <c r="S552" s="50"/>
      <c r="T552" s="50"/>
      <c r="U552" s="53"/>
      <c r="V552" s="54"/>
      <c r="W552" s="56"/>
      <c r="X552" s="119"/>
      <c r="Y552" s="113"/>
      <c r="Z552" s="113"/>
      <c r="AH552" s="106"/>
      <c r="AI552" s="106"/>
    </row>
    <row r="553">
      <c r="A553" s="38"/>
      <c r="B553" s="38"/>
      <c r="C553" s="38"/>
      <c r="D553" s="38"/>
      <c r="E553" s="38"/>
      <c r="F553" s="41"/>
      <c r="G553" s="43"/>
      <c r="H553" s="45"/>
      <c r="I553" s="38"/>
      <c r="J553" s="38"/>
      <c r="K553" s="46"/>
      <c r="L553" s="47"/>
      <c r="M553" s="46"/>
      <c r="N553" s="46"/>
      <c r="O553" s="38"/>
      <c r="P553" s="38"/>
      <c r="Q553" s="12"/>
      <c r="R553" s="50"/>
      <c r="S553" s="50"/>
      <c r="T553" s="50"/>
      <c r="U553" s="53"/>
      <c r="V553" s="54"/>
      <c r="W553" s="56"/>
      <c r="X553" s="119"/>
      <c r="Y553" s="113"/>
      <c r="Z553" s="113"/>
      <c r="AH553" s="106"/>
      <c r="AI553" s="106"/>
    </row>
    <row r="554">
      <c r="A554" s="38"/>
      <c r="B554" s="38"/>
      <c r="C554" s="38"/>
      <c r="D554" s="38"/>
      <c r="E554" s="38"/>
      <c r="F554" s="41"/>
      <c r="G554" s="43"/>
      <c r="H554" s="45"/>
      <c r="I554" s="38"/>
      <c r="J554" s="38"/>
      <c r="K554" s="46"/>
      <c r="L554" s="47"/>
      <c r="M554" s="46"/>
      <c r="N554" s="46"/>
      <c r="O554" s="38"/>
      <c r="P554" s="38"/>
      <c r="Q554" s="12"/>
      <c r="R554" s="50"/>
      <c r="S554" s="50"/>
      <c r="T554" s="50"/>
      <c r="U554" s="53"/>
      <c r="V554" s="54"/>
      <c r="W554" s="56"/>
      <c r="X554" s="119"/>
      <c r="Y554" s="113"/>
      <c r="Z554" s="113"/>
      <c r="AH554" s="106"/>
      <c r="AI554" s="106"/>
    </row>
    <row r="555">
      <c r="A555" s="38"/>
      <c r="B555" s="38"/>
      <c r="C555" s="38"/>
      <c r="D555" s="38"/>
      <c r="E555" s="38"/>
      <c r="F555" s="41"/>
      <c r="G555" s="43"/>
      <c r="H555" s="45"/>
      <c r="I555" s="38"/>
      <c r="J555" s="38"/>
      <c r="K555" s="46"/>
      <c r="L555" s="47"/>
      <c r="M555" s="46"/>
      <c r="N555" s="46"/>
      <c r="O555" s="38"/>
      <c r="P555" s="38"/>
      <c r="Q555" s="12"/>
      <c r="R555" s="50"/>
      <c r="S555" s="50"/>
      <c r="T555" s="50"/>
      <c r="U555" s="53"/>
      <c r="V555" s="54"/>
      <c r="W555" s="56"/>
      <c r="X555" s="119"/>
      <c r="Y555" s="113"/>
      <c r="Z555" s="113"/>
      <c r="AH555" s="106"/>
      <c r="AI555" s="106"/>
    </row>
    <row r="556">
      <c r="A556" s="38"/>
      <c r="B556" s="38"/>
      <c r="C556" s="38"/>
      <c r="D556" s="38"/>
      <c r="E556" s="38"/>
      <c r="F556" s="41"/>
      <c r="G556" s="43"/>
      <c r="H556" s="45"/>
      <c r="I556" s="38"/>
      <c r="J556" s="38"/>
      <c r="K556" s="46"/>
      <c r="L556" s="47"/>
      <c r="M556" s="46"/>
      <c r="N556" s="46"/>
      <c r="O556" s="38"/>
      <c r="P556" s="38"/>
      <c r="Q556" s="12"/>
      <c r="R556" s="50"/>
      <c r="S556" s="50"/>
      <c r="T556" s="50"/>
      <c r="U556" s="53"/>
      <c r="V556" s="54"/>
      <c r="W556" s="56"/>
      <c r="X556" s="119"/>
      <c r="Y556" s="113"/>
      <c r="Z556" s="113"/>
      <c r="AH556" s="106"/>
      <c r="AI556" s="106"/>
    </row>
    <row r="557">
      <c r="A557" s="38"/>
      <c r="B557" s="38"/>
      <c r="C557" s="38"/>
      <c r="D557" s="38"/>
      <c r="E557" s="38"/>
      <c r="F557" s="41"/>
      <c r="G557" s="43"/>
      <c r="H557" s="45"/>
      <c r="I557" s="38"/>
      <c r="J557" s="38"/>
      <c r="K557" s="46"/>
      <c r="L557" s="47"/>
      <c r="M557" s="46"/>
      <c r="N557" s="46"/>
      <c r="O557" s="38"/>
      <c r="P557" s="38"/>
      <c r="Q557" s="12"/>
      <c r="R557" s="50"/>
      <c r="S557" s="50"/>
      <c r="T557" s="50"/>
      <c r="U557" s="53"/>
      <c r="V557" s="54"/>
      <c r="W557" s="56"/>
      <c r="X557" s="119"/>
      <c r="Y557" s="113"/>
      <c r="Z557" s="113"/>
      <c r="AH557" s="106"/>
      <c r="AI557" s="106"/>
    </row>
    <row r="558">
      <c r="A558" s="38"/>
      <c r="B558" s="38"/>
      <c r="C558" s="38"/>
      <c r="D558" s="38"/>
      <c r="E558" s="38"/>
      <c r="F558" s="41"/>
      <c r="G558" s="43"/>
      <c r="H558" s="45"/>
      <c r="I558" s="38"/>
      <c r="J558" s="38"/>
      <c r="K558" s="46"/>
      <c r="L558" s="47"/>
      <c r="M558" s="46"/>
      <c r="N558" s="46"/>
      <c r="O558" s="38"/>
      <c r="P558" s="38"/>
      <c r="Q558" s="12"/>
      <c r="R558" s="50"/>
      <c r="S558" s="50"/>
      <c r="T558" s="50"/>
      <c r="U558" s="53"/>
      <c r="V558" s="54"/>
      <c r="W558" s="56"/>
      <c r="X558" s="119"/>
      <c r="Y558" s="113"/>
      <c r="Z558" s="113"/>
      <c r="AH558" s="106"/>
      <c r="AI558" s="106"/>
    </row>
    <row r="559">
      <c r="A559" s="38"/>
      <c r="B559" s="38"/>
      <c r="C559" s="38"/>
      <c r="D559" s="38"/>
      <c r="E559" s="38"/>
      <c r="F559" s="41"/>
      <c r="G559" s="43"/>
      <c r="H559" s="45"/>
      <c r="I559" s="38"/>
      <c r="J559" s="38"/>
      <c r="K559" s="46"/>
      <c r="L559" s="47"/>
      <c r="M559" s="46"/>
      <c r="N559" s="46"/>
      <c r="O559" s="38"/>
      <c r="P559" s="38"/>
      <c r="Q559" s="12"/>
      <c r="R559" s="50"/>
      <c r="S559" s="50"/>
      <c r="T559" s="50"/>
      <c r="U559" s="53"/>
      <c r="V559" s="54"/>
      <c r="W559" s="56"/>
      <c r="X559" s="119"/>
      <c r="Y559" s="113"/>
      <c r="Z559" s="113"/>
      <c r="AH559" s="106"/>
      <c r="AI559" s="106"/>
    </row>
    <row r="560">
      <c r="A560" s="38"/>
      <c r="B560" s="38"/>
      <c r="C560" s="38"/>
      <c r="D560" s="38"/>
      <c r="E560" s="38"/>
      <c r="F560" s="41"/>
      <c r="G560" s="43"/>
      <c r="H560" s="45"/>
      <c r="I560" s="38"/>
      <c r="J560" s="38"/>
      <c r="K560" s="46"/>
      <c r="L560" s="47"/>
      <c r="M560" s="46"/>
      <c r="N560" s="46"/>
      <c r="O560" s="38"/>
      <c r="P560" s="38"/>
      <c r="Q560" s="12"/>
      <c r="R560" s="50"/>
      <c r="S560" s="50"/>
      <c r="T560" s="50"/>
      <c r="U560" s="53"/>
      <c r="V560" s="54"/>
      <c r="W560" s="56"/>
      <c r="X560" s="119"/>
      <c r="Y560" s="113"/>
      <c r="Z560" s="113"/>
      <c r="AH560" s="106"/>
      <c r="AI560" s="106"/>
    </row>
    <row r="561">
      <c r="A561" s="38"/>
      <c r="B561" s="38"/>
      <c r="C561" s="38"/>
      <c r="D561" s="38"/>
      <c r="E561" s="38"/>
      <c r="F561" s="41"/>
      <c r="G561" s="43"/>
      <c r="H561" s="45"/>
      <c r="I561" s="38"/>
      <c r="J561" s="38"/>
      <c r="K561" s="46"/>
      <c r="L561" s="47"/>
      <c r="M561" s="46"/>
      <c r="N561" s="46"/>
      <c r="O561" s="38"/>
      <c r="P561" s="38"/>
      <c r="Q561" s="12"/>
      <c r="R561" s="50"/>
      <c r="S561" s="50"/>
      <c r="T561" s="50"/>
      <c r="U561" s="53"/>
      <c r="V561" s="54"/>
      <c r="W561" s="56"/>
      <c r="X561" s="119"/>
      <c r="Y561" s="113"/>
      <c r="Z561" s="113"/>
      <c r="AH561" s="106"/>
      <c r="AI561" s="106"/>
    </row>
    <row r="562">
      <c r="A562" s="38"/>
      <c r="B562" s="38"/>
      <c r="C562" s="38"/>
      <c r="D562" s="38"/>
      <c r="E562" s="38"/>
      <c r="F562" s="41"/>
      <c r="G562" s="43"/>
      <c r="H562" s="45"/>
      <c r="I562" s="38"/>
      <c r="J562" s="38"/>
      <c r="K562" s="46"/>
      <c r="L562" s="47"/>
      <c r="M562" s="46"/>
      <c r="N562" s="46"/>
      <c r="O562" s="38"/>
      <c r="P562" s="38"/>
      <c r="Q562" s="12"/>
      <c r="R562" s="50"/>
      <c r="S562" s="50"/>
      <c r="T562" s="50"/>
      <c r="U562" s="53"/>
      <c r="V562" s="54"/>
      <c r="W562" s="56"/>
      <c r="X562" s="119"/>
      <c r="Y562" s="113"/>
      <c r="Z562" s="113"/>
      <c r="AH562" s="106"/>
      <c r="AI562" s="106"/>
    </row>
    <row r="563">
      <c r="A563" s="38"/>
      <c r="B563" s="38"/>
      <c r="C563" s="38"/>
      <c r="D563" s="38"/>
      <c r="E563" s="38"/>
      <c r="F563" s="41"/>
      <c r="G563" s="43"/>
      <c r="H563" s="45"/>
      <c r="I563" s="38"/>
      <c r="J563" s="38"/>
      <c r="K563" s="46"/>
      <c r="L563" s="47"/>
      <c r="M563" s="46"/>
      <c r="N563" s="46"/>
      <c r="O563" s="38"/>
      <c r="P563" s="38"/>
      <c r="Q563" s="12"/>
      <c r="R563" s="50"/>
      <c r="S563" s="50"/>
      <c r="T563" s="50"/>
      <c r="U563" s="53"/>
      <c r="V563" s="54"/>
      <c r="W563" s="56"/>
      <c r="X563" s="119"/>
      <c r="Y563" s="113"/>
      <c r="Z563" s="113"/>
      <c r="AH563" s="106"/>
      <c r="AI563" s="106"/>
    </row>
    <row r="564">
      <c r="A564" s="38"/>
      <c r="B564" s="38"/>
      <c r="C564" s="38"/>
      <c r="D564" s="38"/>
      <c r="E564" s="38"/>
      <c r="F564" s="41"/>
      <c r="G564" s="43"/>
      <c r="H564" s="45"/>
      <c r="I564" s="38"/>
      <c r="J564" s="38"/>
      <c r="K564" s="46"/>
      <c r="L564" s="47"/>
      <c r="M564" s="46"/>
      <c r="N564" s="46"/>
      <c r="O564" s="38"/>
      <c r="P564" s="38"/>
      <c r="Q564" s="12"/>
      <c r="R564" s="50"/>
      <c r="S564" s="50"/>
      <c r="T564" s="50"/>
      <c r="U564" s="53"/>
      <c r="V564" s="54"/>
      <c r="W564" s="56"/>
      <c r="X564" s="119"/>
      <c r="Y564" s="113"/>
      <c r="Z564" s="113"/>
      <c r="AH564" s="106"/>
      <c r="AI564" s="106"/>
    </row>
    <row r="565">
      <c r="A565" s="38"/>
      <c r="B565" s="38"/>
      <c r="C565" s="38"/>
      <c r="D565" s="38"/>
      <c r="E565" s="38"/>
      <c r="F565" s="41"/>
      <c r="G565" s="43"/>
      <c r="H565" s="45"/>
      <c r="I565" s="38"/>
      <c r="J565" s="38"/>
      <c r="K565" s="46"/>
      <c r="L565" s="47"/>
      <c r="M565" s="46"/>
      <c r="N565" s="46"/>
      <c r="O565" s="38"/>
      <c r="P565" s="38"/>
      <c r="Q565" s="12"/>
      <c r="R565" s="50"/>
      <c r="S565" s="50"/>
      <c r="T565" s="50"/>
      <c r="U565" s="53"/>
      <c r="V565" s="54"/>
      <c r="W565" s="56"/>
      <c r="X565" s="119"/>
      <c r="Y565" s="113"/>
      <c r="Z565" s="113"/>
      <c r="AH565" s="106"/>
      <c r="AI565" s="106"/>
    </row>
    <row r="566">
      <c r="A566" s="38"/>
      <c r="B566" s="38"/>
      <c r="C566" s="38"/>
      <c r="D566" s="38"/>
      <c r="E566" s="38"/>
      <c r="F566" s="41"/>
      <c r="G566" s="43"/>
      <c r="H566" s="45"/>
      <c r="I566" s="38"/>
      <c r="J566" s="38"/>
      <c r="K566" s="46"/>
      <c r="L566" s="47"/>
      <c r="M566" s="46"/>
      <c r="N566" s="46"/>
      <c r="O566" s="38"/>
      <c r="P566" s="38"/>
      <c r="Q566" s="12"/>
      <c r="R566" s="50"/>
      <c r="S566" s="50"/>
      <c r="T566" s="50"/>
      <c r="U566" s="53"/>
      <c r="V566" s="54"/>
      <c r="W566" s="56"/>
      <c r="X566" s="119"/>
      <c r="Y566" s="113"/>
      <c r="Z566" s="113"/>
      <c r="AH566" s="106"/>
      <c r="AI566" s="106"/>
    </row>
    <row r="567">
      <c r="A567" s="38"/>
      <c r="B567" s="38"/>
      <c r="C567" s="38"/>
      <c r="D567" s="38"/>
      <c r="E567" s="38"/>
      <c r="F567" s="41"/>
      <c r="G567" s="43"/>
      <c r="H567" s="45"/>
      <c r="I567" s="38"/>
      <c r="J567" s="38"/>
      <c r="K567" s="46"/>
      <c r="L567" s="47"/>
      <c r="M567" s="46"/>
      <c r="N567" s="46"/>
      <c r="O567" s="38"/>
      <c r="P567" s="38"/>
      <c r="Q567" s="12"/>
      <c r="R567" s="50"/>
      <c r="S567" s="50"/>
      <c r="T567" s="50"/>
      <c r="U567" s="53"/>
      <c r="V567" s="54"/>
      <c r="W567" s="56"/>
      <c r="X567" s="119"/>
      <c r="Y567" s="113"/>
      <c r="Z567" s="113"/>
      <c r="AH567" s="106"/>
      <c r="AI567" s="106"/>
    </row>
    <row r="568">
      <c r="A568" s="38"/>
      <c r="B568" s="38"/>
      <c r="C568" s="38"/>
      <c r="D568" s="38"/>
      <c r="E568" s="38"/>
      <c r="F568" s="41"/>
      <c r="G568" s="43"/>
      <c r="H568" s="45"/>
      <c r="I568" s="38"/>
      <c r="J568" s="38"/>
      <c r="K568" s="46"/>
      <c r="L568" s="47"/>
      <c r="M568" s="46"/>
      <c r="N568" s="46"/>
      <c r="O568" s="38"/>
      <c r="P568" s="38"/>
      <c r="Q568" s="12"/>
      <c r="R568" s="50"/>
      <c r="S568" s="50"/>
      <c r="T568" s="50"/>
      <c r="U568" s="53"/>
      <c r="V568" s="54"/>
      <c r="W568" s="56"/>
      <c r="X568" s="119"/>
      <c r="Y568" s="113"/>
      <c r="Z568" s="113"/>
      <c r="AH568" s="106"/>
      <c r="AI568" s="106"/>
    </row>
    <row r="569">
      <c r="A569" s="38"/>
      <c r="B569" s="38"/>
      <c r="C569" s="38"/>
      <c r="D569" s="38"/>
      <c r="E569" s="38"/>
      <c r="F569" s="41"/>
      <c r="G569" s="43"/>
      <c r="H569" s="45"/>
      <c r="I569" s="38"/>
      <c r="J569" s="38"/>
      <c r="K569" s="46"/>
      <c r="L569" s="47"/>
      <c r="M569" s="46"/>
      <c r="N569" s="46"/>
      <c r="O569" s="38"/>
      <c r="P569" s="38"/>
      <c r="Q569" s="12"/>
      <c r="R569" s="50"/>
      <c r="S569" s="50"/>
      <c r="T569" s="50"/>
      <c r="U569" s="53"/>
      <c r="V569" s="54"/>
      <c r="W569" s="56"/>
      <c r="X569" s="119"/>
      <c r="Y569" s="113"/>
      <c r="Z569" s="113"/>
      <c r="AH569" s="106"/>
      <c r="AI569" s="106"/>
    </row>
    <row r="570">
      <c r="A570" s="38"/>
      <c r="B570" s="38"/>
      <c r="C570" s="38"/>
      <c r="D570" s="38"/>
      <c r="E570" s="38"/>
      <c r="F570" s="41"/>
      <c r="G570" s="43"/>
      <c r="H570" s="45"/>
      <c r="I570" s="38"/>
      <c r="J570" s="38"/>
      <c r="K570" s="46"/>
      <c r="L570" s="47"/>
      <c r="M570" s="46"/>
      <c r="N570" s="46"/>
      <c r="O570" s="38"/>
      <c r="P570" s="38"/>
      <c r="Q570" s="12"/>
      <c r="R570" s="50"/>
      <c r="S570" s="50"/>
      <c r="T570" s="50"/>
      <c r="U570" s="53"/>
      <c r="V570" s="54"/>
      <c r="W570" s="56"/>
      <c r="X570" s="119"/>
      <c r="Y570" s="113"/>
      <c r="Z570" s="113"/>
      <c r="AH570" s="106"/>
      <c r="AI570" s="106"/>
    </row>
    <row r="571">
      <c r="A571" s="38"/>
      <c r="B571" s="38"/>
      <c r="C571" s="38"/>
      <c r="D571" s="38"/>
      <c r="E571" s="38"/>
      <c r="F571" s="41"/>
      <c r="G571" s="43"/>
      <c r="H571" s="45"/>
      <c r="I571" s="38"/>
      <c r="J571" s="38"/>
      <c r="K571" s="46"/>
      <c r="L571" s="47"/>
      <c r="M571" s="46"/>
      <c r="N571" s="46"/>
      <c r="O571" s="38"/>
      <c r="P571" s="38"/>
      <c r="Q571" s="12"/>
      <c r="R571" s="50"/>
      <c r="S571" s="50"/>
      <c r="T571" s="50"/>
      <c r="U571" s="53"/>
      <c r="V571" s="54"/>
      <c r="W571" s="56"/>
      <c r="X571" s="119"/>
      <c r="Y571" s="113"/>
      <c r="Z571" s="113"/>
      <c r="AH571" s="106"/>
      <c r="AI571" s="106"/>
    </row>
    <row r="572">
      <c r="A572" s="38"/>
      <c r="B572" s="38"/>
      <c r="C572" s="38"/>
      <c r="D572" s="38"/>
      <c r="E572" s="38"/>
      <c r="F572" s="41"/>
      <c r="G572" s="43"/>
      <c r="H572" s="45"/>
      <c r="I572" s="38"/>
      <c r="J572" s="38"/>
      <c r="K572" s="46"/>
      <c r="L572" s="47"/>
      <c r="M572" s="46"/>
      <c r="N572" s="46"/>
      <c r="O572" s="38"/>
      <c r="P572" s="38"/>
      <c r="Q572" s="12"/>
      <c r="R572" s="50"/>
      <c r="S572" s="50"/>
      <c r="T572" s="50"/>
      <c r="U572" s="53"/>
      <c r="V572" s="54"/>
      <c r="W572" s="56"/>
      <c r="X572" s="119"/>
      <c r="Y572" s="113"/>
      <c r="Z572" s="113"/>
      <c r="AH572" s="106"/>
      <c r="AI572" s="106"/>
    </row>
    <row r="573">
      <c r="A573" s="38"/>
      <c r="B573" s="38"/>
      <c r="C573" s="38"/>
      <c r="D573" s="38"/>
      <c r="E573" s="38"/>
      <c r="F573" s="41"/>
      <c r="G573" s="43"/>
      <c r="H573" s="45"/>
      <c r="I573" s="38"/>
      <c r="J573" s="38"/>
      <c r="K573" s="46"/>
      <c r="L573" s="47"/>
      <c r="M573" s="46"/>
      <c r="N573" s="46"/>
      <c r="O573" s="38"/>
      <c r="P573" s="38"/>
      <c r="Q573" s="12"/>
      <c r="R573" s="50"/>
      <c r="S573" s="50"/>
      <c r="T573" s="50"/>
      <c r="U573" s="53"/>
      <c r="V573" s="54"/>
      <c r="W573" s="56"/>
      <c r="X573" s="119"/>
      <c r="Y573" s="113"/>
      <c r="Z573" s="113"/>
      <c r="AH573" s="106"/>
      <c r="AI573" s="106"/>
    </row>
    <row r="574">
      <c r="A574" s="38"/>
      <c r="B574" s="38"/>
      <c r="C574" s="38"/>
      <c r="D574" s="38"/>
      <c r="E574" s="38"/>
      <c r="F574" s="41"/>
      <c r="G574" s="43"/>
      <c r="H574" s="45"/>
      <c r="I574" s="38"/>
      <c r="J574" s="38"/>
      <c r="K574" s="46"/>
      <c r="L574" s="47"/>
      <c r="M574" s="46"/>
      <c r="N574" s="46"/>
      <c r="O574" s="38"/>
      <c r="P574" s="38"/>
      <c r="Q574" s="12"/>
      <c r="R574" s="50"/>
      <c r="S574" s="50"/>
      <c r="T574" s="50"/>
      <c r="U574" s="53"/>
      <c r="V574" s="54"/>
      <c r="W574" s="56"/>
      <c r="X574" s="119"/>
      <c r="Y574" s="113"/>
      <c r="Z574" s="113"/>
      <c r="AH574" s="106"/>
      <c r="AI574" s="106"/>
    </row>
    <row r="575">
      <c r="A575" s="38"/>
      <c r="B575" s="38"/>
      <c r="C575" s="38"/>
      <c r="D575" s="38"/>
      <c r="E575" s="38"/>
      <c r="F575" s="41"/>
      <c r="G575" s="43"/>
      <c r="H575" s="45"/>
      <c r="I575" s="38"/>
      <c r="J575" s="38"/>
      <c r="K575" s="46"/>
      <c r="L575" s="47"/>
      <c r="M575" s="46"/>
      <c r="N575" s="46"/>
      <c r="O575" s="38"/>
      <c r="P575" s="38"/>
      <c r="Q575" s="12"/>
      <c r="R575" s="50"/>
      <c r="S575" s="50"/>
      <c r="T575" s="50"/>
      <c r="U575" s="53"/>
      <c r="V575" s="54"/>
      <c r="W575" s="56"/>
      <c r="X575" s="119"/>
      <c r="Y575" s="113"/>
      <c r="Z575" s="113"/>
      <c r="AH575" s="106"/>
      <c r="AI575" s="106"/>
    </row>
    <row r="576">
      <c r="A576" s="38"/>
      <c r="B576" s="38"/>
      <c r="C576" s="38"/>
      <c r="D576" s="38"/>
      <c r="E576" s="38"/>
      <c r="F576" s="41"/>
      <c r="G576" s="43"/>
      <c r="H576" s="45"/>
      <c r="I576" s="38"/>
      <c r="J576" s="38"/>
      <c r="K576" s="46"/>
      <c r="L576" s="47"/>
      <c r="M576" s="46"/>
      <c r="N576" s="46"/>
      <c r="O576" s="38"/>
      <c r="P576" s="38"/>
      <c r="Q576" s="12"/>
      <c r="R576" s="50"/>
      <c r="S576" s="50"/>
      <c r="T576" s="50"/>
      <c r="U576" s="53"/>
      <c r="V576" s="54"/>
      <c r="W576" s="56"/>
      <c r="X576" s="119"/>
      <c r="Y576" s="113"/>
      <c r="Z576" s="113"/>
      <c r="AH576" s="106"/>
      <c r="AI576" s="106"/>
    </row>
    <row r="577">
      <c r="A577" s="38"/>
      <c r="B577" s="38"/>
      <c r="C577" s="38"/>
      <c r="D577" s="38"/>
      <c r="E577" s="38"/>
      <c r="F577" s="41"/>
      <c r="G577" s="43"/>
      <c r="H577" s="45"/>
      <c r="I577" s="38"/>
      <c r="J577" s="38"/>
      <c r="K577" s="46"/>
      <c r="L577" s="47"/>
      <c r="M577" s="46"/>
      <c r="N577" s="46"/>
      <c r="O577" s="38"/>
      <c r="P577" s="38"/>
      <c r="Q577" s="12"/>
      <c r="R577" s="50"/>
      <c r="S577" s="50"/>
      <c r="T577" s="50"/>
      <c r="U577" s="53"/>
      <c r="V577" s="54"/>
      <c r="W577" s="56"/>
      <c r="X577" s="119"/>
      <c r="Y577" s="113"/>
      <c r="Z577" s="113"/>
      <c r="AH577" s="106"/>
      <c r="AI577" s="106"/>
    </row>
    <row r="578">
      <c r="A578" s="38"/>
      <c r="B578" s="38"/>
      <c r="C578" s="38"/>
      <c r="D578" s="38"/>
      <c r="E578" s="38"/>
      <c r="F578" s="41"/>
      <c r="G578" s="43"/>
      <c r="H578" s="45"/>
      <c r="I578" s="38"/>
      <c r="J578" s="38"/>
      <c r="K578" s="46"/>
      <c r="L578" s="47"/>
      <c r="M578" s="46"/>
      <c r="N578" s="46"/>
      <c r="O578" s="38"/>
      <c r="P578" s="38"/>
      <c r="Q578" s="12"/>
      <c r="R578" s="50"/>
      <c r="S578" s="50"/>
      <c r="T578" s="50"/>
      <c r="U578" s="53"/>
      <c r="V578" s="54"/>
      <c r="W578" s="56"/>
      <c r="X578" s="119"/>
      <c r="Y578" s="113"/>
      <c r="Z578" s="113"/>
      <c r="AH578" s="106"/>
      <c r="AI578" s="106"/>
    </row>
    <row r="579">
      <c r="A579" s="38"/>
      <c r="B579" s="38"/>
      <c r="C579" s="38"/>
      <c r="D579" s="38"/>
      <c r="E579" s="38"/>
      <c r="F579" s="41"/>
      <c r="G579" s="43"/>
      <c r="H579" s="45"/>
      <c r="I579" s="38"/>
      <c r="J579" s="38"/>
      <c r="K579" s="46"/>
      <c r="L579" s="47"/>
      <c r="M579" s="46"/>
      <c r="N579" s="46"/>
      <c r="O579" s="38"/>
      <c r="P579" s="38"/>
      <c r="Q579" s="12"/>
      <c r="R579" s="50"/>
      <c r="S579" s="50"/>
      <c r="T579" s="50"/>
      <c r="U579" s="53"/>
      <c r="V579" s="54"/>
      <c r="W579" s="56"/>
      <c r="X579" s="119"/>
      <c r="Y579" s="113"/>
      <c r="Z579" s="113"/>
      <c r="AH579" s="106"/>
      <c r="AI579" s="106"/>
    </row>
    <row r="580">
      <c r="A580" s="38"/>
      <c r="B580" s="38"/>
      <c r="C580" s="38"/>
      <c r="D580" s="38"/>
      <c r="E580" s="38"/>
      <c r="F580" s="41"/>
      <c r="G580" s="43"/>
      <c r="H580" s="45"/>
      <c r="I580" s="38"/>
      <c r="J580" s="38"/>
      <c r="K580" s="46"/>
      <c r="L580" s="47"/>
      <c r="M580" s="46"/>
      <c r="N580" s="46"/>
      <c r="O580" s="38"/>
      <c r="P580" s="38"/>
      <c r="Q580" s="12"/>
      <c r="R580" s="50"/>
      <c r="S580" s="50"/>
      <c r="T580" s="50"/>
      <c r="U580" s="53"/>
      <c r="V580" s="54"/>
      <c r="W580" s="56"/>
      <c r="X580" s="119"/>
      <c r="Y580" s="113"/>
      <c r="Z580" s="113"/>
      <c r="AH580" s="106"/>
      <c r="AI580" s="106"/>
    </row>
    <row r="581">
      <c r="A581" s="38"/>
      <c r="B581" s="38"/>
      <c r="C581" s="38"/>
      <c r="D581" s="38"/>
      <c r="E581" s="38"/>
      <c r="F581" s="41"/>
      <c r="G581" s="43"/>
      <c r="H581" s="45"/>
      <c r="I581" s="38"/>
      <c r="J581" s="38"/>
      <c r="K581" s="46"/>
      <c r="L581" s="47"/>
      <c r="M581" s="46"/>
      <c r="N581" s="46"/>
      <c r="O581" s="38"/>
      <c r="P581" s="38"/>
      <c r="Q581" s="12"/>
      <c r="R581" s="50"/>
      <c r="S581" s="50"/>
      <c r="T581" s="50"/>
      <c r="U581" s="53"/>
      <c r="V581" s="54"/>
      <c r="W581" s="56"/>
      <c r="X581" s="119"/>
      <c r="Y581" s="113"/>
      <c r="Z581" s="113"/>
      <c r="AH581" s="106"/>
      <c r="AI581" s="106"/>
    </row>
    <row r="582">
      <c r="A582" s="38"/>
      <c r="B582" s="38"/>
      <c r="C582" s="38"/>
      <c r="D582" s="38"/>
      <c r="E582" s="38"/>
      <c r="F582" s="41"/>
      <c r="G582" s="43"/>
      <c r="H582" s="45"/>
      <c r="I582" s="38"/>
      <c r="J582" s="38"/>
      <c r="K582" s="46"/>
      <c r="L582" s="47"/>
      <c r="M582" s="46"/>
      <c r="N582" s="46"/>
      <c r="O582" s="38"/>
      <c r="P582" s="38"/>
      <c r="Q582" s="12"/>
      <c r="R582" s="50"/>
      <c r="S582" s="50"/>
      <c r="T582" s="50"/>
      <c r="U582" s="53"/>
      <c r="V582" s="54"/>
      <c r="W582" s="56"/>
      <c r="X582" s="119"/>
      <c r="Y582" s="113"/>
      <c r="Z582" s="113"/>
      <c r="AH582" s="106"/>
      <c r="AI582" s="106"/>
    </row>
    <row r="583">
      <c r="A583" s="38"/>
      <c r="B583" s="38"/>
      <c r="C583" s="38"/>
      <c r="D583" s="38"/>
      <c r="E583" s="38"/>
      <c r="F583" s="41"/>
      <c r="G583" s="43"/>
      <c r="H583" s="45"/>
      <c r="I583" s="38"/>
      <c r="J583" s="38"/>
      <c r="K583" s="46"/>
      <c r="L583" s="47"/>
      <c r="M583" s="46"/>
      <c r="N583" s="46"/>
      <c r="O583" s="38"/>
      <c r="P583" s="38"/>
      <c r="Q583" s="12"/>
      <c r="R583" s="50"/>
      <c r="S583" s="50"/>
      <c r="T583" s="50"/>
      <c r="U583" s="53"/>
      <c r="V583" s="54"/>
      <c r="W583" s="56"/>
      <c r="X583" s="119"/>
      <c r="Y583" s="113"/>
      <c r="Z583" s="113"/>
      <c r="AH583" s="106"/>
      <c r="AI583" s="106"/>
    </row>
    <row r="584">
      <c r="A584" s="38"/>
      <c r="B584" s="38"/>
      <c r="C584" s="38"/>
      <c r="D584" s="38"/>
      <c r="E584" s="38"/>
      <c r="F584" s="41"/>
      <c r="G584" s="43"/>
      <c r="H584" s="45"/>
      <c r="I584" s="38"/>
      <c r="J584" s="38"/>
      <c r="K584" s="46"/>
      <c r="L584" s="47"/>
      <c r="M584" s="46"/>
      <c r="N584" s="46"/>
      <c r="O584" s="38"/>
      <c r="P584" s="38"/>
      <c r="Q584" s="12"/>
      <c r="R584" s="50"/>
      <c r="S584" s="50"/>
      <c r="T584" s="50"/>
      <c r="U584" s="53"/>
      <c r="V584" s="54"/>
      <c r="W584" s="56"/>
      <c r="X584" s="119"/>
      <c r="Y584" s="113"/>
      <c r="Z584" s="113"/>
      <c r="AH584" s="106"/>
      <c r="AI584" s="106"/>
    </row>
    <row r="585">
      <c r="A585" s="38"/>
      <c r="B585" s="38"/>
      <c r="C585" s="38"/>
      <c r="D585" s="38"/>
      <c r="E585" s="38"/>
      <c r="F585" s="41"/>
      <c r="G585" s="43"/>
      <c r="H585" s="45"/>
      <c r="I585" s="38"/>
      <c r="J585" s="38"/>
      <c r="K585" s="46"/>
      <c r="L585" s="47"/>
      <c r="M585" s="46"/>
      <c r="N585" s="46"/>
      <c r="O585" s="38"/>
      <c r="P585" s="38"/>
      <c r="Q585" s="12"/>
      <c r="R585" s="50"/>
      <c r="S585" s="50"/>
      <c r="T585" s="50"/>
      <c r="U585" s="53"/>
      <c r="V585" s="54"/>
      <c r="W585" s="56"/>
      <c r="X585" s="119"/>
      <c r="Y585" s="113"/>
      <c r="Z585" s="113"/>
      <c r="AH585" s="106"/>
      <c r="AI585" s="106"/>
    </row>
    <row r="586">
      <c r="A586" s="38"/>
      <c r="B586" s="38"/>
      <c r="C586" s="38"/>
      <c r="D586" s="38"/>
      <c r="E586" s="38"/>
      <c r="F586" s="41"/>
      <c r="G586" s="43"/>
      <c r="H586" s="45"/>
      <c r="I586" s="38"/>
      <c r="J586" s="38"/>
      <c r="K586" s="46"/>
      <c r="L586" s="47"/>
      <c r="M586" s="46"/>
      <c r="N586" s="46"/>
      <c r="O586" s="38"/>
      <c r="P586" s="38"/>
      <c r="Q586" s="12"/>
      <c r="R586" s="50"/>
      <c r="S586" s="50"/>
      <c r="T586" s="50"/>
      <c r="U586" s="53"/>
      <c r="V586" s="54"/>
      <c r="W586" s="56"/>
      <c r="X586" s="119"/>
      <c r="Y586" s="113"/>
      <c r="Z586" s="113"/>
      <c r="AH586" s="106"/>
      <c r="AI586" s="106"/>
    </row>
    <row r="587">
      <c r="A587" s="38"/>
      <c r="B587" s="38"/>
      <c r="C587" s="38"/>
      <c r="D587" s="38"/>
      <c r="E587" s="38"/>
      <c r="F587" s="41"/>
      <c r="G587" s="43"/>
      <c r="H587" s="45"/>
      <c r="I587" s="38"/>
      <c r="J587" s="38"/>
      <c r="K587" s="46"/>
      <c r="L587" s="47"/>
      <c r="M587" s="46"/>
      <c r="N587" s="46"/>
      <c r="O587" s="38"/>
      <c r="P587" s="38"/>
      <c r="Q587" s="12"/>
      <c r="R587" s="50"/>
      <c r="S587" s="50"/>
      <c r="T587" s="50"/>
      <c r="U587" s="53"/>
      <c r="V587" s="54"/>
      <c r="W587" s="56"/>
      <c r="X587" s="119"/>
      <c r="Y587" s="113"/>
      <c r="Z587" s="113"/>
      <c r="AH587" s="106"/>
      <c r="AI587" s="106"/>
    </row>
    <row r="588">
      <c r="A588" s="38"/>
      <c r="B588" s="38"/>
      <c r="C588" s="38"/>
      <c r="D588" s="38"/>
      <c r="E588" s="38"/>
      <c r="F588" s="41"/>
      <c r="G588" s="43"/>
      <c r="H588" s="45"/>
      <c r="I588" s="38"/>
      <c r="J588" s="38"/>
      <c r="K588" s="46"/>
      <c r="L588" s="47"/>
      <c r="M588" s="46"/>
      <c r="N588" s="46"/>
      <c r="O588" s="38"/>
      <c r="P588" s="38"/>
      <c r="Q588" s="12"/>
      <c r="R588" s="50"/>
      <c r="S588" s="50"/>
      <c r="T588" s="50"/>
      <c r="U588" s="53"/>
      <c r="V588" s="54"/>
      <c r="W588" s="56"/>
      <c r="X588" s="119"/>
      <c r="Y588" s="113"/>
      <c r="Z588" s="113"/>
      <c r="AH588" s="106"/>
      <c r="AI588" s="106"/>
    </row>
    <row r="589">
      <c r="A589" s="38"/>
      <c r="B589" s="38"/>
      <c r="C589" s="38"/>
      <c r="D589" s="38"/>
      <c r="E589" s="38"/>
      <c r="F589" s="41"/>
      <c r="G589" s="43"/>
      <c r="H589" s="45"/>
      <c r="I589" s="38"/>
      <c r="J589" s="38"/>
      <c r="K589" s="46"/>
      <c r="L589" s="47"/>
      <c r="M589" s="46"/>
      <c r="N589" s="46"/>
      <c r="O589" s="38"/>
      <c r="P589" s="38"/>
      <c r="Q589" s="12"/>
      <c r="R589" s="50"/>
      <c r="S589" s="50"/>
      <c r="T589" s="50"/>
      <c r="U589" s="53"/>
      <c r="V589" s="54"/>
      <c r="W589" s="56"/>
      <c r="X589" s="119"/>
      <c r="Y589" s="113"/>
      <c r="Z589" s="113"/>
      <c r="AH589" s="106"/>
      <c r="AI589" s="106"/>
    </row>
    <row r="590">
      <c r="A590" s="38"/>
      <c r="B590" s="38"/>
      <c r="C590" s="38"/>
      <c r="D590" s="38"/>
      <c r="E590" s="38"/>
      <c r="F590" s="41"/>
      <c r="G590" s="43"/>
      <c r="H590" s="45"/>
      <c r="I590" s="38"/>
      <c r="J590" s="38"/>
      <c r="K590" s="46"/>
      <c r="L590" s="47"/>
      <c r="M590" s="46"/>
      <c r="N590" s="46"/>
      <c r="O590" s="38"/>
      <c r="P590" s="38"/>
      <c r="Q590" s="12"/>
      <c r="R590" s="50"/>
      <c r="S590" s="50"/>
      <c r="T590" s="50"/>
      <c r="U590" s="53"/>
      <c r="V590" s="54"/>
      <c r="W590" s="56"/>
      <c r="X590" s="119"/>
      <c r="Y590" s="113"/>
      <c r="Z590" s="113"/>
      <c r="AH590" s="106"/>
      <c r="AI590" s="106"/>
    </row>
    <row r="591">
      <c r="A591" s="38"/>
      <c r="B591" s="38"/>
      <c r="C591" s="38"/>
      <c r="D591" s="38"/>
      <c r="E591" s="38"/>
      <c r="F591" s="41"/>
      <c r="G591" s="43"/>
      <c r="H591" s="45"/>
      <c r="I591" s="38"/>
      <c r="J591" s="38"/>
      <c r="K591" s="46"/>
      <c r="L591" s="47"/>
      <c r="M591" s="46"/>
      <c r="N591" s="46"/>
      <c r="O591" s="38"/>
      <c r="P591" s="38"/>
      <c r="Q591" s="12"/>
      <c r="R591" s="50"/>
      <c r="S591" s="50"/>
      <c r="T591" s="50"/>
      <c r="U591" s="53"/>
      <c r="V591" s="54"/>
      <c r="W591" s="56"/>
      <c r="X591" s="119"/>
      <c r="Y591" s="113"/>
      <c r="Z591" s="113"/>
      <c r="AH591" s="106"/>
      <c r="AI591" s="106"/>
    </row>
    <row r="592">
      <c r="A592" s="38"/>
      <c r="B592" s="38"/>
      <c r="C592" s="38"/>
      <c r="D592" s="38"/>
      <c r="E592" s="38"/>
      <c r="F592" s="41"/>
      <c r="G592" s="43"/>
      <c r="H592" s="45"/>
      <c r="I592" s="38"/>
      <c r="J592" s="38"/>
      <c r="K592" s="46"/>
      <c r="L592" s="47"/>
      <c r="M592" s="46"/>
      <c r="N592" s="46"/>
      <c r="O592" s="38"/>
      <c r="P592" s="38"/>
      <c r="Q592" s="12"/>
      <c r="R592" s="50"/>
      <c r="S592" s="50"/>
      <c r="T592" s="50"/>
      <c r="U592" s="53"/>
      <c r="V592" s="54"/>
      <c r="W592" s="56"/>
      <c r="X592" s="119"/>
      <c r="Y592" s="113"/>
      <c r="Z592" s="113"/>
      <c r="AH592" s="106"/>
      <c r="AI592" s="106"/>
    </row>
    <row r="593">
      <c r="A593" s="38"/>
      <c r="B593" s="38"/>
      <c r="C593" s="38"/>
      <c r="D593" s="38"/>
      <c r="E593" s="38"/>
      <c r="F593" s="41"/>
      <c r="G593" s="43"/>
      <c r="H593" s="45"/>
      <c r="I593" s="38"/>
      <c r="J593" s="38"/>
      <c r="K593" s="46"/>
      <c r="L593" s="47"/>
      <c r="M593" s="46"/>
      <c r="N593" s="46"/>
      <c r="O593" s="38"/>
      <c r="P593" s="38"/>
      <c r="Q593" s="12"/>
      <c r="R593" s="50"/>
      <c r="S593" s="50"/>
      <c r="T593" s="50"/>
      <c r="U593" s="53"/>
      <c r="V593" s="54"/>
      <c r="W593" s="56"/>
      <c r="X593" s="119"/>
      <c r="Y593" s="113"/>
      <c r="Z593" s="113"/>
      <c r="AH593" s="106"/>
      <c r="AI593" s="106"/>
    </row>
    <row r="594">
      <c r="A594" s="38"/>
      <c r="B594" s="38"/>
      <c r="C594" s="38"/>
      <c r="D594" s="38"/>
      <c r="E594" s="38"/>
      <c r="F594" s="41"/>
      <c r="G594" s="43"/>
      <c r="H594" s="45"/>
      <c r="I594" s="38"/>
      <c r="J594" s="38"/>
      <c r="K594" s="46"/>
      <c r="L594" s="47"/>
      <c r="M594" s="46"/>
      <c r="N594" s="46"/>
      <c r="O594" s="38"/>
      <c r="P594" s="38"/>
      <c r="Q594" s="12"/>
      <c r="R594" s="50"/>
      <c r="S594" s="50"/>
      <c r="T594" s="50"/>
      <c r="U594" s="53"/>
      <c r="V594" s="54"/>
      <c r="W594" s="56"/>
      <c r="X594" s="119"/>
      <c r="Y594" s="113"/>
      <c r="Z594" s="113"/>
      <c r="AH594" s="106"/>
      <c r="AI594" s="106"/>
    </row>
    <row r="595">
      <c r="A595" s="38"/>
      <c r="B595" s="38"/>
      <c r="C595" s="38"/>
      <c r="D595" s="38"/>
      <c r="E595" s="38"/>
      <c r="F595" s="41"/>
      <c r="G595" s="43"/>
      <c r="H595" s="45"/>
      <c r="I595" s="38"/>
      <c r="J595" s="38"/>
      <c r="K595" s="46"/>
      <c r="L595" s="47"/>
      <c r="M595" s="46"/>
      <c r="N595" s="46"/>
      <c r="O595" s="38"/>
      <c r="P595" s="38"/>
      <c r="Q595" s="12"/>
      <c r="R595" s="50"/>
      <c r="S595" s="50"/>
      <c r="T595" s="50"/>
      <c r="U595" s="53"/>
      <c r="V595" s="54"/>
      <c r="W595" s="56"/>
      <c r="X595" s="119"/>
      <c r="Y595" s="113"/>
      <c r="Z595" s="113"/>
      <c r="AH595" s="106"/>
      <c r="AI595" s="106"/>
    </row>
    <row r="596">
      <c r="A596" s="38"/>
      <c r="B596" s="38"/>
      <c r="C596" s="38"/>
      <c r="D596" s="38"/>
      <c r="E596" s="38"/>
      <c r="F596" s="41"/>
      <c r="G596" s="43"/>
      <c r="H596" s="45"/>
      <c r="I596" s="38"/>
      <c r="J596" s="38"/>
      <c r="K596" s="46"/>
      <c r="L596" s="47"/>
      <c r="M596" s="46"/>
      <c r="N596" s="46"/>
      <c r="O596" s="38"/>
      <c r="P596" s="38"/>
      <c r="Q596" s="12"/>
      <c r="R596" s="50"/>
      <c r="S596" s="50"/>
      <c r="T596" s="50"/>
      <c r="U596" s="53"/>
      <c r="V596" s="54"/>
      <c r="W596" s="56"/>
      <c r="X596" s="119"/>
      <c r="Y596" s="113"/>
      <c r="Z596" s="113"/>
      <c r="AH596" s="106"/>
      <c r="AI596" s="106"/>
    </row>
    <row r="597">
      <c r="A597" s="38"/>
      <c r="B597" s="38"/>
      <c r="C597" s="38"/>
      <c r="D597" s="38"/>
      <c r="E597" s="38"/>
      <c r="F597" s="41"/>
      <c r="G597" s="43"/>
      <c r="H597" s="45"/>
      <c r="I597" s="38"/>
      <c r="J597" s="38"/>
      <c r="K597" s="46"/>
      <c r="L597" s="47"/>
      <c r="M597" s="46"/>
      <c r="N597" s="46"/>
      <c r="O597" s="38"/>
      <c r="P597" s="38"/>
      <c r="Q597" s="12"/>
      <c r="R597" s="50"/>
      <c r="S597" s="50"/>
      <c r="T597" s="50"/>
      <c r="U597" s="53"/>
      <c r="V597" s="54"/>
      <c r="W597" s="56"/>
      <c r="X597" s="119"/>
      <c r="Y597" s="113"/>
      <c r="Z597" s="113"/>
      <c r="AH597" s="106"/>
      <c r="AI597" s="106"/>
    </row>
    <row r="598">
      <c r="A598" s="38"/>
      <c r="B598" s="38"/>
      <c r="C598" s="38"/>
      <c r="D598" s="38"/>
      <c r="E598" s="38"/>
      <c r="F598" s="41"/>
      <c r="G598" s="43"/>
      <c r="H598" s="45"/>
      <c r="I598" s="38"/>
      <c r="J598" s="38"/>
      <c r="K598" s="46"/>
      <c r="L598" s="47"/>
      <c r="M598" s="46"/>
      <c r="N598" s="46"/>
      <c r="O598" s="38"/>
      <c r="P598" s="38"/>
      <c r="Q598" s="12"/>
      <c r="R598" s="50"/>
      <c r="S598" s="50"/>
      <c r="T598" s="50"/>
      <c r="U598" s="53"/>
      <c r="V598" s="54"/>
      <c r="W598" s="56"/>
      <c r="X598" s="119"/>
      <c r="Y598" s="113"/>
      <c r="Z598" s="113"/>
      <c r="AH598" s="106"/>
      <c r="AI598" s="106"/>
    </row>
    <row r="599">
      <c r="A599" s="38"/>
      <c r="B599" s="38"/>
      <c r="C599" s="38"/>
      <c r="D599" s="38"/>
      <c r="E599" s="38"/>
      <c r="F599" s="41"/>
      <c r="G599" s="43"/>
      <c r="H599" s="45"/>
      <c r="I599" s="38"/>
      <c r="J599" s="38"/>
      <c r="K599" s="46"/>
      <c r="L599" s="47"/>
      <c r="M599" s="46"/>
      <c r="N599" s="46"/>
      <c r="O599" s="38"/>
      <c r="P599" s="38"/>
      <c r="Q599" s="12"/>
      <c r="R599" s="50"/>
      <c r="S599" s="50"/>
      <c r="T599" s="50"/>
      <c r="U599" s="53"/>
      <c r="V599" s="54"/>
      <c r="W599" s="56"/>
      <c r="X599" s="119"/>
      <c r="Y599" s="113"/>
      <c r="Z599" s="113"/>
      <c r="AH599" s="106"/>
      <c r="AI599" s="106"/>
    </row>
    <row r="600">
      <c r="A600" s="38"/>
      <c r="B600" s="38"/>
      <c r="C600" s="38"/>
      <c r="D600" s="38"/>
      <c r="E600" s="38"/>
      <c r="F600" s="41"/>
      <c r="G600" s="43"/>
      <c r="H600" s="45"/>
      <c r="I600" s="38"/>
      <c r="J600" s="38"/>
      <c r="K600" s="46"/>
      <c r="L600" s="47"/>
      <c r="M600" s="46"/>
      <c r="N600" s="46"/>
      <c r="O600" s="38"/>
      <c r="P600" s="38"/>
      <c r="Q600" s="12"/>
      <c r="R600" s="50"/>
      <c r="S600" s="50"/>
      <c r="T600" s="50"/>
      <c r="U600" s="53"/>
      <c r="V600" s="54"/>
      <c r="W600" s="56"/>
      <c r="X600" s="119"/>
      <c r="Y600" s="113"/>
      <c r="Z600" s="113"/>
      <c r="AH600" s="106"/>
      <c r="AI600" s="106"/>
    </row>
    <row r="601">
      <c r="A601" s="38"/>
      <c r="B601" s="38"/>
      <c r="C601" s="38"/>
      <c r="D601" s="38"/>
      <c r="E601" s="38"/>
      <c r="F601" s="41"/>
      <c r="G601" s="43"/>
      <c r="H601" s="45"/>
      <c r="I601" s="38"/>
      <c r="J601" s="38"/>
      <c r="K601" s="46"/>
      <c r="L601" s="47"/>
      <c r="M601" s="46"/>
      <c r="N601" s="46"/>
      <c r="O601" s="38"/>
      <c r="P601" s="38"/>
      <c r="Q601" s="12"/>
      <c r="R601" s="50"/>
      <c r="S601" s="50"/>
      <c r="T601" s="50"/>
      <c r="U601" s="53"/>
      <c r="V601" s="54"/>
      <c r="W601" s="56"/>
      <c r="X601" s="119"/>
      <c r="Y601" s="113"/>
      <c r="Z601" s="113"/>
      <c r="AH601" s="106"/>
      <c r="AI601" s="106"/>
    </row>
    <row r="602">
      <c r="A602" s="38"/>
      <c r="B602" s="38"/>
      <c r="C602" s="38"/>
      <c r="D602" s="38"/>
      <c r="E602" s="38"/>
      <c r="F602" s="41"/>
      <c r="G602" s="43"/>
      <c r="H602" s="45"/>
      <c r="I602" s="38"/>
      <c r="J602" s="38"/>
      <c r="K602" s="46"/>
      <c r="L602" s="47"/>
      <c r="M602" s="46"/>
      <c r="N602" s="46"/>
      <c r="O602" s="38"/>
      <c r="P602" s="38"/>
      <c r="Q602" s="12"/>
      <c r="R602" s="50"/>
      <c r="S602" s="50"/>
      <c r="T602" s="50"/>
      <c r="U602" s="53"/>
      <c r="V602" s="54"/>
      <c r="W602" s="56"/>
      <c r="X602" s="119"/>
      <c r="Y602" s="113"/>
      <c r="Z602" s="113"/>
      <c r="AH602" s="106"/>
      <c r="AI602" s="106"/>
    </row>
    <row r="603">
      <c r="A603" s="38"/>
      <c r="B603" s="38"/>
      <c r="C603" s="38"/>
      <c r="D603" s="38"/>
      <c r="E603" s="38"/>
      <c r="F603" s="41"/>
      <c r="G603" s="43"/>
      <c r="H603" s="45"/>
      <c r="I603" s="38"/>
      <c r="J603" s="38"/>
      <c r="K603" s="46"/>
      <c r="L603" s="47"/>
      <c r="M603" s="46"/>
      <c r="N603" s="46"/>
      <c r="O603" s="38"/>
      <c r="P603" s="38"/>
      <c r="Q603" s="12"/>
      <c r="R603" s="50"/>
      <c r="S603" s="50"/>
      <c r="T603" s="50"/>
      <c r="U603" s="53"/>
      <c r="V603" s="54"/>
      <c r="W603" s="56"/>
      <c r="X603" s="119"/>
      <c r="Y603" s="113"/>
      <c r="Z603" s="113"/>
      <c r="AH603" s="106"/>
      <c r="AI603" s="106"/>
    </row>
    <row r="604">
      <c r="A604" s="38"/>
      <c r="B604" s="38"/>
      <c r="C604" s="38"/>
      <c r="D604" s="38"/>
      <c r="E604" s="38"/>
      <c r="F604" s="41"/>
      <c r="G604" s="43"/>
      <c r="H604" s="45"/>
      <c r="I604" s="38"/>
      <c r="J604" s="38"/>
      <c r="K604" s="46"/>
      <c r="L604" s="47"/>
      <c r="M604" s="46"/>
      <c r="N604" s="46"/>
      <c r="O604" s="38"/>
      <c r="P604" s="38"/>
      <c r="Q604" s="12"/>
      <c r="R604" s="50"/>
      <c r="S604" s="50"/>
      <c r="T604" s="50"/>
      <c r="U604" s="53"/>
      <c r="V604" s="54"/>
      <c r="W604" s="56"/>
      <c r="X604" s="119"/>
      <c r="Y604" s="113"/>
      <c r="Z604" s="113"/>
      <c r="AH604" s="106"/>
      <c r="AI604" s="106"/>
    </row>
    <row r="605">
      <c r="A605" s="38"/>
      <c r="B605" s="38"/>
      <c r="C605" s="38"/>
      <c r="D605" s="38"/>
      <c r="E605" s="38"/>
      <c r="F605" s="41"/>
      <c r="G605" s="43"/>
      <c r="H605" s="45"/>
      <c r="I605" s="38"/>
      <c r="J605" s="38"/>
      <c r="K605" s="46"/>
      <c r="L605" s="47"/>
      <c r="M605" s="46"/>
      <c r="N605" s="46"/>
      <c r="O605" s="38"/>
      <c r="P605" s="38"/>
      <c r="Q605" s="12"/>
      <c r="R605" s="50"/>
      <c r="S605" s="50"/>
      <c r="T605" s="50"/>
      <c r="U605" s="53"/>
      <c r="V605" s="54"/>
      <c r="W605" s="56"/>
      <c r="X605" s="119"/>
      <c r="Y605" s="113"/>
      <c r="Z605" s="113"/>
      <c r="AH605" s="106"/>
      <c r="AI605" s="106"/>
    </row>
    <row r="606">
      <c r="A606" s="38"/>
      <c r="B606" s="38"/>
      <c r="C606" s="38"/>
      <c r="D606" s="38"/>
      <c r="E606" s="38"/>
      <c r="F606" s="41"/>
      <c r="G606" s="43"/>
      <c r="H606" s="45"/>
      <c r="I606" s="38"/>
      <c r="J606" s="38"/>
      <c r="K606" s="46"/>
      <c r="L606" s="47"/>
      <c r="M606" s="46"/>
      <c r="N606" s="46"/>
      <c r="O606" s="38"/>
      <c r="P606" s="38"/>
      <c r="Q606" s="12"/>
      <c r="R606" s="50"/>
      <c r="S606" s="50"/>
      <c r="T606" s="50"/>
      <c r="U606" s="53"/>
      <c r="V606" s="54"/>
      <c r="W606" s="56"/>
      <c r="X606" s="119"/>
      <c r="Y606" s="113"/>
      <c r="Z606" s="113"/>
      <c r="AH606" s="106"/>
      <c r="AI606" s="106"/>
    </row>
    <row r="607">
      <c r="A607" s="38"/>
      <c r="B607" s="38"/>
      <c r="C607" s="38"/>
      <c r="D607" s="38"/>
      <c r="E607" s="38"/>
      <c r="F607" s="41"/>
      <c r="G607" s="43"/>
      <c r="H607" s="45"/>
      <c r="I607" s="38"/>
      <c r="J607" s="38"/>
      <c r="K607" s="46"/>
      <c r="L607" s="47"/>
      <c r="M607" s="46"/>
      <c r="N607" s="46"/>
      <c r="O607" s="38"/>
      <c r="P607" s="38"/>
      <c r="Q607" s="12"/>
      <c r="R607" s="50"/>
      <c r="S607" s="50"/>
      <c r="T607" s="50"/>
      <c r="U607" s="53"/>
      <c r="V607" s="54"/>
      <c r="W607" s="56"/>
      <c r="X607" s="119"/>
      <c r="Y607" s="113"/>
      <c r="Z607" s="113"/>
      <c r="AH607" s="106"/>
      <c r="AI607" s="106"/>
    </row>
    <row r="608">
      <c r="A608" s="38"/>
      <c r="B608" s="38"/>
      <c r="C608" s="38"/>
      <c r="D608" s="38"/>
      <c r="E608" s="38"/>
      <c r="F608" s="41"/>
      <c r="G608" s="43"/>
      <c r="H608" s="45"/>
      <c r="I608" s="38"/>
      <c r="J608" s="38"/>
      <c r="K608" s="46"/>
      <c r="L608" s="47"/>
      <c r="M608" s="46"/>
      <c r="N608" s="46"/>
      <c r="O608" s="38"/>
      <c r="P608" s="38"/>
      <c r="Q608" s="12"/>
      <c r="R608" s="50"/>
      <c r="S608" s="50"/>
      <c r="T608" s="50"/>
      <c r="U608" s="53"/>
      <c r="V608" s="54"/>
      <c r="W608" s="56"/>
      <c r="X608" s="119"/>
      <c r="Y608" s="113"/>
      <c r="Z608" s="113"/>
      <c r="AH608" s="106"/>
      <c r="AI608" s="106"/>
    </row>
    <row r="609">
      <c r="A609" s="38"/>
      <c r="B609" s="38"/>
      <c r="C609" s="38"/>
      <c r="D609" s="38"/>
      <c r="E609" s="38"/>
      <c r="F609" s="41"/>
      <c r="G609" s="43"/>
      <c r="H609" s="45"/>
      <c r="I609" s="38"/>
      <c r="J609" s="38"/>
      <c r="K609" s="46"/>
      <c r="L609" s="47"/>
      <c r="M609" s="46"/>
      <c r="N609" s="46"/>
      <c r="O609" s="38"/>
      <c r="P609" s="38"/>
      <c r="Q609" s="12"/>
      <c r="R609" s="50"/>
      <c r="S609" s="50"/>
      <c r="T609" s="50"/>
      <c r="U609" s="53"/>
      <c r="V609" s="54"/>
      <c r="W609" s="56"/>
      <c r="X609" s="119"/>
      <c r="Y609" s="113"/>
      <c r="Z609" s="113"/>
      <c r="AH609" s="106"/>
      <c r="AI609" s="106"/>
    </row>
    <row r="610">
      <c r="A610" s="38"/>
      <c r="B610" s="38"/>
      <c r="C610" s="38"/>
      <c r="D610" s="38"/>
      <c r="E610" s="38"/>
      <c r="F610" s="41"/>
      <c r="G610" s="43"/>
      <c r="H610" s="45"/>
      <c r="I610" s="38"/>
      <c r="J610" s="38"/>
      <c r="K610" s="46"/>
      <c r="L610" s="47"/>
      <c r="M610" s="46"/>
      <c r="N610" s="46"/>
      <c r="O610" s="38"/>
      <c r="P610" s="38"/>
      <c r="Q610" s="12"/>
      <c r="R610" s="50"/>
      <c r="S610" s="50"/>
      <c r="T610" s="50"/>
      <c r="U610" s="53"/>
      <c r="V610" s="54"/>
      <c r="W610" s="56"/>
      <c r="X610" s="119"/>
      <c r="Y610" s="113"/>
      <c r="Z610" s="113"/>
      <c r="AH610" s="106"/>
      <c r="AI610" s="106"/>
    </row>
    <row r="611">
      <c r="A611" s="38"/>
      <c r="B611" s="38"/>
      <c r="C611" s="38"/>
      <c r="D611" s="38"/>
      <c r="E611" s="38"/>
      <c r="F611" s="41"/>
      <c r="G611" s="43"/>
      <c r="H611" s="45"/>
      <c r="I611" s="38"/>
      <c r="J611" s="38"/>
      <c r="K611" s="46"/>
      <c r="L611" s="47"/>
      <c r="M611" s="46"/>
      <c r="N611" s="46"/>
      <c r="O611" s="38"/>
      <c r="P611" s="38"/>
      <c r="Q611" s="12"/>
      <c r="R611" s="50"/>
      <c r="S611" s="50"/>
      <c r="T611" s="50"/>
      <c r="U611" s="53"/>
      <c r="V611" s="54"/>
      <c r="W611" s="56"/>
      <c r="X611" s="119"/>
      <c r="Y611" s="113"/>
      <c r="Z611" s="113"/>
      <c r="AH611" s="106"/>
      <c r="AI611" s="106"/>
    </row>
    <row r="612">
      <c r="A612" s="38"/>
      <c r="B612" s="38"/>
      <c r="C612" s="38"/>
      <c r="D612" s="38"/>
      <c r="E612" s="38"/>
      <c r="F612" s="41"/>
      <c r="G612" s="43"/>
      <c r="H612" s="45"/>
      <c r="I612" s="38"/>
      <c r="J612" s="38"/>
      <c r="K612" s="46"/>
      <c r="L612" s="47"/>
      <c r="M612" s="46"/>
      <c r="N612" s="46"/>
      <c r="O612" s="38"/>
      <c r="P612" s="38"/>
      <c r="Q612" s="12"/>
      <c r="R612" s="50"/>
      <c r="S612" s="50"/>
      <c r="T612" s="50"/>
      <c r="U612" s="53"/>
      <c r="V612" s="54"/>
      <c r="W612" s="56"/>
      <c r="X612" s="119"/>
      <c r="Y612" s="113"/>
      <c r="Z612" s="113"/>
      <c r="AH612" s="106"/>
      <c r="AI612" s="106"/>
    </row>
    <row r="613">
      <c r="A613" s="38"/>
      <c r="B613" s="38"/>
      <c r="C613" s="38"/>
      <c r="D613" s="38"/>
      <c r="E613" s="38"/>
      <c r="F613" s="41"/>
      <c r="G613" s="43"/>
      <c r="H613" s="45"/>
      <c r="I613" s="38"/>
      <c r="J613" s="38"/>
      <c r="K613" s="46"/>
      <c r="L613" s="47"/>
      <c r="M613" s="46"/>
      <c r="N613" s="46"/>
      <c r="O613" s="38"/>
      <c r="P613" s="38"/>
      <c r="Q613" s="12"/>
      <c r="R613" s="50"/>
      <c r="S613" s="50"/>
      <c r="T613" s="50"/>
      <c r="U613" s="53"/>
      <c r="V613" s="54"/>
      <c r="W613" s="56"/>
      <c r="X613" s="119"/>
      <c r="Y613" s="113"/>
      <c r="Z613" s="113"/>
      <c r="AH613" s="106"/>
      <c r="AI613" s="106"/>
    </row>
    <row r="614">
      <c r="A614" s="38"/>
      <c r="B614" s="38"/>
      <c r="C614" s="38"/>
      <c r="D614" s="38"/>
      <c r="E614" s="38"/>
      <c r="F614" s="41"/>
      <c r="G614" s="43"/>
      <c r="H614" s="45"/>
      <c r="I614" s="38"/>
      <c r="J614" s="38"/>
      <c r="K614" s="46"/>
      <c r="L614" s="47"/>
      <c r="M614" s="46"/>
      <c r="N614" s="46"/>
      <c r="O614" s="38"/>
      <c r="P614" s="38"/>
      <c r="Q614" s="12"/>
      <c r="R614" s="50"/>
      <c r="S614" s="50"/>
      <c r="T614" s="50"/>
      <c r="U614" s="53"/>
      <c r="V614" s="54"/>
      <c r="W614" s="56"/>
      <c r="X614" s="119"/>
      <c r="Y614" s="113"/>
      <c r="Z614" s="113"/>
      <c r="AH614" s="106"/>
      <c r="AI614" s="106"/>
    </row>
    <row r="615">
      <c r="A615" s="38"/>
      <c r="B615" s="38"/>
      <c r="C615" s="38"/>
      <c r="D615" s="38"/>
      <c r="E615" s="38"/>
      <c r="F615" s="41"/>
      <c r="G615" s="43"/>
      <c r="H615" s="45"/>
      <c r="I615" s="38"/>
      <c r="J615" s="38"/>
      <c r="K615" s="46"/>
      <c r="L615" s="47"/>
      <c r="M615" s="46"/>
      <c r="N615" s="46"/>
      <c r="O615" s="38"/>
      <c r="P615" s="38"/>
      <c r="Q615" s="12"/>
      <c r="R615" s="50"/>
      <c r="S615" s="50"/>
      <c r="T615" s="50"/>
      <c r="U615" s="53"/>
      <c r="V615" s="54"/>
      <c r="W615" s="56"/>
      <c r="X615" s="119"/>
      <c r="Y615" s="113"/>
      <c r="Z615" s="113"/>
      <c r="AH615" s="106"/>
      <c r="AI615" s="106"/>
    </row>
    <row r="616">
      <c r="A616" s="38"/>
      <c r="B616" s="38"/>
      <c r="C616" s="38"/>
      <c r="D616" s="38"/>
      <c r="E616" s="38"/>
      <c r="F616" s="41"/>
      <c r="G616" s="43"/>
      <c r="H616" s="45"/>
      <c r="I616" s="38"/>
      <c r="J616" s="38"/>
      <c r="K616" s="46"/>
      <c r="L616" s="47"/>
      <c r="M616" s="46"/>
      <c r="N616" s="46"/>
      <c r="O616" s="38"/>
      <c r="P616" s="38"/>
      <c r="Q616" s="12"/>
      <c r="R616" s="50"/>
      <c r="S616" s="50"/>
      <c r="T616" s="50"/>
      <c r="U616" s="53"/>
      <c r="V616" s="54"/>
      <c r="W616" s="56"/>
      <c r="X616" s="119"/>
      <c r="Y616" s="113"/>
      <c r="Z616" s="113"/>
      <c r="AH616" s="106"/>
      <c r="AI616" s="106"/>
    </row>
    <row r="617">
      <c r="A617" s="38"/>
      <c r="B617" s="38"/>
      <c r="C617" s="38"/>
      <c r="D617" s="38"/>
      <c r="E617" s="38"/>
      <c r="F617" s="41"/>
      <c r="G617" s="43"/>
      <c r="H617" s="45"/>
      <c r="I617" s="38"/>
      <c r="J617" s="38"/>
      <c r="K617" s="46"/>
      <c r="L617" s="47"/>
      <c r="M617" s="46"/>
      <c r="N617" s="46"/>
      <c r="O617" s="38"/>
      <c r="P617" s="38"/>
      <c r="Q617" s="12"/>
      <c r="R617" s="50"/>
      <c r="S617" s="50"/>
      <c r="T617" s="50"/>
      <c r="U617" s="53"/>
      <c r="V617" s="54"/>
      <c r="W617" s="56"/>
      <c r="X617" s="119"/>
      <c r="Y617" s="113"/>
      <c r="Z617" s="113"/>
      <c r="AH617" s="106"/>
      <c r="AI617" s="106"/>
    </row>
    <row r="618">
      <c r="A618" s="38"/>
      <c r="B618" s="38"/>
      <c r="C618" s="38"/>
      <c r="D618" s="38"/>
      <c r="E618" s="38"/>
      <c r="F618" s="41"/>
      <c r="G618" s="43"/>
      <c r="H618" s="45"/>
      <c r="I618" s="38"/>
      <c r="J618" s="38"/>
      <c r="K618" s="46"/>
      <c r="L618" s="47"/>
      <c r="M618" s="46"/>
      <c r="N618" s="46"/>
      <c r="O618" s="38"/>
      <c r="P618" s="38"/>
      <c r="Q618" s="12"/>
      <c r="R618" s="50"/>
      <c r="S618" s="50"/>
      <c r="T618" s="50"/>
      <c r="U618" s="53"/>
      <c r="V618" s="54"/>
      <c r="W618" s="56"/>
      <c r="X618" s="119"/>
      <c r="Y618" s="113"/>
      <c r="Z618" s="113"/>
      <c r="AH618" s="106"/>
      <c r="AI618" s="106"/>
    </row>
    <row r="619">
      <c r="A619" s="38"/>
      <c r="B619" s="38"/>
      <c r="C619" s="38"/>
      <c r="D619" s="38"/>
      <c r="E619" s="38"/>
      <c r="F619" s="41"/>
      <c r="G619" s="43"/>
      <c r="H619" s="45"/>
      <c r="I619" s="38"/>
      <c r="J619" s="38"/>
      <c r="K619" s="46"/>
      <c r="L619" s="47"/>
      <c r="M619" s="46"/>
      <c r="N619" s="46"/>
      <c r="O619" s="38"/>
      <c r="P619" s="38"/>
      <c r="Q619" s="12"/>
      <c r="R619" s="50"/>
      <c r="S619" s="50"/>
      <c r="T619" s="50"/>
      <c r="U619" s="53"/>
      <c r="V619" s="54"/>
      <c r="W619" s="56"/>
      <c r="X619" s="119"/>
      <c r="Y619" s="113"/>
      <c r="Z619" s="113"/>
      <c r="AH619" s="106"/>
      <c r="AI619" s="106"/>
    </row>
    <row r="620">
      <c r="A620" s="38"/>
      <c r="B620" s="38"/>
      <c r="C620" s="38"/>
      <c r="D620" s="38"/>
      <c r="E620" s="38"/>
      <c r="F620" s="41"/>
      <c r="G620" s="43"/>
      <c r="H620" s="45"/>
      <c r="I620" s="38"/>
      <c r="J620" s="38"/>
      <c r="K620" s="46"/>
      <c r="L620" s="47"/>
      <c r="M620" s="46"/>
      <c r="N620" s="46"/>
      <c r="O620" s="38"/>
      <c r="P620" s="38"/>
      <c r="Q620" s="12"/>
      <c r="R620" s="50"/>
      <c r="S620" s="50"/>
      <c r="T620" s="50"/>
      <c r="U620" s="53"/>
      <c r="V620" s="54"/>
      <c r="W620" s="56"/>
      <c r="X620" s="119"/>
      <c r="Y620" s="113"/>
      <c r="Z620" s="113"/>
      <c r="AH620" s="106"/>
      <c r="AI620" s="106"/>
    </row>
    <row r="621">
      <c r="A621" s="38"/>
      <c r="B621" s="38"/>
      <c r="C621" s="38"/>
      <c r="D621" s="38"/>
      <c r="E621" s="38"/>
      <c r="F621" s="41"/>
      <c r="G621" s="43"/>
      <c r="H621" s="45"/>
      <c r="I621" s="38"/>
      <c r="J621" s="38"/>
      <c r="K621" s="46"/>
      <c r="L621" s="47"/>
      <c r="M621" s="46"/>
      <c r="N621" s="46"/>
      <c r="O621" s="38"/>
      <c r="P621" s="38"/>
      <c r="Q621" s="12"/>
      <c r="R621" s="50"/>
      <c r="S621" s="50"/>
      <c r="T621" s="50"/>
      <c r="U621" s="53"/>
      <c r="V621" s="54"/>
      <c r="W621" s="56"/>
      <c r="X621" s="119"/>
      <c r="Y621" s="113"/>
      <c r="Z621" s="113"/>
      <c r="AH621" s="106"/>
      <c r="AI621" s="106"/>
    </row>
    <row r="622">
      <c r="A622" s="38"/>
      <c r="B622" s="38"/>
      <c r="C622" s="38"/>
      <c r="D622" s="38"/>
      <c r="E622" s="38"/>
      <c r="F622" s="41"/>
      <c r="G622" s="43"/>
      <c r="H622" s="45"/>
      <c r="I622" s="38"/>
      <c r="J622" s="38"/>
      <c r="K622" s="46"/>
      <c r="L622" s="47"/>
      <c r="M622" s="46"/>
      <c r="N622" s="46"/>
      <c r="O622" s="38"/>
      <c r="P622" s="38"/>
      <c r="Q622" s="12"/>
      <c r="R622" s="50"/>
      <c r="S622" s="50"/>
      <c r="T622" s="50"/>
      <c r="U622" s="53"/>
      <c r="V622" s="54"/>
      <c r="W622" s="56"/>
      <c r="X622" s="119"/>
      <c r="Y622" s="113"/>
      <c r="Z622" s="113"/>
      <c r="AH622" s="106"/>
      <c r="AI622" s="106"/>
    </row>
    <row r="623">
      <c r="A623" s="38"/>
      <c r="B623" s="38"/>
      <c r="C623" s="38"/>
      <c r="D623" s="38"/>
      <c r="E623" s="38"/>
      <c r="F623" s="41"/>
      <c r="G623" s="43"/>
      <c r="H623" s="45"/>
      <c r="I623" s="38"/>
      <c r="J623" s="38"/>
      <c r="K623" s="46"/>
      <c r="L623" s="47"/>
      <c r="M623" s="46"/>
      <c r="N623" s="46"/>
      <c r="O623" s="38"/>
      <c r="P623" s="38"/>
      <c r="Q623" s="12"/>
      <c r="R623" s="50"/>
      <c r="S623" s="50"/>
      <c r="T623" s="50"/>
      <c r="U623" s="53"/>
      <c r="V623" s="54"/>
      <c r="W623" s="56"/>
      <c r="X623" s="119"/>
      <c r="Y623" s="113"/>
      <c r="Z623" s="113"/>
      <c r="AH623" s="106"/>
      <c r="AI623" s="106"/>
    </row>
    <row r="624">
      <c r="A624" s="38"/>
      <c r="B624" s="38"/>
      <c r="C624" s="38"/>
      <c r="D624" s="38"/>
      <c r="E624" s="38"/>
      <c r="F624" s="41"/>
      <c r="G624" s="43"/>
      <c r="H624" s="45"/>
      <c r="I624" s="38"/>
      <c r="J624" s="38"/>
      <c r="K624" s="46"/>
      <c r="L624" s="47"/>
      <c r="M624" s="46"/>
      <c r="N624" s="46"/>
      <c r="O624" s="38"/>
      <c r="P624" s="38"/>
      <c r="Q624" s="12"/>
      <c r="R624" s="50"/>
      <c r="S624" s="50"/>
      <c r="T624" s="50"/>
      <c r="U624" s="53"/>
      <c r="V624" s="54"/>
      <c r="W624" s="56"/>
      <c r="X624" s="119"/>
      <c r="Y624" s="113"/>
      <c r="Z624" s="113"/>
      <c r="AH624" s="106"/>
      <c r="AI624" s="106"/>
    </row>
    <row r="625">
      <c r="A625" s="38"/>
      <c r="B625" s="38"/>
      <c r="C625" s="38"/>
      <c r="D625" s="38"/>
      <c r="E625" s="38"/>
      <c r="F625" s="41"/>
      <c r="G625" s="43"/>
      <c r="H625" s="45"/>
      <c r="I625" s="38"/>
      <c r="J625" s="38"/>
      <c r="K625" s="46"/>
      <c r="L625" s="47"/>
      <c r="M625" s="46"/>
      <c r="N625" s="46"/>
      <c r="O625" s="38"/>
      <c r="P625" s="38"/>
      <c r="Q625" s="12"/>
      <c r="R625" s="50"/>
      <c r="S625" s="50"/>
      <c r="T625" s="50"/>
      <c r="U625" s="53"/>
      <c r="V625" s="54"/>
      <c r="W625" s="56"/>
      <c r="X625" s="119"/>
      <c r="Y625" s="113"/>
      <c r="Z625" s="113"/>
      <c r="AH625" s="106"/>
      <c r="AI625" s="106"/>
    </row>
    <row r="626">
      <c r="A626" s="38"/>
      <c r="B626" s="38"/>
      <c r="C626" s="38"/>
      <c r="D626" s="38"/>
      <c r="E626" s="38"/>
      <c r="F626" s="41"/>
      <c r="G626" s="43"/>
      <c r="H626" s="45"/>
      <c r="I626" s="38"/>
      <c r="J626" s="38"/>
      <c r="K626" s="46"/>
      <c r="L626" s="47"/>
      <c r="M626" s="46"/>
      <c r="N626" s="46"/>
      <c r="O626" s="38"/>
      <c r="P626" s="38"/>
      <c r="Q626" s="12"/>
      <c r="R626" s="50"/>
      <c r="S626" s="50"/>
      <c r="T626" s="50"/>
      <c r="U626" s="53"/>
      <c r="V626" s="54"/>
      <c r="W626" s="56"/>
      <c r="X626" s="119"/>
      <c r="Y626" s="113"/>
      <c r="Z626" s="113"/>
      <c r="AH626" s="106"/>
      <c r="AI626" s="106"/>
    </row>
    <row r="627">
      <c r="A627" s="38"/>
      <c r="B627" s="38"/>
      <c r="C627" s="38"/>
      <c r="D627" s="38"/>
      <c r="E627" s="38"/>
      <c r="F627" s="41"/>
      <c r="G627" s="43"/>
      <c r="H627" s="45"/>
      <c r="I627" s="38"/>
      <c r="J627" s="38"/>
      <c r="K627" s="46"/>
      <c r="L627" s="47"/>
      <c r="M627" s="46"/>
      <c r="N627" s="46"/>
      <c r="O627" s="38"/>
      <c r="P627" s="38"/>
      <c r="Q627" s="12"/>
      <c r="R627" s="50"/>
      <c r="S627" s="50"/>
      <c r="T627" s="50"/>
      <c r="U627" s="53"/>
      <c r="V627" s="54"/>
      <c r="W627" s="56"/>
      <c r="X627" s="119"/>
      <c r="Y627" s="113"/>
      <c r="Z627" s="113"/>
      <c r="AH627" s="106"/>
      <c r="AI627" s="106"/>
    </row>
    <row r="628">
      <c r="A628" s="38"/>
      <c r="B628" s="38"/>
      <c r="C628" s="38"/>
      <c r="D628" s="38"/>
      <c r="E628" s="38"/>
      <c r="F628" s="41"/>
      <c r="G628" s="43"/>
      <c r="H628" s="45"/>
      <c r="I628" s="38"/>
      <c r="J628" s="38"/>
      <c r="K628" s="46"/>
      <c r="L628" s="47"/>
      <c r="M628" s="46"/>
      <c r="N628" s="46"/>
      <c r="O628" s="38"/>
      <c r="P628" s="38"/>
      <c r="Q628" s="12"/>
      <c r="R628" s="50"/>
      <c r="S628" s="50"/>
      <c r="T628" s="50"/>
      <c r="U628" s="53"/>
      <c r="V628" s="54"/>
      <c r="W628" s="56"/>
      <c r="X628" s="119"/>
      <c r="Y628" s="113"/>
      <c r="Z628" s="113"/>
      <c r="AH628" s="106"/>
      <c r="AI628" s="106"/>
    </row>
    <row r="629">
      <c r="A629" s="38"/>
      <c r="B629" s="38"/>
      <c r="C629" s="38"/>
      <c r="D629" s="38"/>
      <c r="E629" s="38"/>
      <c r="F629" s="41"/>
      <c r="G629" s="43"/>
      <c r="H629" s="45"/>
      <c r="I629" s="38"/>
      <c r="J629" s="38"/>
      <c r="K629" s="46"/>
      <c r="L629" s="47"/>
      <c r="M629" s="46"/>
      <c r="N629" s="46"/>
      <c r="O629" s="38"/>
      <c r="P629" s="38"/>
      <c r="Q629" s="12"/>
      <c r="R629" s="50"/>
      <c r="S629" s="50"/>
      <c r="T629" s="50"/>
      <c r="U629" s="53"/>
      <c r="V629" s="54"/>
      <c r="W629" s="56"/>
      <c r="X629" s="119"/>
      <c r="Y629" s="113"/>
      <c r="Z629" s="113"/>
      <c r="AH629" s="106"/>
      <c r="AI629" s="106"/>
    </row>
    <row r="630">
      <c r="A630" s="38"/>
      <c r="B630" s="38"/>
      <c r="C630" s="38"/>
      <c r="D630" s="38"/>
      <c r="E630" s="38"/>
      <c r="F630" s="41"/>
      <c r="G630" s="43"/>
      <c r="H630" s="45"/>
      <c r="I630" s="38"/>
      <c r="J630" s="38"/>
      <c r="K630" s="46"/>
      <c r="L630" s="47"/>
      <c r="M630" s="46"/>
      <c r="N630" s="46"/>
      <c r="O630" s="38"/>
      <c r="P630" s="38"/>
      <c r="Q630" s="12"/>
      <c r="R630" s="50"/>
      <c r="S630" s="50"/>
      <c r="T630" s="50"/>
      <c r="U630" s="53"/>
      <c r="V630" s="54"/>
      <c r="W630" s="56"/>
      <c r="X630" s="119"/>
      <c r="Y630" s="113"/>
      <c r="Z630" s="113"/>
      <c r="AH630" s="106"/>
      <c r="AI630" s="106"/>
    </row>
    <row r="631">
      <c r="A631" s="38"/>
      <c r="B631" s="38"/>
      <c r="C631" s="38"/>
      <c r="D631" s="38"/>
      <c r="E631" s="38"/>
      <c r="F631" s="41"/>
      <c r="G631" s="43"/>
      <c r="H631" s="45"/>
      <c r="I631" s="38"/>
      <c r="J631" s="38"/>
      <c r="K631" s="46"/>
      <c r="L631" s="47"/>
      <c r="M631" s="46"/>
      <c r="N631" s="46"/>
      <c r="O631" s="38"/>
      <c r="P631" s="38"/>
      <c r="Q631" s="12"/>
      <c r="R631" s="50"/>
      <c r="S631" s="50"/>
      <c r="T631" s="50"/>
      <c r="U631" s="53"/>
      <c r="V631" s="54"/>
      <c r="W631" s="56"/>
      <c r="X631" s="119"/>
      <c r="Y631" s="113"/>
      <c r="Z631" s="113"/>
      <c r="AH631" s="106"/>
      <c r="AI631" s="106"/>
    </row>
    <row r="632">
      <c r="A632" s="38"/>
      <c r="B632" s="38"/>
      <c r="C632" s="38"/>
      <c r="D632" s="38"/>
      <c r="E632" s="38"/>
      <c r="F632" s="41"/>
      <c r="G632" s="43"/>
      <c r="H632" s="45"/>
      <c r="I632" s="38"/>
      <c r="J632" s="38"/>
      <c r="K632" s="46"/>
      <c r="L632" s="47"/>
      <c r="M632" s="46"/>
      <c r="N632" s="46"/>
      <c r="O632" s="38"/>
      <c r="P632" s="38"/>
      <c r="Q632" s="12"/>
      <c r="R632" s="50"/>
      <c r="S632" s="50"/>
      <c r="T632" s="50"/>
      <c r="U632" s="53"/>
      <c r="V632" s="54"/>
      <c r="W632" s="56"/>
      <c r="X632" s="119"/>
      <c r="Y632" s="113"/>
      <c r="Z632" s="113"/>
      <c r="AH632" s="106"/>
      <c r="AI632" s="106"/>
    </row>
    <row r="633">
      <c r="A633" s="38"/>
      <c r="B633" s="38"/>
      <c r="C633" s="38"/>
      <c r="D633" s="38"/>
      <c r="E633" s="38"/>
      <c r="F633" s="41"/>
      <c r="G633" s="43"/>
      <c r="H633" s="45"/>
      <c r="I633" s="38"/>
      <c r="J633" s="38"/>
      <c r="K633" s="46"/>
      <c r="L633" s="47"/>
      <c r="M633" s="46"/>
      <c r="N633" s="46"/>
      <c r="O633" s="38"/>
      <c r="P633" s="38"/>
      <c r="Q633" s="12"/>
      <c r="R633" s="50"/>
      <c r="S633" s="50"/>
      <c r="T633" s="50"/>
      <c r="U633" s="53"/>
      <c r="V633" s="54"/>
      <c r="W633" s="56"/>
      <c r="X633" s="119"/>
      <c r="Y633" s="113"/>
      <c r="Z633" s="113"/>
      <c r="AH633" s="106"/>
      <c r="AI633" s="106"/>
    </row>
    <row r="634">
      <c r="A634" s="38"/>
      <c r="B634" s="38"/>
      <c r="C634" s="38"/>
      <c r="D634" s="38"/>
      <c r="E634" s="38"/>
      <c r="F634" s="41"/>
      <c r="G634" s="43"/>
      <c r="H634" s="45"/>
      <c r="I634" s="38"/>
      <c r="J634" s="38"/>
      <c r="K634" s="46"/>
      <c r="L634" s="47"/>
      <c r="M634" s="46"/>
      <c r="N634" s="46"/>
      <c r="O634" s="38"/>
      <c r="P634" s="38"/>
      <c r="Q634" s="12"/>
      <c r="R634" s="50"/>
      <c r="S634" s="50"/>
      <c r="T634" s="50"/>
      <c r="U634" s="53"/>
      <c r="V634" s="54"/>
      <c r="W634" s="56"/>
      <c r="X634" s="119"/>
      <c r="Y634" s="113"/>
      <c r="Z634" s="113"/>
      <c r="AH634" s="106"/>
      <c r="AI634" s="106"/>
    </row>
    <row r="635">
      <c r="A635" s="38"/>
      <c r="B635" s="38"/>
      <c r="C635" s="38"/>
      <c r="D635" s="38"/>
      <c r="E635" s="38"/>
      <c r="F635" s="41"/>
      <c r="G635" s="43"/>
      <c r="H635" s="45"/>
      <c r="I635" s="38"/>
      <c r="J635" s="38"/>
      <c r="K635" s="46"/>
      <c r="L635" s="47"/>
      <c r="M635" s="46"/>
      <c r="N635" s="46"/>
      <c r="O635" s="38"/>
      <c r="P635" s="38"/>
      <c r="Q635" s="12"/>
      <c r="R635" s="50"/>
      <c r="S635" s="50"/>
      <c r="T635" s="50"/>
      <c r="U635" s="53"/>
      <c r="V635" s="54"/>
      <c r="W635" s="56"/>
      <c r="X635" s="119"/>
      <c r="Y635" s="113"/>
      <c r="Z635" s="113"/>
      <c r="AH635" s="106"/>
      <c r="AI635" s="106"/>
    </row>
    <row r="636">
      <c r="A636" s="38"/>
      <c r="B636" s="38"/>
      <c r="C636" s="38"/>
      <c r="D636" s="38"/>
      <c r="E636" s="38"/>
      <c r="F636" s="41"/>
      <c r="G636" s="43"/>
      <c r="H636" s="45"/>
      <c r="I636" s="38"/>
      <c r="J636" s="38"/>
      <c r="K636" s="46"/>
      <c r="L636" s="47"/>
      <c r="M636" s="46"/>
      <c r="N636" s="46"/>
      <c r="O636" s="38"/>
      <c r="P636" s="38"/>
      <c r="Q636" s="12"/>
      <c r="R636" s="50"/>
      <c r="S636" s="50"/>
      <c r="T636" s="50"/>
      <c r="U636" s="53"/>
      <c r="V636" s="54"/>
      <c r="W636" s="56"/>
      <c r="X636" s="119"/>
      <c r="Y636" s="113"/>
      <c r="Z636" s="113"/>
      <c r="AH636" s="106"/>
      <c r="AI636" s="106"/>
    </row>
    <row r="637">
      <c r="A637" s="38"/>
      <c r="B637" s="38"/>
      <c r="C637" s="38"/>
      <c r="D637" s="38"/>
      <c r="E637" s="38"/>
      <c r="F637" s="41"/>
      <c r="G637" s="43"/>
      <c r="H637" s="45"/>
      <c r="I637" s="38"/>
      <c r="J637" s="38"/>
      <c r="K637" s="46"/>
      <c r="L637" s="47"/>
      <c r="M637" s="46"/>
      <c r="N637" s="46"/>
      <c r="O637" s="38"/>
      <c r="P637" s="38"/>
      <c r="Q637" s="12"/>
      <c r="R637" s="50"/>
      <c r="S637" s="50"/>
      <c r="T637" s="50"/>
      <c r="U637" s="53"/>
      <c r="V637" s="54"/>
      <c r="W637" s="56"/>
      <c r="X637" s="119"/>
      <c r="Y637" s="113"/>
      <c r="Z637" s="113"/>
      <c r="AH637" s="106"/>
      <c r="AI637" s="106"/>
    </row>
    <row r="638">
      <c r="A638" s="38"/>
      <c r="B638" s="38"/>
      <c r="C638" s="38"/>
      <c r="D638" s="38"/>
      <c r="E638" s="38"/>
      <c r="F638" s="41"/>
      <c r="G638" s="43"/>
      <c r="H638" s="45"/>
      <c r="I638" s="38"/>
      <c r="J638" s="38"/>
      <c r="K638" s="46"/>
      <c r="L638" s="47"/>
      <c r="M638" s="46"/>
      <c r="N638" s="46"/>
      <c r="O638" s="38"/>
      <c r="P638" s="38"/>
      <c r="Q638" s="12"/>
      <c r="R638" s="50"/>
      <c r="S638" s="50"/>
      <c r="T638" s="50"/>
      <c r="U638" s="53"/>
      <c r="V638" s="54"/>
      <c r="W638" s="56"/>
      <c r="X638" s="119"/>
      <c r="Y638" s="113"/>
      <c r="Z638" s="113"/>
      <c r="AH638" s="106"/>
      <c r="AI638" s="106"/>
    </row>
    <row r="639">
      <c r="A639" s="38"/>
      <c r="B639" s="38"/>
      <c r="C639" s="38"/>
      <c r="D639" s="38"/>
      <c r="E639" s="38"/>
      <c r="F639" s="41"/>
      <c r="G639" s="43"/>
      <c r="H639" s="45"/>
      <c r="I639" s="38"/>
      <c r="J639" s="38"/>
      <c r="K639" s="46"/>
      <c r="L639" s="47"/>
      <c r="M639" s="46"/>
      <c r="N639" s="46"/>
      <c r="O639" s="38"/>
      <c r="P639" s="38"/>
      <c r="Q639" s="12"/>
      <c r="R639" s="50"/>
      <c r="S639" s="50"/>
      <c r="T639" s="50"/>
      <c r="U639" s="53"/>
      <c r="V639" s="54"/>
      <c r="W639" s="56"/>
      <c r="X639" s="119"/>
      <c r="Y639" s="113"/>
      <c r="Z639" s="113"/>
      <c r="AH639" s="106"/>
      <c r="AI639" s="106"/>
    </row>
    <row r="640">
      <c r="A640" s="38"/>
      <c r="B640" s="38"/>
      <c r="C640" s="38"/>
      <c r="D640" s="38"/>
      <c r="E640" s="38"/>
      <c r="F640" s="41"/>
      <c r="G640" s="43"/>
      <c r="H640" s="45"/>
      <c r="I640" s="38"/>
      <c r="J640" s="38"/>
      <c r="K640" s="46"/>
      <c r="L640" s="47"/>
      <c r="M640" s="46"/>
      <c r="N640" s="46"/>
      <c r="O640" s="38"/>
      <c r="P640" s="38"/>
      <c r="Q640" s="12"/>
      <c r="R640" s="50"/>
      <c r="S640" s="50"/>
      <c r="T640" s="50"/>
      <c r="U640" s="53"/>
      <c r="V640" s="54"/>
      <c r="W640" s="56"/>
      <c r="X640" s="119"/>
      <c r="Y640" s="113"/>
      <c r="Z640" s="113"/>
      <c r="AH640" s="106"/>
      <c r="AI640" s="106"/>
    </row>
    <row r="641">
      <c r="A641" s="38"/>
      <c r="B641" s="38"/>
      <c r="C641" s="38"/>
      <c r="D641" s="38"/>
      <c r="E641" s="38"/>
      <c r="F641" s="41"/>
      <c r="G641" s="43"/>
      <c r="H641" s="45"/>
      <c r="I641" s="38"/>
      <c r="J641" s="38"/>
      <c r="K641" s="46"/>
      <c r="L641" s="47"/>
      <c r="M641" s="46"/>
      <c r="N641" s="46"/>
      <c r="O641" s="38"/>
      <c r="P641" s="38"/>
      <c r="Q641" s="12"/>
      <c r="R641" s="50"/>
      <c r="S641" s="50"/>
      <c r="T641" s="50"/>
      <c r="U641" s="53"/>
      <c r="V641" s="54"/>
      <c r="W641" s="56"/>
      <c r="X641" s="119"/>
      <c r="Y641" s="113"/>
      <c r="Z641" s="113"/>
      <c r="AH641" s="106"/>
      <c r="AI641" s="106"/>
    </row>
    <row r="642">
      <c r="A642" s="38"/>
      <c r="B642" s="38"/>
      <c r="C642" s="38"/>
      <c r="D642" s="38"/>
      <c r="E642" s="38"/>
      <c r="F642" s="41"/>
      <c r="G642" s="43"/>
      <c r="H642" s="45"/>
      <c r="I642" s="38"/>
      <c r="J642" s="38"/>
      <c r="K642" s="46"/>
      <c r="L642" s="47"/>
      <c r="M642" s="46"/>
      <c r="N642" s="46"/>
      <c r="O642" s="38"/>
      <c r="P642" s="38"/>
      <c r="Q642" s="12"/>
      <c r="R642" s="50"/>
      <c r="S642" s="50"/>
      <c r="T642" s="50"/>
      <c r="U642" s="53"/>
      <c r="V642" s="54"/>
      <c r="W642" s="56"/>
      <c r="X642" s="119"/>
      <c r="Y642" s="113"/>
      <c r="Z642" s="113"/>
      <c r="AH642" s="106"/>
      <c r="AI642" s="106"/>
    </row>
    <row r="643">
      <c r="A643" s="38"/>
      <c r="B643" s="38"/>
      <c r="C643" s="38"/>
      <c r="D643" s="38"/>
      <c r="E643" s="38"/>
      <c r="F643" s="41"/>
      <c r="G643" s="43"/>
      <c r="H643" s="45"/>
      <c r="I643" s="38"/>
      <c r="J643" s="38"/>
      <c r="K643" s="46"/>
      <c r="L643" s="47"/>
      <c r="M643" s="46"/>
      <c r="N643" s="46"/>
      <c r="O643" s="38"/>
      <c r="P643" s="38"/>
      <c r="Q643" s="12"/>
      <c r="R643" s="50"/>
      <c r="S643" s="50"/>
      <c r="T643" s="50"/>
      <c r="U643" s="53"/>
      <c r="V643" s="54"/>
      <c r="W643" s="56"/>
      <c r="X643" s="119"/>
      <c r="Y643" s="113"/>
      <c r="Z643" s="113"/>
      <c r="AH643" s="106"/>
      <c r="AI643" s="106"/>
    </row>
    <row r="644">
      <c r="A644" s="38"/>
      <c r="B644" s="38"/>
      <c r="C644" s="38"/>
      <c r="D644" s="38"/>
      <c r="E644" s="38"/>
      <c r="F644" s="41"/>
      <c r="G644" s="43"/>
      <c r="H644" s="45"/>
      <c r="I644" s="38"/>
      <c r="J644" s="38"/>
      <c r="K644" s="46"/>
      <c r="L644" s="47"/>
      <c r="M644" s="46"/>
      <c r="N644" s="46"/>
      <c r="O644" s="38"/>
      <c r="P644" s="38"/>
      <c r="Q644" s="12"/>
      <c r="R644" s="50"/>
      <c r="S644" s="50"/>
      <c r="T644" s="50"/>
      <c r="U644" s="53"/>
      <c r="V644" s="54"/>
      <c r="W644" s="56"/>
      <c r="X644" s="119"/>
      <c r="Y644" s="113"/>
      <c r="Z644" s="113"/>
      <c r="AH644" s="106"/>
      <c r="AI644" s="106"/>
    </row>
    <row r="645">
      <c r="A645" s="38"/>
      <c r="B645" s="38"/>
      <c r="C645" s="38"/>
      <c r="D645" s="38"/>
      <c r="E645" s="38"/>
      <c r="F645" s="41"/>
      <c r="G645" s="43"/>
      <c r="H645" s="45"/>
      <c r="I645" s="38"/>
      <c r="J645" s="38"/>
      <c r="K645" s="46"/>
      <c r="L645" s="47"/>
      <c r="M645" s="46"/>
      <c r="N645" s="46"/>
      <c r="O645" s="38"/>
      <c r="P645" s="38"/>
      <c r="Q645" s="12"/>
      <c r="R645" s="50"/>
      <c r="S645" s="50"/>
      <c r="T645" s="50"/>
      <c r="U645" s="53"/>
      <c r="V645" s="54"/>
      <c r="W645" s="56"/>
      <c r="X645" s="119"/>
      <c r="Y645" s="113"/>
      <c r="Z645" s="113"/>
      <c r="AH645" s="106"/>
      <c r="AI645" s="106"/>
    </row>
    <row r="646">
      <c r="A646" s="38"/>
      <c r="B646" s="38"/>
      <c r="C646" s="38"/>
      <c r="D646" s="38"/>
      <c r="E646" s="38"/>
      <c r="F646" s="41"/>
      <c r="G646" s="43"/>
      <c r="H646" s="45"/>
      <c r="I646" s="38"/>
      <c r="J646" s="38"/>
      <c r="K646" s="46"/>
      <c r="L646" s="47"/>
      <c r="M646" s="46"/>
      <c r="N646" s="46"/>
      <c r="O646" s="38"/>
      <c r="P646" s="38"/>
      <c r="Q646" s="12"/>
      <c r="R646" s="50"/>
      <c r="S646" s="50"/>
      <c r="T646" s="50"/>
      <c r="U646" s="53"/>
      <c r="V646" s="54"/>
      <c r="W646" s="56"/>
      <c r="X646" s="119"/>
      <c r="Y646" s="113"/>
      <c r="Z646" s="113"/>
      <c r="AH646" s="106"/>
      <c r="AI646" s="106"/>
    </row>
    <row r="647">
      <c r="A647" s="38"/>
      <c r="B647" s="38"/>
      <c r="C647" s="38"/>
      <c r="D647" s="38"/>
      <c r="E647" s="38"/>
      <c r="F647" s="41"/>
      <c r="G647" s="43"/>
      <c r="H647" s="45"/>
      <c r="I647" s="38"/>
      <c r="J647" s="38"/>
      <c r="K647" s="46"/>
      <c r="L647" s="47"/>
      <c r="M647" s="46"/>
      <c r="N647" s="46"/>
      <c r="O647" s="38"/>
      <c r="P647" s="38"/>
      <c r="Q647" s="12"/>
      <c r="R647" s="50"/>
      <c r="S647" s="50"/>
      <c r="T647" s="50"/>
      <c r="U647" s="53"/>
      <c r="V647" s="54"/>
      <c r="W647" s="56"/>
      <c r="X647" s="119"/>
      <c r="Y647" s="113"/>
      <c r="Z647" s="113"/>
      <c r="AH647" s="106"/>
      <c r="AI647" s="106"/>
    </row>
    <row r="648">
      <c r="A648" s="38"/>
      <c r="B648" s="38"/>
      <c r="C648" s="38"/>
      <c r="D648" s="38"/>
      <c r="E648" s="38"/>
      <c r="F648" s="41"/>
      <c r="G648" s="43"/>
      <c r="H648" s="45"/>
      <c r="I648" s="38"/>
      <c r="J648" s="38"/>
      <c r="K648" s="46"/>
      <c r="L648" s="47"/>
      <c r="M648" s="46"/>
      <c r="N648" s="46"/>
      <c r="O648" s="38"/>
      <c r="P648" s="38"/>
      <c r="Q648" s="12"/>
      <c r="R648" s="50"/>
      <c r="S648" s="50"/>
      <c r="T648" s="50"/>
      <c r="U648" s="53"/>
      <c r="V648" s="54"/>
      <c r="W648" s="56"/>
      <c r="X648" s="119"/>
      <c r="Y648" s="113"/>
      <c r="Z648" s="113"/>
      <c r="AH648" s="106"/>
      <c r="AI648" s="106"/>
    </row>
    <row r="649">
      <c r="A649" s="38"/>
      <c r="B649" s="38"/>
      <c r="C649" s="38"/>
      <c r="D649" s="38"/>
      <c r="E649" s="38"/>
      <c r="F649" s="41"/>
      <c r="G649" s="43"/>
      <c r="H649" s="45"/>
      <c r="I649" s="38"/>
      <c r="J649" s="38"/>
      <c r="K649" s="46"/>
      <c r="L649" s="47"/>
      <c r="M649" s="46"/>
      <c r="N649" s="46"/>
      <c r="O649" s="38"/>
      <c r="P649" s="38"/>
      <c r="Q649" s="12"/>
      <c r="R649" s="50"/>
      <c r="S649" s="50"/>
      <c r="T649" s="50"/>
      <c r="U649" s="53"/>
      <c r="V649" s="54"/>
      <c r="W649" s="56"/>
      <c r="X649" s="119"/>
      <c r="Y649" s="113"/>
      <c r="Z649" s="113"/>
      <c r="AH649" s="106"/>
      <c r="AI649" s="106"/>
    </row>
    <row r="650">
      <c r="A650" s="38"/>
      <c r="B650" s="38"/>
      <c r="C650" s="38"/>
      <c r="D650" s="38"/>
      <c r="E650" s="38"/>
      <c r="F650" s="41"/>
      <c r="G650" s="43"/>
      <c r="H650" s="45"/>
      <c r="I650" s="38"/>
      <c r="J650" s="38"/>
      <c r="K650" s="46"/>
      <c r="L650" s="47"/>
      <c r="M650" s="46"/>
      <c r="N650" s="46"/>
      <c r="O650" s="38"/>
      <c r="P650" s="38"/>
      <c r="Q650" s="12"/>
      <c r="R650" s="50"/>
      <c r="S650" s="50"/>
      <c r="T650" s="50"/>
      <c r="U650" s="53"/>
      <c r="V650" s="54"/>
      <c r="W650" s="56"/>
      <c r="X650" s="119"/>
      <c r="Y650" s="113"/>
      <c r="Z650" s="113"/>
      <c r="AH650" s="106"/>
      <c r="AI650" s="106"/>
    </row>
    <row r="651">
      <c r="A651" s="38"/>
      <c r="B651" s="38"/>
      <c r="C651" s="38"/>
      <c r="D651" s="38"/>
      <c r="E651" s="38"/>
      <c r="F651" s="41"/>
      <c r="G651" s="43"/>
      <c r="H651" s="45"/>
      <c r="I651" s="38"/>
      <c r="J651" s="38"/>
      <c r="K651" s="46"/>
      <c r="L651" s="47"/>
      <c r="M651" s="46"/>
      <c r="N651" s="46"/>
      <c r="O651" s="38"/>
      <c r="P651" s="38"/>
      <c r="Q651" s="12"/>
      <c r="R651" s="50"/>
      <c r="S651" s="50"/>
      <c r="T651" s="50"/>
      <c r="U651" s="53"/>
      <c r="V651" s="54"/>
      <c r="W651" s="56"/>
      <c r="X651" s="119"/>
      <c r="Y651" s="113"/>
      <c r="Z651" s="113"/>
      <c r="AH651" s="106"/>
      <c r="AI651" s="106"/>
    </row>
    <row r="652">
      <c r="A652" s="38"/>
      <c r="B652" s="38"/>
      <c r="C652" s="38"/>
      <c r="D652" s="38"/>
      <c r="E652" s="38"/>
      <c r="F652" s="41"/>
      <c r="G652" s="43"/>
      <c r="H652" s="45"/>
      <c r="I652" s="38"/>
      <c r="J652" s="38"/>
      <c r="K652" s="46"/>
      <c r="L652" s="47"/>
      <c r="M652" s="46"/>
      <c r="N652" s="46"/>
      <c r="O652" s="38"/>
      <c r="P652" s="38"/>
      <c r="Q652" s="12"/>
      <c r="R652" s="50"/>
      <c r="S652" s="50"/>
      <c r="T652" s="50"/>
      <c r="U652" s="53"/>
      <c r="V652" s="54"/>
      <c r="W652" s="56"/>
      <c r="X652" s="119"/>
      <c r="Y652" s="113"/>
      <c r="Z652" s="113"/>
      <c r="AH652" s="106"/>
      <c r="AI652" s="106"/>
    </row>
    <row r="653">
      <c r="A653" s="38"/>
      <c r="B653" s="38"/>
      <c r="C653" s="38"/>
      <c r="D653" s="38"/>
      <c r="E653" s="38"/>
      <c r="F653" s="41"/>
      <c r="G653" s="43"/>
      <c r="H653" s="45"/>
      <c r="I653" s="38"/>
      <c r="J653" s="38"/>
      <c r="K653" s="46"/>
      <c r="L653" s="47"/>
      <c r="M653" s="46"/>
      <c r="N653" s="46"/>
      <c r="O653" s="38"/>
      <c r="P653" s="38"/>
      <c r="Q653" s="12"/>
      <c r="R653" s="50"/>
      <c r="S653" s="50"/>
      <c r="T653" s="50"/>
      <c r="U653" s="53"/>
      <c r="V653" s="54"/>
      <c r="W653" s="56"/>
      <c r="X653" s="119"/>
      <c r="Y653" s="113"/>
      <c r="Z653" s="113"/>
      <c r="AH653" s="106"/>
      <c r="AI653" s="106"/>
    </row>
    <row r="654">
      <c r="A654" s="38"/>
      <c r="B654" s="38"/>
      <c r="C654" s="38"/>
      <c r="D654" s="38"/>
      <c r="E654" s="38"/>
      <c r="F654" s="41"/>
      <c r="G654" s="43"/>
      <c r="H654" s="45"/>
      <c r="I654" s="38"/>
      <c r="J654" s="38"/>
      <c r="K654" s="46"/>
      <c r="L654" s="47"/>
      <c r="M654" s="46"/>
      <c r="N654" s="46"/>
      <c r="O654" s="38"/>
      <c r="P654" s="38"/>
      <c r="Q654" s="12"/>
      <c r="R654" s="50"/>
      <c r="S654" s="50"/>
      <c r="T654" s="50"/>
      <c r="U654" s="53"/>
      <c r="V654" s="54"/>
      <c r="W654" s="56"/>
      <c r="X654" s="119"/>
      <c r="Y654" s="113"/>
      <c r="Z654" s="113"/>
      <c r="AH654" s="106"/>
      <c r="AI654" s="106"/>
    </row>
    <row r="655">
      <c r="A655" s="38"/>
      <c r="B655" s="38"/>
      <c r="C655" s="38"/>
      <c r="D655" s="38"/>
      <c r="E655" s="38"/>
      <c r="F655" s="41"/>
      <c r="G655" s="43"/>
      <c r="H655" s="45"/>
      <c r="I655" s="38"/>
      <c r="J655" s="38"/>
      <c r="K655" s="46"/>
      <c r="L655" s="47"/>
      <c r="M655" s="46"/>
      <c r="N655" s="46"/>
      <c r="O655" s="38"/>
      <c r="P655" s="38"/>
      <c r="Q655" s="12"/>
      <c r="R655" s="50"/>
      <c r="S655" s="50"/>
      <c r="T655" s="50"/>
      <c r="U655" s="53"/>
      <c r="V655" s="54"/>
      <c r="W655" s="56"/>
      <c r="X655" s="119"/>
      <c r="Y655" s="113"/>
      <c r="Z655" s="113"/>
      <c r="AH655" s="106"/>
      <c r="AI655" s="106"/>
    </row>
    <row r="656">
      <c r="A656" s="38"/>
      <c r="B656" s="38"/>
      <c r="C656" s="38"/>
      <c r="D656" s="38"/>
      <c r="E656" s="38"/>
      <c r="F656" s="41"/>
      <c r="G656" s="43"/>
      <c r="H656" s="45"/>
      <c r="I656" s="38"/>
      <c r="J656" s="38"/>
      <c r="K656" s="46"/>
      <c r="L656" s="47"/>
      <c r="M656" s="46"/>
      <c r="N656" s="46"/>
      <c r="O656" s="38"/>
      <c r="P656" s="38"/>
      <c r="Q656" s="12"/>
      <c r="R656" s="50"/>
      <c r="S656" s="50"/>
      <c r="T656" s="50"/>
      <c r="U656" s="53"/>
      <c r="V656" s="54"/>
      <c r="W656" s="56"/>
      <c r="X656" s="119"/>
      <c r="Y656" s="113"/>
      <c r="Z656" s="113"/>
      <c r="AH656" s="106"/>
      <c r="AI656" s="106"/>
    </row>
    <row r="657">
      <c r="A657" s="38"/>
      <c r="B657" s="38"/>
      <c r="C657" s="38"/>
      <c r="D657" s="38"/>
      <c r="E657" s="38"/>
      <c r="F657" s="41"/>
      <c r="G657" s="43"/>
      <c r="H657" s="45"/>
      <c r="I657" s="38"/>
      <c r="J657" s="38"/>
      <c r="K657" s="46"/>
      <c r="L657" s="47"/>
      <c r="M657" s="46"/>
      <c r="N657" s="46"/>
      <c r="O657" s="38"/>
      <c r="P657" s="38"/>
      <c r="Q657" s="12"/>
      <c r="R657" s="50"/>
      <c r="S657" s="50"/>
      <c r="T657" s="50"/>
      <c r="U657" s="53"/>
      <c r="V657" s="54"/>
      <c r="W657" s="56"/>
      <c r="X657" s="119"/>
      <c r="Y657" s="113"/>
      <c r="Z657" s="113"/>
      <c r="AH657" s="106"/>
      <c r="AI657" s="106"/>
    </row>
    <row r="658">
      <c r="A658" s="38"/>
      <c r="B658" s="38"/>
      <c r="C658" s="38"/>
      <c r="D658" s="38"/>
      <c r="E658" s="38"/>
      <c r="F658" s="41"/>
      <c r="G658" s="43"/>
      <c r="H658" s="45"/>
      <c r="I658" s="38"/>
      <c r="J658" s="38"/>
      <c r="K658" s="46"/>
      <c r="L658" s="47"/>
      <c r="M658" s="46"/>
      <c r="N658" s="46"/>
      <c r="O658" s="38"/>
      <c r="P658" s="38"/>
      <c r="Q658" s="12"/>
      <c r="R658" s="50"/>
      <c r="S658" s="50"/>
      <c r="T658" s="50"/>
      <c r="U658" s="53"/>
      <c r="V658" s="54"/>
      <c r="W658" s="56"/>
      <c r="X658" s="119"/>
      <c r="Y658" s="113"/>
      <c r="Z658" s="113"/>
      <c r="AH658" s="106"/>
      <c r="AI658" s="106"/>
    </row>
    <row r="659">
      <c r="A659" s="38"/>
      <c r="B659" s="38"/>
      <c r="C659" s="38"/>
      <c r="D659" s="38"/>
      <c r="E659" s="38"/>
      <c r="F659" s="41"/>
      <c r="G659" s="43"/>
      <c r="H659" s="45"/>
      <c r="I659" s="38"/>
      <c r="J659" s="38"/>
      <c r="K659" s="46"/>
      <c r="L659" s="47"/>
      <c r="M659" s="46"/>
      <c r="N659" s="46"/>
      <c r="O659" s="38"/>
      <c r="P659" s="38"/>
      <c r="Q659" s="12"/>
      <c r="R659" s="50"/>
      <c r="S659" s="50"/>
      <c r="T659" s="50"/>
      <c r="U659" s="53"/>
      <c r="V659" s="54"/>
      <c r="W659" s="56"/>
      <c r="X659" s="119"/>
      <c r="Y659" s="113"/>
      <c r="Z659" s="113"/>
      <c r="AH659" s="106"/>
      <c r="AI659" s="106"/>
    </row>
    <row r="660">
      <c r="A660" s="38"/>
      <c r="B660" s="38"/>
      <c r="C660" s="38"/>
      <c r="D660" s="38"/>
      <c r="E660" s="38"/>
      <c r="F660" s="41"/>
      <c r="G660" s="43"/>
      <c r="H660" s="45"/>
      <c r="I660" s="38"/>
      <c r="J660" s="38"/>
      <c r="K660" s="46"/>
      <c r="L660" s="47"/>
      <c r="M660" s="46"/>
      <c r="N660" s="46"/>
      <c r="O660" s="38"/>
      <c r="P660" s="38"/>
      <c r="Q660" s="12"/>
      <c r="R660" s="50"/>
      <c r="S660" s="50"/>
      <c r="T660" s="50"/>
      <c r="U660" s="53"/>
      <c r="V660" s="54"/>
      <c r="W660" s="56"/>
      <c r="X660" s="119"/>
      <c r="Y660" s="113"/>
      <c r="Z660" s="113"/>
      <c r="AH660" s="106"/>
      <c r="AI660" s="106"/>
    </row>
    <row r="661">
      <c r="A661" s="38"/>
      <c r="B661" s="38"/>
      <c r="C661" s="38"/>
      <c r="D661" s="38"/>
      <c r="E661" s="38"/>
      <c r="F661" s="41"/>
      <c r="G661" s="43"/>
      <c r="H661" s="45"/>
      <c r="I661" s="38"/>
      <c r="J661" s="38"/>
      <c r="K661" s="46"/>
      <c r="L661" s="47"/>
      <c r="M661" s="46"/>
      <c r="N661" s="46"/>
      <c r="O661" s="38"/>
      <c r="P661" s="38"/>
      <c r="Q661" s="12"/>
      <c r="R661" s="50"/>
      <c r="S661" s="50"/>
      <c r="T661" s="50"/>
      <c r="U661" s="53"/>
      <c r="V661" s="54"/>
      <c r="W661" s="56"/>
      <c r="X661" s="119"/>
      <c r="Y661" s="113"/>
      <c r="Z661" s="113"/>
      <c r="AH661" s="106"/>
      <c r="AI661" s="106"/>
    </row>
    <row r="662">
      <c r="A662" s="38"/>
      <c r="B662" s="38"/>
      <c r="C662" s="38"/>
      <c r="D662" s="38"/>
      <c r="E662" s="38"/>
      <c r="F662" s="41"/>
      <c r="G662" s="43"/>
      <c r="H662" s="45"/>
      <c r="I662" s="38"/>
      <c r="J662" s="38"/>
      <c r="K662" s="46"/>
      <c r="L662" s="47"/>
      <c r="M662" s="46"/>
      <c r="N662" s="46"/>
      <c r="O662" s="38"/>
      <c r="P662" s="38"/>
      <c r="Q662" s="12"/>
      <c r="R662" s="50"/>
      <c r="S662" s="50"/>
      <c r="T662" s="50"/>
      <c r="U662" s="53"/>
      <c r="V662" s="54"/>
      <c r="W662" s="56"/>
      <c r="X662" s="119"/>
      <c r="Y662" s="113"/>
      <c r="Z662" s="113"/>
      <c r="AH662" s="106"/>
      <c r="AI662" s="106"/>
    </row>
    <row r="663">
      <c r="A663" s="38"/>
      <c r="B663" s="38"/>
      <c r="C663" s="38"/>
      <c r="D663" s="38"/>
      <c r="E663" s="38"/>
      <c r="F663" s="41"/>
      <c r="G663" s="43"/>
      <c r="H663" s="45"/>
      <c r="I663" s="38"/>
      <c r="J663" s="38"/>
      <c r="K663" s="46"/>
      <c r="L663" s="47"/>
      <c r="M663" s="46"/>
      <c r="N663" s="46"/>
      <c r="O663" s="38"/>
      <c r="P663" s="38"/>
      <c r="Q663" s="12"/>
      <c r="R663" s="50"/>
      <c r="S663" s="50"/>
      <c r="T663" s="50"/>
      <c r="U663" s="53"/>
      <c r="V663" s="54"/>
      <c r="W663" s="56"/>
      <c r="X663" s="119"/>
      <c r="Y663" s="113"/>
      <c r="Z663" s="113"/>
      <c r="AH663" s="106"/>
      <c r="AI663" s="106"/>
    </row>
    <row r="664">
      <c r="A664" s="38"/>
      <c r="B664" s="38"/>
      <c r="C664" s="38"/>
      <c r="D664" s="38"/>
      <c r="E664" s="38"/>
      <c r="F664" s="41"/>
      <c r="G664" s="43"/>
      <c r="H664" s="45"/>
      <c r="I664" s="38"/>
      <c r="J664" s="38"/>
      <c r="K664" s="46"/>
      <c r="L664" s="47"/>
      <c r="M664" s="46"/>
      <c r="N664" s="46"/>
      <c r="O664" s="38"/>
      <c r="P664" s="38"/>
      <c r="Q664" s="12"/>
      <c r="R664" s="50"/>
      <c r="S664" s="50"/>
      <c r="T664" s="50"/>
      <c r="U664" s="53"/>
      <c r="V664" s="54"/>
      <c r="W664" s="56"/>
      <c r="X664" s="119"/>
      <c r="Y664" s="113"/>
      <c r="Z664" s="113"/>
      <c r="AH664" s="106"/>
      <c r="AI664" s="106"/>
    </row>
    <row r="665">
      <c r="A665" s="38"/>
      <c r="B665" s="38"/>
      <c r="C665" s="38"/>
      <c r="D665" s="38"/>
      <c r="E665" s="38"/>
      <c r="F665" s="41"/>
      <c r="G665" s="43"/>
      <c r="H665" s="45"/>
      <c r="I665" s="38"/>
      <c r="J665" s="38"/>
      <c r="K665" s="46"/>
      <c r="L665" s="47"/>
      <c r="M665" s="46"/>
      <c r="N665" s="46"/>
      <c r="O665" s="38"/>
      <c r="P665" s="38"/>
      <c r="Q665" s="12"/>
      <c r="R665" s="50"/>
      <c r="S665" s="50"/>
      <c r="T665" s="50"/>
      <c r="U665" s="53"/>
      <c r="V665" s="54"/>
      <c r="W665" s="56"/>
      <c r="X665" s="119"/>
      <c r="Y665" s="113"/>
      <c r="Z665" s="113"/>
      <c r="AH665" s="106"/>
      <c r="AI665" s="106"/>
    </row>
    <row r="666">
      <c r="A666" s="38"/>
      <c r="B666" s="38"/>
      <c r="C666" s="38"/>
      <c r="D666" s="38"/>
      <c r="E666" s="38"/>
      <c r="F666" s="41"/>
      <c r="G666" s="43"/>
      <c r="H666" s="45"/>
      <c r="I666" s="38"/>
      <c r="J666" s="38"/>
      <c r="K666" s="46"/>
      <c r="L666" s="47"/>
      <c r="M666" s="46"/>
      <c r="N666" s="46"/>
      <c r="O666" s="38"/>
      <c r="P666" s="38"/>
      <c r="Q666" s="12"/>
      <c r="R666" s="50"/>
      <c r="S666" s="50"/>
      <c r="T666" s="50"/>
      <c r="U666" s="53"/>
      <c r="V666" s="54"/>
      <c r="W666" s="56"/>
      <c r="X666" s="119"/>
      <c r="Y666" s="113"/>
      <c r="Z666" s="113"/>
      <c r="AH666" s="106"/>
      <c r="AI666" s="106"/>
    </row>
    <row r="667">
      <c r="A667" s="38"/>
      <c r="B667" s="38"/>
      <c r="C667" s="38"/>
      <c r="D667" s="38"/>
      <c r="E667" s="38"/>
      <c r="F667" s="41"/>
      <c r="G667" s="43"/>
      <c r="H667" s="45"/>
      <c r="I667" s="38"/>
      <c r="J667" s="38"/>
      <c r="K667" s="46"/>
      <c r="L667" s="47"/>
      <c r="M667" s="46"/>
      <c r="N667" s="46"/>
      <c r="O667" s="38"/>
      <c r="P667" s="38"/>
      <c r="Q667" s="12"/>
      <c r="R667" s="50"/>
      <c r="S667" s="50"/>
      <c r="T667" s="50"/>
      <c r="U667" s="53"/>
      <c r="V667" s="54"/>
      <c r="W667" s="56"/>
      <c r="X667" s="119"/>
      <c r="Y667" s="113"/>
      <c r="Z667" s="113"/>
      <c r="AH667" s="106"/>
      <c r="AI667" s="106"/>
    </row>
    <row r="668">
      <c r="A668" s="38"/>
      <c r="B668" s="38"/>
      <c r="C668" s="38"/>
      <c r="D668" s="38"/>
      <c r="E668" s="38"/>
      <c r="F668" s="41"/>
      <c r="G668" s="43"/>
      <c r="H668" s="45"/>
      <c r="I668" s="38"/>
      <c r="J668" s="38"/>
      <c r="K668" s="46"/>
      <c r="L668" s="47"/>
      <c r="M668" s="46"/>
      <c r="N668" s="46"/>
      <c r="O668" s="38"/>
      <c r="P668" s="38"/>
      <c r="Q668" s="12"/>
      <c r="R668" s="50"/>
      <c r="S668" s="50"/>
      <c r="T668" s="50"/>
      <c r="U668" s="53"/>
      <c r="V668" s="54"/>
      <c r="W668" s="56"/>
      <c r="X668" s="119"/>
      <c r="Y668" s="113"/>
      <c r="Z668" s="113"/>
      <c r="AH668" s="106"/>
      <c r="AI668" s="106"/>
    </row>
    <row r="669">
      <c r="A669" s="38"/>
      <c r="B669" s="38"/>
      <c r="C669" s="38"/>
      <c r="D669" s="38"/>
      <c r="E669" s="38"/>
      <c r="F669" s="41"/>
      <c r="G669" s="43"/>
      <c r="H669" s="45"/>
      <c r="I669" s="38"/>
      <c r="J669" s="38"/>
      <c r="K669" s="46"/>
      <c r="L669" s="47"/>
      <c r="M669" s="46"/>
      <c r="N669" s="46"/>
      <c r="O669" s="38"/>
      <c r="P669" s="38"/>
      <c r="Q669" s="12"/>
      <c r="R669" s="50"/>
      <c r="S669" s="50"/>
      <c r="T669" s="50"/>
      <c r="U669" s="53"/>
      <c r="V669" s="54"/>
      <c r="W669" s="56"/>
      <c r="X669" s="119"/>
      <c r="Y669" s="113"/>
      <c r="Z669" s="113"/>
      <c r="AH669" s="106"/>
      <c r="AI669" s="106"/>
    </row>
    <row r="670">
      <c r="A670" s="38"/>
      <c r="B670" s="38"/>
      <c r="C670" s="38"/>
      <c r="D670" s="38"/>
      <c r="E670" s="38"/>
      <c r="F670" s="41"/>
      <c r="G670" s="43"/>
      <c r="H670" s="45"/>
      <c r="I670" s="38"/>
      <c r="J670" s="38"/>
      <c r="K670" s="46"/>
      <c r="L670" s="47"/>
      <c r="M670" s="46"/>
      <c r="N670" s="46"/>
      <c r="O670" s="38"/>
      <c r="P670" s="38"/>
      <c r="Q670" s="12"/>
      <c r="R670" s="50"/>
      <c r="S670" s="50"/>
      <c r="T670" s="50"/>
      <c r="U670" s="53"/>
      <c r="V670" s="54"/>
      <c r="W670" s="56"/>
      <c r="X670" s="119"/>
      <c r="Y670" s="113"/>
      <c r="Z670" s="113"/>
      <c r="AH670" s="106"/>
      <c r="AI670" s="106"/>
    </row>
    <row r="671">
      <c r="A671" s="38"/>
      <c r="B671" s="38"/>
      <c r="C671" s="38"/>
      <c r="D671" s="38"/>
      <c r="E671" s="38"/>
      <c r="F671" s="41"/>
      <c r="G671" s="43"/>
      <c r="H671" s="45"/>
      <c r="I671" s="38"/>
      <c r="J671" s="38"/>
      <c r="K671" s="46"/>
      <c r="L671" s="47"/>
      <c r="M671" s="46"/>
      <c r="N671" s="46"/>
      <c r="O671" s="38"/>
      <c r="P671" s="38"/>
      <c r="Q671" s="12"/>
      <c r="R671" s="50"/>
      <c r="S671" s="50"/>
      <c r="T671" s="50"/>
      <c r="U671" s="53"/>
      <c r="V671" s="54"/>
      <c r="W671" s="56"/>
      <c r="X671" s="119"/>
      <c r="Y671" s="113"/>
      <c r="Z671" s="113"/>
      <c r="AH671" s="106"/>
      <c r="AI671" s="106"/>
    </row>
    <row r="672">
      <c r="A672" s="38"/>
      <c r="B672" s="38"/>
      <c r="C672" s="38"/>
      <c r="D672" s="38"/>
      <c r="E672" s="38"/>
      <c r="F672" s="41"/>
      <c r="G672" s="43"/>
      <c r="H672" s="45"/>
      <c r="I672" s="38"/>
      <c r="J672" s="38"/>
      <c r="K672" s="46"/>
      <c r="L672" s="47"/>
      <c r="M672" s="46"/>
      <c r="N672" s="46"/>
      <c r="O672" s="38"/>
      <c r="P672" s="38"/>
      <c r="Q672" s="12"/>
      <c r="R672" s="50"/>
      <c r="S672" s="50"/>
      <c r="T672" s="50"/>
      <c r="U672" s="53"/>
      <c r="V672" s="54"/>
      <c r="W672" s="56"/>
      <c r="X672" s="119"/>
      <c r="Y672" s="113"/>
      <c r="Z672" s="113"/>
      <c r="AH672" s="106"/>
      <c r="AI672" s="106"/>
    </row>
    <row r="673">
      <c r="A673" s="38"/>
      <c r="B673" s="38"/>
      <c r="C673" s="38"/>
      <c r="D673" s="38"/>
      <c r="E673" s="38"/>
      <c r="F673" s="41"/>
      <c r="G673" s="43"/>
      <c r="H673" s="45"/>
      <c r="I673" s="38"/>
      <c r="J673" s="38"/>
      <c r="K673" s="46"/>
      <c r="L673" s="47"/>
      <c r="M673" s="46"/>
      <c r="N673" s="46"/>
      <c r="O673" s="38"/>
      <c r="P673" s="38"/>
      <c r="Q673" s="12"/>
      <c r="R673" s="50"/>
      <c r="S673" s="50"/>
      <c r="T673" s="50"/>
      <c r="U673" s="53"/>
      <c r="V673" s="54"/>
      <c r="W673" s="56"/>
      <c r="X673" s="119"/>
      <c r="Y673" s="113"/>
      <c r="Z673" s="113"/>
      <c r="AH673" s="106"/>
      <c r="AI673" s="106"/>
    </row>
    <row r="674">
      <c r="A674" s="38"/>
      <c r="B674" s="38"/>
      <c r="C674" s="38"/>
      <c r="D674" s="38"/>
      <c r="E674" s="38"/>
      <c r="F674" s="41"/>
      <c r="G674" s="43"/>
      <c r="H674" s="45"/>
      <c r="I674" s="38"/>
      <c r="J674" s="38"/>
      <c r="K674" s="46"/>
      <c r="L674" s="47"/>
      <c r="M674" s="46"/>
      <c r="N674" s="46"/>
      <c r="O674" s="38"/>
      <c r="P674" s="38"/>
      <c r="Q674" s="12"/>
      <c r="R674" s="50"/>
      <c r="S674" s="50"/>
      <c r="T674" s="50"/>
      <c r="U674" s="53"/>
      <c r="V674" s="54"/>
      <c r="W674" s="56"/>
      <c r="X674" s="119"/>
      <c r="Y674" s="113"/>
      <c r="Z674" s="113"/>
      <c r="AH674" s="106"/>
      <c r="AI674" s="106"/>
    </row>
    <row r="675">
      <c r="A675" s="38"/>
      <c r="B675" s="38"/>
      <c r="C675" s="38"/>
      <c r="D675" s="38"/>
      <c r="E675" s="38"/>
      <c r="F675" s="41"/>
      <c r="G675" s="43"/>
      <c r="H675" s="45"/>
      <c r="I675" s="38"/>
      <c r="J675" s="38"/>
      <c r="K675" s="46"/>
      <c r="L675" s="47"/>
      <c r="M675" s="46"/>
      <c r="N675" s="46"/>
      <c r="O675" s="38"/>
      <c r="P675" s="38"/>
      <c r="Q675" s="12"/>
      <c r="R675" s="50"/>
      <c r="S675" s="50"/>
      <c r="T675" s="50"/>
      <c r="U675" s="53"/>
      <c r="V675" s="54"/>
      <c r="W675" s="56"/>
      <c r="X675" s="119"/>
      <c r="Y675" s="113"/>
      <c r="Z675" s="113"/>
      <c r="AH675" s="106"/>
      <c r="AI675" s="106"/>
    </row>
    <row r="676">
      <c r="A676" s="38"/>
      <c r="B676" s="38"/>
      <c r="C676" s="38"/>
      <c r="D676" s="38"/>
      <c r="E676" s="38"/>
      <c r="F676" s="41"/>
      <c r="G676" s="43"/>
      <c r="H676" s="45"/>
      <c r="I676" s="38"/>
      <c r="J676" s="38"/>
      <c r="K676" s="46"/>
      <c r="L676" s="47"/>
      <c r="M676" s="46"/>
      <c r="N676" s="46"/>
      <c r="O676" s="38"/>
      <c r="P676" s="38"/>
      <c r="Q676" s="12"/>
      <c r="R676" s="50"/>
      <c r="S676" s="50"/>
      <c r="T676" s="50"/>
      <c r="U676" s="53"/>
      <c r="V676" s="54"/>
      <c r="W676" s="56"/>
      <c r="X676" s="119"/>
      <c r="Y676" s="113"/>
      <c r="Z676" s="113"/>
      <c r="AH676" s="106"/>
      <c r="AI676" s="106"/>
    </row>
    <row r="677">
      <c r="A677" s="38"/>
      <c r="B677" s="38"/>
      <c r="C677" s="38"/>
      <c r="D677" s="38"/>
      <c r="E677" s="38"/>
      <c r="F677" s="41"/>
      <c r="G677" s="43"/>
      <c r="H677" s="45"/>
      <c r="I677" s="38"/>
      <c r="J677" s="38"/>
      <c r="K677" s="46"/>
      <c r="L677" s="47"/>
      <c r="M677" s="46"/>
      <c r="N677" s="46"/>
      <c r="O677" s="38"/>
      <c r="P677" s="38"/>
      <c r="Q677" s="12"/>
      <c r="R677" s="50"/>
      <c r="S677" s="50"/>
      <c r="T677" s="50"/>
      <c r="U677" s="53"/>
      <c r="V677" s="54"/>
      <c r="W677" s="56"/>
      <c r="X677" s="119"/>
      <c r="Y677" s="113"/>
      <c r="Z677" s="113"/>
      <c r="AH677" s="106"/>
      <c r="AI677" s="106"/>
    </row>
    <row r="678">
      <c r="A678" s="38"/>
      <c r="B678" s="38"/>
      <c r="C678" s="38"/>
      <c r="D678" s="38"/>
      <c r="E678" s="38"/>
      <c r="F678" s="41"/>
      <c r="G678" s="43"/>
      <c r="H678" s="45"/>
      <c r="I678" s="38"/>
      <c r="J678" s="38"/>
      <c r="K678" s="46"/>
      <c r="L678" s="47"/>
      <c r="M678" s="46"/>
      <c r="N678" s="46"/>
      <c r="O678" s="38"/>
      <c r="P678" s="38"/>
      <c r="Q678" s="12"/>
      <c r="R678" s="50"/>
      <c r="S678" s="50"/>
      <c r="T678" s="50"/>
      <c r="U678" s="53"/>
      <c r="V678" s="54"/>
      <c r="W678" s="56"/>
      <c r="X678" s="119"/>
      <c r="Y678" s="113"/>
      <c r="Z678" s="113"/>
      <c r="AH678" s="106"/>
      <c r="AI678" s="106"/>
    </row>
    <row r="679">
      <c r="A679" s="38"/>
      <c r="B679" s="38"/>
      <c r="C679" s="38"/>
      <c r="D679" s="38"/>
      <c r="E679" s="38"/>
      <c r="F679" s="41"/>
      <c r="G679" s="43"/>
      <c r="H679" s="45"/>
      <c r="I679" s="38"/>
      <c r="J679" s="38"/>
      <c r="K679" s="46"/>
      <c r="L679" s="47"/>
      <c r="M679" s="46"/>
      <c r="N679" s="46"/>
      <c r="O679" s="38"/>
      <c r="P679" s="38"/>
      <c r="Q679" s="12"/>
      <c r="R679" s="50"/>
      <c r="S679" s="50"/>
      <c r="T679" s="50"/>
      <c r="U679" s="53"/>
      <c r="V679" s="54"/>
      <c r="W679" s="56"/>
      <c r="X679" s="119"/>
      <c r="Y679" s="113"/>
      <c r="Z679" s="113"/>
      <c r="AH679" s="106"/>
      <c r="AI679" s="106"/>
    </row>
    <row r="680">
      <c r="A680" s="38"/>
      <c r="B680" s="38"/>
      <c r="C680" s="38"/>
      <c r="D680" s="38"/>
      <c r="E680" s="38"/>
      <c r="F680" s="41"/>
      <c r="G680" s="43"/>
      <c r="H680" s="45"/>
      <c r="I680" s="38"/>
      <c r="J680" s="38"/>
      <c r="K680" s="46"/>
      <c r="L680" s="47"/>
      <c r="M680" s="46"/>
      <c r="N680" s="46"/>
      <c r="O680" s="38"/>
      <c r="P680" s="38"/>
      <c r="Q680" s="12"/>
      <c r="R680" s="50"/>
      <c r="S680" s="50"/>
      <c r="T680" s="50"/>
      <c r="U680" s="53"/>
      <c r="V680" s="54"/>
      <c r="W680" s="56"/>
      <c r="X680" s="119"/>
      <c r="Y680" s="113"/>
      <c r="Z680" s="113"/>
      <c r="AH680" s="106"/>
      <c r="AI680" s="106"/>
    </row>
    <row r="681">
      <c r="A681" s="38"/>
      <c r="B681" s="38"/>
      <c r="C681" s="38"/>
      <c r="D681" s="38"/>
      <c r="E681" s="38"/>
      <c r="F681" s="41"/>
      <c r="G681" s="43"/>
      <c r="H681" s="45"/>
      <c r="I681" s="38"/>
      <c r="J681" s="38"/>
      <c r="K681" s="46"/>
      <c r="L681" s="47"/>
      <c r="M681" s="46"/>
      <c r="N681" s="46"/>
      <c r="O681" s="38"/>
      <c r="P681" s="38"/>
      <c r="Q681" s="12"/>
      <c r="R681" s="50"/>
      <c r="S681" s="50"/>
      <c r="T681" s="50"/>
      <c r="U681" s="53"/>
      <c r="V681" s="54"/>
      <c r="W681" s="56"/>
      <c r="X681" s="119"/>
      <c r="Y681" s="113"/>
      <c r="Z681" s="113"/>
      <c r="AH681" s="106"/>
      <c r="AI681" s="106"/>
    </row>
    <row r="682">
      <c r="A682" s="38"/>
      <c r="B682" s="38"/>
      <c r="C682" s="38"/>
      <c r="D682" s="38"/>
      <c r="E682" s="38"/>
      <c r="F682" s="41"/>
      <c r="G682" s="43"/>
      <c r="H682" s="45"/>
      <c r="I682" s="38"/>
      <c r="J682" s="38"/>
      <c r="K682" s="46"/>
      <c r="L682" s="47"/>
      <c r="M682" s="46"/>
      <c r="N682" s="46"/>
      <c r="O682" s="38"/>
      <c r="P682" s="38"/>
      <c r="Q682" s="12"/>
      <c r="R682" s="50"/>
      <c r="S682" s="50"/>
      <c r="T682" s="50"/>
      <c r="U682" s="53"/>
      <c r="V682" s="54"/>
      <c r="W682" s="56"/>
      <c r="X682" s="119"/>
      <c r="Y682" s="113"/>
      <c r="Z682" s="113"/>
      <c r="AH682" s="106"/>
      <c r="AI682" s="106"/>
    </row>
    <row r="683">
      <c r="A683" s="38"/>
      <c r="B683" s="38"/>
      <c r="C683" s="38"/>
      <c r="D683" s="38"/>
      <c r="E683" s="38"/>
      <c r="F683" s="41"/>
      <c r="G683" s="43"/>
      <c r="H683" s="45"/>
      <c r="I683" s="38"/>
      <c r="J683" s="38"/>
      <c r="K683" s="46"/>
      <c r="L683" s="47"/>
      <c r="M683" s="46"/>
      <c r="N683" s="46"/>
      <c r="O683" s="38"/>
      <c r="P683" s="38"/>
      <c r="Q683" s="12"/>
      <c r="R683" s="50"/>
      <c r="S683" s="50"/>
      <c r="T683" s="50"/>
      <c r="U683" s="53"/>
      <c r="V683" s="54"/>
      <c r="W683" s="56"/>
      <c r="X683" s="119"/>
      <c r="Y683" s="113"/>
      <c r="Z683" s="113"/>
      <c r="AH683" s="106"/>
      <c r="AI683" s="106"/>
    </row>
    <row r="684">
      <c r="A684" s="38"/>
      <c r="B684" s="38"/>
      <c r="C684" s="38"/>
      <c r="D684" s="38"/>
      <c r="E684" s="38"/>
      <c r="F684" s="41"/>
      <c r="G684" s="43"/>
      <c r="H684" s="45"/>
      <c r="I684" s="38"/>
      <c r="J684" s="38"/>
      <c r="K684" s="46"/>
      <c r="L684" s="47"/>
      <c r="M684" s="46"/>
      <c r="N684" s="46"/>
      <c r="O684" s="38"/>
      <c r="P684" s="38"/>
      <c r="Q684" s="12"/>
      <c r="R684" s="50"/>
      <c r="S684" s="50"/>
      <c r="T684" s="50"/>
      <c r="U684" s="53"/>
      <c r="V684" s="54"/>
      <c r="W684" s="56"/>
      <c r="X684" s="119"/>
      <c r="Y684" s="113"/>
      <c r="Z684" s="113"/>
      <c r="AH684" s="106"/>
      <c r="AI684" s="106"/>
    </row>
    <row r="685">
      <c r="A685" s="38"/>
      <c r="B685" s="38"/>
      <c r="C685" s="38"/>
      <c r="D685" s="38"/>
      <c r="E685" s="38"/>
      <c r="F685" s="41"/>
      <c r="G685" s="43"/>
      <c r="H685" s="45"/>
      <c r="I685" s="38"/>
      <c r="J685" s="38"/>
      <c r="K685" s="46"/>
      <c r="L685" s="47"/>
      <c r="M685" s="46"/>
      <c r="N685" s="46"/>
      <c r="O685" s="38"/>
      <c r="P685" s="38"/>
      <c r="Q685" s="12"/>
      <c r="R685" s="50"/>
      <c r="S685" s="50"/>
      <c r="T685" s="50"/>
      <c r="U685" s="53"/>
      <c r="V685" s="54"/>
      <c r="W685" s="56"/>
      <c r="X685" s="119"/>
      <c r="Y685" s="113"/>
      <c r="Z685" s="113"/>
      <c r="AH685" s="106"/>
      <c r="AI685" s="106"/>
    </row>
    <row r="686">
      <c r="A686" s="38"/>
      <c r="B686" s="38"/>
      <c r="C686" s="38"/>
      <c r="D686" s="38"/>
      <c r="E686" s="38"/>
      <c r="F686" s="41"/>
      <c r="G686" s="43"/>
      <c r="H686" s="45"/>
      <c r="I686" s="38"/>
      <c r="J686" s="38"/>
      <c r="K686" s="46"/>
      <c r="L686" s="47"/>
      <c r="M686" s="46"/>
      <c r="N686" s="46"/>
      <c r="O686" s="38"/>
      <c r="P686" s="38"/>
      <c r="Q686" s="12"/>
      <c r="R686" s="50"/>
      <c r="S686" s="50"/>
      <c r="T686" s="50"/>
      <c r="U686" s="53"/>
      <c r="V686" s="54"/>
      <c r="W686" s="56"/>
      <c r="X686" s="119"/>
      <c r="Y686" s="113"/>
      <c r="Z686" s="113"/>
      <c r="AH686" s="106"/>
      <c r="AI686" s="106"/>
    </row>
    <row r="687">
      <c r="A687" s="38"/>
      <c r="B687" s="38"/>
      <c r="C687" s="38"/>
      <c r="D687" s="38"/>
      <c r="E687" s="38"/>
      <c r="F687" s="41"/>
      <c r="G687" s="43"/>
      <c r="H687" s="45"/>
      <c r="I687" s="38"/>
      <c r="J687" s="38"/>
      <c r="K687" s="46"/>
      <c r="L687" s="47"/>
      <c r="M687" s="46"/>
      <c r="N687" s="46"/>
      <c r="O687" s="38"/>
      <c r="P687" s="38"/>
      <c r="Q687" s="12"/>
      <c r="R687" s="50"/>
      <c r="S687" s="50"/>
      <c r="T687" s="50"/>
      <c r="U687" s="53"/>
      <c r="V687" s="54"/>
      <c r="W687" s="56"/>
      <c r="X687" s="119"/>
      <c r="Y687" s="113"/>
      <c r="Z687" s="113"/>
      <c r="AH687" s="106"/>
      <c r="AI687" s="106"/>
    </row>
    <row r="688">
      <c r="A688" s="38"/>
      <c r="B688" s="38"/>
      <c r="C688" s="38"/>
      <c r="D688" s="38"/>
      <c r="E688" s="38"/>
      <c r="F688" s="41"/>
      <c r="G688" s="43"/>
      <c r="H688" s="45"/>
      <c r="I688" s="38"/>
      <c r="J688" s="38"/>
      <c r="K688" s="46"/>
      <c r="L688" s="47"/>
      <c r="M688" s="46"/>
      <c r="N688" s="46"/>
      <c r="O688" s="38"/>
      <c r="P688" s="38"/>
      <c r="Q688" s="12"/>
      <c r="R688" s="50"/>
      <c r="S688" s="50"/>
      <c r="T688" s="50"/>
      <c r="U688" s="53"/>
      <c r="V688" s="54"/>
      <c r="W688" s="56"/>
      <c r="X688" s="119"/>
      <c r="Y688" s="113"/>
      <c r="Z688" s="113"/>
      <c r="AH688" s="106"/>
      <c r="AI688" s="106"/>
    </row>
    <row r="689">
      <c r="A689" s="38"/>
      <c r="B689" s="38"/>
      <c r="C689" s="38"/>
      <c r="D689" s="38"/>
      <c r="E689" s="38"/>
      <c r="F689" s="41"/>
      <c r="G689" s="43"/>
      <c r="H689" s="45"/>
      <c r="I689" s="38"/>
      <c r="J689" s="38"/>
      <c r="K689" s="46"/>
      <c r="L689" s="47"/>
      <c r="M689" s="46"/>
      <c r="N689" s="46"/>
      <c r="O689" s="38"/>
      <c r="P689" s="38"/>
      <c r="Q689" s="12"/>
      <c r="R689" s="50"/>
      <c r="S689" s="50"/>
      <c r="T689" s="50"/>
      <c r="U689" s="53"/>
      <c r="V689" s="54"/>
      <c r="W689" s="56"/>
      <c r="X689" s="119"/>
      <c r="Y689" s="113"/>
      <c r="Z689" s="113"/>
      <c r="AH689" s="106"/>
      <c r="AI689" s="106"/>
    </row>
    <row r="690">
      <c r="A690" s="38"/>
      <c r="B690" s="38"/>
      <c r="C690" s="38"/>
      <c r="D690" s="38"/>
      <c r="E690" s="38"/>
      <c r="F690" s="41"/>
      <c r="G690" s="43"/>
      <c r="H690" s="45"/>
      <c r="I690" s="38"/>
      <c r="J690" s="38"/>
      <c r="K690" s="46"/>
      <c r="L690" s="47"/>
      <c r="M690" s="46"/>
      <c r="N690" s="46"/>
      <c r="O690" s="38"/>
      <c r="P690" s="38"/>
      <c r="Q690" s="12"/>
      <c r="R690" s="50"/>
      <c r="S690" s="50"/>
      <c r="T690" s="50"/>
      <c r="U690" s="53"/>
      <c r="V690" s="54"/>
      <c r="W690" s="56"/>
      <c r="X690" s="119"/>
      <c r="Y690" s="113"/>
      <c r="Z690" s="113"/>
      <c r="AH690" s="106"/>
      <c r="AI690" s="106"/>
    </row>
    <row r="691">
      <c r="A691" s="38"/>
      <c r="B691" s="38"/>
      <c r="C691" s="38"/>
      <c r="D691" s="38"/>
      <c r="E691" s="38"/>
      <c r="F691" s="41"/>
      <c r="G691" s="43"/>
      <c r="H691" s="45"/>
      <c r="I691" s="38"/>
      <c r="J691" s="38"/>
      <c r="K691" s="46"/>
      <c r="L691" s="47"/>
      <c r="M691" s="46"/>
      <c r="N691" s="46"/>
      <c r="O691" s="38"/>
      <c r="P691" s="38"/>
      <c r="Q691" s="12"/>
      <c r="R691" s="50"/>
      <c r="S691" s="50"/>
      <c r="T691" s="50"/>
      <c r="U691" s="53"/>
      <c r="V691" s="54"/>
      <c r="W691" s="56"/>
      <c r="X691" s="119"/>
      <c r="Y691" s="113"/>
      <c r="Z691" s="113"/>
      <c r="AH691" s="106"/>
      <c r="AI691" s="106"/>
    </row>
    <row r="692">
      <c r="A692" s="38"/>
      <c r="B692" s="38"/>
      <c r="C692" s="38"/>
      <c r="D692" s="38"/>
      <c r="E692" s="38"/>
      <c r="F692" s="41"/>
      <c r="G692" s="43"/>
      <c r="H692" s="45"/>
      <c r="I692" s="38"/>
      <c r="J692" s="38"/>
      <c r="K692" s="46"/>
      <c r="L692" s="47"/>
      <c r="M692" s="46"/>
      <c r="N692" s="46"/>
      <c r="O692" s="38"/>
      <c r="P692" s="38"/>
      <c r="Q692" s="12"/>
      <c r="R692" s="50"/>
      <c r="S692" s="50"/>
      <c r="T692" s="50"/>
      <c r="U692" s="53"/>
      <c r="V692" s="54"/>
      <c r="W692" s="56"/>
      <c r="X692" s="119"/>
      <c r="Y692" s="113"/>
      <c r="Z692" s="113"/>
      <c r="AH692" s="106"/>
      <c r="AI692" s="106"/>
    </row>
    <row r="693">
      <c r="A693" s="38"/>
      <c r="B693" s="38"/>
      <c r="C693" s="38"/>
      <c r="D693" s="38"/>
      <c r="E693" s="38"/>
      <c r="F693" s="41"/>
      <c r="G693" s="43"/>
      <c r="H693" s="45"/>
      <c r="I693" s="38"/>
      <c r="J693" s="38"/>
      <c r="K693" s="46"/>
      <c r="L693" s="47"/>
      <c r="M693" s="46"/>
      <c r="N693" s="46"/>
      <c r="O693" s="38"/>
      <c r="P693" s="38"/>
      <c r="Q693" s="12"/>
      <c r="R693" s="50"/>
      <c r="S693" s="50"/>
      <c r="T693" s="50"/>
      <c r="U693" s="53"/>
      <c r="V693" s="54"/>
      <c r="W693" s="56"/>
      <c r="X693" s="119"/>
      <c r="Y693" s="113"/>
      <c r="Z693" s="113"/>
      <c r="AH693" s="106"/>
      <c r="AI693" s="106"/>
    </row>
    <row r="694">
      <c r="A694" s="38"/>
      <c r="B694" s="38"/>
      <c r="C694" s="38"/>
      <c r="D694" s="38"/>
      <c r="E694" s="38"/>
      <c r="F694" s="41"/>
      <c r="G694" s="43"/>
      <c r="H694" s="45"/>
      <c r="I694" s="38"/>
      <c r="J694" s="38"/>
      <c r="K694" s="46"/>
      <c r="L694" s="47"/>
      <c r="M694" s="46"/>
      <c r="N694" s="46"/>
      <c r="O694" s="38"/>
      <c r="P694" s="38"/>
      <c r="Q694" s="12"/>
      <c r="R694" s="50"/>
      <c r="S694" s="50"/>
      <c r="T694" s="50"/>
      <c r="U694" s="53"/>
      <c r="V694" s="54"/>
      <c r="W694" s="56"/>
      <c r="X694" s="119"/>
      <c r="Y694" s="113"/>
      <c r="Z694" s="113"/>
      <c r="AH694" s="106"/>
      <c r="AI694" s="106"/>
    </row>
    <row r="695">
      <c r="A695" s="38"/>
      <c r="B695" s="38"/>
      <c r="C695" s="38"/>
      <c r="D695" s="38"/>
      <c r="E695" s="38"/>
      <c r="F695" s="41"/>
      <c r="G695" s="43"/>
      <c r="H695" s="45"/>
      <c r="I695" s="38"/>
      <c r="J695" s="38"/>
      <c r="K695" s="46"/>
      <c r="L695" s="47"/>
      <c r="M695" s="46"/>
      <c r="N695" s="46"/>
      <c r="O695" s="38"/>
      <c r="P695" s="38"/>
      <c r="Q695" s="12"/>
      <c r="R695" s="50"/>
      <c r="S695" s="50"/>
      <c r="T695" s="50"/>
      <c r="U695" s="53"/>
      <c r="V695" s="54"/>
      <c r="W695" s="56"/>
      <c r="X695" s="119"/>
      <c r="Y695" s="113"/>
      <c r="Z695" s="113"/>
      <c r="AH695" s="106"/>
      <c r="AI695" s="106"/>
    </row>
    <row r="696">
      <c r="A696" s="38"/>
      <c r="B696" s="38"/>
      <c r="C696" s="38"/>
      <c r="D696" s="38"/>
      <c r="E696" s="38"/>
      <c r="F696" s="41"/>
      <c r="G696" s="43"/>
      <c r="H696" s="45"/>
      <c r="I696" s="38"/>
      <c r="J696" s="38"/>
      <c r="K696" s="46"/>
      <c r="L696" s="47"/>
      <c r="M696" s="46"/>
      <c r="N696" s="46"/>
      <c r="O696" s="38"/>
      <c r="P696" s="38"/>
      <c r="Q696" s="12"/>
      <c r="R696" s="50"/>
      <c r="S696" s="50"/>
      <c r="T696" s="50"/>
      <c r="U696" s="53"/>
      <c r="V696" s="54"/>
      <c r="W696" s="56"/>
      <c r="X696" s="119"/>
      <c r="Y696" s="113"/>
      <c r="Z696" s="113"/>
      <c r="AH696" s="106"/>
      <c r="AI696" s="106"/>
    </row>
    <row r="697">
      <c r="A697" s="38"/>
      <c r="B697" s="38"/>
      <c r="C697" s="38"/>
      <c r="D697" s="38"/>
      <c r="E697" s="38"/>
      <c r="F697" s="41"/>
      <c r="G697" s="43"/>
      <c r="H697" s="45"/>
      <c r="I697" s="38"/>
      <c r="J697" s="38"/>
      <c r="K697" s="46"/>
      <c r="L697" s="47"/>
      <c r="M697" s="46"/>
      <c r="N697" s="46"/>
      <c r="O697" s="38"/>
      <c r="P697" s="38"/>
      <c r="Q697" s="12"/>
      <c r="R697" s="50"/>
      <c r="S697" s="50"/>
      <c r="T697" s="50"/>
      <c r="U697" s="53"/>
      <c r="V697" s="54"/>
      <c r="W697" s="56"/>
      <c r="X697" s="119"/>
      <c r="Y697" s="113"/>
      <c r="Z697" s="113"/>
      <c r="AH697" s="106"/>
      <c r="AI697" s="106"/>
    </row>
    <row r="698">
      <c r="A698" s="38"/>
      <c r="B698" s="38"/>
      <c r="C698" s="38"/>
      <c r="D698" s="38"/>
      <c r="E698" s="38"/>
      <c r="F698" s="41"/>
      <c r="G698" s="43"/>
      <c r="H698" s="45"/>
      <c r="I698" s="38"/>
      <c r="J698" s="38"/>
      <c r="K698" s="46"/>
      <c r="L698" s="47"/>
      <c r="M698" s="46"/>
      <c r="N698" s="46"/>
      <c r="O698" s="38"/>
      <c r="P698" s="38"/>
      <c r="Q698" s="12"/>
      <c r="R698" s="50"/>
      <c r="S698" s="50"/>
      <c r="T698" s="50"/>
      <c r="U698" s="53"/>
      <c r="V698" s="54"/>
      <c r="W698" s="56"/>
      <c r="X698" s="119"/>
      <c r="Y698" s="113"/>
      <c r="Z698" s="113"/>
      <c r="AH698" s="106"/>
      <c r="AI698" s="106"/>
    </row>
    <row r="699">
      <c r="A699" s="38"/>
      <c r="B699" s="38"/>
      <c r="C699" s="38"/>
      <c r="D699" s="38"/>
      <c r="E699" s="38"/>
      <c r="F699" s="41"/>
      <c r="G699" s="43"/>
      <c r="H699" s="45"/>
      <c r="I699" s="38"/>
      <c r="J699" s="38"/>
      <c r="K699" s="46"/>
      <c r="L699" s="47"/>
      <c r="M699" s="46"/>
      <c r="N699" s="46"/>
      <c r="O699" s="38"/>
      <c r="P699" s="38"/>
      <c r="Q699" s="12"/>
      <c r="R699" s="50"/>
      <c r="S699" s="50"/>
      <c r="T699" s="50"/>
      <c r="U699" s="53"/>
      <c r="V699" s="54"/>
      <c r="W699" s="56"/>
      <c r="X699" s="119"/>
      <c r="Y699" s="113"/>
      <c r="Z699" s="113"/>
      <c r="AH699" s="106"/>
      <c r="AI699" s="106"/>
    </row>
    <row r="700">
      <c r="A700" s="38"/>
      <c r="B700" s="38"/>
      <c r="C700" s="38"/>
      <c r="D700" s="38"/>
      <c r="E700" s="38"/>
      <c r="F700" s="41"/>
      <c r="G700" s="43"/>
      <c r="H700" s="45"/>
      <c r="I700" s="38"/>
      <c r="J700" s="38"/>
      <c r="K700" s="46"/>
      <c r="L700" s="47"/>
      <c r="M700" s="46"/>
      <c r="N700" s="46"/>
      <c r="O700" s="38"/>
      <c r="P700" s="38"/>
      <c r="Q700" s="12"/>
      <c r="R700" s="50"/>
      <c r="S700" s="50"/>
      <c r="T700" s="50"/>
      <c r="U700" s="53"/>
      <c r="V700" s="54"/>
      <c r="W700" s="56"/>
      <c r="X700" s="119"/>
      <c r="Y700" s="113"/>
      <c r="Z700" s="113"/>
      <c r="AH700" s="106"/>
      <c r="AI700" s="106"/>
    </row>
    <row r="701">
      <c r="A701" s="38"/>
      <c r="B701" s="38"/>
      <c r="C701" s="38"/>
      <c r="D701" s="38"/>
      <c r="E701" s="38"/>
      <c r="F701" s="41"/>
      <c r="G701" s="43"/>
      <c r="H701" s="45"/>
      <c r="I701" s="38"/>
      <c r="J701" s="38"/>
      <c r="K701" s="46"/>
      <c r="L701" s="47"/>
      <c r="M701" s="46"/>
      <c r="N701" s="46"/>
      <c r="O701" s="38"/>
      <c r="P701" s="38"/>
      <c r="Q701" s="12"/>
      <c r="R701" s="50"/>
      <c r="S701" s="50"/>
      <c r="T701" s="50"/>
      <c r="U701" s="53"/>
      <c r="V701" s="54"/>
      <c r="W701" s="56"/>
      <c r="X701" s="119"/>
      <c r="Y701" s="113"/>
      <c r="Z701" s="113"/>
      <c r="AH701" s="106"/>
      <c r="AI701" s="106"/>
    </row>
    <row r="702">
      <c r="A702" s="38"/>
      <c r="B702" s="38"/>
      <c r="C702" s="38"/>
      <c r="D702" s="38"/>
      <c r="E702" s="38"/>
      <c r="F702" s="41"/>
      <c r="G702" s="43"/>
      <c r="H702" s="45"/>
      <c r="I702" s="38"/>
      <c r="J702" s="38"/>
      <c r="K702" s="46"/>
      <c r="L702" s="47"/>
      <c r="M702" s="46"/>
      <c r="N702" s="46"/>
      <c r="O702" s="38"/>
      <c r="P702" s="38"/>
      <c r="Q702" s="12"/>
      <c r="R702" s="50"/>
      <c r="S702" s="50"/>
      <c r="T702" s="50"/>
      <c r="U702" s="53"/>
      <c r="V702" s="54"/>
      <c r="W702" s="56"/>
      <c r="X702" s="119"/>
      <c r="Y702" s="113"/>
      <c r="Z702" s="113"/>
      <c r="AH702" s="106"/>
      <c r="AI702" s="106"/>
    </row>
    <row r="703">
      <c r="A703" s="38"/>
      <c r="B703" s="38"/>
      <c r="C703" s="38"/>
      <c r="D703" s="38"/>
      <c r="E703" s="38"/>
      <c r="F703" s="41"/>
      <c r="G703" s="43"/>
      <c r="H703" s="45"/>
      <c r="I703" s="38"/>
      <c r="J703" s="38"/>
      <c r="K703" s="46"/>
      <c r="L703" s="47"/>
      <c r="M703" s="46"/>
      <c r="N703" s="46"/>
      <c r="O703" s="38"/>
      <c r="P703" s="38"/>
      <c r="Q703" s="12"/>
      <c r="R703" s="50"/>
      <c r="S703" s="50"/>
      <c r="T703" s="50"/>
      <c r="U703" s="53"/>
      <c r="V703" s="54"/>
      <c r="W703" s="56"/>
      <c r="X703" s="119"/>
      <c r="Y703" s="113"/>
      <c r="Z703" s="113"/>
      <c r="AH703" s="106"/>
      <c r="AI703" s="106"/>
    </row>
    <row r="704">
      <c r="A704" s="38"/>
      <c r="B704" s="38"/>
      <c r="C704" s="38"/>
      <c r="D704" s="38"/>
      <c r="E704" s="38"/>
      <c r="F704" s="41"/>
      <c r="G704" s="43"/>
      <c r="H704" s="45"/>
      <c r="I704" s="38"/>
      <c r="J704" s="38"/>
      <c r="K704" s="46"/>
      <c r="L704" s="47"/>
      <c r="M704" s="46"/>
      <c r="N704" s="46"/>
      <c r="O704" s="38"/>
      <c r="P704" s="38"/>
      <c r="Q704" s="12"/>
      <c r="R704" s="50"/>
      <c r="S704" s="50"/>
      <c r="T704" s="50"/>
      <c r="U704" s="53"/>
      <c r="V704" s="54"/>
      <c r="W704" s="56"/>
      <c r="X704" s="119"/>
      <c r="Y704" s="113"/>
      <c r="Z704" s="113"/>
      <c r="AH704" s="106"/>
      <c r="AI704" s="106"/>
    </row>
    <row r="705">
      <c r="A705" s="38"/>
      <c r="B705" s="38"/>
      <c r="C705" s="38"/>
      <c r="D705" s="38"/>
      <c r="E705" s="38"/>
      <c r="F705" s="41"/>
      <c r="G705" s="43"/>
      <c r="H705" s="45"/>
      <c r="I705" s="38"/>
      <c r="J705" s="38"/>
      <c r="K705" s="46"/>
      <c r="L705" s="47"/>
      <c r="M705" s="46"/>
      <c r="N705" s="46"/>
      <c r="O705" s="38"/>
      <c r="P705" s="38"/>
      <c r="Q705" s="12"/>
      <c r="R705" s="50"/>
      <c r="S705" s="50"/>
      <c r="T705" s="50"/>
      <c r="U705" s="53"/>
      <c r="V705" s="54"/>
      <c r="W705" s="56"/>
      <c r="X705" s="119"/>
      <c r="Y705" s="113"/>
      <c r="Z705" s="113"/>
      <c r="AH705" s="106"/>
      <c r="AI705" s="106"/>
    </row>
    <row r="706">
      <c r="A706" s="38"/>
      <c r="B706" s="38"/>
      <c r="C706" s="38"/>
      <c r="D706" s="38"/>
      <c r="E706" s="38"/>
      <c r="F706" s="41"/>
      <c r="G706" s="43"/>
      <c r="H706" s="45"/>
      <c r="I706" s="38"/>
      <c r="J706" s="38"/>
      <c r="K706" s="46"/>
      <c r="L706" s="47"/>
      <c r="M706" s="46"/>
      <c r="N706" s="46"/>
      <c r="O706" s="38"/>
      <c r="P706" s="38"/>
      <c r="Q706" s="12"/>
      <c r="R706" s="50"/>
      <c r="S706" s="50"/>
      <c r="T706" s="50"/>
      <c r="U706" s="53"/>
      <c r="V706" s="54"/>
      <c r="W706" s="56"/>
      <c r="X706" s="119"/>
      <c r="Y706" s="113"/>
      <c r="Z706" s="113"/>
      <c r="AH706" s="106"/>
      <c r="AI706" s="106"/>
    </row>
    <row r="707">
      <c r="A707" s="38"/>
      <c r="B707" s="38"/>
      <c r="C707" s="38"/>
      <c r="D707" s="38"/>
      <c r="E707" s="38"/>
      <c r="F707" s="41"/>
      <c r="G707" s="43"/>
      <c r="H707" s="45"/>
      <c r="I707" s="38"/>
      <c r="J707" s="38"/>
      <c r="K707" s="46"/>
      <c r="L707" s="47"/>
      <c r="M707" s="46"/>
      <c r="N707" s="46"/>
      <c r="O707" s="38"/>
      <c r="P707" s="38"/>
      <c r="Q707" s="12"/>
      <c r="R707" s="50"/>
      <c r="S707" s="50"/>
      <c r="T707" s="50"/>
      <c r="U707" s="53"/>
      <c r="V707" s="54"/>
      <c r="W707" s="56"/>
      <c r="X707" s="119"/>
      <c r="Y707" s="113"/>
      <c r="Z707" s="113"/>
      <c r="AH707" s="106"/>
      <c r="AI707" s="106"/>
    </row>
    <row r="708">
      <c r="A708" s="38"/>
      <c r="B708" s="38"/>
      <c r="C708" s="38"/>
      <c r="D708" s="38"/>
      <c r="E708" s="38"/>
      <c r="F708" s="41"/>
      <c r="G708" s="43"/>
      <c r="H708" s="45"/>
      <c r="I708" s="38"/>
      <c r="J708" s="38"/>
      <c r="K708" s="46"/>
      <c r="L708" s="47"/>
      <c r="M708" s="46"/>
      <c r="N708" s="46"/>
      <c r="O708" s="38"/>
      <c r="P708" s="38"/>
      <c r="Q708" s="12"/>
      <c r="R708" s="50"/>
      <c r="S708" s="50"/>
      <c r="T708" s="50"/>
      <c r="U708" s="53"/>
      <c r="V708" s="54"/>
      <c r="W708" s="56"/>
      <c r="X708" s="119"/>
      <c r="Y708" s="113"/>
      <c r="Z708" s="113"/>
      <c r="AH708" s="106"/>
      <c r="AI708" s="106"/>
    </row>
    <row r="709">
      <c r="A709" s="38"/>
      <c r="B709" s="38"/>
      <c r="C709" s="38"/>
      <c r="D709" s="38"/>
      <c r="E709" s="38"/>
      <c r="F709" s="41"/>
      <c r="G709" s="43"/>
      <c r="H709" s="45"/>
      <c r="I709" s="38"/>
      <c r="J709" s="38"/>
      <c r="K709" s="46"/>
      <c r="L709" s="47"/>
      <c r="M709" s="46"/>
      <c r="N709" s="46"/>
      <c r="O709" s="38"/>
      <c r="P709" s="38"/>
      <c r="Q709" s="12"/>
      <c r="R709" s="50"/>
      <c r="S709" s="50"/>
      <c r="T709" s="50"/>
      <c r="U709" s="53"/>
      <c r="V709" s="54"/>
      <c r="W709" s="56"/>
      <c r="X709" s="119"/>
      <c r="Y709" s="113"/>
      <c r="Z709" s="113"/>
      <c r="AH709" s="106"/>
      <c r="AI709" s="106"/>
    </row>
    <row r="710">
      <c r="A710" s="38"/>
      <c r="B710" s="38"/>
      <c r="C710" s="38"/>
      <c r="D710" s="38"/>
      <c r="E710" s="38"/>
      <c r="F710" s="41"/>
      <c r="G710" s="43"/>
      <c r="H710" s="45"/>
      <c r="I710" s="38"/>
      <c r="J710" s="38"/>
      <c r="K710" s="46"/>
      <c r="L710" s="47"/>
      <c r="M710" s="46"/>
      <c r="N710" s="46"/>
      <c r="O710" s="38"/>
      <c r="P710" s="38"/>
      <c r="Q710" s="12"/>
      <c r="R710" s="50"/>
      <c r="S710" s="50"/>
      <c r="T710" s="50"/>
      <c r="U710" s="53"/>
      <c r="V710" s="54"/>
      <c r="W710" s="56"/>
      <c r="X710" s="119"/>
      <c r="Y710" s="113"/>
      <c r="Z710" s="113"/>
      <c r="AH710" s="106"/>
      <c r="AI710" s="106"/>
    </row>
    <row r="711">
      <c r="A711" s="38"/>
      <c r="B711" s="38"/>
      <c r="C711" s="38"/>
      <c r="D711" s="38"/>
      <c r="E711" s="38"/>
      <c r="F711" s="41"/>
      <c r="G711" s="43"/>
      <c r="H711" s="45"/>
      <c r="I711" s="38"/>
      <c r="J711" s="38"/>
      <c r="K711" s="46"/>
      <c r="L711" s="47"/>
      <c r="M711" s="46"/>
      <c r="N711" s="46"/>
      <c r="O711" s="38"/>
      <c r="P711" s="38"/>
      <c r="Q711" s="12"/>
      <c r="R711" s="50"/>
      <c r="S711" s="50"/>
      <c r="T711" s="50"/>
      <c r="U711" s="53"/>
      <c r="V711" s="54"/>
      <c r="W711" s="56"/>
      <c r="X711" s="119"/>
      <c r="Y711" s="113"/>
      <c r="Z711" s="113"/>
      <c r="AH711" s="106"/>
      <c r="AI711" s="106"/>
    </row>
    <row r="712">
      <c r="A712" s="38"/>
      <c r="B712" s="38"/>
      <c r="C712" s="38"/>
      <c r="D712" s="38"/>
      <c r="E712" s="38"/>
      <c r="F712" s="41"/>
      <c r="G712" s="43"/>
      <c r="H712" s="45"/>
      <c r="I712" s="38"/>
      <c r="J712" s="38"/>
      <c r="K712" s="46"/>
      <c r="L712" s="47"/>
      <c r="M712" s="46"/>
      <c r="N712" s="46"/>
      <c r="O712" s="38"/>
      <c r="P712" s="38"/>
      <c r="Q712" s="12"/>
      <c r="R712" s="50"/>
      <c r="S712" s="50"/>
      <c r="T712" s="50"/>
      <c r="U712" s="53"/>
      <c r="V712" s="54"/>
      <c r="W712" s="56"/>
      <c r="X712" s="119"/>
      <c r="Y712" s="113"/>
      <c r="Z712" s="113"/>
      <c r="AH712" s="106"/>
      <c r="AI712" s="106"/>
    </row>
    <row r="713">
      <c r="A713" s="38"/>
      <c r="B713" s="38"/>
      <c r="C713" s="38"/>
      <c r="D713" s="38"/>
      <c r="E713" s="38"/>
      <c r="F713" s="41"/>
      <c r="G713" s="43"/>
      <c r="H713" s="45"/>
      <c r="I713" s="38"/>
      <c r="J713" s="38"/>
      <c r="K713" s="46"/>
      <c r="L713" s="47"/>
      <c r="M713" s="46"/>
      <c r="N713" s="46"/>
      <c r="O713" s="38"/>
      <c r="P713" s="38"/>
      <c r="Q713" s="12"/>
      <c r="R713" s="50"/>
      <c r="S713" s="50"/>
      <c r="T713" s="50"/>
      <c r="U713" s="53"/>
      <c r="V713" s="54"/>
      <c r="W713" s="56"/>
      <c r="X713" s="119"/>
      <c r="Y713" s="113"/>
      <c r="Z713" s="113"/>
      <c r="AH713" s="106"/>
      <c r="AI713" s="106"/>
    </row>
    <row r="714">
      <c r="A714" s="38"/>
      <c r="B714" s="38"/>
      <c r="C714" s="38"/>
      <c r="D714" s="38"/>
      <c r="E714" s="38"/>
      <c r="F714" s="41"/>
      <c r="G714" s="43"/>
      <c r="H714" s="45"/>
      <c r="I714" s="38"/>
      <c r="J714" s="38"/>
      <c r="K714" s="46"/>
      <c r="L714" s="47"/>
      <c r="M714" s="46"/>
      <c r="N714" s="46"/>
      <c r="O714" s="38"/>
      <c r="P714" s="38"/>
      <c r="Q714" s="12"/>
      <c r="R714" s="50"/>
      <c r="S714" s="50"/>
      <c r="T714" s="50"/>
      <c r="U714" s="53"/>
      <c r="V714" s="54"/>
      <c r="W714" s="56"/>
      <c r="X714" s="119"/>
      <c r="Y714" s="113"/>
      <c r="Z714" s="113"/>
      <c r="AH714" s="106"/>
      <c r="AI714" s="106"/>
    </row>
    <row r="715">
      <c r="A715" s="38"/>
      <c r="B715" s="38"/>
      <c r="C715" s="38"/>
      <c r="D715" s="38"/>
      <c r="E715" s="38"/>
      <c r="F715" s="41"/>
      <c r="G715" s="43"/>
      <c r="H715" s="45"/>
      <c r="I715" s="38"/>
      <c r="J715" s="38"/>
      <c r="K715" s="46"/>
      <c r="L715" s="47"/>
      <c r="M715" s="46"/>
      <c r="N715" s="46"/>
      <c r="O715" s="38"/>
      <c r="P715" s="38"/>
      <c r="Q715" s="12"/>
      <c r="R715" s="50"/>
      <c r="S715" s="50"/>
      <c r="T715" s="50"/>
      <c r="U715" s="53"/>
      <c r="V715" s="54"/>
      <c r="W715" s="56"/>
      <c r="X715" s="119"/>
      <c r="Y715" s="113"/>
      <c r="Z715" s="113"/>
      <c r="AH715" s="106"/>
      <c r="AI715" s="106"/>
    </row>
    <row r="716">
      <c r="A716" s="38"/>
      <c r="B716" s="38"/>
      <c r="C716" s="38"/>
      <c r="D716" s="38"/>
      <c r="E716" s="38"/>
      <c r="F716" s="41"/>
      <c r="G716" s="43"/>
      <c r="H716" s="45"/>
      <c r="I716" s="38"/>
      <c r="J716" s="38"/>
      <c r="K716" s="46"/>
      <c r="L716" s="47"/>
      <c r="M716" s="46"/>
      <c r="N716" s="46"/>
      <c r="O716" s="38"/>
      <c r="P716" s="38"/>
      <c r="Q716" s="12"/>
      <c r="R716" s="50"/>
      <c r="S716" s="50"/>
      <c r="T716" s="50"/>
      <c r="U716" s="53"/>
      <c r="V716" s="54"/>
      <c r="W716" s="56"/>
      <c r="X716" s="119"/>
      <c r="Y716" s="113"/>
      <c r="Z716" s="113"/>
      <c r="AH716" s="106"/>
      <c r="AI716" s="106"/>
    </row>
    <row r="717">
      <c r="A717" s="38"/>
      <c r="B717" s="38"/>
      <c r="C717" s="38"/>
      <c r="D717" s="38"/>
      <c r="E717" s="38"/>
      <c r="F717" s="41"/>
      <c r="G717" s="43"/>
      <c r="H717" s="45"/>
      <c r="I717" s="38"/>
      <c r="J717" s="38"/>
      <c r="K717" s="46"/>
      <c r="L717" s="47"/>
      <c r="M717" s="46"/>
      <c r="N717" s="46"/>
      <c r="O717" s="38"/>
      <c r="P717" s="38"/>
      <c r="Q717" s="12"/>
      <c r="R717" s="50"/>
      <c r="S717" s="50"/>
      <c r="T717" s="50"/>
      <c r="U717" s="53"/>
      <c r="V717" s="54"/>
      <c r="W717" s="56"/>
      <c r="X717" s="119"/>
      <c r="Y717" s="113"/>
      <c r="Z717" s="113"/>
      <c r="AH717" s="106"/>
      <c r="AI717" s="106"/>
    </row>
    <row r="718">
      <c r="A718" s="38"/>
      <c r="B718" s="38"/>
      <c r="C718" s="38"/>
      <c r="D718" s="38"/>
      <c r="E718" s="38"/>
      <c r="F718" s="41"/>
      <c r="G718" s="43"/>
      <c r="H718" s="45"/>
      <c r="I718" s="38"/>
      <c r="J718" s="38"/>
      <c r="K718" s="46"/>
      <c r="L718" s="47"/>
      <c r="M718" s="46"/>
      <c r="N718" s="46"/>
      <c r="O718" s="38"/>
      <c r="P718" s="38"/>
      <c r="Q718" s="12"/>
      <c r="R718" s="50"/>
      <c r="S718" s="50"/>
      <c r="T718" s="50"/>
      <c r="U718" s="53"/>
      <c r="V718" s="54"/>
      <c r="W718" s="56"/>
      <c r="X718" s="119"/>
      <c r="Y718" s="113"/>
      <c r="Z718" s="113"/>
      <c r="AH718" s="106"/>
      <c r="AI718" s="106"/>
    </row>
    <row r="719">
      <c r="A719" s="38"/>
      <c r="B719" s="38"/>
      <c r="C719" s="38"/>
      <c r="D719" s="38"/>
      <c r="E719" s="38"/>
      <c r="F719" s="41"/>
      <c r="G719" s="43"/>
      <c r="H719" s="45"/>
      <c r="I719" s="38"/>
      <c r="J719" s="38"/>
      <c r="K719" s="46"/>
      <c r="L719" s="47"/>
      <c r="M719" s="46"/>
      <c r="N719" s="46"/>
      <c r="O719" s="38"/>
      <c r="P719" s="38"/>
      <c r="Q719" s="12"/>
      <c r="R719" s="50"/>
      <c r="S719" s="50"/>
      <c r="T719" s="50"/>
      <c r="U719" s="53"/>
      <c r="V719" s="54"/>
      <c r="W719" s="56"/>
      <c r="X719" s="119"/>
      <c r="Y719" s="113"/>
      <c r="Z719" s="113"/>
      <c r="AH719" s="106"/>
      <c r="AI719" s="106"/>
    </row>
    <row r="720">
      <c r="A720" s="38"/>
      <c r="B720" s="38"/>
      <c r="C720" s="38"/>
      <c r="D720" s="38"/>
      <c r="E720" s="38"/>
      <c r="F720" s="41"/>
      <c r="G720" s="43"/>
      <c r="H720" s="45"/>
      <c r="I720" s="38"/>
      <c r="J720" s="38"/>
      <c r="K720" s="46"/>
      <c r="L720" s="47"/>
      <c r="M720" s="46"/>
      <c r="N720" s="46"/>
      <c r="O720" s="38"/>
      <c r="P720" s="38"/>
      <c r="Q720" s="12"/>
      <c r="R720" s="50"/>
      <c r="S720" s="50"/>
      <c r="T720" s="50"/>
      <c r="U720" s="53"/>
      <c r="V720" s="54"/>
      <c r="W720" s="56"/>
      <c r="X720" s="119"/>
      <c r="Y720" s="113"/>
      <c r="Z720" s="113"/>
      <c r="AH720" s="106"/>
      <c r="AI720" s="106"/>
    </row>
    <row r="721">
      <c r="A721" s="38"/>
      <c r="B721" s="38"/>
      <c r="C721" s="38"/>
      <c r="D721" s="38"/>
      <c r="E721" s="38"/>
      <c r="F721" s="41"/>
      <c r="G721" s="43"/>
      <c r="H721" s="45"/>
      <c r="I721" s="38"/>
      <c r="J721" s="38"/>
      <c r="K721" s="46"/>
      <c r="L721" s="47"/>
      <c r="M721" s="46"/>
      <c r="N721" s="46"/>
      <c r="O721" s="38"/>
      <c r="P721" s="38"/>
      <c r="Q721" s="12"/>
      <c r="R721" s="50"/>
      <c r="S721" s="50"/>
      <c r="T721" s="50"/>
      <c r="U721" s="53"/>
      <c r="V721" s="54"/>
      <c r="W721" s="56"/>
      <c r="X721" s="119"/>
      <c r="Y721" s="113"/>
      <c r="Z721" s="113"/>
      <c r="AH721" s="106"/>
      <c r="AI721" s="106"/>
    </row>
    <row r="722">
      <c r="A722" s="38"/>
      <c r="B722" s="38"/>
      <c r="C722" s="38"/>
      <c r="D722" s="38"/>
      <c r="E722" s="38"/>
      <c r="F722" s="41"/>
      <c r="G722" s="43"/>
      <c r="H722" s="45"/>
      <c r="I722" s="38"/>
      <c r="J722" s="38"/>
      <c r="K722" s="46"/>
      <c r="L722" s="47"/>
      <c r="M722" s="46"/>
      <c r="N722" s="46"/>
      <c r="O722" s="38"/>
      <c r="P722" s="38"/>
      <c r="Q722" s="12"/>
      <c r="R722" s="50"/>
      <c r="S722" s="50"/>
      <c r="T722" s="50"/>
      <c r="U722" s="53"/>
      <c r="V722" s="54"/>
      <c r="W722" s="56"/>
      <c r="X722" s="119"/>
      <c r="Y722" s="113"/>
      <c r="Z722" s="113"/>
      <c r="AH722" s="106"/>
      <c r="AI722" s="106"/>
    </row>
    <row r="723">
      <c r="A723" s="38"/>
      <c r="B723" s="38"/>
      <c r="C723" s="38"/>
      <c r="D723" s="38"/>
      <c r="E723" s="38"/>
      <c r="F723" s="41"/>
      <c r="G723" s="43"/>
      <c r="H723" s="45"/>
      <c r="I723" s="38"/>
      <c r="J723" s="38"/>
      <c r="K723" s="46"/>
      <c r="L723" s="47"/>
      <c r="M723" s="46"/>
      <c r="N723" s="46"/>
      <c r="O723" s="38"/>
      <c r="P723" s="38"/>
      <c r="Q723" s="12"/>
      <c r="R723" s="50"/>
      <c r="S723" s="50"/>
      <c r="T723" s="50"/>
      <c r="U723" s="53"/>
      <c r="V723" s="54"/>
      <c r="W723" s="56"/>
      <c r="X723" s="119"/>
      <c r="Y723" s="113"/>
      <c r="Z723" s="113"/>
      <c r="AH723" s="106"/>
      <c r="AI723" s="106"/>
    </row>
    <row r="724">
      <c r="A724" s="38"/>
      <c r="B724" s="38"/>
      <c r="C724" s="38"/>
      <c r="D724" s="38"/>
      <c r="E724" s="38"/>
      <c r="F724" s="41"/>
      <c r="G724" s="43"/>
      <c r="H724" s="45"/>
      <c r="I724" s="38"/>
      <c r="J724" s="38"/>
      <c r="K724" s="46"/>
      <c r="L724" s="47"/>
      <c r="M724" s="46"/>
      <c r="N724" s="46"/>
      <c r="O724" s="38"/>
      <c r="P724" s="38"/>
      <c r="Q724" s="12"/>
      <c r="R724" s="50"/>
      <c r="S724" s="50"/>
      <c r="T724" s="50"/>
      <c r="U724" s="53"/>
      <c r="V724" s="54"/>
      <c r="W724" s="56"/>
      <c r="X724" s="119"/>
      <c r="Y724" s="113"/>
      <c r="Z724" s="113"/>
      <c r="AH724" s="106"/>
      <c r="AI724" s="106"/>
    </row>
    <row r="725">
      <c r="A725" s="38"/>
      <c r="B725" s="38"/>
      <c r="C725" s="38"/>
      <c r="D725" s="38"/>
      <c r="E725" s="38"/>
      <c r="F725" s="41"/>
      <c r="G725" s="43"/>
      <c r="H725" s="45"/>
      <c r="I725" s="38"/>
      <c r="J725" s="38"/>
      <c r="K725" s="46"/>
      <c r="L725" s="47"/>
      <c r="M725" s="46"/>
      <c r="N725" s="46"/>
      <c r="O725" s="38"/>
      <c r="P725" s="38"/>
      <c r="Q725" s="12"/>
      <c r="R725" s="50"/>
      <c r="S725" s="50"/>
      <c r="T725" s="50"/>
      <c r="U725" s="53"/>
      <c r="V725" s="54"/>
      <c r="W725" s="56"/>
      <c r="X725" s="119"/>
      <c r="Y725" s="113"/>
      <c r="Z725" s="113"/>
      <c r="AH725" s="106"/>
      <c r="AI725" s="106"/>
    </row>
    <row r="726">
      <c r="A726" s="38"/>
      <c r="B726" s="38"/>
      <c r="C726" s="38"/>
      <c r="D726" s="38"/>
      <c r="E726" s="38"/>
      <c r="F726" s="41"/>
      <c r="G726" s="43"/>
      <c r="H726" s="45"/>
      <c r="I726" s="38"/>
      <c r="J726" s="38"/>
      <c r="K726" s="46"/>
      <c r="L726" s="47"/>
      <c r="M726" s="46"/>
      <c r="N726" s="46"/>
      <c r="O726" s="38"/>
      <c r="P726" s="38"/>
      <c r="Q726" s="12"/>
      <c r="R726" s="50"/>
      <c r="S726" s="50"/>
      <c r="T726" s="50"/>
      <c r="U726" s="53"/>
      <c r="V726" s="54"/>
      <c r="W726" s="56"/>
      <c r="X726" s="119"/>
      <c r="Y726" s="113"/>
      <c r="Z726" s="113"/>
      <c r="AH726" s="106"/>
      <c r="AI726" s="106"/>
    </row>
    <row r="727">
      <c r="A727" s="38"/>
      <c r="B727" s="38"/>
      <c r="C727" s="38"/>
      <c r="D727" s="38"/>
      <c r="E727" s="38"/>
      <c r="F727" s="41"/>
      <c r="G727" s="43"/>
      <c r="H727" s="45"/>
      <c r="I727" s="38"/>
      <c r="J727" s="38"/>
      <c r="K727" s="46"/>
      <c r="L727" s="47"/>
      <c r="M727" s="46"/>
      <c r="N727" s="46"/>
      <c r="O727" s="38"/>
      <c r="P727" s="38"/>
      <c r="Q727" s="12"/>
      <c r="R727" s="50"/>
      <c r="S727" s="50"/>
      <c r="T727" s="50"/>
      <c r="U727" s="53"/>
      <c r="V727" s="54"/>
      <c r="W727" s="56"/>
      <c r="X727" s="119"/>
      <c r="Y727" s="113"/>
      <c r="Z727" s="113"/>
      <c r="AH727" s="106"/>
      <c r="AI727" s="106"/>
    </row>
    <row r="728">
      <c r="A728" s="38"/>
      <c r="B728" s="38"/>
      <c r="C728" s="38"/>
      <c r="D728" s="38"/>
      <c r="E728" s="38"/>
      <c r="F728" s="41"/>
      <c r="G728" s="43"/>
      <c r="H728" s="45"/>
      <c r="I728" s="38"/>
      <c r="J728" s="38"/>
      <c r="K728" s="46"/>
      <c r="L728" s="47"/>
      <c r="M728" s="46"/>
      <c r="N728" s="46"/>
      <c r="O728" s="38"/>
      <c r="P728" s="38"/>
      <c r="Q728" s="12"/>
      <c r="R728" s="50"/>
      <c r="S728" s="50"/>
      <c r="T728" s="50"/>
      <c r="U728" s="53"/>
      <c r="V728" s="54"/>
      <c r="W728" s="56"/>
      <c r="X728" s="119"/>
      <c r="Y728" s="113"/>
      <c r="Z728" s="113"/>
      <c r="AH728" s="106"/>
      <c r="AI728" s="106"/>
    </row>
    <row r="729">
      <c r="A729" s="38"/>
      <c r="B729" s="38"/>
      <c r="C729" s="38"/>
      <c r="D729" s="38"/>
      <c r="E729" s="38"/>
      <c r="F729" s="41"/>
      <c r="G729" s="43"/>
      <c r="H729" s="45"/>
      <c r="I729" s="38"/>
      <c r="J729" s="38"/>
      <c r="K729" s="46"/>
      <c r="L729" s="47"/>
      <c r="M729" s="46"/>
      <c r="N729" s="46"/>
      <c r="O729" s="38"/>
      <c r="P729" s="38"/>
      <c r="Q729" s="12"/>
      <c r="R729" s="50"/>
      <c r="S729" s="50"/>
      <c r="T729" s="50"/>
      <c r="U729" s="53"/>
      <c r="V729" s="54"/>
      <c r="W729" s="56"/>
      <c r="X729" s="119"/>
      <c r="Y729" s="113"/>
      <c r="Z729" s="113"/>
      <c r="AH729" s="106"/>
      <c r="AI729" s="106"/>
    </row>
    <row r="730">
      <c r="A730" s="38"/>
      <c r="B730" s="38"/>
      <c r="C730" s="38"/>
      <c r="D730" s="38"/>
      <c r="E730" s="38"/>
      <c r="F730" s="41"/>
      <c r="G730" s="43"/>
      <c r="H730" s="45"/>
      <c r="I730" s="38"/>
      <c r="J730" s="38"/>
      <c r="K730" s="46"/>
      <c r="L730" s="47"/>
      <c r="M730" s="46"/>
      <c r="N730" s="46"/>
      <c r="O730" s="38"/>
      <c r="P730" s="38"/>
      <c r="Q730" s="12"/>
      <c r="R730" s="50"/>
      <c r="S730" s="50"/>
      <c r="T730" s="50"/>
      <c r="U730" s="53"/>
      <c r="V730" s="54"/>
      <c r="W730" s="56"/>
      <c r="X730" s="119"/>
      <c r="Y730" s="113"/>
      <c r="Z730" s="113"/>
      <c r="AH730" s="106"/>
      <c r="AI730" s="106"/>
    </row>
    <row r="731">
      <c r="A731" s="38"/>
      <c r="B731" s="38"/>
      <c r="C731" s="38"/>
      <c r="D731" s="38"/>
      <c r="E731" s="38"/>
      <c r="F731" s="41"/>
      <c r="G731" s="43"/>
      <c r="H731" s="45"/>
      <c r="I731" s="38"/>
      <c r="J731" s="38"/>
      <c r="K731" s="46"/>
      <c r="L731" s="47"/>
      <c r="M731" s="46"/>
      <c r="N731" s="46"/>
      <c r="O731" s="38"/>
      <c r="P731" s="38"/>
      <c r="Q731" s="12"/>
      <c r="R731" s="50"/>
      <c r="S731" s="50"/>
      <c r="T731" s="50"/>
      <c r="U731" s="53"/>
      <c r="V731" s="54"/>
      <c r="W731" s="56"/>
      <c r="X731" s="119"/>
      <c r="Y731" s="113"/>
      <c r="Z731" s="113"/>
      <c r="AH731" s="106"/>
      <c r="AI731" s="106"/>
    </row>
    <row r="732">
      <c r="A732" s="38"/>
      <c r="B732" s="38"/>
      <c r="C732" s="38"/>
      <c r="D732" s="38"/>
      <c r="E732" s="38"/>
      <c r="F732" s="41"/>
      <c r="G732" s="43"/>
      <c r="H732" s="45"/>
      <c r="I732" s="38"/>
      <c r="J732" s="38"/>
      <c r="K732" s="46"/>
      <c r="L732" s="47"/>
      <c r="M732" s="46"/>
      <c r="N732" s="46"/>
      <c r="O732" s="38"/>
      <c r="P732" s="38"/>
      <c r="Q732" s="12"/>
      <c r="R732" s="50"/>
      <c r="S732" s="50"/>
      <c r="T732" s="50"/>
      <c r="U732" s="53"/>
      <c r="V732" s="54"/>
      <c r="W732" s="56"/>
      <c r="X732" s="119"/>
      <c r="Y732" s="113"/>
      <c r="Z732" s="113"/>
      <c r="AH732" s="106"/>
      <c r="AI732" s="106"/>
    </row>
    <row r="733">
      <c r="A733" s="38"/>
      <c r="B733" s="38"/>
      <c r="C733" s="38"/>
      <c r="D733" s="38"/>
      <c r="E733" s="38"/>
      <c r="F733" s="41"/>
      <c r="G733" s="43"/>
      <c r="H733" s="45"/>
      <c r="I733" s="38"/>
      <c r="J733" s="38"/>
      <c r="K733" s="46"/>
      <c r="L733" s="47"/>
      <c r="M733" s="46"/>
      <c r="N733" s="46"/>
      <c r="O733" s="38"/>
      <c r="P733" s="38"/>
      <c r="Q733" s="12"/>
      <c r="R733" s="50"/>
      <c r="S733" s="50"/>
      <c r="T733" s="50"/>
      <c r="U733" s="53"/>
      <c r="V733" s="54"/>
      <c r="W733" s="56"/>
      <c r="X733" s="119"/>
      <c r="Y733" s="113"/>
      <c r="Z733" s="113"/>
      <c r="AH733" s="106"/>
      <c r="AI733" s="106"/>
    </row>
    <row r="734">
      <c r="A734" s="38"/>
      <c r="B734" s="38"/>
      <c r="C734" s="38"/>
      <c r="D734" s="38"/>
      <c r="E734" s="38"/>
      <c r="F734" s="41"/>
      <c r="G734" s="43"/>
      <c r="H734" s="45"/>
      <c r="I734" s="38"/>
      <c r="J734" s="38"/>
      <c r="K734" s="46"/>
      <c r="L734" s="47"/>
      <c r="M734" s="46"/>
      <c r="N734" s="46"/>
      <c r="O734" s="38"/>
      <c r="P734" s="38"/>
      <c r="Q734" s="12"/>
      <c r="R734" s="50"/>
      <c r="S734" s="50"/>
      <c r="T734" s="50"/>
      <c r="U734" s="53"/>
      <c r="V734" s="54"/>
      <c r="W734" s="56"/>
      <c r="X734" s="119"/>
      <c r="Y734" s="113"/>
      <c r="Z734" s="113"/>
      <c r="AH734" s="106"/>
      <c r="AI734" s="106"/>
    </row>
    <row r="735">
      <c r="A735" s="38"/>
      <c r="B735" s="38"/>
      <c r="C735" s="38"/>
      <c r="D735" s="38"/>
      <c r="E735" s="38"/>
      <c r="F735" s="41"/>
      <c r="G735" s="43"/>
      <c r="H735" s="45"/>
      <c r="I735" s="38"/>
      <c r="J735" s="38"/>
      <c r="K735" s="46"/>
      <c r="L735" s="47"/>
      <c r="M735" s="46"/>
      <c r="N735" s="46"/>
      <c r="O735" s="38"/>
      <c r="P735" s="38"/>
      <c r="Q735" s="12"/>
      <c r="R735" s="50"/>
      <c r="S735" s="50"/>
      <c r="T735" s="50"/>
      <c r="U735" s="53"/>
      <c r="V735" s="54"/>
      <c r="W735" s="56"/>
      <c r="X735" s="119"/>
      <c r="Y735" s="113"/>
      <c r="Z735" s="113"/>
      <c r="AH735" s="106"/>
      <c r="AI735" s="106"/>
    </row>
    <row r="736">
      <c r="A736" s="38"/>
      <c r="B736" s="38"/>
      <c r="C736" s="38"/>
      <c r="D736" s="38"/>
      <c r="E736" s="38"/>
      <c r="F736" s="41"/>
      <c r="G736" s="43"/>
      <c r="H736" s="45"/>
      <c r="I736" s="38"/>
      <c r="J736" s="38"/>
      <c r="K736" s="46"/>
      <c r="L736" s="47"/>
      <c r="M736" s="46"/>
      <c r="N736" s="46"/>
      <c r="O736" s="38"/>
      <c r="P736" s="38"/>
      <c r="Q736" s="12"/>
      <c r="R736" s="50"/>
      <c r="S736" s="50"/>
      <c r="T736" s="50"/>
      <c r="U736" s="53"/>
      <c r="V736" s="54"/>
      <c r="W736" s="56"/>
      <c r="X736" s="119"/>
      <c r="Y736" s="113"/>
      <c r="Z736" s="113"/>
      <c r="AH736" s="106"/>
      <c r="AI736" s="106"/>
    </row>
    <row r="737">
      <c r="A737" s="38"/>
      <c r="B737" s="38"/>
      <c r="C737" s="38"/>
      <c r="D737" s="38"/>
      <c r="E737" s="38"/>
      <c r="F737" s="41"/>
      <c r="G737" s="43"/>
      <c r="H737" s="45"/>
      <c r="I737" s="38"/>
      <c r="J737" s="38"/>
      <c r="K737" s="46"/>
      <c r="L737" s="47"/>
      <c r="M737" s="46"/>
      <c r="N737" s="46"/>
      <c r="O737" s="38"/>
      <c r="P737" s="38"/>
      <c r="Q737" s="12"/>
      <c r="R737" s="50"/>
      <c r="S737" s="50"/>
      <c r="T737" s="50"/>
      <c r="U737" s="53"/>
      <c r="V737" s="54"/>
      <c r="W737" s="56"/>
      <c r="X737" s="119"/>
      <c r="Y737" s="113"/>
      <c r="Z737" s="113"/>
      <c r="AH737" s="106"/>
      <c r="AI737" s="106"/>
    </row>
    <row r="738">
      <c r="A738" s="38"/>
      <c r="B738" s="38"/>
      <c r="C738" s="38"/>
      <c r="D738" s="38"/>
      <c r="E738" s="38"/>
      <c r="F738" s="41"/>
      <c r="G738" s="43"/>
      <c r="H738" s="45"/>
      <c r="I738" s="38"/>
      <c r="J738" s="38"/>
      <c r="K738" s="46"/>
      <c r="L738" s="47"/>
      <c r="M738" s="46"/>
      <c r="N738" s="46"/>
      <c r="O738" s="38"/>
      <c r="P738" s="38"/>
      <c r="Q738" s="12"/>
      <c r="R738" s="50"/>
      <c r="S738" s="50"/>
      <c r="T738" s="50"/>
      <c r="U738" s="53"/>
      <c r="V738" s="54"/>
      <c r="W738" s="56"/>
      <c r="X738" s="119"/>
      <c r="Y738" s="113"/>
      <c r="Z738" s="113"/>
      <c r="AH738" s="106"/>
      <c r="AI738" s="106"/>
    </row>
    <row r="739">
      <c r="A739" s="38"/>
      <c r="B739" s="38"/>
      <c r="C739" s="38"/>
      <c r="D739" s="38"/>
      <c r="E739" s="38"/>
      <c r="F739" s="41"/>
      <c r="G739" s="43"/>
      <c r="H739" s="45"/>
      <c r="I739" s="38"/>
      <c r="J739" s="38"/>
      <c r="K739" s="46"/>
      <c r="L739" s="47"/>
      <c r="M739" s="46"/>
      <c r="N739" s="46"/>
      <c r="O739" s="38"/>
      <c r="P739" s="38"/>
      <c r="Q739" s="12"/>
      <c r="R739" s="50"/>
      <c r="S739" s="50"/>
      <c r="T739" s="50"/>
      <c r="U739" s="53"/>
      <c r="V739" s="54"/>
      <c r="W739" s="56"/>
      <c r="X739" s="119"/>
      <c r="Y739" s="113"/>
      <c r="Z739" s="113"/>
      <c r="AH739" s="106"/>
      <c r="AI739" s="106"/>
    </row>
    <row r="740">
      <c r="A740" s="38"/>
      <c r="B740" s="38"/>
      <c r="C740" s="38"/>
      <c r="D740" s="38"/>
      <c r="E740" s="38"/>
      <c r="F740" s="41"/>
      <c r="G740" s="43"/>
      <c r="H740" s="45"/>
      <c r="I740" s="38"/>
      <c r="J740" s="38"/>
      <c r="K740" s="46"/>
      <c r="L740" s="47"/>
      <c r="M740" s="46"/>
      <c r="N740" s="46"/>
      <c r="O740" s="38"/>
      <c r="P740" s="38"/>
      <c r="Q740" s="12"/>
      <c r="R740" s="50"/>
      <c r="S740" s="50"/>
      <c r="T740" s="50"/>
      <c r="U740" s="53"/>
      <c r="V740" s="54"/>
      <c r="W740" s="56"/>
      <c r="X740" s="119"/>
      <c r="Y740" s="113"/>
      <c r="Z740" s="113"/>
      <c r="AH740" s="106"/>
      <c r="AI740" s="106"/>
    </row>
    <row r="741">
      <c r="A741" s="38"/>
      <c r="B741" s="38"/>
      <c r="C741" s="38"/>
      <c r="D741" s="38"/>
      <c r="E741" s="38"/>
      <c r="F741" s="41"/>
      <c r="G741" s="43"/>
      <c r="H741" s="45"/>
      <c r="I741" s="38"/>
      <c r="J741" s="38"/>
      <c r="K741" s="46"/>
      <c r="L741" s="47"/>
      <c r="M741" s="46"/>
      <c r="N741" s="46"/>
      <c r="O741" s="38"/>
      <c r="P741" s="38"/>
      <c r="Q741" s="12"/>
      <c r="R741" s="50"/>
      <c r="S741" s="50"/>
      <c r="T741" s="50"/>
      <c r="U741" s="53"/>
      <c r="V741" s="54"/>
      <c r="W741" s="56"/>
      <c r="X741" s="119"/>
      <c r="Y741" s="113"/>
      <c r="Z741" s="113"/>
      <c r="AH741" s="106"/>
      <c r="AI741" s="106"/>
    </row>
    <row r="742">
      <c r="A742" s="38"/>
      <c r="B742" s="38"/>
      <c r="C742" s="38"/>
      <c r="D742" s="38"/>
      <c r="E742" s="38"/>
      <c r="F742" s="41"/>
      <c r="G742" s="43"/>
      <c r="H742" s="45"/>
      <c r="I742" s="38"/>
      <c r="J742" s="38"/>
      <c r="K742" s="46"/>
      <c r="L742" s="47"/>
      <c r="M742" s="46"/>
      <c r="N742" s="46"/>
      <c r="O742" s="38"/>
      <c r="P742" s="38"/>
      <c r="Q742" s="12"/>
      <c r="R742" s="50"/>
      <c r="S742" s="50"/>
      <c r="T742" s="50"/>
      <c r="U742" s="53"/>
      <c r="V742" s="54"/>
      <c r="W742" s="56"/>
      <c r="X742" s="119"/>
      <c r="Y742" s="113"/>
      <c r="Z742" s="113"/>
      <c r="AH742" s="106"/>
      <c r="AI742" s="106"/>
    </row>
    <row r="743">
      <c r="A743" s="38"/>
      <c r="B743" s="38"/>
      <c r="C743" s="38"/>
      <c r="D743" s="38"/>
      <c r="E743" s="38"/>
      <c r="F743" s="41"/>
      <c r="G743" s="43"/>
      <c r="H743" s="45"/>
      <c r="I743" s="38"/>
      <c r="J743" s="38"/>
      <c r="K743" s="46"/>
      <c r="L743" s="47"/>
      <c r="M743" s="46"/>
      <c r="N743" s="46"/>
      <c r="O743" s="38"/>
      <c r="P743" s="38"/>
      <c r="Q743" s="12"/>
      <c r="R743" s="50"/>
      <c r="S743" s="50"/>
      <c r="T743" s="50"/>
      <c r="U743" s="53"/>
      <c r="V743" s="54"/>
      <c r="W743" s="56"/>
      <c r="X743" s="119"/>
      <c r="Y743" s="113"/>
      <c r="Z743" s="113"/>
      <c r="AH743" s="106"/>
      <c r="AI743" s="106"/>
    </row>
    <row r="744">
      <c r="A744" s="38"/>
      <c r="B744" s="38"/>
      <c r="C744" s="38"/>
      <c r="D744" s="38"/>
      <c r="E744" s="38"/>
      <c r="F744" s="41"/>
      <c r="G744" s="43"/>
      <c r="H744" s="45"/>
      <c r="I744" s="38"/>
      <c r="J744" s="38"/>
      <c r="K744" s="46"/>
      <c r="L744" s="47"/>
      <c r="M744" s="46"/>
      <c r="N744" s="46"/>
      <c r="O744" s="38"/>
      <c r="P744" s="38"/>
      <c r="Q744" s="12"/>
      <c r="R744" s="50"/>
      <c r="S744" s="50"/>
      <c r="T744" s="50"/>
      <c r="U744" s="53"/>
      <c r="V744" s="54"/>
      <c r="W744" s="56"/>
      <c r="X744" s="119"/>
      <c r="Y744" s="113"/>
      <c r="Z744" s="113"/>
      <c r="AH744" s="106"/>
      <c r="AI744" s="106"/>
    </row>
    <row r="745">
      <c r="A745" s="38"/>
      <c r="B745" s="38"/>
      <c r="C745" s="38"/>
      <c r="D745" s="38"/>
      <c r="E745" s="38"/>
      <c r="F745" s="41"/>
      <c r="G745" s="43"/>
      <c r="H745" s="45"/>
      <c r="I745" s="38"/>
      <c r="J745" s="38"/>
      <c r="K745" s="46"/>
      <c r="L745" s="47"/>
      <c r="M745" s="46"/>
      <c r="N745" s="46"/>
      <c r="O745" s="38"/>
      <c r="P745" s="38"/>
      <c r="Q745" s="12"/>
      <c r="R745" s="50"/>
      <c r="S745" s="50"/>
      <c r="T745" s="50"/>
      <c r="U745" s="53"/>
      <c r="V745" s="54"/>
      <c r="W745" s="56"/>
      <c r="X745" s="119"/>
      <c r="Y745" s="113"/>
      <c r="Z745" s="113"/>
      <c r="AH745" s="106"/>
      <c r="AI745" s="106"/>
    </row>
    <row r="746">
      <c r="A746" s="38"/>
      <c r="B746" s="38"/>
      <c r="C746" s="38"/>
      <c r="D746" s="38"/>
      <c r="E746" s="38"/>
      <c r="F746" s="41"/>
      <c r="G746" s="43"/>
      <c r="H746" s="45"/>
      <c r="I746" s="38"/>
      <c r="J746" s="38"/>
      <c r="K746" s="46"/>
      <c r="L746" s="47"/>
      <c r="M746" s="46"/>
      <c r="N746" s="46"/>
      <c r="O746" s="38"/>
      <c r="P746" s="38"/>
      <c r="Q746" s="12"/>
      <c r="R746" s="50"/>
      <c r="S746" s="50"/>
      <c r="T746" s="50"/>
      <c r="U746" s="53"/>
      <c r="V746" s="54"/>
      <c r="W746" s="56"/>
      <c r="X746" s="119"/>
      <c r="Y746" s="113"/>
      <c r="Z746" s="113"/>
      <c r="AH746" s="106"/>
      <c r="AI746" s="106"/>
    </row>
    <row r="747">
      <c r="A747" s="38"/>
      <c r="B747" s="38"/>
      <c r="C747" s="38"/>
      <c r="D747" s="38"/>
      <c r="E747" s="38"/>
      <c r="F747" s="41"/>
      <c r="G747" s="43"/>
      <c r="H747" s="45"/>
      <c r="I747" s="38"/>
      <c r="J747" s="38"/>
      <c r="K747" s="46"/>
      <c r="L747" s="47"/>
      <c r="M747" s="46"/>
      <c r="N747" s="46"/>
      <c r="O747" s="38"/>
      <c r="P747" s="38"/>
      <c r="Q747" s="12"/>
      <c r="R747" s="50"/>
      <c r="S747" s="50"/>
      <c r="T747" s="50"/>
      <c r="U747" s="53"/>
      <c r="V747" s="54"/>
      <c r="W747" s="56"/>
      <c r="X747" s="119"/>
      <c r="Y747" s="113"/>
      <c r="Z747" s="113"/>
      <c r="AH747" s="106"/>
      <c r="AI747" s="106"/>
    </row>
    <row r="748">
      <c r="A748" s="38"/>
      <c r="B748" s="38"/>
      <c r="C748" s="38"/>
      <c r="D748" s="38"/>
      <c r="E748" s="38"/>
      <c r="F748" s="41"/>
      <c r="G748" s="43"/>
      <c r="H748" s="45"/>
      <c r="I748" s="38"/>
      <c r="J748" s="38"/>
      <c r="K748" s="46"/>
      <c r="L748" s="47"/>
      <c r="M748" s="46"/>
      <c r="N748" s="46"/>
      <c r="O748" s="38"/>
      <c r="P748" s="38"/>
      <c r="Q748" s="12"/>
      <c r="R748" s="50"/>
      <c r="S748" s="50"/>
      <c r="T748" s="50"/>
      <c r="U748" s="53"/>
      <c r="V748" s="54"/>
      <c r="W748" s="56"/>
      <c r="X748" s="119"/>
      <c r="Y748" s="113"/>
      <c r="Z748" s="113"/>
      <c r="AH748" s="106"/>
      <c r="AI748" s="106"/>
    </row>
    <row r="749">
      <c r="A749" s="38"/>
      <c r="B749" s="38"/>
      <c r="C749" s="38"/>
      <c r="D749" s="38"/>
      <c r="E749" s="38"/>
      <c r="F749" s="41"/>
      <c r="G749" s="43"/>
      <c r="H749" s="45"/>
      <c r="I749" s="38"/>
      <c r="J749" s="38"/>
      <c r="K749" s="46"/>
      <c r="L749" s="47"/>
      <c r="M749" s="46"/>
      <c r="N749" s="46"/>
      <c r="O749" s="38"/>
      <c r="P749" s="38"/>
      <c r="Q749" s="12"/>
      <c r="R749" s="50"/>
      <c r="S749" s="50"/>
      <c r="T749" s="50"/>
      <c r="U749" s="53"/>
      <c r="V749" s="54"/>
      <c r="W749" s="56"/>
      <c r="X749" s="119"/>
      <c r="Y749" s="113"/>
      <c r="Z749" s="113"/>
      <c r="AH749" s="106"/>
      <c r="AI749" s="106"/>
    </row>
    <row r="750">
      <c r="A750" s="38"/>
      <c r="B750" s="38"/>
      <c r="C750" s="38"/>
      <c r="D750" s="38"/>
      <c r="E750" s="38"/>
      <c r="F750" s="41"/>
      <c r="G750" s="43"/>
      <c r="H750" s="45"/>
      <c r="I750" s="38"/>
      <c r="J750" s="38"/>
      <c r="K750" s="46"/>
      <c r="L750" s="47"/>
      <c r="M750" s="46"/>
      <c r="N750" s="46"/>
      <c r="O750" s="38"/>
      <c r="P750" s="38"/>
      <c r="Q750" s="12"/>
      <c r="R750" s="50"/>
      <c r="S750" s="50"/>
      <c r="T750" s="50"/>
      <c r="U750" s="53"/>
      <c r="V750" s="54"/>
      <c r="W750" s="56"/>
      <c r="X750" s="119"/>
      <c r="Y750" s="113"/>
      <c r="Z750" s="113"/>
      <c r="AH750" s="106"/>
      <c r="AI750" s="106"/>
    </row>
    <row r="751">
      <c r="A751" s="38"/>
      <c r="B751" s="38"/>
      <c r="C751" s="38"/>
      <c r="D751" s="38"/>
      <c r="E751" s="38"/>
      <c r="F751" s="41"/>
      <c r="G751" s="43"/>
      <c r="H751" s="45"/>
      <c r="I751" s="38"/>
      <c r="J751" s="38"/>
      <c r="K751" s="46"/>
      <c r="L751" s="47"/>
      <c r="M751" s="46"/>
      <c r="N751" s="46"/>
      <c r="O751" s="38"/>
      <c r="P751" s="38"/>
      <c r="Q751" s="12"/>
      <c r="R751" s="50"/>
      <c r="S751" s="50"/>
      <c r="T751" s="50"/>
      <c r="U751" s="53"/>
      <c r="V751" s="54"/>
      <c r="W751" s="56"/>
      <c r="X751" s="119"/>
      <c r="Y751" s="113"/>
      <c r="Z751" s="113"/>
      <c r="AH751" s="106"/>
      <c r="AI751" s="106"/>
    </row>
    <row r="752">
      <c r="A752" s="38"/>
      <c r="B752" s="38"/>
      <c r="C752" s="38"/>
      <c r="D752" s="38"/>
      <c r="E752" s="38"/>
      <c r="F752" s="41"/>
      <c r="G752" s="43"/>
      <c r="H752" s="45"/>
      <c r="I752" s="38"/>
      <c r="J752" s="38"/>
      <c r="K752" s="46"/>
      <c r="L752" s="47"/>
      <c r="M752" s="46"/>
      <c r="N752" s="46"/>
      <c r="O752" s="38"/>
      <c r="P752" s="38"/>
      <c r="Q752" s="12"/>
      <c r="R752" s="50"/>
      <c r="S752" s="50"/>
      <c r="T752" s="50"/>
      <c r="U752" s="53"/>
      <c r="V752" s="54"/>
      <c r="W752" s="56"/>
      <c r="X752" s="119"/>
      <c r="Y752" s="113"/>
      <c r="Z752" s="113"/>
      <c r="AH752" s="106"/>
      <c r="AI752" s="106"/>
    </row>
    <row r="753">
      <c r="A753" s="38"/>
      <c r="B753" s="38"/>
      <c r="C753" s="38"/>
      <c r="D753" s="38"/>
      <c r="E753" s="38"/>
      <c r="F753" s="41"/>
      <c r="G753" s="43"/>
      <c r="H753" s="45"/>
      <c r="I753" s="38"/>
      <c r="J753" s="38"/>
      <c r="K753" s="46"/>
      <c r="L753" s="47"/>
      <c r="M753" s="46"/>
      <c r="N753" s="46"/>
      <c r="O753" s="38"/>
      <c r="P753" s="38"/>
      <c r="Q753" s="12"/>
      <c r="R753" s="50"/>
      <c r="S753" s="50"/>
      <c r="T753" s="50"/>
      <c r="U753" s="53"/>
      <c r="V753" s="54"/>
      <c r="W753" s="56"/>
      <c r="X753" s="119"/>
      <c r="Y753" s="113"/>
      <c r="Z753" s="113"/>
      <c r="AH753" s="106"/>
      <c r="AI753" s="106"/>
    </row>
    <row r="754">
      <c r="A754" s="38"/>
      <c r="B754" s="38"/>
      <c r="C754" s="38"/>
      <c r="D754" s="38"/>
      <c r="E754" s="38"/>
      <c r="F754" s="41"/>
      <c r="G754" s="43"/>
      <c r="H754" s="45"/>
      <c r="I754" s="38"/>
      <c r="J754" s="38"/>
      <c r="K754" s="46"/>
      <c r="L754" s="47"/>
      <c r="M754" s="46"/>
      <c r="N754" s="46"/>
      <c r="O754" s="38"/>
      <c r="P754" s="38"/>
      <c r="Q754" s="12"/>
      <c r="R754" s="50"/>
      <c r="S754" s="50"/>
      <c r="T754" s="50"/>
      <c r="U754" s="53"/>
      <c r="V754" s="54"/>
      <c r="W754" s="56"/>
      <c r="X754" s="119"/>
      <c r="Y754" s="113"/>
      <c r="Z754" s="113"/>
      <c r="AH754" s="106"/>
      <c r="AI754" s="106"/>
    </row>
    <row r="755">
      <c r="A755" s="38"/>
      <c r="B755" s="38"/>
      <c r="C755" s="38"/>
      <c r="D755" s="38"/>
      <c r="E755" s="38"/>
      <c r="F755" s="41"/>
      <c r="G755" s="43"/>
      <c r="H755" s="45"/>
      <c r="I755" s="38"/>
      <c r="J755" s="38"/>
      <c r="K755" s="46"/>
      <c r="L755" s="47"/>
      <c r="M755" s="46"/>
      <c r="N755" s="46"/>
      <c r="O755" s="38"/>
      <c r="P755" s="38"/>
      <c r="Q755" s="12"/>
      <c r="R755" s="50"/>
      <c r="S755" s="50"/>
      <c r="T755" s="50"/>
      <c r="U755" s="53"/>
      <c r="V755" s="54"/>
      <c r="W755" s="56"/>
      <c r="X755" s="119"/>
      <c r="Y755" s="113"/>
      <c r="Z755" s="113"/>
      <c r="AH755" s="106"/>
      <c r="AI755" s="106"/>
    </row>
    <row r="756">
      <c r="A756" s="38"/>
      <c r="B756" s="38"/>
      <c r="C756" s="38"/>
      <c r="D756" s="38"/>
      <c r="E756" s="38"/>
      <c r="F756" s="41"/>
      <c r="G756" s="43"/>
      <c r="H756" s="45"/>
      <c r="I756" s="38"/>
      <c r="J756" s="38"/>
      <c r="K756" s="46"/>
      <c r="L756" s="47"/>
      <c r="M756" s="46"/>
      <c r="N756" s="46"/>
      <c r="O756" s="38"/>
      <c r="P756" s="38"/>
      <c r="Q756" s="12"/>
      <c r="R756" s="50"/>
      <c r="S756" s="50"/>
      <c r="T756" s="50"/>
      <c r="U756" s="53"/>
      <c r="V756" s="54"/>
      <c r="W756" s="56"/>
      <c r="X756" s="119"/>
      <c r="Y756" s="113"/>
      <c r="Z756" s="113"/>
      <c r="AH756" s="106"/>
      <c r="AI756" s="106"/>
    </row>
    <row r="757">
      <c r="A757" s="38"/>
      <c r="B757" s="38"/>
      <c r="C757" s="38"/>
      <c r="D757" s="38"/>
      <c r="E757" s="38"/>
      <c r="F757" s="41"/>
      <c r="G757" s="43"/>
      <c r="H757" s="45"/>
      <c r="I757" s="38"/>
      <c r="J757" s="38"/>
      <c r="K757" s="46"/>
      <c r="L757" s="47"/>
      <c r="M757" s="46"/>
      <c r="N757" s="46"/>
      <c r="O757" s="38"/>
      <c r="P757" s="38"/>
      <c r="Q757" s="12"/>
      <c r="R757" s="50"/>
      <c r="S757" s="50"/>
      <c r="T757" s="50"/>
      <c r="U757" s="53"/>
      <c r="V757" s="54"/>
      <c r="W757" s="56"/>
      <c r="X757" s="119"/>
      <c r="Y757" s="113"/>
      <c r="Z757" s="113"/>
      <c r="AH757" s="106"/>
      <c r="AI757" s="106"/>
    </row>
    <row r="758">
      <c r="A758" s="38"/>
      <c r="B758" s="38"/>
      <c r="C758" s="38"/>
      <c r="D758" s="38"/>
      <c r="E758" s="38"/>
      <c r="F758" s="41"/>
      <c r="G758" s="43"/>
      <c r="H758" s="45"/>
      <c r="I758" s="38"/>
      <c r="J758" s="38"/>
      <c r="K758" s="46"/>
      <c r="L758" s="47"/>
      <c r="M758" s="46"/>
      <c r="N758" s="46"/>
      <c r="O758" s="38"/>
      <c r="P758" s="38"/>
      <c r="Q758" s="12"/>
      <c r="R758" s="50"/>
      <c r="S758" s="50"/>
      <c r="T758" s="50"/>
      <c r="U758" s="53"/>
      <c r="V758" s="54"/>
      <c r="W758" s="56"/>
      <c r="X758" s="119"/>
      <c r="Y758" s="113"/>
      <c r="Z758" s="113"/>
      <c r="AH758" s="106"/>
      <c r="AI758" s="106"/>
    </row>
    <row r="759">
      <c r="A759" s="38"/>
      <c r="B759" s="38"/>
      <c r="C759" s="38"/>
      <c r="D759" s="38"/>
      <c r="E759" s="38"/>
      <c r="F759" s="41"/>
      <c r="G759" s="43"/>
      <c r="H759" s="45"/>
      <c r="I759" s="38"/>
      <c r="J759" s="38"/>
      <c r="K759" s="46"/>
      <c r="L759" s="47"/>
      <c r="M759" s="46"/>
      <c r="N759" s="46"/>
      <c r="O759" s="38"/>
      <c r="P759" s="38"/>
      <c r="Q759" s="12"/>
      <c r="R759" s="50"/>
      <c r="S759" s="50"/>
      <c r="T759" s="50"/>
      <c r="U759" s="53"/>
      <c r="V759" s="54"/>
      <c r="W759" s="56"/>
      <c r="X759" s="119"/>
      <c r="Y759" s="113"/>
      <c r="Z759" s="113"/>
      <c r="AH759" s="106"/>
      <c r="AI759" s="106"/>
    </row>
    <row r="760">
      <c r="A760" s="38"/>
      <c r="B760" s="38"/>
      <c r="C760" s="38"/>
      <c r="D760" s="38"/>
      <c r="E760" s="38"/>
      <c r="F760" s="41"/>
      <c r="G760" s="43"/>
      <c r="H760" s="45"/>
      <c r="I760" s="38"/>
      <c r="J760" s="38"/>
      <c r="K760" s="46"/>
      <c r="L760" s="47"/>
      <c r="M760" s="46"/>
      <c r="N760" s="46"/>
      <c r="O760" s="38"/>
      <c r="P760" s="38"/>
      <c r="Q760" s="12"/>
      <c r="R760" s="50"/>
      <c r="S760" s="50"/>
      <c r="T760" s="50"/>
      <c r="U760" s="53"/>
      <c r="V760" s="54"/>
      <c r="W760" s="56"/>
      <c r="X760" s="119"/>
      <c r="Y760" s="113"/>
      <c r="Z760" s="113"/>
      <c r="AH760" s="106"/>
      <c r="AI760" s="106"/>
    </row>
    <row r="761">
      <c r="A761" s="38"/>
      <c r="B761" s="38"/>
      <c r="C761" s="38"/>
      <c r="D761" s="38"/>
      <c r="E761" s="38"/>
      <c r="F761" s="41"/>
      <c r="G761" s="43"/>
      <c r="H761" s="45"/>
      <c r="I761" s="38"/>
      <c r="J761" s="38"/>
      <c r="K761" s="46"/>
      <c r="L761" s="47"/>
      <c r="M761" s="46"/>
      <c r="N761" s="46"/>
      <c r="O761" s="38"/>
      <c r="P761" s="38"/>
      <c r="Q761" s="12"/>
      <c r="R761" s="50"/>
      <c r="S761" s="50"/>
      <c r="T761" s="50"/>
      <c r="U761" s="53"/>
      <c r="V761" s="54"/>
      <c r="W761" s="56"/>
      <c r="X761" s="119"/>
      <c r="Y761" s="113"/>
      <c r="Z761" s="113"/>
      <c r="AH761" s="106"/>
      <c r="AI761" s="106"/>
    </row>
    <row r="762">
      <c r="A762" s="38"/>
      <c r="B762" s="38"/>
      <c r="C762" s="38"/>
      <c r="D762" s="38"/>
      <c r="E762" s="38"/>
      <c r="F762" s="41"/>
      <c r="G762" s="43"/>
      <c r="H762" s="45"/>
      <c r="I762" s="38"/>
      <c r="J762" s="38"/>
      <c r="K762" s="46"/>
      <c r="L762" s="47"/>
      <c r="M762" s="46"/>
      <c r="N762" s="46"/>
      <c r="O762" s="38"/>
      <c r="P762" s="38"/>
      <c r="Q762" s="12"/>
      <c r="R762" s="50"/>
      <c r="S762" s="50"/>
      <c r="T762" s="50"/>
      <c r="U762" s="53"/>
      <c r="V762" s="54"/>
      <c r="W762" s="56"/>
      <c r="X762" s="119"/>
      <c r="Y762" s="113"/>
      <c r="Z762" s="113"/>
      <c r="AH762" s="106"/>
      <c r="AI762" s="106"/>
    </row>
    <row r="763">
      <c r="A763" s="38"/>
      <c r="B763" s="38"/>
      <c r="C763" s="38"/>
      <c r="D763" s="38"/>
      <c r="E763" s="38"/>
      <c r="F763" s="41"/>
      <c r="G763" s="43"/>
      <c r="H763" s="45"/>
      <c r="I763" s="38"/>
      <c r="J763" s="38"/>
      <c r="K763" s="46"/>
      <c r="L763" s="47"/>
      <c r="M763" s="46"/>
      <c r="N763" s="46"/>
      <c r="O763" s="38"/>
      <c r="P763" s="38"/>
      <c r="Q763" s="12"/>
      <c r="R763" s="50"/>
      <c r="S763" s="50"/>
      <c r="T763" s="50"/>
      <c r="U763" s="53"/>
      <c r="V763" s="54"/>
      <c r="W763" s="56"/>
      <c r="X763" s="119"/>
      <c r="Y763" s="113"/>
      <c r="Z763" s="113"/>
      <c r="AH763" s="106"/>
      <c r="AI763" s="106"/>
    </row>
    <row r="764">
      <c r="A764" s="38"/>
      <c r="B764" s="38"/>
      <c r="C764" s="38"/>
      <c r="D764" s="38"/>
      <c r="E764" s="38"/>
      <c r="F764" s="41"/>
      <c r="G764" s="43"/>
      <c r="H764" s="45"/>
      <c r="I764" s="38"/>
      <c r="J764" s="38"/>
      <c r="K764" s="46"/>
      <c r="L764" s="47"/>
      <c r="M764" s="46"/>
      <c r="N764" s="46"/>
      <c r="O764" s="38"/>
      <c r="P764" s="38"/>
      <c r="Q764" s="12"/>
      <c r="R764" s="50"/>
      <c r="S764" s="50"/>
      <c r="T764" s="50"/>
      <c r="U764" s="53"/>
      <c r="V764" s="54"/>
      <c r="W764" s="56"/>
      <c r="X764" s="119"/>
      <c r="Y764" s="113"/>
      <c r="Z764" s="113"/>
      <c r="AH764" s="106"/>
      <c r="AI764" s="106"/>
    </row>
    <row r="765">
      <c r="A765" s="38"/>
      <c r="B765" s="38"/>
      <c r="C765" s="38"/>
      <c r="D765" s="38"/>
      <c r="E765" s="38"/>
      <c r="F765" s="41"/>
      <c r="G765" s="43"/>
      <c r="H765" s="45"/>
      <c r="I765" s="38"/>
      <c r="J765" s="38"/>
      <c r="K765" s="46"/>
      <c r="L765" s="47"/>
      <c r="M765" s="46"/>
      <c r="N765" s="46"/>
      <c r="O765" s="38"/>
      <c r="P765" s="38"/>
      <c r="Q765" s="12"/>
      <c r="R765" s="50"/>
      <c r="S765" s="50"/>
      <c r="T765" s="50"/>
      <c r="U765" s="53"/>
      <c r="V765" s="54"/>
      <c r="W765" s="56"/>
      <c r="X765" s="119"/>
      <c r="Y765" s="113"/>
      <c r="Z765" s="113"/>
      <c r="AH765" s="106"/>
      <c r="AI765" s="106"/>
    </row>
    <row r="766">
      <c r="A766" s="38"/>
      <c r="B766" s="38"/>
      <c r="C766" s="38"/>
      <c r="D766" s="38"/>
      <c r="E766" s="38"/>
      <c r="F766" s="41"/>
      <c r="G766" s="43"/>
      <c r="H766" s="45"/>
      <c r="I766" s="38"/>
      <c r="J766" s="38"/>
      <c r="K766" s="46"/>
      <c r="L766" s="47"/>
      <c r="M766" s="46"/>
      <c r="N766" s="46"/>
      <c r="O766" s="38"/>
      <c r="P766" s="38"/>
      <c r="Q766" s="12"/>
      <c r="R766" s="50"/>
      <c r="S766" s="50"/>
      <c r="T766" s="50"/>
      <c r="U766" s="53"/>
      <c r="V766" s="54"/>
      <c r="W766" s="56"/>
      <c r="X766" s="119"/>
      <c r="Y766" s="113"/>
      <c r="Z766" s="113"/>
      <c r="AH766" s="106"/>
      <c r="AI766" s="106"/>
    </row>
    <row r="767">
      <c r="A767" s="38"/>
      <c r="B767" s="38"/>
      <c r="C767" s="38"/>
      <c r="D767" s="38"/>
      <c r="E767" s="38"/>
      <c r="F767" s="41"/>
      <c r="G767" s="43"/>
      <c r="H767" s="45"/>
      <c r="I767" s="38"/>
      <c r="J767" s="38"/>
      <c r="K767" s="46"/>
      <c r="L767" s="47"/>
      <c r="M767" s="46"/>
      <c r="N767" s="46"/>
      <c r="O767" s="38"/>
      <c r="P767" s="38"/>
      <c r="Q767" s="12"/>
      <c r="R767" s="50"/>
      <c r="S767" s="50"/>
      <c r="T767" s="50"/>
      <c r="U767" s="53"/>
      <c r="V767" s="54"/>
      <c r="W767" s="56"/>
      <c r="X767" s="119"/>
      <c r="Y767" s="113"/>
      <c r="Z767" s="113"/>
      <c r="AH767" s="106"/>
      <c r="AI767" s="106"/>
    </row>
    <row r="768">
      <c r="A768" s="38"/>
      <c r="B768" s="38"/>
      <c r="C768" s="38"/>
      <c r="D768" s="38"/>
      <c r="E768" s="38"/>
      <c r="F768" s="41"/>
      <c r="G768" s="43"/>
      <c r="H768" s="45"/>
      <c r="I768" s="38"/>
      <c r="J768" s="38"/>
      <c r="K768" s="46"/>
      <c r="L768" s="47"/>
      <c r="M768" s="46"/>
      <c r="N768" s="46"/>
      <c r="O768" s="38"/>
      <c r="P768" s="38"/>
      <c r="Q768" s="12"/>
      <c r="R768" s="50"/>
      <c r="S768" s="50"/>
      <c r="T768" s="50"/>
      <c r="U768" s="53"/>
      <c r="V768" s="54"/>
      <c r="W768" s="56"/>
      <c r="X768" s="119"/>
      <c r="Y768" s="113"/>
      <c r="Z768" s="113"/>
      <c r="AH768" s="106"/>
      <c r="AI768" s="106"/>
    </row>
    <row r="769">
      <c r="A769" s="38"/>
      <c r="B769" s="38"/>
      <c r="C769" s="38"/>
      <c r="D769" s="38"/>
      <c r="E769" s="38"/>
      <c r="F769" s="41"/>
      <c r="G769" s="43"/>
      <c r="H769" s="45"/>
      <c r="I769" s="38"/>
      <c r="J769" s="38"/>
      <c r="K769" s="46"/>
      <c r="L769" s="47"/>
      <c r="M769" s="46"/>
      <c r="N769" s="46"/>
      <c r="O769" s="38"/>
      <c r="P769" s="38"/>
      <c r="Q769" s="12"/>
      <c r="R769" s="50"/>
      <c r="S769" s="50"/>
      <c r="T769" s="50"/>
      <c r="U769" s="53"/>
      <c r="V769" s="54"/>
      <c r="W769" s="56"/>
      <c r="X769" s="119"/>
      <c r="Y769" s="113"/>
      <c r="Z769" s="113"/>
      <c r="AH769" s="106"/>
      <c r="AI769" s="106"/>
    </row>
    <row r="770">
      <c r="A770" s="38"/>
      <c r="B770" s="38"/>
      <c r="C770" s="38"/>
      <c r="D770" s="38"/>
      <c r="E770" s="38"/>
      <c r="F770" s="41"/>
      <c r="G770" s="43"/>
      <c r="H770" s="45"/>
      <c r="I770" s="38"/>
      <c r="J770" s="38"/>
      <c r="K770" s="46"/>
      <c r="L770" s="47"/>
      <c r="M770" s="46"/>
      <c r="N770" s="46"/>
      <c r="O770" s="38"/>
      <c r="P770" s="38"/>
      <c r="Q770" s="12"/>
      <c r="R770" s="50"/>
      <c r="S770" s="50"/>
      <c r="T770" s="50"/>
      <c r="U770" s="53"/>
      <c r="V770" s="54"/>
      <c r="W770" s="56"/>
      <c r="X770" s="119"/>
      <c r="Y770" s="113"/>
      <c r="Z770" s="113"/>
      <c r="AH770" s="106"/>
      <c r="AI770" s="106"/>
    </row>
    <row r="771">
      <c r="A771" s="38"/>
      <c r="B771" s="38"/>
      <c r="C771" s="38"/>
      <c r="D771" s="38"/>
      <c r="E771" s="38"/>
      <c r="F771" s="41"/>
      <c r="G771" s="43"/>
      <c r="H771" s="45"/>
      <c r="I771" s="38"/>
      <c r="J771" s="38"/>
      <c r="K771" s="46"/>
      <c r="L771" s="47"/>
      <c r="M771" s="46"/>
      <c r="N771" s="46"/>
      <c r="O771" s="38"/>
      <c r="P771" s="38"/>
      <c r="Q771" s="12"/>
      <c r="R771" s="50"/>
      <c r="S771" s="50"/>
      <c r="T771" s="50"/>
      <c r="U771" s="53"/>
      <c r="V771" s="54"/>
      <c r="W771" s="56"/>
      <c r="X771" s="119"/>
      <c r="Y771" s="113"/>
      <c r="Z771" s="113"/>
      <c r="AH771" s="106"/>
      <c r="AI771" s="106"/>
    </row>
    <row r="772">
      <c r="A772" s="38"/>
      <c r="B772" s="38"/>
      <c r="C772" s="39"/>
      <c r="D772" s="38"/>
      <c r="E772" s="38"/>
      <c r="F772" s="41"/>
      <c r="G772" s="43"/>
      <c r="H772" s="45"/>
      <c r="I772" s="38"/>
      <c r="J772" s="38"/>
      <c r="K772" s="46"/>
      <c r="L772" s="47"/>
      <c r="M772" s="46"/>
      <c r="N772" s="46"/>
      <c r="O772" s="38"/>
      <c r="P772" s="38"/>
      <c r="Q772" s="12"/>
      <c r="R772" s="50"/>
      <c r="S772" s="50"/>
      <c r="T772" s="50"/>
      <c r="U772" s="53"/>
      <c r="V772" s="54"/>
      <c r="W772" s="56"/>
      <c r="X772" s="119"/>
      <c r="Y772" s="113"/>
      <c r="Z772" s="113"/>
      <c r="AH772" s="106"/>
      <c r="AI772" s="106"/>
    </row>
    <row r="773">
      <c r="A773" s="38"/>
      <c r="B773" s="38"/>
      <c r="C773" s="38"/>
      <c r="D773" s="38"/>
      <c r="E773" s="38"/>
      <c r="F773" s="41"/>
      <c r="G773" s="43"/>
      <c r="H773" s="45"/>
      <c r="I773" s="38"/>
      <c r="J773" s="38"/>
      <c r="K773" s="46"/>
      <c r="L773" s="47"/>
      <c r="M773" s="46"/>
      <c r="N773" s="46"/>
      <c r="O773" s="38"/>
      <c r="P773" s="38"/>
      <c r="Q773" s="12"/>
      <c r="R773" s="50"/>
      <c r="S773" s="50"/>
      <c r="T773" s="50"/>
      <c r="U773" s="53"/>
      <c r="V773" s="54"/>
      <c r="W773" s="56"/>
      <c r="X773" s="119"/>
      <c r="Y773" s="113"/>
      <c r="Z773" s="113"/>
      <c r="AH773" s="106"/>
      <c r="AI773" s="106"/>
    </row>
    <row r="774">
      <c r="A774" s="38"/>
      <c r="B774" s="38"/>
      <c r="C774" s="38"/>
      <c r="D774" s="38"/>
      <c r="E774" s="38"/>
      <c r="F774" s="41"/>
      <c r="G774" s="43"/>
      <c r="H774" s="45"/>
      <c r="I774" s="38"/>
      <c r="J774" s="38"/>
      <c r="K774" s="46"/>
      <c r="L774" s="47"/>
      <c r="M774" s="46"/>
      <c r="N774" s="46"/>
      <c r="O774" s="38"/>
      <c r="P774" s="38"/>
      <c r="Q774" s="12"/>
      <c r="R774" s="50"/>
      <c r="S774" s="50"/>
      <c r="T774" s="50"/>
      <c r="U774" s="53"/>
      <c r="V774" s="54"/>
      <c r="W774" s="56"/>
      <c r="X774" s="119"/>
      <c r="Y774" s="113"/>
      <c r="Z774" s="113"/>
      <c r="AH774" s="106"/>
      <c r="AI774" s="106"/>
    </row>
    <row r="775">
      <c r="A775" s="38"/>
      <c r="B775" s="38"/>
      <c r="C775" s="38"/>
      <c r="D775" s="38"/>
      <c r="E775" s="38"/>
      <c r="F775" s="41"/>
      <c r="G775" s="43"/>
      <c r="H775" s="45"/>
      <c r="I775" s="38"/>
      <c r="J775" s="38"/>
      <c r="K775" s="46"/>
      <c r="L775" s="47"/>
      <c r="M775" s="46"/>
      <c r="N775" s="46"/>
      <c r="O775" s="38"/>
      <c r="P775" s="38"/>
      <c r="Q775" s="12"/>
      <c r="R775" s="50"/>
      <c r="S775" s="50"/>
      <c r="T775" s="50"/>
      <c r="U775" s="53"/>
      <c r="V775" s="54"/>
      <c r="W775" s="56"/>
      <c r="X775" s="119"/>
      <c r="Y775" s="113"/>
      <c r="Z775" s="113"/>
      <c r="AH775" s="106"/>
      <c r="AI775" s="106"/>
    </row>
    <row r="776">
      <c r="A776" s="38"/>
      <c r="B776" s="38"/>
      <c r="C776" s="38"/>
      <c r="D776" s="38"/>
      <c r="E776" s="38"/>
      <c r="F776" s="41"/>
      <c r="G776" s="43"/>
      <c r="H776" s="45"/>
      <c r="I776" s="38"/>
      <c r="J776" s="38"/>
      <c r="K776" s="46"/>
      <c r="L776" s="47"/>
      <c r="M776" s="46"/>
      <c r="N776" s="46"/>
      <c r="O776" s="38"/>
      <c r="P776" s="38"/>
      <c r="Q776" s="12"/>
      <c r="R776" s="50"/>
      <c r="S776" s="50"/>
      <c r="T776" s="50"/>
      <c r="U776" s="53"/>
      <c r="V776" s="54"/>
      <c r="W776" s="56"/>
      <c r="X776" s="119"/>
      <c r="Y776" s="113"/>
      <c r="Z776" s="113"/>
      <c r="AH776" s="106"/>
      <c r="AI776" s="106"/>
    </row>
    <row r="777">
      <c r="A777" s="38"/>
      <c r="B777" s="38"/>
      <c r="C777" s="38"/>
      <c r="D777" s="38"/>
      <c r="E777" s="38"/>
      <c r="F777" s="41"/>
      <c r="G777" s="43"/>
      <c r="H777" s="45"/>
      <c r="I777" s="38"/>
      <c r="J777" s="38"/>
      <c r="K777" s="46"/>
      <c r="L777" s="47"/>
      <c r="M777" s="46"/>
      <c r="N777" s="46"/>
      <c r="O777" s="38"/>
      <c r="P777" s="38"/>
      <c r="Q777" s="12"/>
      <c r="R777" s="50"/>
      <c r="S777" s="50"/>
      <c r="T777" s="50"/>
      <c r="U777" s="53"/>
      <c r="V777" s="54"/>
      <c r="W777" s="56"/>
      <c r="X777" s="119"/>
      <c r="Y777" s="113"/>
      <c r="Z777" s="113"/>
      <c r="AH777" s="106"/>
      <c r="AI777" s="106"/>
    </row>
    <row r="778">
      <c r="A778" s="38"/>
      <c r="B778" s="38"/>
      <c r="C778" s="38"/>
      <c r="D778" s="38"/>
      <c r="E778" s="38"/>
      <c r="F778" s="41"/>
      <c r="G778" s="43"/>
      <c r="H778" s="45"/>
      <c r="I778" s="38"/>
      <c r="J778" s="38"/>
      <c r="K778" s="46"/>
      <c r="L778" s="47"/>
      <c r="M778" s="46"/>
      <c r="N778" s="46"/>
      <c r="O778" s="38"/>
      <c r="P778" s="38"/>
      <c r="Q778" s="12"/>
      <c r="R778" s="50"/>
      <c r="S778" s="50"/>
      <c r="T778" s="50"/>
      <c r="U778" s="53"/>
      <c r="V778" s="54"/>
      <c r="W778" s="56"/>
      <c r="X778" s="119"/>
      <c r="Y778" s="113"/>
      <c r="Z778" s="113"/>
      <c r="AH778" s="106"/>
      <c r="AI778" s="106"/>
    </row>
    <row r="779">
      <c r="A779" s="38"/>
      <c r="B779" s="38"/>
      <c r="C779" s="38"/>
      <c r="D779" s="38"/>
      <c r="E779" s="38"/>
      <c r="F779" s="41"/>
      <c r="G779" s="43"/>
      <c r="H779" s="45"/>
      <c r="I779" s="38"/>
      <c r="J779" s="38"/>
      <c r="K779" s="46"/>
      <c r="L779" s="47"/>
      <c r="M779" s="46"/>
      <c r="N779" s="46"/>
      <c r="O779" s="38"/>
      <c r="P779" s="38"/>
      <c r="Q779" s="12"/>
      <c r="R779" s="50"/>
      <c r="S779" s="50"/>
      <c r="T779" s="50"/>
      <c r="U779" s="53"/>
      <c r="V779" s="54"/>
      <c r="W779" s="56"/>
      <c r="X779" s="119"/>
      <c r="Y779" s="113"/>
      <c r="Z779" s="113"/>
      <c r="AH779" s="106"/>
      <c r="AI779" s="106"/>
    </row>
    <row r="780">
      <c r="A780" s="38"/>
      <c r="B780" s="38"/>
      <c r="C780" s="38"/>
      <c r="D780" s="38"/>
      <c r="E780" s="38"/>
      <c r="F780" s="41"/>
      <c r="G780" s="43"/>
      <c r="H780" s="45"/>
      <c r="I780" s="38"/>
      <c r="J780" s="38"/>
      <c r="K780" s="46"/>
      <c r="L780" s="47"/>
      <c r="M780" s="46"/>
      <c r="N780" s="46"/>
      <c r="O780" s="38"/>
      <c r="P780" s="38"/>
      <c r="Q780" s="12"/>
      <c r="R780" s="50"/>
      <c r="S780" s="50"/>
      <c r="T780" s="50"/>
      <c r="U780" s="53"/>
      <c r="V780" s="54"/>
      <c r="W780" s="56"/>
      <c r="X780" s="119"/>
      <c r="Y780" s="113"/>
      <c r="Z780" s="113"/>
      <c r="AH780" s="106"/>
      <c r="AI780" s="106"/>
    </row>
    <row r="781">
      <c r="A781" s="38"/>
      <c r="B781" s="38"/>
      <c r="C781" s="38"/>
      <c r="D781" s="38"/>
      <c r="E781" s="38"/>
      <c r="F781" s="41"/>
      <c r="G781" s="43"/>
      <c r="H781" s="45"/>
      <c r="I781" s="38"/>
      <c r="J781" s="38"/>
      <c r="K781" s="46"/>
      <c r="L781" s="47"/>
      <c r="M781" s="46"/>
      <c r="N781" s="46"/>
      <c r="O781" s="38"/>
      <c r="P781" s="38"/>
      <c r="Q781" s="12"/>
      <c r="R781" s="50"/>
      <c r="S781" s="50"/>
      <c r="T781" s="50"/>
      <c r="U781" s="53"/>
      <c r="V781" s="54"/>
      <c r="W781" s="56"/>
      <c r="X781" s="119"/>
      <c r="Y781" s="113"/>
      <c r="Z781" s="113"/>
      <c r="AH781" s="106"/>
      <c r="AI781" s="106"/>
    </row>
    <row r="782">
      <c r="A782" s="38"/>
      <c r="B782" s="38"/>
      <c r="C782" s="38"/>
      <c r="D782" s="38"/>
      <c r="E782" s="38"/>
      <c r="F782" s="41"/>
      <c r="G782" s="43"/>
      <c r="H782" s="45"/>
      <c r="I782" s="38"/>
      <c r="J782" s="38"/>
      <c r="K782" s="46"/>
      <c r="L782" s="47"/>
      <c r="M782" s="46"/>
      <c r="N782" s="46"/>
      <c r="O782" s="38"/>
      <c r="P782" s="38"/>
      <c r="Q782" s="12"/>
      <c r="R782" s="50"/>
      <c r="S782" s="50"/>
      <c r="T782" s="50"/>
      <c r="U782" s="53"/>
      <c r="V782" s="54"/>
      <c r="W782" s="56"/>
      <c r="X782" s="119"/>
      <c r="Y782" s="113"/>
      <c r="Z782" s="113"/>
      <c r="AH782" s="106"/>
      <c r="AI782" s="106"/>
    </row>
    <row r="783">
      <c r="A783" s="38"/>
      <c r="B783" s="38"/>
      <c r="C783" s="38"/>
      <c r="D783" s="38"/>
      <c r="E783" s="38"/>
      <c r="F783" s="41"/>
      <c r="G783" s="43"/>
      <c r="H783" s="45"/>
      <c r="I783" s="38"/>
      <c r="J783" s="38"/>
      <c r="K783" s="46"/>
      <c r="L783" s="47"/>
      <c r="M783" s="46"/>
      <c r="N783" s="46"/>
      <c r="O783" s="38"/>
      <c r="P783" s="38"/>
      <c r="Q783" s="12"/>
      <c r="R783" s="50"/>
      <c r="S783" s="50"/>
      <c r="T783" s="50"/>
      <c r="U783" s="53"/>
      <c r="V783" s="54"/>
      <c r="W783" s="56"/>
      <c r="X783" s="119"/>
      <c r="Y783" s="113"/>
      <c r="Z783" s="113"/>
      <c r="AH783" s="106"/>
      <c r="AI783" s="106"/>
    </row>
    <row r="784">
      <c r="A784" s="38"/>
      <c r="B784" s="38"/>
      <c r="C784" s="38"/>
      <c r="D784" s="38"/>
      <c r="E784" s="38"/>
      <c r="F784" s="41"/>
      <c r="G784" s="43"/>
      <c r="H784" s="45"/>
      <c r="I784" s="38"/>
      <c r="J784" s="38"/>
      <c r="K784" s="46"/>
      <c r="L784" s="47"/>
      <c r="M784" s="46"/>
      <c r="N784" s="46"/>
      <c r="O784" s="38"/>
      <c r="P784" s="38"/>
      <c r="Q784" s="12"/>
      <c r="R784" s="50"/>
      <c r="S784" s="50"/>
      <c r="T784" s="50"/>
      <c r="U784" s="53"/>
      <c r="V784" s="54"/>
      <c r="W784" s="56"/>
      <c r="X784" s="119"/>
      <c r="Y784" s="113"/>
      <c r="Z784" s="113"/>
      <c r="AH784" s="106"/>
      <c r="AI784" s="106"/>
    </row>
    <row r="785">
      <c r="A785" s="38"/>
      <c r="B785" s="38"/>
      <c r="C785" s="38"/>
      <c r="D785" s="38"/>
      <c r="E785" s="38"/>
      <c r="F785" s="41"/>
      <c r="G785" s="43"/>
      <c r="H785" s="45"/>
      <c r="I785" s="38"/>
      <c r="J785" s="38"/>
      <c r="K785" s="46"/>
      <c r="L785" s="47"/>
      <c r="M785" s="46"/>
      <c r="N785" s="46"/>
      <c r="O785" s="38"/>
      <c r="P785" s="38"/>
      <c r="Q785" s="12"/>
      <c r="R785" s="50"/>
      <c r="S785" s="50"/>
      <c r="T785" s="50"/>
      <c r="U785" s="53"/>
      <c r="V785" s="54"/>
      <c r="W785" s="56"/>
      <c r="X785" s="119"/>
      <c r="Y785" s="113"/>
      <c r="Z785" s="113"/>
      <c r="AH785" s="106"/>
      <c r="AI785" s="106"/>
    </row>
    <row r="786">
      <c r="A786" s="38"/>
      <c r="B786" s="38"/>
      <c r="C786" s="38"/>
      <c r="D786" s="38"/>
      <c r="E786" s="38"/>
      <c r="F786" s="41"/>
      <c r="G786" s="43"/>
      <c r="H786" s="45"/>
      <c r="I786" s="38"/>
      <c r="J786" s="38"/>
      <c r="K786" s="46"/>
      <c r="L786" s="47"/>
      <c r="M786" s="46"/>
      <c r="N786" s="46"/>
      <c r="O786" s="38"/>
      <c r="P786" s="38"/>
      <c r="Q786" s="12"/>
      <c r="R786" s="50"/>
      <c r="S786" s="50"/>
      <c r="T786" s="50"/>
      <c r="U786" s="53"/>
      <c r="V786" s="54"/>
      <c r="W786" s="56"/>
      <c r="X786" s="119"/>
      <c r="Y786" s="113"/>
      <c r="Z786" s="113"/>
      <c r="AH786" s="106"/>
      <c r="AI786" s="106"/>
    </row>
    <row r="787">
      <c r="A787" s="38"/>
      <c r="B787" s="38"/>
      <c r="C787" s="38"/>
      <c r="D787" s="38"/>
      <c r="E787" s="38"/>
      <c r="F787" s="41"/>
      <c r="G787" s="43"/>
      <c r="H787" s="45"/>
      <c r="I787" s="38"/>
      <c r="J787" s="38"/>
      <c r="K787" s="46"/>
      <c r="L787" s="47"/>
      <c r="M787" s="46"/>
      <c r="N787" s="46"/>
      <c r="O787" s="38"/>
      <c r="P787" s="38"/>
      <c r="Q787" s="12"/>
      <c r="R787" s="50"/>
      <c r="S787" s="50"/>
      <c r="T787" s="50"/>
      <c r="U787" s="53"/>
      <c r="V787" s="54"/>
      <c r="W787" s="56"/>
      <c r="X787" s="119"/>
      <c r="Y787" s="113"/>
      <c r="Z787" s="113"/>
      <c r="AH787" s="106"/>
      <c r="AI787" s="106"/>
    </row>
    <row r="788">
      <c r="A788" s="38"/>
      <c r="B788" s="38"/>
      <c r="C788" s="38"/>
      <c r="D788" s="38"/>
      <c r="E788" s="38"/>
      <c r="F788" s="41"/>
      <c r="G788" s="43"/>
      <c r="H788" s="45"/>
      <c r="I788" s="38"/>
      <c r="J788" s="38"/>
      <c r="K788" s="46"/>
      <c r="L788" s="47"/>
      <c r="M788" s="46"/>
      <c r="N788" s="46"/>
      <c r="O788" s="38"/>
      <c r="P788" s="38"/>
      <c r="Q788" s="12"/>
      <c r="R788" s="50"/>
      <c r="S788" s="50"/>
      <c r="T788" s="50"/>
      <c r="U788" s="53"/>
      <c r="V788" s="54"/>
      <c r="W788" s="56"/>
      <c r="X788" s="119"/>
      <c r="Y788" s="113"/>
      <c r="Z788" s="113"/>
      <c r="AH788" s="106"/>
      <c r="AI788" s="106"/>
    </row>
    <row r="789">
      <c r="A789" s="38"/>
      <c r="B789" s="38"/>
      <c r="C789" s="38"/>
      <c r="D789" s="38"/>
      <c r="E789" s="38"/>
      <c r="F789" s="41"/>
      <c r="G789" s="43"/>
      <c r="H789" s="45"/>
      <c r="I789" s="38"/>
      <c r="J789" s="38"/>
      <c r="K789" s="46"/>
      <c r="L789" s="47"/>
      <c r="M789" s="46"/>
      <c r="N789" s="46"/>
      <c r="O789" s="38"/>
      <c r="P789" s="38"/>
      <c r="Q789" s="12"/>
      <c r="R789" s="50"/>
      <c r="S789" s="50"/>
      <c r="T789" s="50"/>
      <c r="U789" s="53"/>
      <c r="V789" s="54"/>
      <c r="W789" s="56"/>
      <c r="X789" s="119"/>
      <c r="Y789" s="113"/>
      <c r="Z789" s="113"/>
      <c r="AH789" s="106"/>
      <c r="AI789" s="106"/>
    </row>
    <row r="790">
      <c r="A790" s="38"/>
      <c r="B790" s="38"/>
      <c r="C790" s="38"/>
      <c r="D790" s="38"/>
      <c r="E790" s="38"/>
      <c r="F790" s="41"/>
      <c r="G790" s="43"/>
      <c r="H790" s="45"/>
      <c r="I790" s="38"/>
      <c r="J790" s="38"/>
      <c r="K790" s="46"/>
      <c r="L790" s="47"/>
      <c r="M790" s="46"/>
      <c r="N790" s="46"/>
      <c r="O790" s="38"/>
      <c r="P790" s="38"/>
      <c r="Q790" s="12"/>
      <c r="R790" s="50"/>
      <c r="S790" s="50"/>
      <c r="T790" s="50"/>
      <c r="U790" s="53"/>
      <c r="V790" s="54"/>
      <c r="W790" s="56"/>
      <c r="X790" s="119"/>
      <c r="Y790" s="113"/>
      <c r="Z790" s="113"/>
      <c r="AH790" s="106"/>
      <c r="AI790" s="106"/>
    </row>
    <row r="791">
      <c r="A791" s="38"/>
      <c r="B791" s="38"/>
      <c r="C791" s="38"/>
      <c r="D791" s="38"/>
      <c r="E791" s="38"/>
      <c r="F791" s="41"/>
      <c r="G791" s="43"/>
      <c r="H791" s="45"/>
      <c r="I791" s="38"/>
      <c r="J791" s="38"/>
      <c r="K791" s="46"/>
      <c r="L791" s="47"/>
      <c r="M791" s="46"/>
      <c r="N791" s="46"/>
      <c r="O791" s="38"/>
      <c r="P791" s="38"/>
      <c r="Q791" s="12"/>
      <c r="R791" s="50"/>
      <c r="S791" s="50"/>
      <c r="T791" s="50"/>
      <c r="U791" s="53"/>
      <c r="V791" s="54"/>
      <c r="W791" s="56"/>
      <c r="X791" s="119"/>
      <c r="Y791" s="113"/>
      <c r="Z791" s="113"/>
      <c r="AH791" s="7"/>
      <c r="AI791" s="7"/>
    </row>
    <row r="792">
      <c r="A792" s="38"/>
      <c r="B792" s="38"/>
      <c r="C792" s="7"/>
      <c r="D792" s="38"/>
      <c r="E792" s="38"/>
      <c r="F792" s="41"/>
      <c r="G792" s="43"/>
      <c r="H792" s="45"/>
      <c r="I792" s="38"/>
      <c r="J792" s="38"/>
      <c r="K792" s="128"/>
      <c r="L792" s="47"/>
      <c r="M792" s="128"/>
      <c r="N792" s="128"/>
      <c r="O792" s="38"/>
      <c r="P792" s="38"/>
      <c r="Q792" s="12"/>
      <c r="R792" s="50"/>
      <c r="S792" s="50"/>
      <c r="T792" s="50"/>
      <c r="U792" s="53"/>
      <c r="V792" s="54"/>
      <c r="W792" s="56"/>
      <c r="X792" s="119"/>
      <c r="Y792" s="113"/>
      <c r="Z792" s="113"/>
      <c r="AH792" s="7"/>
      <c r="AI792" s="7"/>
    </row>
    <row r="793">
      <c r="A793" s="38"/>
      <c r="B793" s="38"/>
      <c r="C793" s="7"/>
      <c r="D793" s="38"/>
      <c r="E793" s="38"/>
      <c r="F793" s="41"/>
      <c r="G793" s="43"/>
      <c r="H793" s="45"/>
      <c r="I793" s="38"/>
      <c r="J793" s="38"/>
      <c r="K793" s="128"/>
      <c r="L793" s="47"/>
      <c r="M793" s="128"/>
      <c r="N793" s="128"/>
      <c r="O793" s="38"/>
      <c r="P793" s="38"/>
      <c r="Q793" s="12"/>
      <c r="R793" s="50"/>
      <c r="S793" s="50"/>
      <c r="T793" s="50"/>
      <c r="U793" s="53"/>
      <c r="V793" s="54"/>
      <c r="W793" s="56"/>
      <c r="X793" s="119"/>
      <c r="Y793" s="113"/>
      <c r="Z793" s="113"/>
      <c r="AH793" s="7"/>
      <c r="AI793" s="7"/>
    </row>
    <row r="794">
      <c r="A794" s="38"/>
      <c r="B794" s="38"/>
      <c r="C794" s="7"/>
      <c r="D794" s="38"/>
      <c r="E794" s="38"/>
      <c r="F794" s="41"/>
      <c r="G794" s="43"/>
      <c r="H794" s="45"/>
      <c r="I794" s="38"/>
      <c r="J794" s="38"/>
      <c r="K794" s="128"/>
      <c r="L794" s="47"/>
      <c r="M794" s="128"/>
      <c r="N794" s="128"/>
      <c r="O794" s="38"/>
      <c r="P794" s="38"/>
      <c r="Q794" s="12"/>
      <c r="R794" s="50"/>
      <c r="S794" s="50"/>
      <c r="T794" s="50"/>
      <c r="U794" s="53"/>
      <c r="V794" s="54"/>
      <c r="W794" s="56"/>
      <c r="X794" s="119"/>
      <c r="Y794" s="113"/>
      <c r="Z794" s="113"/>
      <c r="AH794" s="7"/>
      <c r="AI794" s="7"/>
    </row>
    <row r="795">
      <c r="A795" s="38"/>
      <c r="B795" s="38"/>
      <c r="C795" s="7"/>
      <c r="D795" s="38"/>
      <c r="E795" s="38"/>
      <c r="F795" s="41"/>
      <c r="G795" s="43"/>
      <c r="H795" s="45"/>
      <c r="I795" s="38"/>
      <c r="J795" s="38"/>
      <c r="K795" s="128"/>
      <c r="L795" s="47"/>
      <c r="M795" s="128"/>
      <c r="N795" s="128"/>
      <c r="O795" s="38"/>
      <c r="P795" s="38"/>
      <c r="Q795" s="12"/>
      <c r="R795" s="50"/>
      <c r="S795" s="50"/>
      <c r="T795" s="50"/>
      <c r="U795" s="53"/>
      <c r="V795" s="54"/>
      <c r="W795" s="56"/>
      <c r="X795" s="119"/>
      <c r="Y795" s="113"/>
      <c r="Z795" s="113"/>
      <c r="AH795" s="7"/>
      <c r="AI795" s="7"/>
    </row>
    <row r="796">
      <c r="A796" s="38"/>
      <c r="B796" s="38"/>
      <c r="C796" s="7"/>
      <c r="D796" s="38"/>
      <c r="E796" s="38"/>
      <c r="F796" s="41"/>
      <c r="G796" s="43"/>
      <c r="H796" s="45"/>
      <c r="I796" s="38"/>
      <c r="J796" s="38"/>
      <c r="K796" s="128"/>
      <c r="L796" s="47"/>
      <c r="M796" s="128"/>
      <c r="N796" s="128"/>
      <c r="O796" s="38"/>
      <c r="P796" s="38"/>
      <c r="Q796" s="12"/>
      <c r="R796" s="50"/>
      <c r="S796" s="50"/>
      <c r="T796" s="50"/>
      <c r="U796" s="53"/>
      <c r="V796" s="54"/>
      <c r="W796" s="56"/>
      <c r="X796" s="119"/>
      <c r="Y796" s="113"/>
      <c r="Z796" s="113"/>
      <c r="AH796" s="7"/>
      <c r="AI796" s="7"/>
    </row>
    <row r="797">
      <c r="A797" s="38"/>
      <c r="B797" s="38"/>
      <c r="C797" s="7"/>
      <c r="D797" s="38"/>
      <c r="E797" s="38"/>
      <c r="F797" s="41"/>
      <c r="G797" s="43"/>
      <c r="H797" s="45"/>
      <c r="I797" s="38"/>
      <c r="J797" s="38"/>
      <c r="K797" s="128"/>
      <c r="L797" s="47"/>
      <c r="M797" s="128"/>
      <c r="N797" s="128"/>
      <c r="O797" s="38"/>
      <c r="P797" s="38"/>
      <c r="Q797" s="12"/>
      <c r="R797" s="50"/>
      <c r="S797" s="50"/>
      <c r="T797" s="50"/>
      <c r="U797" s="53"/>
      <c r="V797" s="54"/>
      <c r="W797" s="56"/>
      <c r="X797" s="119"/>
      <c r="Y797" s="113"/>
      <c r="Z797" s="113"/>
      <c r="AH797" s="7"/>
      <c r="AI797" s="7"/>
    </row>
    <row r="798">
      <c r="A798" s="38"/>
      <c r="B798" s="38"/>
      <c r="C798" s="7"/>
      <c r="D798" s="38"/>
      <c r="E798" s="38"/>
      <c r="F798" s="41"/>
      <c r="G798" s="43"/>
      <c r="H798" s="45"/>
      <c r="I798" s="38"/>
      <c r="J798" s="38"/>
      <c r="K798" s="128"/>
      <c r="L798" s="47"/>
      <c r="M798" s="128"/>
      <c r="N798" s="128"/>
      <c r="O798" s="38"/>
      <c r="P798" s="38"/>
      <c r="Q798" s="12"/>
      <c r="R798" s="50"/>
      <c r="S798" s="50"/>
      <c r="T798" s="50"/>
      <c r="U798" s="53"/>
      <c r="V798" s="54"/>
      <c r="W798" s="56"/>
      <c r="X798" s="119"/>
      <c r="Y798" s="113"/>
      <c r="Z798" s="113"/>
      <c r="AH798" s="7"/>
      <c r="AI798" s="7"/>
    </row>
    <row r="799">
      <c r="A799" s="38"/>
      <c r="B799" s="38"/>
      <c r="C799" s="7"/>
      <c r="D799" s="38"/>
      <c r="E799" s="38"/>
      <c r="F799" s="41"/>
      <c r="G799" s="43"/>
      <c r="H799" s="45"/>
      <c r="I799" s="38"/>
      <c r="J799" s="38"/>
      <c r="K799" s="128"/>
      <c r="L799" s="47"/>
      <c r="M799" s="128"/>
      <c r="N799" s="128"/>
      <c r="O799" s="38"/>
      <c r="P799" s="38"/>
      <c r="Q799" s="12"/>
      <c r="R799" s="50"/>
      <c r="S799" s="50"/>
      <c r="T799" s="50"/>
      <c r="U799" s="53"/>
      <c r="V799" s="54"/>
      <c r="W799" s="56"/>
      <c r="X799" s="119"/>
      <c r="Y799" s="113"/>
      <c r="Z799" s="113"/>
      <c r="AH799" s="7"/>
      <c r="AI799" s="7"/>
    </row>
    <row r="800">
      <c r="A800" s="38"/>
      <c r="B800" s="38"/>
      <c r="C800" s="7"/>
      <c r="D800" s="38"/>
      <c r="E800" s="38"/>
      <c r="F800" s="41"/>
      <c r="G800" s="43"/>
      <c r="H800" s="45"/>
      <c r="I800" s="38"/>
      <c r="J800" s="38"/>
      <c r="K800" s="128"/>
      <c r="L800" s="47"/>
      <c r="M800" s="128"/>
      <c r="N800" s="128"/>
      <c r="O800" s="38"/>
      <c r="P800" s="38"/>
      <c r="Q800" s="12"/>
      <c r="R800" s="50"/>
      <c r="S800" s="50"/>
      <c r="T800" s="50"/>
      <c r="U800" s="53"/>
      <c r="V800" s="54"/>
      <c r="W800" s="56"/>
      <c r="X800" s="119"/>
      <c r="Y800" s="113"/>
      <c r="Z800" s="113"/>
      <c r="AH800" s="7"/>
      <c r="AI800" s="7"/>
    </row>
    <row r="801">
      <c r="A801" s="38"/>
      <c r="B801" s="38"/>
      <c r="C801" s="7"/>
      <c r="D801" s="38"/>
      <c r="E801" s="38"/>
      <c r="F801" s="41"/>
      <c r="G801" s="43"/>
      <c r="H801" s="45"/>
      <c r="I801" s="38"/>
      <c r="J801" s="38"/>
      <c r="K801" s="128"/>
      <c r="L801" s="47"/>
      <c r="M801" s="128"/>
      <c r="N801" s="128"/>
      <c r="O801" s="38"/>
      <c r="P801" s="38"/>
      <c r="Q801" s="12"/>
      <c r="R801" s="50"/>
      <c r="S801" s="50"/>
      <c r="T801" s="50"/>
      <c r="U801" s="53"/>
      <c r="V801" s="54"/>
      <c r="W801" s="56"/>
      <c r="X801" s="119"/>
      <c r="Y801" s="113"/>
      <c r="Z801" s="113"/>
      <c r="AH801" s="7"/>
      <c r="AI801" s="7"/>
    </row>
    <row r="802">
      <c r="A802" s="38"/>
      <c r="B802" s="38"/>
      <c r="C802" s="7"/>
      <c r="D802" s="38"/>
      <c r="E802" s="38"/>
      <c r="F802" s="41"/>
      <c r="G802" s="43"/>
      <c r="H802" s="45"/>
      <c r="I802" s="38"/>
      <c r="J802" s="38"/>
      <c r="K802" s="128"/>
      <c r="L802" s="47"/>
      <c r="M802" s="128"/>
      <c r="N802" s="128"/>
      <c r="O802" s="38"/>
      <c r="P802" s="38"/>
      <c r="Q802" s="12"/>
      <c r="R802" s="50"/>
      <c r="S802" s="50"/>
      <c r="T802" s="50"/>
      <c r="U802" s="53"/>
      <c r="V802" s="54"/>
      <c r="W802" s="56"/>
      <c r="X802" s="119"/>
      <c r="Y802" s="113"/>
      <c r="Z802" s="113"/>
      <c r="AH802" s="7"/>
      <c r="AI802" s="7"/>
    </row>
    <row r="803">
      <c r="A803" s="38"/>
      <c r="B803" s="38"/>
      <c r="C803" s="7"/>
      <c r="D803" s="38"/>
      <c r="E803" s="38"/>
      <c r="F803" s="41"/>
      <c r="G803" s="43"/>
      <c r="H803" s="45"/>
      <c r="I803" s="38"/>
      <c r="J803" s="38"/>
      <c r="K803" s="128"/>
      <c r="L803" s="47"/>
      <c r="M803" s="128"/>
      <c r="N803" s="128"/>
      <c r="O803" s="38"/>
      <c r="P803" s="38"/>
      <c r="Q803" s="12"/>
      <c r="R803" s="50"/>
      <c r="S803" s="50"/>
      <c r="T803" s="50"/>
      <c r="U803" s="53"/>
      <c r="V803" s="54"/>
      <c r="W803" s="56"/>
      <c r="X803" s="119"/>
      <c r="Y803" s="113"/>
      <c r="Z803" s="113"/>
      <c r="AH803" s="7"/>
      <c r="AI803" s="7"/>
    </row>
    <row r="804">
      <c r="A804" s="38"/>
      <c r="B804" s="38"/>
      <c r="C804" s="7"/>
      <c r="D804" s="38"/>
      <c r="E804" s="38"/>
      <c r="F804" s="41"/>
      <c r="G804" s="43"/>
      <c r="H804" s="45"/>
      <c r="I804" s="38"/>
      <c r="J804" s="38"/>
      <c r="K804" s="128"/>
      <c r="L804" s="47"/>
      <c r="M804" s="128"/>
      <c r="N804" s="128"/>
      <c r="O804" s="38"/>
      <c r="P804" s="38"/>
      <c r="Q804" s="12"/>
      <c r="R804" s="50"/>
      <c r="S804" s="50"/>
      <c r="T804" s="50"/>
      <c r="U804" s="53"/>
      <c r="V804" s="54"/>
      <c r="W804" s="56"/>
      <c r="X804" s="119"/>
      <c r="Y804" s="113"/>
      <c r="Z804" s="113"/>
      <c r="AH804" s="7"/>
      <c r="AI804" s="7"/>
    </row>
    <row r="805">
      <c r="A805" s="38"/>
      <c r="B805" s="38"/>
      <c r="C805" s="7"/>
      <c r="D805" s="38"/>
      <c r="E805" s="38"/>
      <c r="F805" s="41"/>
      <c r="G805" s="43"/>
      <c r="H805" s="45"/>
      <c r="I805" s="38"/>
      <c r="J805" s="38"/>
      <c r="K805" s="128"/>
      <c r="L805" s="47"/>
      <c r="M805" s="128"/>
      <c r="N805" s="128"/>
      <c r="O805" s="38"/>
      <c r="P805" s="38"/>
      <c r="Q805" s="12"/>
      <c r="R805" s="50"/>
      <c r="S805" s="50"/>
      <c r="T805" s="50"/>
      <c r="U805" s="53"/>
      <c r="V805" s="54"/>
      <c r="W805" s="56"/>
      <c r="X805" s="119"/>
      <c r="Y805" s="113"/>
      <c r="Z805" s="113"/>
      <c r="AH805" s="7"/>
      <c r="AI805" s="7"/>
    </row>
    <row r="806">
      <c r="A806" s="38"/>
      <c r="B806" s="38"/>
      <c r="C806" s="7"/>
      <c r="D806" s="38"/>
      <c r="E806" s="38"/>
      <c r="F806" s="41"/>
      <c r="G806" s="43"/>
      <c r="H806" s="45"/>
      <c r="I806" s="38"/>
      <c r="J806" s="38"/>
      <c r="K806" s="128"/>
      <c r="L806" s="47"/>
      <c r="M806" s="128"/>
      <c r="N806" s="128"/>
      <c r="O806" s="38"/>
      <c r="P806" s="38"/>
      <c r="Q806" s="12"/>
      <c r="R806" s="50"/>
      <c r="S806" s="50"/>
      <c r="T806" s="50"/>
      <c r="U806" s="53"/>
      <c r="V806" s="54"/>
      <c r="W806" s="56"/>
      <c r="X806" s="119"/>
      <c r="Y806" s="113"/>
      <c r="Z806" s="113"/>
      <c r="AH806" s="7"/>
      <c r="AI806" s="7"/>
    </row>
    <row r="807">
      <c r="A807" s="38"/>
      <c r="B807" s="38"/>
      <c r="C807" s="7"/>
      <c r="D807" s="38"/>
      <c r="E807" s="38"/>
      <c r="F807" s="41"/>
      <c r="G807" s="43"/>
      <c r="H807" s="45"/>
      <c r="I807" s="38"/>
      <c r="J807" s="38"/>
      <c r="K807" s="128"/>
      <c r="L807" s="47"/>
      <c r="M807" s="128"/>
      <c r="N807" s="128"/>
      <c r="O807" s="38"/>
      <c r="P807" s="38"/>
      <c r="Q807" s="12"/>
      <c r="R807" s="50"/>
      <c r="S807" s="50"/>
      <c r="T807" s="50"/>
      <c r="U807" s="53"/>
      <c r="V807" s="54"/>
      <c r="W807" s="56"/>
      <c r="X807" s="119"/>
      <c r="Y807" s="113"/>
      <c r="Z807" s="113"/>
      <c r="AH807" s="7"/>
      <c r="AI807" s="7"/>
    </row>
    <row r="808">
      <c r="A808" s="38"/>
      <c r="B808" s="38"/>
      <c r="C808" s="7"/>
      <c r="D808" s="38"/>
      <c r="E808" s="38"/>
      <c r="F808" s="41"/>
      <c r="G808" s="43"/>
      <c r="H808" s="45"/>
      <c r="I808" s="38"/>
      <c r="J808" s="38"/>
      <c r="K808" s="128"/>
      <c r="L808" s="47"/>
      <c r="M808" s="128"/>
      <c r="N808" s="128"/>
      <c r="O808" s="38"/>
      <c r="P808" s="38"/>
      <c r="Q808" s="12"/>
      <c r="R808" s="50"/>
      <c r="S808" s="50"/>
      <c r="T808" s="50"/>
      <c r="U808" s="53"/>
      <c r="V808" s="54"/>
      <c r="W808" s="56"/>
      <c r="X808" s="119"/>
      <c r="Y808" s="113"/>
      <c r="Z808" s="113"/>
      <c r="AH808" s="7"/>
      <c r="AI808" s="7"/>
    </row>
    <row r="809">
      <c r="A809" s="38"/>
      <c r="B809" s="38"/>
      <c r="C809" s="7"/>
      <c r="D809" s="38"/>
      <c r="E809" s="38"/>
      <c r="F809" s="41"/>
      <c r="G809" s="43"/>
      <c r="H809" s="45"/>
      <c r="I809" s="38"/>
      <c r="J809" s="38"/>
      <c r="K809" s="128"/>
      <c r="L809" s="47"/>
      <c r="M809" s="128"/>
      <c r="N809" s="128"/>
      <c r="O809" s="38"/>
      <c r="P809" s="38"/>
      <c r="Q809" s="12"/>
      <c r="R809" s="50"/>
      <c r="S809" s="50"/>
      <c r="T809" s="50"/>
      <c r="U809" s="53"/>
      <c r="V809" s="54"/>
      <c r="W809" s="56"/>
      <c r="X809" s="119"/>
      <c r="Y809" s="113"/>
      <c r="Z809" s="113"/>
      <c r="AH809" s="7"/>
      <c r="AI809" s="7"/>
    </row>
    <row r="810">
      <c r="A810" s="38"/>
      <c r="B810" s="38"/>
      <c r="C810" s="7"/>
      <c r="D810" s="38"/>
      <c r="E810" s="38"/>
      <c r="F810" s="41"/>
      <c r="G810" s="43"/>
      <c r="H810" s="45"/>
      <c r="I810" s="38"/>
      <c r="J810" s="38"/>
      <c r="K810" s="128"/>
      <c r="L810" s="47"/>
      <c r="M810" s="128"/>
      <c r="N810" s="128"/>
      <c r="O810" s="38"/>
      <c r="P810" s="38"/>
      <c r="Q810" s="12"/>
      <c r="R810" s="50"/>
      <c r="S810" s="50"/>
      <c r="T810" s="50"/>
      <c r="U810" s="53"/>
      <c r="V810" s="54"/>
      <c r="W810" s="56"/>
      <c r="X810" s="119"/>
      <c r="Y810" s="113"/>
      <c r="Z810" s="113"/>
      <c r="AH810" s="7"/>
      <c r="AI810" s="7"/>
    </row>
    <row r="811">
      <c r="A811" s="38"/>
      <c r="B811" s="38"/>
      <c r="C811" s="7"/>
      <c r="D811" s="38"/>
      <c r="E811" s="38"/>
      <c r="F811" s="41"/>
      <c r="G811" s="43"/>
      <c r="H811" s="45"/>
      <c r="I811" s="38"/>
      <c r="J811" s="38"/>
      <c r="K811" s="128"/>
      <c r="L811" s="47"/>
      <c r="M811" s="128"/>
      <c r="N811" s="128"/>
      <c r="O811" s="38"/>
      <c r="P811" s="38"/>
      <c r="Q811" s="12"/>
      <c r="R811" s="50"/>
      <c r="S811" s="50"/>
      <c r="T811" s="50"/>
      <c r="U811" s="53"/>
      <c r="V811" s="54"/>
      <c r="W811" s="56"/>
      <c r="X811" s="119"/>
      <c r="Y811" s="113"/>
      <c r="Z811" s="113"/>
      <c r="AH811" s="7"/>
      <c r="AI811" s="7"/>
    </row>
    <row r="812">
      <c r="A812" s="38"/>
      <c r="B812" s="38"/>
      <c r="C812" s="7"/>
      <c r="D812" s="38"/>
      <c r="E812" s="38"/>
      <c r="F812" s="41"/>
      <c r="G812" s="43"/>
      <c r="H812" s="45"/>
      <c r="I812" s="38"/>
      <c r="J812" s="38"/>
      <c r="K812" s="128"/>
      <c r="L812" s="47"/>
      <c r="M812" s="128"/>
      <c r="N812" s="128"/>
      <c r="O812" s="38"/>
      <c r="P812" s="38"/>
      <c r="Q812" s="12"/>
      <c r="R812" s="50"/>
      <c r="S812" s="50"/>
      <c r="T812" s="50"/>
      <c r="U812" s="53"/>
      <c r="V812" s="54"/>
      <c r="W812" s="56"/>
      <c r="X812" s="119"/>
      <c r="Y812" s="113"/>
      <c r="Z812" s="113"/>
      <c r="AH812" s="7"/>
      <c r="AI812" s="7"/>
    </row>
    <row r="813">
      <c r="A813" s="38"/>
      <c r="B813" s="38"/>
      <c r="C813" s="7"/>
      <c r="D813" s="38"/>
      <c r="E813" s="38"/>
      <c r="F813" s="41"/>
      <c r="G813" s="43"/>
      <c r="H813" s="45"/>
      <c r="I813" s="38"/>
      <c r="J813" s="38"/>
      <c r="K813" s="128"/>
      <c r="L813" s="47"/>
      <c r="M813" s="128"/>
      <c r="N813" s="128"/>
      <c r="O813" s="38"/>
      <c r="P813" s="38"/>
      <c r="Q813" s="12"/>
      <c r="R813" s="50"/>
      <c r="S813" s="50"/>
      <c r="T813" s="50"/>
      <c r="U813" s="53"/>
      <c r="V813" s="54"/>
      <c r="W813" s="56"/>
      <c r="X813" s="119"/>
      <c r="Y813" s="113"/>
      <c r="Z813" s="113"/>
      <c r="AH813" s="7"/>
      <c r="AI813" s="7"/>
    </row>
    <row r="814">
      <c r="A814" s="38"/>
      <c r="B814" s="38"/>
      <c r="C814" s="7"/>
      <c r="D814" s="38"/>
      <c r="E814" s="38"/>
      <c r="F814" s="41"/>
      <c r="G814" s="43"/>
      <c r="H814" s="45"/>
      <c r="I814" s="38"/>
      <c r="J814" s="38"/>
      <c r="K814" s="128"/>
      <c r="L814" s="47"/>
      <c r="M814" s="128"/>
      <c r="N814" s="128"/>
      <c r="O814" s="38"/>
      <c r="P814" s="38"/>
      <c r="Q814" s="12"/>
      <c r="R814" s="50"/>
      <c r="S814" s="50"/>
      <c r="T814" s="50"/>
      <c r="U814" s="53"/>
      <c r="V814" s="54"/>
      <c r="W814" s="56"/>
      <c r="X814" s="119"/>
      <c r="Y814" s="113"/>
      <c r="Z814" s="113"/>
      <c r="AH814" s="7"/>
      <c r="AI814" s="7"/>
    </row>
    <row r="815">
      <c r="A815" s="38"/>
      <c r="B815" s="38"/>
      <c r="C815" s="7"/>
      <c r="D815" s="38"/>
      <c r="E815" s="38"/>
      <c r="F815" s="41"/>
      <c r="G815" s="43"/>
      <c r="H815" s="45"/>
      <c r="I815" s="38"/>
      <c r="J815" s="38"/>
      <c r="K815" s="128"/>
      <c r="L815" s="47"/>
      <c r="M815" s="128"/>
      <c r="N815" s="128"/>
      <c r="O815" s="38"/>
      <c r="P815" s="38"/>
      <c r="Q815" s="12"/>
      <c r="R815" s="50"/>
      <c r="S815" s="50"/>
      <c r="T815" s="50"/>
      <c r="U815" s="53"/>
      <c r="V815" s="54"/>
      <c r="W815" s="56"/>
      <c r="X815" s="119"/>
      <c r="Y815" s="113"/>
      <c r="Z815" s="113"/>
      <c r="AH815" s="7"/>
      <c r="AI815" s="7"/>
    </row>
    <row r="816">
      <c r="A816" s="38"/>
      <c r="B816" s="38"/>
      <c r="C816" s="7"/>
      <c r="D816" s="38"/>
      <c r="E816" s="38"/>
      <c r="F816" s="41"/>
      <c r="G816" s="43"/>
      <c r="H816" s="45"/>
      <c r="I816" s="38"/>
      <c r="J816" s="38"/>
      <c r="K816" s="128"/>
      <c r="L816" s="47"/>
      <c r="M816" s="128"/>
      <c r="N816" s="128"/>
      <c r="O816" s="38"/>
      <c r="P816" s="38"/>
      <c r="Q816" s="12"/>
      <c r="R816" s="50"/>
      <c r="S816" s="50"/>
      <c r="T816" s="50"/>
      <c r="U816" s="53"/>
      <c r="V816" s="54"/>
      <c r="W816" s="56"/>
      <c r="X816" s="119"/>
      <c r="Y816" s="113"/>
      <c r="Z816" s="113"/>
      <c r="AH816" s="7"/>
      <c r="AI816" s="7"/>
    </row>
    <row r="817">
      <c r="A817" s="38"/>
      <c r="B817" s="38"/>
      <c r="C817" s="7"/>
      <c r="D817" s="38"/>
      <c r="E817" s="38"/>
      <c r="F817" s="41"/>
      <c r="G817" s="43"/>
      <c r="H817" s="45"/>
      <c r="I817" s="38"/>
      <c r="J817" s="38"/>
      <c r="K817" s="128"/>
      <c r="L817" s="47"/>
      <c r="M817" s="128"/>
      <c r="N817" s="128"/>
      <c r="O817" s="38"/>
      <c r="P817" s="38"/>
      <c r="Q817" s="12"/>
      <c r="R817" s="50"/>
      <c r="S817" s="50"/>
      <c r="T817" s="50"/>
      <c r="U817" s="53"/>
      <c r="V817" s="54"/>
      <c r="W817" s="56"/>
      <c r="X817" s="119"/>
      <c r="Y817" s="113"/>
      <c r="Z817" s="113"/>
      <c r="AH817" s="7"/>
      <c r="AI817" s="7"/>
    </row>
    <row r="818">
      <c r="A818" s="38"/>
      <c r="B818" s="38"/>
      <c r="C818" s="7"/>
      <c r="D818" s="38"/>
      <c r="E818" s="38"/>
      <c r="F818" s="41"/>
      <c r="G818" s="43"/>
      <c r="H818" s="45"/>
      <c r="I818" s="38"/>
      <c r="J818" s="38"/>
      <c r="K818" s="128"/>
      <c r="L818" s="47"/>
      <c r="M818" s="128"/>
      <c r="N818" s="128"/>
      <c r="O818" s="38"/>
      <c r="P818" s="38"/>
      <c r="Q818" s="12"/>
      <c r="R818" s="50"/>
      <c r="S818" s="50"/>
      <c r="T818" s="50"/>
      <c r="U818" s="53"/>
      <c r="V818" s="54"/>
      <c r="W818" s="56"/>
      <c r="X818" s="119"/>
      <c r="Y818" s="113"/>
      <c r="Z818" s="113"/>
      <c r="AH818" s="7"/>
      <c r="AI818" s="7"/>
    </row>
    <row r="819">
      <c r="A819" s="38"/>
      <c r="B819" s="38"/>
      <c r="C819" s="7"/>
      <c r="D819" s="38"/>
      <c r="E819" s="38"/>
      <c r="F819" s="41"/>
      <c r="G819" s="43"/>
      <c r="H819" s="45"/>
      <c r="I819" s="38"/>
      <c r="J819" s="38"/>
      <c r="K819" s="128"/>
      <c r="L819" s="47"/>
      <c r="M819" s="128"/>
      <c r="N819" s="128"/>
      <c r="O819" s="38"/>
      <c r="P819" s="38"/>
      <c r="Q819" s="12"/>
      <c r="R819" s="50"/>
      <c r="S819" s="50"/>
      <c r="T819" s="50"/>
      <c r="U819" s="53"/>
      <c r="V819" s="54"/>
      <c r="W819" s="56"/>
      <c r="X819" s="119"/>
      <c r="Y819" s="113"/>
      <c r="Z819" s="113"/>
      <c r="AH819" s="7"/>
      <c r="AI819" s="7"/>
    </row>
    <row r="820">
      <c r="A820" s="38"/>
      <c r="B820" s="38"/>
      <c r="C820" s="7"/>
      <c r="D820" s="38"/>
      <c r="E820" s="38"/>
      <c r="F820" s="41"/>
      <c r="G820" s="43"/>
      <c r="H820" s="45"/>
      <c r="I820" s="38"/>
      <c r="J820" s="38"/>
      <c r="K820" s="128"/>
      <c r="L820" s="47"/>
      <c r="M820" s="128"/>
      <c r="N820" s="128"/>
      <c r="O820" s="38"/>
      <c r="P820" s="38"/>
      <c r="Q820" s="12"/>
      <c r="R820" s="50"/>
      <c r="S820" s="50"/>
      <c r="T820" s="50"/>
      <c r="U820" s="53"/>
      <c r="V820" s="54"/>
      <c r="W820" s="56"/>
      <c r="X820" s="119"/>
      <c r="Y820" s="113"/>
      <c r="Z820" s="113"/>
      <c r="AH820" s="7"/>
      <c r="AI820" s="7"/>
    </row>
    <row r="821">
      <c r="A821" s="38"/>
      <c r="B821" s="38"/>
      <c r="C821" s="7"/>
      <c r="D821" s="38"/>
      <c r="E821" s="38"/>
      <c r="F821" s="41"/>
      <c r="G821" s="43"/>
      <c r="H821" s="45"/>
      <c r="I821" s="38"/>
      <c r="J821" s="38"/>
      <c r="K821" s="128"/>
      <c r="L821" s="47"/>
      <c r="M821" s="128"/>
      <c r="N821" s="128"/>
      <c r="O821" s="38"/>
      <c r="P821" s="38"/>
      <c r="Q821" s="12"/>
      <c r="R821" s="50"/>
      <c r="S821" s="50"/>
      <c r="T821" s="50"/>
      <c r="U821" s="53"/>
      <c r="V821" s="54"/>
      <c r="W821" s="56"/>
      <c r="X821" s="119"/>
      <c r="Y821" s="113"/>
      <c r="Z821" s="113"/>
      <c r="AH821" s="7"/>
      <c r="AI821" s="7"/>
    </row>
    <row r="822">
      <c r="A822" s="38"/>
      <c r="B822" s="38"/>
      <c r="C822" s="7"/>
      <c r="D822" s="38"/>
      <c r="E822" s="38"/>
      <c r="F822" s="41"/>
      <c r="G822" s="43"/>
      <c r="H822" s="45"/>
      <c r="I822" s="38"/>
      <c r="J822" s="38"/>
      <c r="K822" s="128"/>
      <c r="L822" s="47"/>
      <c r="M822" s="128"/>
      <c r="N822" s="128"/>
      <c r="O822" s="38"/>
      <c r="P822" s="38"/>
      <c r="Q822" s="12"/>
      <c r="R822" s="50"/>
      <c r="S822" s="50"/>
      <c r="T822" s="50"/>
      <c r="U822" s="53"/>
      <c r="V822" s="54"/>
      <c r="W822" s="56"/>
      <c r="X822" s="119"/>
      <c r="Y822" s="113"/>
      <c r="Z822" s="113"/>
      <c r="AH822" s="7"/>
      <c r="AI822" s="7"/>
    </row>
    <row r="823">
      <c r="A823" s="38"/>
      <c r="B823" s="38"/>
      <c r="C823" s="7"/>
      <c r="D823" s="38"/>
      <c r="E823" s="38"/>
      <c r="F823" s="41"/>
      <c r="G823" s="43"/>
      <c r="H823" s="45"/>
      <c r="I823" s="38"/>
      <c r="J823" s="38"/>
      <c r="K823" s="128"/>
      <c r="L823" s="47"/>
      <c r="M823" s="128"/>
      <c r="N823" s="128"/>
      <c r="O823" s="38"/>
      <c r="P823" s="38"/>
      <c r="Q823" s="12"/>
      <c r="R823" s="50"/>
      <c r="S823" s="50"/>
      <c r="T823" s="50"/>
      <c r="U823" s="53"/>
      <c r="V823" s="54"/>
      <c r="W823" s="56"/>
      <c r="X823" s="119"/>
      <c r="Y823" s="113"/>
      <c r="Z823" s="113"/>
      <c r="AH823" s="7"/>
      <c r="AI823" s="7"/>
    </row>
    <row r="824">
      <c r="A824" s="38"/>
      <c r="B824" s="38"/>
      <c r="C824" s="7"/>
      <c r="D824" s="38"/>
      <c r="E824" s="38"/>
      <c r="F824" s="41"/>
      <c r="G824" s="43"/>
      <c r="H824" s="45"/>
      <c r="I824" s="38"/>
      <c r="J824" s="38"/>
      <c r="K824" s="128"/>
      <c r="L824" s="47"/>
      <c r="M824" s="128"/>
      <c r="N824" s="128"/>
      <c r="O824" s="38"/>
      <c r="P824" s="38"/>
      <c r="Q824" s="12"/>
      <c r="R824" s="50"/>
      <c r="S824" s="50"/>
      <c r="T824" s="50"/>
      <c r="U824" s="53"/>
      <c r="V824" s="54"/>
      <c r="W824" s="56"/>
      <c r="X824" s="119"/>
      <c r="Y824" s="113"/>
      <c r="Z824" s="113"/>
      <c r="AH824" s="7"/>
      <c r="AI824" s="7"/>
    </row>
    <row r="825">
      <c r="A825" s="38"/>
      <c r="B825" s="38"/>
      <c r="C825" s="7"/>
      <c r="D825" s="38"/>
      <c r="E825" s="38"/>
      <c r="F825" s="41"/>
      <c r="G825" s="43"/>
      <c r="H825" s="45"/>
      <c r="I825" s="38"/>
      <c r="J825" s="38"/>
      <c r="K825" s="128"/>
      <c r="L825" s="47"/>
      <c r="M825" s="128"/>
      <c r="N825" s="128"/>
      <c r="O825" s="38"/>
      <c r="P825" s="38"/>
      <c r="Q825" s="12"/>
      <c r="R825" s="50"/>
      <c r="S825" s="50"/>
      <c r="T825" s="50"/>
      <c r="U825" s="53"/>
      <c r="V825" s="54"/>
      <c r="W825" s="56"/>
      <c r="X825" s="119"/>
      <c r="Y825" s="113"/>
      <c r="Z825" s="113"/>
      <c r="AH825" s="7"/>
      <c r="AI825" s="7"/>
    </row>
    <row r="826">
      <c r="A826" s="38"/>
      <c r="B826" s="38"/>
      <c r="C826" s="7"/>
      <c r="D826" s="38"/>
      <c r="E826" s="38"/>
      <c r="F826" s="41"/>
      <c r="G826" s="43"/>
      <c r="H826" s="45"/>
      <c r="I826" s="38"/>
      <c r="J826" s="38"/>
      <c r="K826" s="128"/>
      <c r="L826" s="47"/>
      <c r="M826" s="128"/>
      <c r="N826" s="128"/>
      <c r="O826" s="38"/>
      <c r="P826" s="38"/>
      <c r="Q826" s="12"/>
      <c r="R826" s="50"/>
      <c r="S826" s="50"/>
      <c r="T826" s="50"/>
      <c r="U826" s="53"/>
      <c r="V826" s="54"/>
      <c r="W826" s="56"/>
      <c r="X826" s="119"/>
      <c r="Y826" s="113"/>
      <c r="Z826" s="113"/>
      <c r="AH826" s="7"/>
      <c r="AI826" s="7"/>
    </row>
    <row r="827">
      <c r="A827" s="38"/>
      <c r="B827" s="38"/>
      <c r="C827" s="7"/>
      <c r="D827" s="38"/>
      <c r="E827" s="38"/>
      <c r="F827" s="41"/>
      <c r="G827" s="43"/>
      <c r="H827" s="45"/>
      <c r="I827" s="38"/>
      <c r="J827" s="38"/>
      <c r="K827" s="128"/>
      <c r="L827" s="47"/>
      <c r="M827" s="128"/>
      <c r="N827" s="128"/>
      <c r="O827" s="38"/>
      <c r="P827" s="38"/>
      <c r="Q827" s="12"/>
      <c r="R827" s="50"/>
      <c r="S827" s="50"/>
      <c r="T827" s="50"/>
      <c r="U827" s="53"/>
      <c r="V827" s="54"/>
      <c r="W827" s="56"/>
      <c r="X827" s="119"/>
      <c r="Y827" s="113"/>
      <c r="Z827" s="113"/>
      <c r="AH827" s="7"/>
      <c r="AI827" s="7"/>
    </row>
    <row r="828">
      <c r="A828" s="38"/>
      <c r="B828" s="38"/>
      <c r="C828" s="7"/>
      <c r="D828" s="38"/>
      <c r="E828" s="38"/>
      <c r="F828" s="41"/>
      <c r="G828" s="43"/>
      <c r="H828" s="45"/>
      <c r="I828" s="38"/>
      <c r="J828" s="38"/>
      <c r="K828" s="128"/>
      <c r="L828" s="47"/>
      <c r="M828" s="128"/>
      <c r="N828" s="128"/>
      <c r="O828" s="38"/>
      <c r="P828" s="38"/>
      <c r="Q828" s="12"/>
      <c r="R828" s="50"/>
      <c r="S828" s="50"/>
      <c r="T828" s="50"/>
      <c r="U828" s="53"/>
      <c r="V828" s="54"/>
      <c r="W828" s="56"/>
      <c r="X828" s="119"/>
      <c r="Y828" s="113"/>
      <c r="Z828" s="113"/>
      <c r="AH828" s="7"/>
      <c r="AI828" s="7"/>
    </row>
    <row r="829">
      <c r="A829" s="38"/>
      <c r="B829" s="38"/>
      <c r="C829" s="7"/>
      <c r="D829" s="38"/>
      <c r="E829" s="38"/>
      <c r="F829" s="41"/>
      <c r="G829" s="43"/>
      <c r="H829" s="45"/>
      <c r="I829" s="38"/>
      <c r="J829" s="38"/>
      <c r="K829" s="128"/>
      <c r="L829" s="47"/>
      <c r="M829" s="128"/>
      <c r="N829" s="128"/>
      <c r="O829" s="38"/>
      <c r="P829" s="38"/>
      <c r="Q829" s="12"/>
      <c r="R829" s="50"/>
      <c r="S829" s="50"/>
      <c r="T829" s="50"/>
      <c r="U829" s="53"/>
      <c r="V829" s="54"/>
      <c r="W829" s="56"/>
      <c r="X829" s="119"/>
      <c r="Y829" s="113"/>
      <c r="Z829" s="113"/>
      <c r="AH829" s="7"/>
      <c r="AI829" s="7"/>
    </row>
    <row r="830">
      <c r="A830" s="38"/>
      <c r="B830" s="38"/>
      <c r="C830" s="7"/>
      <c r="D830" s="38"/>
      <c r="E830" s="38"/>
      <c r="F830" s="41"/>
      <c r="G830" s="43"/>
      <c r="H830" s="45"/>
      <c r="I830" s="38"/>
      <c r="J830" s="38"/>
      <c r="K830" s="128"/>
      <c r="L830" s="47"/>
      <c r="M830" s="128"/>
      <c r="N830" s="128"/>
      <c r="O830" s="38"/>
      <c r="P830" s="38"/>
      <c r="Q830" s="12"/>
      <c r="R830" s="50"/>
      <c r="S830" s="50"/>
      <c r="T830" s="50"/>
      <c r="U830" s="53"/>
      <c r="V830" s="54"/>
      <c r="W830" s="56"/>
      <c r="X830" s="119"/>
      <c r="Y830" s="113"/>
      <c r="Z830" s="113"/>
      <c r="AH830" s="7"/>
      <c r="AI830" s="7"/>
    </row>
    <row r="831">
      <c r="A831" s="38"/>
      <c r="B831" s="38"/>
      <c r="C831" s="7"/>
      <c r="D831" s="38"/>
      <c r="E831" s="38"/>
      <c r="F831" s="41"/>
      <c r="G831" s="43"/>
      <c r="H831" s="45"/>
      <c r="I831" s="38"/>
      <c r="J831" s="38"/>
      <c r="K831" s="128"/>
      <c r="L831" s="47"/>
      <c r="M831" s="128"/>
      <c r="N831" s="128"/>
      <c r="O831" s="38"/>
      <c r="P831" s="38"/>
      <c r="Q831" s="12"/>
      <c r="R831" s="50"/>
      <c r="S831" s="50"/>
      <c r="T831" s="50"/>
      <c r="U831" s="53"/>
      <c r="V831" s="54"/>
      <c r="W831" s="56"/>
      <c r="X831" s="119"/>
      <c r="Y831" s="113"/>
      <c r="Z831" s="113"/>
      <c r="AH831" s="7"/>
      <c r="AI831" s="7"/>
    </row>
    <row r="832">
      <c r="A832" s="38"/>
      <c r="B832" s="38"/>
      <c r="C832" s="7"/>
      <c r="D832" s="38"/>
      <c r="E832" s="38"/>
      <c r="F832" s="41"/>
      <c r="G832" s="43"/>
      <c r="H832" s="45"/>
      <c r="I832" s="38"/>
      <c r="J832" s="38"/>
      <c r="K832" s="128"/>
      <c r="L832" s="47"/>
      <c r="M832" s="128"/>
      <c r="N832" s="128"/>
      <c r="O832" s="38"/>
      <c r="P832" s="38"/>
      <c r="Q832" s="12"/>
      <c r="R832" s="50"/>
      <c r="S832" s="50"/>
      <c r="T832" s="50"/>
      <c r="U832" s="53"/>
      <c r="V832" s="54"/>
      <c r="W832" s="56"/>
      <c r="X832" s="119"/>
      <c r="Y832" s="113"/>
      <c r="Z832" s="113"/>
      <c r="AH832" s="7"/>
      <c r="AI832" s="7"/>
    </row>
    <row r="833">
      <c r="A833" s="38"/>
      <c r="B833" s="38"/>
      <c r="C833" s="7"/>
      <c r="D833" s="38"/>
      <c r="E833" s="38"/>
      <c r="F833" s="41"/>
      <c r="G833" s="43"/>
      <c r="H833" s="45"/>
      <c r="I833" s="38"/>
      <c r="J833" s="38"/>
      <c r="K833" s="128"/>
      <c r="L833" s="47"/>
      <c r="M833" s="128"/>
      <c r="N833" s="128"/>
      <c r="O833" s="38"/>
      <c r="P833" s="38"/>
      <c r="Q833" s="12"/>
      <c r="R833" s="50"/>
      <c r="S833" s="50"/>
      <c r="T833" s="50"/>
      <c r="U833" s="53"/>
      <c r="V833" s="54"/>
      <c r="W833" s="56"/>
      <c r="X833" s="119"/>
      <c r="Y833" s="113"/>
      <c r="Z833" s="113"/>
      <c r="AH833" s="7"/>
      <c r="AI833" s="7"/>
    </row>
    <row r="834">
      <c r="A834" s="38"/>
      <c r="B834" s="38"/>
      <c r="C834" s="7"/>
      <c r="D834" s="38"/>
      <c r="E834" s="38"/>
      <c r="F834" s="41"/>
      <c r="G834" s="43"/>
      <c r="H834" s="45"/>
      <c r="I834" s="38"/>
      <c r="J834" s="38"/>
      <c r="K834" s="128"/>
      <c r="L834" s="47"/>
      <c r="M834" s="128"/>
      <c r="N834" s="128"/>
      <c r="O834" s="38"/>
      <c r="P834" s="38"/>
      <c r="Q834" s="12"/>
      <c r="R834" s="50"/>
      <c r="S834" s="50"/>
      <c r="T834" s="50"/>
      <c r="U834" s="53"/>
      <c r="V834" s="54"/>
      <c r="W834" s="56"/>
      <c r="X834" s="119"/>
      <c r="Y834" s="113"/>
      <c r="Z834" s="113"/>
      <c r="AH834" s="7"/>
      <c r="AI834" s="7"/>
    </row>
    <row r="835">
      <c r="A835" s="38"/>
      <c r="B835" s="38"/>
      <c r="C835" s="7"/>
      <c r="D835" s="38"/>
      <c r="E835" s="38"/>
      <c r="F835" s="41"/>
      <c r="G835" s="43"/>
      <c r="H835" s="45"/>
      <c r="I835" s="38"/>
      <c r="J835" s="38"/>
      <c r="K835" s="128"/>
      <c r="L835" s="47"/>
      <c r="M835" s="128"/>
      <c r="N835" s="128"/>
      <c r="O835" s="38"/>
      <c r="P835" s="38"/>
      <c r="Q835" s="12"/>
      <c r="R835" s="50"/>
      <c r="S835" s="50"/>
      <c r="T835" s="50"/>
      <c r="U835" s="53"/>
      <c r="V835" s="54"/>
      <c r="W835" s="56"/>
      <c r="X835" s="119"/>
      <c r="Y835" s="113"/>
      <c r="Z835" s="113"/>
      <c r="AH835" s="7"/>
      <c r="AI835" s="7"/>
    </row>
    <row r="836">
      <c r="A836" s="38"/>
      <c r="B836" s="38"/>
      <c r="C836" s="7"/>
      <c r="D836" s="38"/>
      <c r="E836" s="38"/>
      <c r="F836" s="41"/>
      <c r="G836" s="43"/>
      <c r="H836" s="45"/>
      <c r="I836" s="38"/>
      <c r="J836" s="38"/>
      <c r="K836" s="128"/>
      <c r="L836" s="47"/>
      <c r="M836" s="128"/>
      <c r="N836" s="128"/>
      <c r="O836" s="38"/>
      <c r="P836" s="38"/>
      <c r="Q836" s="12"/>
      <c r="R836" s="50"/>
      <c r="S836" s="50"/>
      <c r="T836" s="50"/>
      <c r="U836" s="53"/>
      <c r="V836" s="54"/>
      <c r="W836" s="56"/>
      <c r="X836" s="119"/>
      <c r="Y836" s="113"/>
      <c r="Z836" s="113"/>
      <c r="AH836" s="7"/>
      <c r="AI836" s="7"/>
    </row>
    <row r="837">
      <c r="A837" s="38"/>
      <c r="B837" s="38"/>
      <c r="C837" s="7"/>
      <c r="D837" s="38"/>
      <c r="E837" s="38"/>
      <c r="F837" s="41"/>
      <c r="G837" s="43"/>
      <c r="H837" s="45"/>
      <c r="I837" s="38"/>
      <c r="J837" s="38"/>
      <c r="K837" s="128"/>
      <c r="L837" s="47"/>
      <c r="M837" s="128"/>
      <c r="N837" s="128"/>
      <c r="O837" s="38"/>
      <c r="P837" s="38"/>
      <c r="Q837" s="12"/>
      <c r="R837" s="50"/>
      <c r="S837" s="50"/>
      <c r="T837" s="50"/>
      <c r="U837" s="53"/>
      <c r="V837" s="54"/>
      <c r="W837" s="56"/>
      <c r="X837" s="119"/>
      <c r="Y837" s="113"/>
      <c r="Z837" s="113"/>
      <c r="AH837" s="7"/>
      <c r="AI837" s="7"/>
    </row>
    <row r="838">
      <c r="A838" s="38"/>
      <c r="B838" s="38"/>
      <c r="C838" s="7"/>
      <c r="D838" s="38"/>
      <c r="E838" s="38"/>
      <c r="F838" s="41"/>
      <c r="G838" s="43"/>
      <c r="H838" s="45"/>
      <c r="I838" s="38"/>
      <c r="J838" s="38"/>
      <c r="K838" s="128"/>
      <c r="L838" s="47"/>
      <c r="M838" s="128"/>
      <c r="N838" s="128"/>
      <c r="O838" s="38"/>
      <c r="P838" s="38"/>
      <c r="Q838" s="12"/>
      <c r="R838" s="50"/>
      <c r="S838" s="50"/>
      <c r="T838" s="50"/>
      <c r="U838" s="53"/>
      <c r="V838" s="54"/>
      <c r="W838" s="56"/>
      <c r="X838" s="119"/>
      <c r="Y838" s="113"/>
      <c r="Z838" s="113"/>
      <c r="AH838" s="7"/>
      <c r="AI838" s="7"/>
    </row>
    <row r="839">
      <c r="A839" s="38"/>
      <c r="B839" s="38"/>
      <c r="C839" s="7"/>
      <c r="D839" s="38"/>
      <c r="E839" s="38"/>
      <c r="F839" s="41"/>
      <c r="G839" s="43"/>
      <c r="H839" s="45"/>
      <c r="I839" s="38"/>
      <c r="J839" s="38"/>
      <c r="K839" s="128"/>
      <c r="L839" s="47"/>
      <c r="M839" s="128"/>
      <c r="N839" s="128"/>
      <c r="O839" s="38"/>
      <c r="P839" s="38"/>
      <c r="Q839" s="12"/>
      <c r="R839" s="50"/>
      <c r="S839" s="50"/>
      <c r="T839" s="50"/>
      <c r="U839" s="53"/>
      <c r="V839" s="54"/>
      <c r="W839" s="56"/>
      <c r="X839" s="119"/>
      <c r="Y839" s="113"/>
      <c r="Z839" s="113"/>
      <c r="AH839" s="7"/>
      <c r="AI839" s="7"/>
    </row>
    <row r="840">
      <c r="A840" s="38"/>
      <c r="B840" s="38"/>
      <c r="C840" s="7"/>
      <c r="D840" s="38"/>
      <c r="E840" s="38"/>
      <c r="F840" s="41"/>
      <c r="G840" s="43"/>
      <c r="H840" s="45"/>
      <c r="I840" s="38"/>
      <c r="J840" s="38"/>
      <c r="K840" s="128"/>
      <c r="L840" s="47"/>
      <c r="M840" s="128"/>
      <c r="N840" s="128"/>
      <c r="O840" s="38"/>
      <c r="P840" s="38"/>
      <c r="Q840" s="12"/>
      <c r="R840" s="50"/>
      <c r="S840" s="50"/>
      <c r="T840" s="50"/>
      <c r="U840" s="53"/>
      <c r="V840" s="54"/>
      <c r="W840" s="56"/>
      <c r="X840" s="119"/>
      <c r="Y840" s="113"/>
      <c r="Z840" s="113"/>
      <c r="AH840" s="7"/>
      <c r="AI840" s="7"/>
    </row>
    <row r="841">
      <c r="A841" s="38"/>
      <c r="B841" s="38"/>
      <c r="C841" s="7"/>
      <c r="D841" s="38"/>
      <c r="E841" s="38"/>
      <c r="F841" s="41"/>
      <c r="G841" s="43"/>
      <c r="H841" s="45"/>
      <c r="I841" s="38"/>
      <c r="J841" s="38"/>
      <c r="K841" s="128"/>
      <c r="L841" s="47"/>
      <c r="M841" s="128"/>
      <c r="N841" s="128"/>
      <c r="O841" s="38"/>
      <c r="P841" s="38"/>
      <c r="Q841" s="12"/>
      <c r="R841" s="50"/>
      <c r="S841" s="50"/>
      <c r="T841" s="50"/>
      <c r="U841" s="53"/>
      <c r="V841" s="54"/>
      <c r="W841" s="56"/>
      <c r="X841" s="119"/>
      <c r="Y841" s="113"/>
      <c r="Z841" s="113"/>
      <c r="AH841" s="7"/>
      <c r="AI841" s="7"/>
    </row>
    <row r="842">
      <c r="A842" s="38"/>
      <c r="B842" s="38"/>
      <c r="C842" s="7"/>
      <c r="D842" s="38"/>
      <c r="E842" s="38"/>
      <c r="F842" s="41"/>
      <c r="G842" s="43"/>
      <c r="H842" s="45"/>
      <c r="I842" s="38"/>
      <c r="J842" s="38"/>
      <c r="K842" s="128"/>
      <c r="L842" s="47"/>
      <c r="M842" s="128"/>
      <c r="N842" s="128"/>
      <c r="O842" s="38"/>
      <c r="P842" s="38"/>
      <c r="Q842" s="12"/>
      <c r="R842" s="50"/>
      <c r="S842" s="50"/>
      <c r="T842" s="50"/>
      <c r="U842" s="53"/>
      <c r="V842" s="54"/>
      <c r="W842" s="56"/>
      <c r="X842" s="119"/>
      <c r="Y842" s="113"/>
      <c r="Z842" s="113"/>
      <c r="AH842" s="7"/>
      <c r="AI842" s="7"/>
    </row>
    <row r="843">
      <c r="A843" s="38"/>
      <c r="B843" s="38"/>
      <c r="C843" s="7"/>
      <c r="D843" s="38"/>
      <c r="E843" s="38"/>
      <c r="F843" s="41"/>
      <c r="G843" s="43"/>
      <c r="H843" s="45"/>
      <c r="I843" s="38"/>
      <c r="J843" s="38"/>
      <c r="K843" s="128"/>
      <c r="L843" s="47"/>
      <c r="M843" s="128"/>
      <c r="N843" s="128"/>
      <c r="O843" s="38"/>
      <c r="P843" s="38"/>
      <c r="Q843" s="12"/>
      <c r="R843" s="50"/>
      <c r="S843" s="50"/>
      <c r="T843" s="50"/>
      <c r="U843" s="53"/>
      <c r="V843" s="54"/>
      <c r="W843" s="56"/>
      <c r="X843" s="119"/>
      <c r="Y843" s="113"/>
      <c r="Z843" s="113"/>
      <c r="AH843" s="7"/>
      <c r="AI843" s="7"/>
    </row>
    <row r="844">
      <c r="A844" s="38"/>
      <c r="B844" s="38"/>
      <c r="C844" s="7"/>
      <c r="D844" s="38"/>
      <c r="E844" s="38"/>
      <c r="F844" s="41"/>
      <c r="G844" s="43"/>
      <c r="H844" s="45"/>
      <c r="I844" s="38"/>
      <c r="J844" s="38"/>
      <c r="K844" s="128"/>
      <c r="L844" s="47"/>
      <c r="M844" s="128"/>
      <c r="N844" s="128"/>
      <c r="O844" s="38"/>
      <c r="P844" s="38"/>
      <c r="Q844" s="12"/>
      <c r="R844" s="50"/>
      <c r="S844" s="50"/>
      <c r="T844" s="50"/>
      <c r="U844" s="53"/>
      <c r="V844" s="54"/>
      <c r="W844" s="56"/>
      <c r="X844" s="119"/>
      <c r="Y844" s="113"/>
      <c r="Z844" s="113"/>
      <c r="AH844" s="7"/>
      <c r="AI844" s="7"/>
    </row>
    <row r="845">
      <c r="A845" s="38"/>
      <c r="B845" s="38"/>
      <c r="C845" s="7"/>
      <c r="D845" s="38"/>
      <c r="E845" s="38"/>
      <c r="F845" s="41"/>
      <c r="G845" s="43"/>
      <c r="H845" s="45"/>
      <c r="I845" s="38"/>
      <c r="J845" s="38"/>
      <c r="K845" s="128"/>
      <c r="L845" s="47"/>
      <c r="M845" s="128"/>
      <c r="N845" s="128"/>
      <c r="O845" s="38"/>
      <c r="P845" s="38"/>
      <c r="Q845" s="12"/>
      <c r="R845" s="50"/>
      <c r="S845" s="50"/>
      <c r="T845" s="50"/>
      <c r="U845" s="53"/>
      <c r="V845" s="54"/>
      <c r="W845" s="56"/>
      <c r="X845" s="119"/>
      <c r="Y845" s="113"/>
      <c r="Z845" s="113"/>
      <c r="AH845" s="7"/>
      <c r="AI845" s="7"/>
    </row>
    <row r="846">
      <c r="A846" s="38"/>
      <c r="B846" s="38"/>
      <c r="C846" s="7"/>
      <c r="D846" s="38"/>
      <c r="E846" s="38"/>
      <c r="F846" s="41"/>
      <c r="G846" s="43"/>
      <c r="H846" s="45"/>
      <c r="I846" s="38"/>
      <c r="J846" s="38"/>
      <c r="K846" s="128"/>
      <c r="L846" s="47"/>
      <c r="M846" s="128"/>
      <c r="N846" s="128"/>
      <c r="O846" s="38"/>
      <c r="P846" s="38"/>
      <c r="Q846" s="12"/>
      <c r="R846" s="50"/>
      <c r="S846" s="50"/>
      <c r="T846" s="50"/>
      <c r="U846" s="53"/>
      <c r="V846" s="54"/>
      <c r="W846" s="56"/>
      <c r="X846" s="119"/>
      <c r="Y846" s="113"/>
      <c r="Z846" s="113"/>
      <c r="AH846" s="7"/>
      <c r="AI846" s="7"/>
    </row>
    <row r="847">
      <c r="A847" s="38"/>
      <c r="B847" s="38"/>
      <c r="C847" s="7"/>
      <c r="D847" s="38"/>
      <c r="E847" s="38"/>
      <c r="F847" s="41"/>
      <c r="G847" s="43"/>
      <c r="H847" s="45"/>
      <c r="I847" s="38"/>
      <c r="J847" s="38"/>
      <c r="K847" s="128"/>
      <c r="L847" s="47"/>
      <c r="M847" s="128"/>
      <c r="N847" s="128"/>
      <c r="O847" s="38"/>
      <c r="P847" s="38"/>
      <c r="Q847" s="12"/>
      <c r="R847" s="50"/>
      <c r="S847" s="50"/>
      <c r="T847" s="50"/>
      <c r="U847" s="53"/>
      <c r="V847" s="54"/>
      <c r="W847" s="56"/>
      <c r="X847" s="119"/>
      <c r="Y847" s="113"/>
      <c r="Z847" s="113"/>
      <c r="AH847" s="7"/>
      <c r="AI847" s="7"/>
    </row>
    <row r="848">
      <c r="A848" s="38"/>
      <c r="B848" s="38"/>
      <c r="C848" s="7"/>
      <c r="D848" s="38"/>
      <c r="E848" s="38"/>
      <c r="F848" s="41"/>
      <c r="G848" s="43"/>
      <c r="H848" s="45"/>
      <c r="I848" s="38"/>
      <c r="J848" s="38"/>
      <c r="K848" s="128"/>
      <c r="L848" s="47"/>
      <c r="M848" s="128"/>
      <c r="N848" s="128"/>
      <c r="O848" s="38"/>
      <c r="P848" s="38"/>
      <c r="Q848" s="12"/>
      <c r="R848" s="50"/>
      <c r="S848" s="50"/>
      <c r="T848" s="50"/>
      <c r="U848" s="53"/>
      <c r="V848" s="54"/>
      <c r="W848" s="56"/>
      <c r="X848" s="119"/>
      <c r="Y848" s="113"/>
      <c r="Z848" s="113"/>
      <c r="AH848" s="7"/>
      <c r="AI848" s="7"/>
    </row>
    <row r="849">
      <c r="A849" s="38"/>
      <c r="B849" s="38"/>
      <c r="C849" s="7"/>
      <c r="D849" s="38"/>
      <c r="E849" s="38"/>
      <c r="F849" s="41"/>
      <c r="G849" s="43"/>
      <c r="H849" s="45"/>
      <c r="I849" s="38"/>
      <c r="J849" s="38"/>
      <c r="K849" s="128"/>
      <c r="L849" s="47"/>
      <c r="M849" s="128"/>
      <c r="N849" s="128"/>
      <c r="O849" s="38"/>
      <c r="P849" s="38"/>
      <c r="Q849" s="12"/>
      <c r="R849" s="50"/>
      <c r="S849" s="50"/>
      <c r="T849" s="50"/>
      <c r="U849" s="53"/>
      <c r="V849" s="54"/>
      <c r="W849" s="56"/>
      <c r="X849" s="119"/>
      <c r="Y849" s="113"/>
      <c r="Z849" s="113"/>
      <c r="AH849" s="7"/>
      <c r="AI849" s="7"/>
    </row>
    <row r="850">
      <c r="A850" s="38"/>
      <c r="B850" s="38"/>
      <c r="C850" s="7"/>
      <c r="D850" s="38"/>
      <c r="E850" s="38"/>
      <c r="F850" s="41"/>
      <c r="G850" s="43"/>
      <c r="H850" s="45"/>
      <c r="I850" s="38"/>
      <c r="J850" s="38"/>
      <c r="K850" s="128"/>
      <c r="L850" s="47"/>
      <c r="M850" s="128"/>
      <c r="N850" s="128"/>
      <c r="O850" s="38"/>
      <c r="P850" s="38"/>
      <c r="Q850" s="12"/>
      <c r="R850" s="50"/>
      <c r="S850" s="50"/>
      <c r="T850" s="50"/>
      <c r="U850" s="53"/>
      <c r="V850" s="54"/>
      <c r="W850" s="56"/>
      <c r="X850" s="119"/>
      <c r="Y850" s="113"/>
      <c r="Z850" s="113"/>
      <c r="AH850" s="7"/>
      <c r="AI850" s="7"/>
    </row>
    <row r="851">
      <c r="A851" s="38"/>
      <c r="B851" s="38"/>
      <c r="C851" s="7"/>
      <c r="D851" s="38"/>
      <c r="E851" s="38"/>
      <c r="F851" s="41"/>
      <c r="G851" s="43"/>
      <c r="H851" s="45"/>
      <c r="I851" s="38"/>
      <c r="J851" s="38"/>
      <c r="K851" s="128"/>
      <c r="L851" s="47"/>
      <c r="M851" s="128"/>
      <c r="N851" s="128"/>
      <c r="O851" s="38"/>
      <c r="P851" s="38"/>
      <c r="Q851" s="12"/>
      <c r="R851" s="50"/>
      <c r="S851" s="50"/>
      <c r="T851" s="50"/>
      <c r="U851" s="53"/>
      <c r="V851" s="54"/>
      <c r="W851" s="56"/>
      <c r="X851" s="119"/>
      <c r="Y851" s="113"/>
      <c r="Z851" s="113"/>
      <c r="AH851" s="7"/>
      <c r="AI851" s="7"/>
    </row>
    <row r="852">
      <c r="A852" s="38"/>
      <c r="B852" s="38"/>
      <c r="C852" s="7"/>
      <c r="D852" s="38"/>
      <c r="E852" s="38"/>
      <c r="F852" s="41"/>
      <c r="G852" s="43"/>
      <c r="H852" s="45"/>
      <c r="I852" s="38"/>
      <c r="J852" s="38"/>
      <c r="K852" s="128"/>
      <c r="L852" s="47"/>
      <c r="M852" s="128"/>
      <c r="N852" s="128"/>
      <c r="O852" s="38"/>
      <c r="P852" s="38"/>
      <c r="Q852" s="12"/>
      <c r="R852" s="50"/>
      <c r="S852" s="50"/>
      <c r="T852" s="50"/>
      <c r="U852" s="53"/>
      <c r="V852" s="54"/>
      <c r="W852" s="56"/>
      <c r="X852" s="119"/>
      <c r="Y852" s="113"/>
      <c r="Z852" s="113"/>
      <c r="AH852" s="7"/>
      <c r="AI852" s="7"/>
    </row>
    <row r="853">
      <c r="A853" s="38"/>
      <c r="B853" s="38"/>
      <c r="C853" s="7"/>
      <c r="D853" s="38"/>
      <c r="E853" s="38"/>
      <c r="F853" s="41"/>
      <c r="G853" s="43"/>
      <c r="H853" s="45"/>
      <c r="I853" s="38"/>
      <c r="J853" s="38"/>
      <c r="K853" s="128"/>
      <c r="L853" s="47"/>
      <c r="M853" s="128"/>
      <c r="N853" s="128"/>
      <c r="O853" s="38"/>
      <c r="P853" s="38"/>
      <c r="Q853" s="12"/>
      <c r="R853" s="50"/>
      <c r="S853" s="50"/>
      <c r="T853" s="50"/>
      <c r="U853" s="53"/>
      <c r="V853" s="54"/>
      <c r="W853" s="56"/>
      <c r="X853" s="119"/>
      <c r="Y853" s="113"/>
      <c r="Z853" s="113"/>
      <c r="AH853" s="7"/>
      <c r="AI853" s="7"/>
    </row>
    <row r="854">
      <c r="A854" s="38"/>
      <c r="B854" s="38"/>
      <c r="C854" s="7"/>
      <c r="D854" s="38"/>
      <c r="E854" s="38"/>
      <c r="F854" s="41"/>
      <c r="G854" s="43"/>
      <c r="H854" s="45"/>
      <c r="I854" s="38"/>
      <c r="J854" s="38"/>
      <c r="K854" s="128"/>
      <c r="L854" s="47"/>
      <c r="M854" s="128"/>
      <c r="N854" s="128"/>
      <c r="O854" s="38"/>
      <c r="P854" s="38"/>
      <c r="Q854" s="12"/>
      <c r="R854" s="50"/>
      <c r="S854" s="50"/>
      <c r="T854" s="50"/>
      <c r="U854" s="53"/>
      <c r="V854" s="54"/>
      <c r="W854" s="56"/>
      <c r="X854" s="119"/>
      <c r="Y854" s="113"/>
      <c r="Z854" s="113"/>
      <c r="AH854" s="7"/>
      <c r="AI854" s="7"/>
    </row>
    <row r="855">
      <c r="A855" s="38"/>
      <c r="B855" s="38"/>
      <c r="C855" s="7"/>
      <c r="D855" s="38"/>
      <c r="E855" s="38"/>
      <c r="F855" s="41"/>
      <c r="G855" s="43"/>
      <c r="H855" s="45"/>
      <c r="I855" s="38"/>
      <c r="J855" s="38"/>
      <c r="K855" s="128"/>
      <c r="L855" s="47"/>
      <c r="M855" s="128"/>
      <c r="N855" s="128"/>
      <c r="O855" s="38"/>
      <c r="P855" s="38"/>
      <c r="Q855" s="12"/>
      <c r="R855" s="50"/>
      <c r="S855" s="50"/>
      <c r="T855" s="50"/>
      <c r="U855" s="53"/>
      <c r="V855" s="54"/>
      <c r="W855" s="56"/>
      <c r="X855" s="119"/>
      <c r="Y855" s="113"/>
      <c r="Z855" s="113"/>
      <c r="AH855" s="7"/>
      <c r="AI855" s="7"/>
    </row>
    <row r="856">
      <c r="A856" s="38"/>
      <c r="B856" s="38"/>
      <c r="C856" s="7"/>
      <c r="D856" s="38"/>
      <c r="E856" s="38"/>
      <c r="F856" s="41"/>
      <c r="G856" s="43"/>
      <c r="H856" s="45"/>
      <c r="I856" s="38"/>
      <c r="J856" s="38"/>
      <c r="K856" s="128"/>
      <c r="L856" s="47"/>
      <c r="M856" s="128"/>
      <c r="N856" s="128"/>
      <c r="O856" s="38"/>
      <c r="P856" s="38"/>
      <c r="Q856" s="12"/>
      <c r="R856" s="50"/>
      <c r="S856" s="50"/>
      <c r="T856" s="50"/>
      <c r="U856" s="53"/>
      <c r="V856" s="54"/>
      <c r="W856" s="56"/>
      <c r="X856" s="119"/>
      <c r="Y856" s="113"/>
      <c r="Z856" s="113"/>
      <c r="AH856" s="7"/>
      <c r="AI856" s="7"/>
    </row>
    <row r="857">
      <c r="A857" s="38"/>
      <c r="B857" s="38"/>
      <c r="C857" s="7"/>
      <c r="D857" s="38"/>
      <c r="E857" s="38"/>
      <c r="F857" s="41"/>
      <c r="G857" s="43"/>
      <c r="H857" s="45"/>
      <c r="I857" s="38"/>
      <c r="J857" s="38"/>
      <c r="K857" s="128"/>
      <c r="L857" s="47"/>
      <c r="M857" s="128"/>
      <c r="N857" s="128"/>
      <c r="O857" s="38"/>
      <c r="P857" s="38"/>
      <c r="Q857" s="12"/>
      <c r="R857" s="50"/>
      <c r="S857" s="50"/>
      <c r="T857" s="50"/>
      <c r="U857" s="53"/>
      <c r="V857" s="54"/>
      <c r="W857" s="56"/>
      <c r="X857" s="119"/>
      <c r="Y857" s="113"/>
      <c r="Z857" s="113"/>
      <c r="AH857" s="7"/>
      <c r="AI857" s="7"/>
    </row>
    <row r="858">
      <c r="A858" s="38"/>
      <c r="B858" s="38"/>
      <c r="C858" s="7"/>
      <c r="D858" s="38"/>
      <c r="E858" s="38"/>
      <c r="F858" s="41"/>
      <c r="G858" s="43"/>
      <c r="H858" s="45"/>
      <c r="I858" s="38"/>
      <c r="J858" s="38"/>
      <c r="K858" s="128"/>
      <c r="L858" s="47"/>
      <c r="M858" s="128"/>
      <c r="N858" s="128"/>
      <c r="O858" s="38"/>
      <c r="P858" s="38"/>
      <c r="Q858" s="12"/>
      <c r="R858" s="50"/>
      <c r="S858" s="50"/>
      <c r="T858" s="50"/>
      <c r="U858" s="53"/>
      <c r="V858" s="54"/>
      <c r="W858" s="56"/>
      <c r="X858" s="119"/>
      <c r="Y858" s="113"/>
      <c r="Z858" s="113"/>
      <c r="AH858" s="7"/>
      <c r="AI858" s="7"/>
    </row>
    <row r="859">
      <c r="A859" s="38"/>
      <c r="B859" s="38"/>
      <c r="C859" s="7"/>
      <c r="D859" s="38"/>
      <c r="E859" s="38"/>
      <c r="F859" s="41"/>
      <c r="G859" s="43"/>
      <c r="H859" s="45"/>
      <c r="I859" s="38"/>
      <c r="J859" s="38"/>
      <c r="K859" s="128"/>
      <c r="L859" s="47"/>
      <c r="M859" s="128"/>
      <c r="N859" s="128"/>
      <c r="O859" s="38"/>
      <c r="P859" s="38"/>
      <c r="Q859" s="12"/>
      <c r="R859" s="50"/>
      <c r="S859" s="50"/>
      <c r="T859" s="50"/>
      <c r="U859" s="53"/>
      <c r="V859" s="54"/>
      <c r="W859" s="56"/>
      <c r="X859" s="119"/>
      <c r="Y859" s="113"/>
      <c r="Z859" s="113"/>
      <c r="AH859" s="7"/>
      <c r="AI859" s="7"/>
    </row>
    <row r="860">
      <c r="A860" s="38"/>
      <c r="B860" s="38"/>
      <c r="C860" s="7"/>
      <c r="D860" s="38"/>
      <c r="E860" s="38"/>
      <c r="F860" s="41"/>
      <c r="G860" s="43"/>
      <c r="H860" s="45"/>
      <c r="I860" s="38"/>
      <c r="J860" s="38"/>
      <c r="K860" s="128"/>
      <c r="L860" s="47"/>
      <c r="M860" s="128"/>
      <c r="N860" s="128"/>
      <c r="O860" s="38"/>
      <c r="P860" s="38"/>
      <c r="Q860" s="12"/>
      <c r="R860" s="50"/>
      <c r="S860" s="50"/>
      <c r="T860" s="50"/>
      <c r="U860" s="53"/>
      <c r="V860" s="54"/>
      <c r="W860" s="56"/>
      <c r="X860" s="119"/>
      <c r="Y860" s="113"/>
      <c r="Z860" s="113"/>
      <c r="AH860" s="7"/>
      <c r="AI860" s="7"/>
    </row>
    <row r="861">
      <c r="A861" s="38"/>
      <c r="B861" s="38"/>
      <c r="C861" s="7"/>
      <c r="D861" s="38"/>
      <c r="E861" s="38"/>
      <c r="F861" s="41"/>
      <c r="G861" s="43"/>
      <c r="H861" s="45"/>
      <c r="I861" s="38"/>
      <c r="J861" s="38"/>
      <c r="K861" s="128"/>
      <c r="L861" s="47"/>
      <c r="M861" s="128"/>
      <c r="N861" s="128"/>
      <c r="O861" s="38"/>
      <c r="P861" s="38"/>
      <c r="Q861" s="12"/>
      <c r="R861" s="50"/>
      <c r="S861" s="50"/>
      <c r="T861" s="50"/>
      <c r="U861" s="53"/>
      <c r="V861" s="54"/>
      <c r="W861" s="56"/>
      <c r="X861" s="119"/>
      <c r="Y861" s="113"/>
      <c r="Z861" s="113"/>
      <c r="AH861" s="7"/>
      <c r="AI861" s="7"/>
    </row>
    <row r="862">
      <c r="A862" s="38"/>
      <c r="B862" s="38"/>
      <c r="C862" s="7"/>
      <c r="D862" s="38"/>
      <c r="E862" s="38"/>
      <c r="F862" s="41"/>
      <c r="G862" s="43"/>
      <c r="H862" s="45"/>
      <c r="I862" s="38"/>
      <c r="J862" s="38"/>
      <c r="K862" s="128"/>
      <c r="L862" s="47"/>
      <c r="M862" s="128"/>
      <c r="N862" s="128"/>
      <c r="O862" s="38"/>
      <c r="P862" s="38"/>
      <c r="Q862" s="12"/>
      <c r="R862" s="50"/>
      <c r="S862" s="50"/>
      <c r="T862" s="50"/>
      <c r="U862" s="53"/>
      <c r="V862" s="54"/>
      <c r="W862" s="56"/>
      <c r="X862" s="119"/>
      <c r="Y862" s="113"/>
      <c r="Z862" s="113"/>
      <c r="AH862" s="7"/>
      <c r="AI862" s="7"/>
    </row>
    <row r="863">
      <c r="A863" s="38"/>
      <c r="B863" s="38"/>
      <c r="C863" s="7"/>
      <c r="D863" s="38"/>
      <c r="E863" s="38"/>
      <c r="F863" s="41"/>
      <c r="G863" s="43"/>
      <c r="H863" s="45"/>
      <c r="I863" s="38"/>
      <c r="J863" s="38"/>
      <c r="K863" s="128"/>
      <c r="L863" s="47"/>
      <c r="M863" s="128"/>
      <c r="N863" s="128"/>
      <c r="O863" s="38"/>
      <c r="P863" s="38"/>
      <c r="Q863" s="12"/>
      <c r="R863" s="50"/>
      <c r="S863" s="50"/>
      <c r="T863" s="50"/>
      <c r="U863" s="53"/>
      <c r="V863" s="54"/>
      <c r="W863" s="56"/>
      <c r="X863" s="119"/>
      <c r="Y863" s="113"/>
      <c r="Z863" s="113"/>
      <c r="AH863" s="7"/>
      <c r="AI863" s="7"/>
    </row>
    <row r="864">
      <c r="A864" s="38"/>
      <c r="B864" s="38"/>
      <c r="C864" s="7"/>
      <c r="D864" s="38"/>
      <c r="E864" s="38"/>
      <c r="F864" s="41"/>
      <c r="G864" s="43"/>
      <c r="H864" s="45"/>
      <c r="I864" s="38"/>
      <c r="J864" s="38"/>
      <c r="K864" s="128"/>
      <c r="L864" s="47"/>
      <c r="M864" s="128"/>
      <c r="N864" s="128"/>
      <c r="O864" s="38"/>
      <c r="P864" s="38"/>
      <c r="Q864" s="12"/>
      <c r="R864" s="50"/>
      <c r="S864" s="50"/>
      <c r="T864" s="50"/>
      <c r="U864" s="53"/>
      <c r="V864" s="54"/>
      <c r="W864" s="56"/>
      <c r="X864" s="119"/>
      <c r="Y864" s="113"/>
      <c r="Z864" s="113"/>
      <c r="AH864" s="7"/>
      <c r="AI864" s="7"/>
    </row>
    <row r="865">
      <c r="A865" s="38"/>
      <c r="B865" s="38"/>
      <c r="C865" s="7"/>
      <c r="D865" s="38"/>
      <c r="E865" s="38"/>
      <c r="F865" s="41"/>
      <c r="G865" s="43"/>
      <c r="H865" s="45"/>
      <c r="I865" s="38"/>
      <c r="J865" s="38"/>
      <c r="K865" s="128"/>
      <c r="L865" s="47"/>
      <c r="M865" s="128"/>
      <c r="N865" s="128"/>
      <c r="O865" s="38"/>
      <c r="P865" s="38"/>
      <c r="Q865" s="12"/>
      <c r="R865" s="50"/>
      <c r="S865" s="50"/>
      <c r="T865" s="50"/>
      <c r="U865" s="53"/>
      <c r="V865" s="54"/>
      <c r="W865" s="56"/>
      <c r="X865" s="119"/>
      <c r="Y865" s="113"/>
      <c r="Z865" s="113"/>
      <c r="AH865" s="7"/>
      <c r="AI865" s="7"/>
    </row>
    <row r="866">
      <c r="A866" s="38"/>
      <c r="B866" s="38"/>
      <c r="C866" s="7"/>
      <c r="D866" s="38"/>
      <c r="E866" s="38"/>
      <c r="F866" s="41"/>
      <c r="G866" s="43"/>
      <c r="H866" s="45"/>
      <c r="I866" s="38"/>
      <c r="J866" s="38"/>
      <c r="K866" s="128"/>
      <c r="L866" s="47"/>
      <c r="M866" s="128"/>
      <c r="N866" s="128"/>
      <c r="O866" s="38"/>
      <c r="P866" s="38"/>
      <c r="Q866" s="12"/>
      <c r="R866" s="50"/>
      <c r="S866" s="50"/>
      <c r="T866" s="50"/>
      <c r="U866" s="53"/>
      <c r="V866" s="54"/>
      <c r="W866" s="56"/>
      <c r="X866" s="119"/>
      <c r="Y866" s="113"/>
      <c r="Z866" s="113"/>
      <c r="AH866" s="7"/>
      <c r="AI866" s="7"/>
    </row>
    <row r="867">
      <c r="A867" s="38"/>
      <c r="B867" s="38"/>
      <c r="C867" s="7"/>
      <c r="D867" s="38"/>
      <c r="E867" s="38"/>
      <c r="F867" s="41"/>
      <c r="G867" s="43"/>
      <c r="H867" s="45"/>
      <c r="I867" s="38"/>
      <c r="J867" s="38"/>
      <c r="K867" s="128"/>
      <c r="L867" s="47"/>
      <c r="M867" s="128"/>
      <c r="N867" s="128"/>
      <c r="O867" s="38"/>
      <c r="P867" s="38"/>
      <c r="Q867" s="12"/>
      <c r="R867" s="50"/>
      <c r="S867" s="50"/>
      <c r="T867" s="50"/>
      <c r="U867" s="53"/>
      <c r="V867" s="54"/>
      <c r="W867" s="56"/>
      <c r="X867" s="119"/>
      <c r="Y867" s="113"/>
      <c r="Z867" s="113"/>
      <c r="AH867" s="7"/>
      <c r="AI867" s="7"/>
    </row>
    <row r="868">
      <c r="A868" s="38"/>
      <c r="B868" s="38"/>
      <c r="C868" s="7"/>
      <c r="D868" s="38"/>
      <c r="E868" s="38"/>
      <c r="F868" s="41"/>
      <c r="G868" s="43"/>
      <c r="H868" s="45"/>
      <c r="I868" s="38"/>
      <c r="J868" s="38"/>
      <c r="K868" s="128"/>
      <c r="L868" s="47"/>
      <c r="M868" s="128"/>
      <c r="N868" s="128"/>
      <c r="O868" s="38"/>
      <c r="P868" s="38"/>
      <c r="Q868" s="12"/>
      <c r="R868" s="50"/>
      <c r="S868" s="50"/>
      <c r="T868" s="50"/>
      <c r="U868" s="53"/>
      <c r="V868" s="54"/>
      <c r="W868" s="56"/>
      <c r="X868" s="119"/>
      <c r="Y868" s="113"/>
      <c r="Z868" s="113"/>
      <c r="AH868" s="7"/>
      <c r="AI868" s="7"/>
    </row>
    <row r="869">
      <c r="A869" s="38"/>
      <c r="B869" s="38"/>
      <c r="C869" s="7"/>
      <c r="D869" s="38"/>
      <c r="E869" s="38"/>
      <c r="F869" s="41"/>
      <c r="G869" s="43"/>
      <c r="H869" s="45"/>
      <c r="I869" s="38"/>
      <c r="J869" s="38"/>
      <c r="K869" s="128"/>
      <c r="L869" s="47"/>
      <c r="M869" s="128"/>
      <c r="N869" s="128"/>
      <c r="O869" s="38"/>
      <c r="P869" s="38"/>
      <c r="Q869" s="12"/>
      <c r="R869" s="50"/>
      <c r="S869" s="50"/>
      <c r="T869" s="50"/>
      <c r="U869" s="53"/>
      <c r="V869" s="54"/>
      <c r="W869" s="56"/>
      <c r="X869" s="119"/>
      <c r="Y869" s="113"/>
      <c r="Z869" s="113"/>
      <c r="AH869" s="7"/>
      <c r="AI869" s="7"/>
    </row>
    <row r="870">
      <c r="A870" s="38"/>
      <c r="B870" s="38"/>
      <c r="C870" s="7"/>
      <c r="D870" s="38"/>
      <c r="E870" s="38"/>
      <c r="F870" s="41"/>
      <c r="G870" s="43"/>
      <c r="H870" s="45"/>
      <c r="I870" s="38"/>
      <c r="J870" s="38"/>
      <c r="K870" s="128"/>
      <c r="L870" s="47"/>
      <c r="M870" s="128"/>
      <c r="N870" s="128"/>
      <c r="O870" s="38"/>
      <c r="P870" s="38"/>
      <c r="Q870" s="12"/>
      <c r="R870" s="50"/>
      <c r="S870" s="50"/>
      <c r="T870" s="50"/>
      <c r="U870" s="53"/>
      <c r="V870" s="54"/>
      <c r="W870" s="56"/>
      <c r="X870" s="119"/>
      <c r="Y870" s="113"/>
      <c r="Z870" s="113"/>
      <c r="AH870" s="7"/>
      <c r="AI870" s="7"/>
    </row>
    <row r="871">
      <c r="A871" s="38"/>
      <c r="B871" s="38"/>
      <c r="C871" s="7"/>
      <c r="D871" s="38"/>
      <c r="E871" s="38"/>
      <c r="F871" s="41"/>
      <c r="G871" s="43"/>
      <c r="H871" s="45"/>
      <c r="I871" s="38"/>
      <c r="J871" s="38"/>
      <c r="K871" s="128"/>
      <c r="L871" s="47"/>
      <c r="M871" s="128"/>
      <c r="N871" s="128"/>
      <c r="O871" s="38"/>
      <c r="P871" s="38"/>
      <c r="Q871" s="12"/>
      <c r="R871" s="50"/>
      <c r="S871" s="50"/>
      <c r="T871" s="50"/>
      <c r="U871" s="53"/>
      <c r="V871" s="54"/>
      <c r="W871" s="56"/>
      <c r="X871" s="119"/>
      <c r="Y871" s="113"/>
      <c r="Z871" s="113"/>
      <c r="AH871" s="7"/>
      <c r="AI871" s="7"/>
    </row>
    <row r="872">
      <c r="A872" s="38"/>
      <c r="B872" s="38"/>
      <c r="C872" s="7"/>
      <c r="D872" s="38"/>
      <c r="E872" s="38"/>
      <c r="F872" s="41"/>
      <c r="G872" s="43"/>
      <c r="H872" s="45"/>
      <c r="I872" s="38"/>
      <c r="J872" s="38"/>
      <c r="K872" s="128"/>
      <c r="L872" s="47"/>
      <c r="M872" s="128"/>
      <c r="N872" s="128"/>
      <c r="O872" s="38"/>
      <c r="P872" s="38"/>
      <c r="Q872" s="12"/>
      <c r="R872" s="50"/>
      <c r="S872" s="50"/>
      <c r="T872" s="50"/>
      <c r="U872" s="53"/>
      <c r="V872" s="54"/>
      <c r="W872" s="56"/>
      <c r="X872" s="119"/>
      <c r="Y872" s="113"/>
      <c r="Z872" s="113"/>
      <c r="AH872" s="7"/>
      <c r="AI872" s="7"/>
    </row>
    <row r="873">
      <c r="A873" s="38"/>
      <c r="B873" s="38"/>
      <c r="C873" s="7"/>
      <c r="D873" s="38"/>
      <c r="E873" s="38"/>
      <c r="F873" s="41"/>
      <c r="G873" s="43"/>
      <c r="H873" s="45"/>
      <c r="I873" s="38"/>
      <c r="J873" s="38"/>
      <c r="K873" s="128"/>
      <c r="L873" s="47"/>
      <c r="M873" s="128"/>
      <c r="N873" s="128"/>
      <c r="O873" s="38"/>
      <c r="P873" s="38"/>
      <c r="Q873" s="12"/>
      <c r="R873" s="50"/>
      <c r="S873" s="50"/>
      <c r="T873" s="50"/>
      <c r="U873" s="53"/>
      <c r="V873" s="54"/>
      <c r="W873" s="56"/>
      <c r="X873" s="119"/>
      <c r="Y873" s="113"/>
      <c r="Z873" s="113"/>
      <c r="AH873" s="7"/>
      <c r="AI873" s="7"/>
    </row>
    <row r="874">
      <c r="A874" s="38"/>
      <c r="B874" s="38"/>
      <c r="C874" s="7"/>
      <c r="D874" s="38"/>
      <c r="E874" s="38"/>
      <c r="F874" s="41"/>
      <c r="G874" s="43"/>
      <c r="H874" s="45"/>
      <c r="I874" s="38"/>
      <c r="J874" s="38"/>
      <c r="K874" s="128"/>
      <c r="L874" s="47"/>
      <c r="M874" s="128"/>
      <c r="N874" s="128"/>
      <c r="O874" s="38"/>
      <c r="P874" s="38"/>
      <c r="Q874" s="12"/>
      <c r="R874" s="50"/>
      <c r="S874" s="50"/>
      <c r="T874" s="50"/>
      <c r="U874" s="53"/>
      <c r="V874" s="54"/>
      <c r="W874" s="56"/>
      <c r="X874" s="119"/>
      <c r="Y874" s="113"/>
      <c r="Z874" s="113"/>
      <c r="AH874" s="7"/>
      <c r="AI874" s="7"/>
    </row>
    <row r="875">
      <c r="A875" s="38"/>
      <c r="B875" s="38"/>
      <c r="C875" s="7"/>
      <c r="D875" s="38"/>
      <c r="E875" s="38"/>
      <c r="F875" s="41"/>
      <c r="G875" s="43"/>
      <c r="H875" s="45"/>
      <c r="I875" s="38"/>
      <c r="J875" s="38"/>
      <c r="K875" s="128"/>
      <c r="L875" s="47"/>
      <c r="M875" s="128"/>
      <c r="N875" s="128"/>
      <c r="O875" s="38"/>
      <c r="P875" s="38"/>
      <c r="Q875" s="12"/>
      <c r="R875" s="50"/>
      <c r="S875" s="50"/>
      <c r="T875" s="50"/>
      <c r="U875" s="53"/>
      <c r="V875" s="54"/>
      <c r="W875" s="56"/>
      <c r="X875" s="119"/>
      <c r="Y875" s="113"/>
      <c r="Z875" s="113"/>
      <c r="AH875" s="7"/>
      <c r="AI875" s="7"/>
    </row>
    <row r="876">
      <c r="A876" s="38"/>
      <c r="B876" s="38"/>
      <c r="C876" s="7"/>
      <c r="D876" s="38"/>
      <c r="E876" s="38"/>
      <c r="F876" s="41"/>
      <c r="G876" s="43"/>
      <c r="H876" s="45"/>
      <c r="I876" s="38"/>
      <c r="J876" s="38"/>
      <c r="K876" s="128"/>
      <c r="L876" s="47"/>
      <c r="M876" s="128"/>
      <c r="N876" s="128"/>
      <c r="O876" s="38"/>
      <c r="P876" s="38"/>
      <c r="Q876" s="12"/>
      <c r="R876" s="50"/>
      <c r="S876" s="50"/>
      <c r="T876" s="50"/>
      <c r="U876" s="53"/>
      <c r="V876" s="54"/>
      <c r="W876" s="56"/>
      <c r="X876" s="119"/>
      <c r="Y876" s="113"/>
      <c r="Z876" s="113"/>
      <c r="AH876" s="7"/>
      <c r="AI876" s="7"/>
    </row>
    <row r="877">
      <c r="A877" s="38"/>
      <c r="B877" s="38"/>
      <c r="C877" s="7"/>
      <c r="D877" s="38"/>
      <c r="E877" s="38"/>
      <c r="F877" s="41"/>
      <c r="G877" s="43"/>
      <c r="H877" s="45"/>
      <c r="I877" s="38"/>
      <c r="J877" s="38"/>
      <c r="K877" s="128"/>
      <c r="L877" s="47"/>
      <c r="M877" s="128"/>
      <c r="N877" s="128"/>
      <c r="O877" s="38"/>
      <c r="P877" s="38"/>
      <c r="Q877" s="12"/>
      <c r="R877" s="50"/>
      <c r="S877" s="50"/>
      <c r="T877" s="50"/>
      <c r="U877" s="53"/>
      <c r="V877" s="54"/>
      <c r="W877" s="56"/>
      <c r="X877" s="119"/>
      <c r="Y877" s="113"/>
      <c r="Z877" s="113"/>
      <c r="AH877" s="7"/>
      <c r="AI877" s="7"/>
    </row>
    <row r="878">
      <c r="A878" s="38"/>
      <c r="B878" s="38"/>
      <c r="C878" s="7"/>
      <c r="D878" s="38"/>
      <c r="E878" s="38"/>
      <c r="F878" s="41"/>
      <c r="G878" s="43"/>
      <c r="H878" s="45"/>
      <c r="I878" s="38"/>
      <c r="J878" s="38"/>
      <c r="K878" s="128"/>
      <c r="L878" s="47"/>
      <c r="M878" s="128"/>
      <c r="N878" s="128"/>
      <c r="O878" s="38"/>
      <c r="P878" s="38"/>
      <c r="Q878" s="12"/>
      <c r="R878" s="50"/>
      <c r="S878" s="50"/>
      <c r="T878" s="50"/>
      <c r="U878" s="53"/>
      <c r="V878" s="54"/>
      <c r="W878" s="56"/>
      <c r="X878" s="119"/>
      <c r="Y878" s="113"/>
      <c r="Z878" s="113"/>
      <c r="AH878" s="7"/>
      <c r="AI878" s="7"/>
    </row>
    <row r="879">
      <c r="A879" s="38"/>
      <c r="B879" s="38"/>
      <c r="C879" s="7"/>
      <c r="D879" s="38"/>
      <c r="E879" s="38"/>
      <c r="F879" s="41"/>
      <c r="G879" s="43"/>
      <c r="H879" s="45"/>
      <c r="I879" s="38"/>
      <c r="J879" s="38"/>
      <c r="K879" s="128"/>
      <c r="L879" s="47"/>
      <c r="M879" s="128"/>
      <c r="N879" s="128"/>
      <c r="O879" s="38"/>
      <c r="P879" s="38"/>
      <c r="Q879" s="12"/>
      <c r="R879" s="50"/>
      <c r="S879" s="50"/>
      <c r="T879" s="50"/>
      <c r="U879" s="53"/>
      <c r="V879" s="54"/>
      <c r="W879" s="56"/>
      <c r="X879" s="119"/>
      <c r="Y879" s="113"/>
      <c r="Z879" s="113"/>
      <c r="AH879" s="7"/>
      <c r="AI879" s="7"/>
    </row>
    <row r="880">
      <c r="A880" s="38"/>
      <c r="B880" s="38"/>
      <c r="C880" s="7"/>
      <c r="D880" s="38"/>
      <c r="E880" s="38"/>
      <c r="F880" s="41"/>
      <c r="G880" s="43"/>
      <c r="H880" s="45"/>
      <c r="I880" s="38"/>
      <c r="J880" s="38"/>
      <c r="K880" s="128"/>
      <c r="L880" s="47"/>
      <c r="M880" s="128"/>
      <c r="N880" s="128"/>
      <c r="O880" s="38"/>
      <c r="P880" s="38"/>
      <c r="Q880" s="12"/>
      <c r="R880" s="50"/>
      <c r="S880" s="50"/>
      <c r="T880" s="50"/>
      <c r="U880" s="53"/>
      <c r="V880" s="54"/>
      <c r="W880" s="56"/>
      <c r="X880" s="119"/>
      <c r="Y880" s="113"/>
      <c r="Z880" s="113"/>
      <c r="AH880" s="7"/>
      <c r="AI880" s="7"/>
    </row>
    <row r="881">
      <c r="A881" s="38"/>
      <c r="B881" s="38"/>
      <c r="C881" s="7"/>
      <c r="D881" s="38"/>
      <c r="E881" s="38"/>
      <c r="F881" s="41"/>
      <c r="G881" s="43"/>
      <c r="H881" s="45"/>
      <c r="I881" s="38"/>
      <c r="J881" s="38"/>
      <c r="K881" s="128"/>
      <c r="L881" s="47"/>
      <c r="M881" s="128"/>
      <c r="N881" s="128"/>
      <c r="O881" s="38"/>
      <c r="P881" s="38"/>
      <c r="Q881" s="12"/>
      <c r="R881" s="50"/>
      <c r="S881" s="50"/>
      <c r="T881" s="50"/>
      <c r="U881" s="53"/>
      <c r="V881" s="54"/>
      <c r="W881" s="56"/>
      <c r="X881" s="119"/>
      <c r="Y881" s="113"/>
      <c r="Z881" s="113"/>
      <c r="AH881" s="7"/>
      <c r="AI881" s="7"/>
    </row>
    <row r="882">
      <c r="A882" s="38"/>
      <c r="B882" s="38"/>
      <c r="C882" s="7"/>
      <c r="D882" s="38"/>
      <c r="E882" s="38"/>
      <c r="F882" s="41"/>
      <c r="G882" s="43"/>
      <c r="H882" s="45"/>
      <c r="I882" s="38"/>
      <c r="J882" s="38"/>
      <c r="K882" s="128"/>
      <c r="L882" s="47"/>
      <c r="M882" s="128"/>
      <c r="N882" s="128"/>
      <c r="O882" s="38"/>
      <c r="P882" s="38"/>
      <c r="Q882" s="12"/>
      <c r="R882" s="50"/>
      <c r="S882" s="50"/>
      <c r="T882" s="50"/>
      <c r="U882" s="53"/>
      <c r="V882" s="54"/>
      <c r="W882" s="56"/>
      <c r="X882" s="119"/>
      <c r="Y882" s="113"/>
      <c r="Z882" s="113"/>
      <c r="AH882" s="7"/>
      <c r="AI882" s="7"/>
    </row>
    <row r="883">
      <c r="A883" s="38"/>
      <c r="B883" s="38"/>
      <c r="C883" s="7"/>
      <c r="D883" s="38"/>
      <c r="E883" s="38"/>
      <c r="F883" s="41"/>
      <c r="G883" s="43"/>
      <c r="H883" s="45"/>
      <c r="I883" s="38"/>
      <c r="J883" s="38"/>
      <c r="K883" s="128"/>
      <c r="L883" s="47"/>
      <c r="M883" s="128"/>
      <c r="N883" s="128"/>
      <c r="O883" s="38"/>
      <c r="P883" s="38"/>
      <c r="Q883" s="12"/>
      <c r="R883" s="50"/>
      <c r="S883" s="50"/>
      <c r="T883" s="50"/>
      <c r="U883" s="53"/>
      <c r="V883" s="54"/>
      <c r="W883" s="56"/>
      <c r="X883" s="119"/>
      <c r="Y883" s="113"/>
      <c r="Z883" s="113"/>
      <c r="AH883" s="7"/>
      <c r="AI883" s="7"/>
    </row>
    <row r="884">
      <c r="A884" s="38"/>
      <c r="B884" s="38"/>
      <c r="C884" s="7"/>
      <c r="D884" s="38"/>
      <c r="E884" s="38"/>
      <c r="F884" s="41"/>
      <c r="G884" s="43"/>
      <c r="H884" s="45"/>
      <c r="I884" s="38"/>
      <c r="J884" s="38"/>
      <c r="K884" s="128"/>
      <c r="L884" s="47"/>
      <c r="M884" s="128"/>
      <c r="N884" s="128"/>
      <c r="O884" s="38"/>
      <c r="P884" s="38"/>
      <c r="Q884" s="12"/>
      <c r="R884" s="50"/>
      <c r="S884" s="50"/>
      <c r="T884" s="50"/>
      <c r="U884" s="53"/>
      <c r="V884" s="54"/>
      <c r="W884" s="56"/>
      <c r="X884" s="119"/>
      <c r="Y884" s="113"/>
      <c r="Z884" s="113"/>
      <c r="AH884" s="7"/>
      <c r="AI884" s="7"/>
    </row>
    <row r="885">
      <c r="A885" s="38"/>
      <c r="B885" s="38"/>
      <c r="C885" s="7"/>
      <c r="D885" s="38"/>
      <c r="E885" s="38"/>
      <c r="F885" s="41"/>
      <c r="G885" s="43"/>
      <c r="H885" s="45"/>
      <c r="I885" s="38"/>
      <c r="J885" s="38"/>
      <c r="K885" s="128"/>
      <c r="L885" s="47"/>
      <c r="M885" s="128"/>
      <c r="N885" s="128"/>
      <c r="O885" s="38"/>
      <c r="P885" s="38"/>
      <c r="Q885" s="12"/>
      <c r="R885" s="50"/>
      <c r="S885" s="50"/>
      <c r="T885" s="50"/>
      <c r="U885" s="53"/>
      <c r="V885" s="54"/>
      <c r="W885" s="56"/>
      <c r="X885" s="119"/>
      <c r="Y885" s="113"/>
      <c r="Z885" s="113"/>
      <c r="AH885" s="7"/>
      <c r="AI885" s="7"/>
    </row>
    <row r="886">
      <c r="A886" s="38"/>
      <c r="B886" s="39"/>
      <c r="C886" s="7"/>
      <c r="D886" s="39"/>
      <c r="E886" s="38"/>
      <c r="F886" s="41"/>
      <c r="G886" s="43"/>
      <c r="H886" s="45"/>
      <c r="I886" s="38"/>
      <c r="J886" s="38"/>
      <c r="K886" s="128"/>
      <c r="L886" s="129"/>
      <c r="M886" s="128"/>
      <c r="N886" s="128"/>
      <c r="O886" s="38"/>
      <c r="P886" s="130"/>
      <c r="Q886" s="12"/>
      <c r="R886" s="50"/>
      <c r="S886" s="50"/>
      <c r="T886" s="50"/>
      <c r="U886" s="53"/>
      <c r="V886" s="54"/>
      <c r="W886" s="85"/>
      <c r="X886" s="119"/>
      <c r="Y886" s="113"/>
      <c r="Z886" s="113"/>
      <c r="AH886" s="7"/>
      <c r="AI886" s="7"/>
    </row>
    <row r="887">
      <c r="A887" s="39"/>
      <c r="B887" s="39"/>
      <c r="C887" s="7"/>
      <c r="D887" s="39"/>
      <c r="E887" s="38"/>
      <c r="F887" s="109"/>
      <c r="G887" s="62"/>
      <c r="H887" s="58"/>
      <c r="I887" s="38"/>
      <c r="J887" s="38"/>
      <c r="K887" s="128"/>
      <c r="L887" s="129"/>
      <c r="M887" s="128"/>
      <c r="N887" s="128"/>
      <c r="O887" s="46"/>
      <c r="P887" s="130"/>
      <c r="Q887" s="12"/>
      <c r="R887" s="63"/>
      <c r="S887" s="63"/>
      <c r="T887" s="63"/>
      <c r="U887" s="51"/>
      <c r="V887" s="52"/>
      <c r="W887" s="81"/>
      <c r="X887" s="69"/>
      <c r="Y887" s="39"/>
      <c r="Z887" s="39"/>
      <c r="AH887" s="7"/>
      <c r="AI887" s="7"/>
    </row>
    <row r="888">
      <c r="A888" s="39"/>
      <c r="B888" s="39"/>
      <c r="C888" s="7"/>
      <c r="D888" s="39"/>
      <c r="E888" s="38"/>
      <c r="F888" s="109"/>
      <c r="G888" s="62"/>
      <c r="H888" s="58"/>
      <c r="I888" s="38"/>
      <c r="J888" s="38"/>
      <c r="K888" s="128"/>
      <c r="L888" s="47"/>
      <c r="M888" s="128"/>
      <c r="N888" s="128"/>
      <c r="O888" s="46"/>
      <c r="P888" s="130"/>
      <c r="Q888" s="12"/>
      <c r="R888" s="67"/>
      <c r="S888" s="67"/>
      <c r="T888" s="67"/>
      <c r="U888" s="53"/>
      <c r="V888" s="54"/>
      <c r="W888" s="56"/>
      <c r="X888" s="69"/>
      <c r="Y888" s="39"/>
      <c r="Z888" s="39"/>
      <c r="AH888" s="7"/>
      <c r="AI888" s="7"/>
    </row>
    <row r="889">
      <c r="A889" s="39"/>
      <c r="B889" s="39"/>
      <c r="C889" s="7"/>
      <c r="D889" s="39"/>
      <c r="E889" s="38"/>
      <c r="F889" s="109"/>
      <c r="G889" s="62"/>
      <c r="H889" s="58"/>
      <c r="I889" s="38"/>
      <c r="J889" s="38"/>
      <c r="K889" s="128"/>
      <c r="L889" s="47"/>
      <c r="M889" s="128"/>
      <c r="N889" s="128"/>
      <c r="O889" s="46"/>
      <c r="P889" s="130"/>
      <c r="Q889" s="12"/>
      <c r="R889" s="67"/>
      <c r="S889" s="67"/>
      <c r="T889" s="67"/>
      <c r="U889" s="53"/>
      <c r="V889" s="54"/>
      <c r="W889" s="56"/>
      <c r="X889" s="69"/>
      <c r="Y889" s="39"/>
      <c r="Z889" s="39"/>
      <c r="AH889" s="7"/>
      <c r="AI889" s="7"/>
    </row>
    <row r="890">
      <c r="A890" s="39"/>
      <c r="B890" s="39"/>
      <c r="C890" s="7"/>
      <c r="D890" s="39"/>
      <c r="E890" s="38"/>
      <c r="F890" s="109"/>
      <c r="G890" s="62"/>
      <c r="H890" s="58"/>
      <c r="I890" s="38"/>
      <c r="J890" s="38"/>
      <c r="K890" s="128"/>
      <c r="L890" s="47"/>
      <c r="M890" s="128"/>
      <c r="N890" s="128"/>
      <c r="O890" s="46"/>
      <c r="P890" s="130"/>
      <c r="Q890" s="12"/>
      <c r="R890" s="67"/>
      <c r="S890" s="67"/>
      <c r="T890" s="67"/>
      <c r="U890" s="53"/>
      <c r="V890" s="54"/>
      <c r="W890" s="56"/>
      <c r="X890" s="69"/>
      <c r="Y890" s="39"/>
      <c r="Z890" s="39"/>
      <c r="AH890" s="7"/>
      <c r="AI890" s="7"/>
    </row>
    <row r="891">
      <c r="A891" s="39"/>
      <c r="B891" s="39"/>
      <c r="C891" s="7"/>
      <c r="D891" s="39"/>
      <c r="E891" s="38"/>
      <c r="F891" s="58"/>
      <c r="G891" s="58"/>
      <c r="H891" s="58"/>
      <c r="I891" s="38"/>
      <c r="J891" s="38"/>
      <c r="K891" s="128"/>
      <c r="L891" s="47"/>
      <c r="M891" s="128"/>
      <c r="N891" s="128"/>
      <c r="O891" s="46"/>
      <c r="P891" s="130"/>
      <c r="Q891" s="12"/>
      <c r="R891" s="67"/>
      <c r="S891" s="67"/>
      <c r="T891" s="67"/>
      <c r="U891" s="53"/>
      <c r="V891" s="54"/>
      <c r="W891" s="56"/>
      <c r="X891" s="69"/>
      <c r="Y891" s="39"/>
      <c r="Z891" s="39"/>
      <c r="AH891" s="7"/>
      <c r="AI891" s="7"/>
    </row>
    <row r="892">
      <c r="A892" s="39"/>
      <c r="B892" s="39"/>
      <c r="C892" s="7"/>
      <c r="D892" s="39"/>
      <c r="E892" s="38"/>
      <c r="F892" s="109"/>
      <c r="G892" s="58"/>
      <c r="H892" s="58"/>
      <c r="I892" s="38"/>
      <c r="J892" s="38"/>
      <c r="K892" s="128"/>
      <c r="L892" s="47"/>
      <c r="M892" s="128"/>
      <c r="N892" s="128"/>
      <c r="O892" s="46"/>
      <c r="P892" s="130"/>
      <c r="Q892" s="12"/>
      <c r="R892" s="67"/>
      <c r="S892" s="67"/>
      <c r="T892" s="67"/>
      <c r="U892" s="53"/>
      <c r="V892" s="54"/>
      <c r="W892" s="56"/>
      <c r="X892" s="69"/>
      <c r="Y892" s="39"/>
      <c r="Z892" s="39"/>
      <c r="AH892" s="7"/>
      <c r="AI892" s="7"/>
    </row>
    <row r="893">
      <c r="A893" s="39"/>
      <c r="B893" s="39"/>
      <c r="C893" s="7"/>
      <c r="D893" s="39"/>
      <c r="E893" s="38"/>
      <c r="F893" s="109"/>
      <c r="G893" s="62"/>
      <c r="H893" s="45"/>
      <c r="I893" s="38"/>
      <c r="J893" s="38"/>
      <c r="K893" s="128"/>
      <c r="L893" s="47"/>
      <c r="M893" s="128"/>
      <c r="N893" s="128"/>
      <c r="O893" s="46"/>
      <c r="P893" s="130"/>
      <c r="Q893" s="12"/>
      <c r="R893" s="67"/>
      <c r="S893" s="67"/>
      <c r="T893" s="67"/>
      <c r="U893" s="53"/>
      <c r="V893" s="54"/>
      <c r="W893" s="56"/>
      <c r="X893" s="69"/>
      <c r="Y893" s="39"/>
      <c r="Z893" s="39"/>
      <c r="AH893" s="7"/>
      <c r="AI893" s="7"/>
    </row>
    <row r="894">
      <c r="A894" s="39"/>
      <c r="B894" s="39"/>
      <c r="C894" s="7"/>
      <c r="D894" s="39"/>
      <c r="E894" s="38"/>
      <c r="F894" s="109"/>
      <c r="G894" s="62"/>
      <c r="H894" s="58"/>
      <c r="I894" s="38"/>
      <c r="J894" s="38"/>
      <c r="K894" s="128"/>
      <c r="L894" s="47"/>
      <c r="M894" s="128"/>
      <c r="N894" s="128"/>
      <c r="O894" s="46"/>
      <c r="P894" s="130"/>
      <c r="Q894" s="12"/>
      <c r="R894" s="67"/>
      <c r="S894" s="67"/>
      <c r="T894" s="67"/>
      <c r="U894" s="53"/>
      <c r="V894" s="54"/>
      <c r="W894" s="56"/>
      <c r="X894" s="69"/>
      <c r="Y894" s="39"/>
      <c r="Z894" s="39"/>
      <c r="AH894" s="7"/>
      <c r="AI894" s="7"/>
    </row>
    <row r="895">
      <c r="A895" s="39"/>
      <c r="B895" s="39"/>
      <c r="C895" s="7"/>
      <c r="D895" s="39"/>
      <c r="E895" s="38"/>
      <c r="F895" s="109"/>
      <c r="G895" s="62"/>
      <c r="H895" s="58"/>
      <c r="I895" s="38"/>
      <c r="J895" s="38"/>
      <c r="K895" s="128"/>
      <c r="L895" s="47"/>
      <c r="M895" s="128"/>
      <c r="N895" s="128"/>
      <c r="O895" s="46"/>
      <c r="P895" s="130"/>
      <c r="Q895" s="12"/>
      <c r="R895" s="67"/>
      <c r="S895" s="67"/>
      <c r="T895" s="67"/>
      <c r="U895" s="53"/>
      <c r="V895" s="54"/>
      <c r="W895" s="56"/>
      <c r="X895" s="69"/>
      <c r="Y895" s="39"/>
      <c r="Z895" s="39"/>
      <c r="AH895" s="7"/>
      <c r="AI895" s="7"/>
    </row>
    <row r="896">
      <c r="A896" s="107"/>
      <c r="B896" s="39"/>
      <c r="C896" s="7"/>
      <c r="D896" s="39"/>
      <c r="E896" s="38"/>
      <c r="F896" s="109"/>
      <c r="G896" s="39"/>
      <c r="H896" s="45"/>
      <c r="I896" s="38"/>
      <c r="J896" s="38"/>
      <c r="K896" s="128"/>
      <c r="L896" s="47"/>
      <c r="M896" s="128"/>
      <c r="N896" s="128"/>
      <c r="O896" s="46"/>
      <c r="P896" s="130"/>
      <c r="Q896" s="12"/>
      <c r="R896" s="67"/>
      <c r="S896" s="67"/>
      <c r="T896" s="67"/>
      <c r="U896" s="53"/>
      <c r="V896" s="54"/>
      <c r="W896" s="56"/>
      <c r="X896" s="131"/>
      <c r="AH896" s="7"/>
      <c r="AI896" s="7"/>
    </row>
    <row r="897">
      <c r="A897" s="39"/>
      <c r="B897" s="39"/>
      <c r="C897" s="7"/>
      <c r="D897" s="39"/>
      <c r="E897" s="38"/>
      <c r="F897" s="109"/>
      <c r="G897" s="39"/>
      <c r="H897" s="45"/>
      <c r="I897" s="38"/>
      <c r="J897" s="38"/>
      <c r="K897" s="128"/>
      <c r="L897" s="47"/>
      <c r="M897" s="128"/>
      <c r="N897" s="128"/>
      <c r="O897" s="46"/>
      <c r="P897" s="130"/>
      <c r="Q897" s="12"/>
      <c r="R897" s="67"/>
      <c r="S897" s="67"/>
      <c r="T897" s="67"/>
      <c r="U897" s="53"/>
      <c r="V897" s="54"/>
      <c r="W897" s="56"/>
      <c r="X897" s="131"/>
      <c r="AH897" s="7"/>
      <c r="AI897" s="7"/>
    </row>
    <row r="898">
      <c r="A898" s="107"/>
      <c r="B898" s="39"/>
      <c r="C898" s="7"/>
      <c r="D898" s="39"/>
      <c r="E898" s="38"/>
      <c r="F898" s="109"/>
      <c r="G898" s="39"/>
      <c r="H898" s="58"/>
      <c r="I898" s="38"/>
      <c r="J898" s="38"/>
      <c r="K898" s="128"/>
      <c r="L898" s="47"/>
      <c r="M898" s="128"/>
      <c r="N898" s="128"/>
      <c r="O898" s="105"/>
      <c r="P898" s="130"/>
      <c r="Q898" s="12"/>
      <c r="R898" s="67"/>
      <c r="S898" s="67"/>
      <c r="T898" s="67"/>
      <c r="U898" s="53"/>
      <c r="V898" s="54"/>
      <c r="W898" s="56"/>
      <c r="X898" s="131"/>
      <c r="AH898" s="7"/>
      <c r="AI898" s="7"/>
    </row>
    <row r="899">
      <c r="A899" s="38"/>
      <c r="B899" s="38"/>
      <c r="C899" s="7"/>
      <c r="D899" s="113"/>
      <c r="E899" s="38"/>
      <c r="F899" s="43"/>
      <c r="G899" s="38"/>
      <c r="H899" s="12"/>
      <c r="I899" s="38"/>
      <c r="J899" s="38"/>
      <c r="K899" s="128"/>
      <c r="L899" s="47"/>
      <c r="M899" s="128"/>
      <c r="N899" s="128"/>
      <c r="O899" s="113"/>
      <c r="P899" s="113"/>
      <c r="Q899" s="132"/>
      <c r="R899" s="115"/>
      <c r="S899" s="115"/>
      <c r="T899" s="115"/>
      <c r="U899" s="116"/>
      <c r="V899" s="117"/>
      <c r="W899" s="118"/>
      <c r="X899" s="119"/>
      <c r="Y899" s="113"/>
      <c r="Z899" s="113"/>
      <c r="AH899" s="7"/>
      <c r="AI899" s="7"/>
    </row>
    <row r="900">
      <c r="A900" s="38"/>
      <c r="B900" s="38"/>
      <c r="C900" s="7"/>
      <c r="D900" s="113"/>
      <c r="E900" s="38"/>
      <c r="F900" s="43"/>
      <c r="G900" s="38"/>
      <c r="H900" s="12"/>
      <c r="I900" s="38"/>
      <c r="J900" s="38"/>
      <c r="K900" s="128"/>
      <c r="L900" s="47"/>
      <c r="M900" s="128"/>
      <c r="N900" s="128"/>
      <c r="O900" s="113"/>
      <c r="P900" s="113"/>
      <c r="Q900" s="132"/>
      <c r="R900" s="115"/>
      <c r="S900" s="115"/>
      <c r="T900" s="115"/>
      <c r="U900" s="116"/>
      <c r="V900" s="117"/>
      <c r="W900" s="118"/>
      <c r="X900" s="119"/>
      <c r="Y900" s="113"/>
      <c r="Z900" s="113"/>
      <c r="AH900" s="7"/>
      <c r="AI900" s="7"/>
    </row>
    <row r="901">
      <c r="A901" s="38"/>
      <c r="B901" s="38"/>
      <c r="C901" s="7"/>
      <c r="D901" s="113"/>
      <c r="E901" s="38"/>
      <c r="F901" s="43"/>
      <c r="G901" s="38"/>
      <c r="H901" s="12"/>
      <c r="I901" s="38"/>
      <c r="J901" s="38"/>
      <c r="K901" s="128"/>
      <c r="L901" s="47"/>
      <c r="M901" s="128"/>
      <c r="N901" s="128"/>
      <c r="O901" s="113"/>
      <c r="P901" s="113"/>
      <c r="Q901" s="132"/>
      <c r="R901" s="115"/>
      <c r="S901" s="115"/>
      <c r="T901" s="115"/>
      <c r="U901" s="116"/>
      <c r="V901" s="117"/>
      <c r="W901" s="118"/>
      <c r="X901" s="119"/>
      <c r="Y901" s="113"/>
      <c r="Z901" s="113"/>
      <c r="AH901" s="7"/>
      <c r="AI901" s="7"/>
    </row>
    <row r="902">
      <c r="A902" s="38"/>
      <c r="B902" s="38"/>
      <c r="C902" s="7"/>
      <c r="D902" s="113"/>
      <c r="E902" s="38"/>
      <c r="F902" s="43"/>
      <c r="G902" s="38"/>
      <c r="H902" s="12"/>
      <c r="I902" s="38"/>
      <c r="J902" s="38"/>
      <c r="K902" s="128"/>
      <c r="L902" s="47"/>
      <c r="M902" s="128"/>
      <c r="N902" s="128"/>
      <c r="O902" s="113"/>
      <c r="P902" s="113"/>
      <c r="Q902" s="132"/>
      <c r="R902" s="115"/>
      <c r="S902" s="115"/>
      <c r="T902" s="115"/>
      <c r="U902" s="116"/>
      <c r="V902" s="117"/>
      <c r="W902" s="118"/>
      <c r="X902" s="119"/>
      <c r="Y902" s="113"/>
      <c r="Z902" s="113"/>
      <c r="AH902" s="7"/>
      <c r="AI902" s="7"/>
    </row>
    <row r="903">
      <c r="A903" s="38"/>
      <c r="B903" s="38"/>
      <c r="C903" s="7"/>
      <c r="D903" s="113"/>
      <c r="E903" s="38"/>
      <c r="F903" s="43"/>
      <c r="G903" s="38"/>
      <c r="H903" s="12"/>
      <c r="I903" s="38"/>
      <c r="J903" s="38"/>
      <c r="K903" s="128"/>
      <c r="L903" s="47"/>
      <c r="M903" s="128"/>
      <c r="N903" s="128"/>
      <c r="O903" s="113"/>
      <c r="P903" s="113"/>
      <c r="Q903" s="132"/>
      <c r="R903" s="115"/>
      <c r="S903" s="115"/>
      <c r="T903" s="115"/>
      <c r="U903" s="116"/>
      <c r="V903" s="117"/>
      <c r="W903" s="118"/>
      <c r="X903" s="119"/>
      <c r="Y903" s="113"/>
      <c r="Z903" s="113"/>
      <c r="AH903" s="7"/>
      <c r="AI903" s="7"/>
    </row>
    <row r="904">
      <c r="A904" s="38"/>
      <c r="B904" s="38"/>
      <c r="C904" s="7"/>
      <c r="D904" s="113"/>
      <c r="E904" s="38"/>
      <c r="F904" s="43"/>
      <c r="G904" s="38"/>
      <c r="H904" s="12"/>
      <c r="I904" s="38"/>
      <c r="J904" s="38"/>
      <c r="K904" s="128"/>
      <c r="L904" s="47"/>
      <c r="M904" s="128"/>
      <c r="N904" s="128"/>
      <c r="O904" s="113"/>
      <c r="P904" s="113"/>
      <c r="Q904" s="132"/>
      <c r="R904" s="115"/>
      <c r="S904" s="115"/>
      <c r="T904" s="115"/>
      <c r="U904" s="116"/>
      <c r="V904" s="117"/>
      <c r="W904" s="118"/>
      <c r="X904" s="119"/>
      <c r="Y904" s="113"/>
      <c r="Z904" s="113"/>
      <c r="AH904" s="7"/>
      <c r="AI904" s="7"/>
    </row>
    <row r="905">
      <c r="A905" s="38"/>
      <c r="B905" s="38"/>
      <c r="C905" s="7"/>
      <c r="D905" s="113"/>
      <c r="E905" s="38"/>
      <c r="F905" s="38"/>
      <c r="G905" s="38"/>
      <c r="H905" s="12"/>
      <c r="I905" s="38"/>
      <c r="J905" s="38"/>
      <c r="K905" s="128"/>
      <c r="L905" s="47"/>
      <c r="M905" s="128"/>
      <c r="N905" s="128"/>
      <c r="O905" s="113"/>
      <c r="P905" s="113"/>
      <c r="Q905" s="132"/>
      <c r="R905" s="115"/>
      <c r="S905" s="115"/>
      <c r="T905" s="115"/>
      <c r="U905" s="116"/>
      <c r="V905" s="117"/>
      <c r="W905" s="118"/>
      <c r="X905" s="119"/>
      <c r="Y905" s="113"/>
      <c r="Z905" s="113"/>
      <c r="AH905" s="7"/>
      <c r="AI905" s="7"/>
    </row>
    <row r="906">
      <c r="A906" s="113"/>
      <c r="B906" s="113"/>
      <c r="C906" s="7"/>
      <c r="D906" s="113"/>
      <c r="E906" s="113"/>
      <c r="F906" s="113"/>
      <c r="G906" s="113"/>
      <c r="H906" s="113"/>
      <c r="I906" s="113"/>
      <c r="J906" s="113"/>
      <c r="K906" s="128"/>
      <c r="L906" s="113"/>
      <c r="M906" s="128"/>
      <c r="N906" s="128"/>
      <c r="O906" s="113"/>
      <c r="P906" s="113"/>
      <c r="Q906" s="132"/>
      <c r="R906" s="115"/>
      <c r="S906" s="115"/>
      <c r="T906" s="115"/>
      <c r="U906" s="116"/>
      <c r="V906" s="117"/>
      <c r="W906" s="118"/>
      <c r="X906" s="119"/>
      <c r="Y906" s="113"/>
      <c r="Z906" s="113"/>
      <c r="AH906" s="7"/>
      <c r="AI906" s="7"/>
    </row>
    <row r="907">
      <c r="A907" s="113"/>
      <c r="B907" s="113"/>
      <c r="C907" s="7"/>
      <c r="D907" s="113"/>
      <c r="E907" s="113"/>
      <c r="F907" s="113"/>
      <c r="G907" s="113"/>
      <c r="H907" s="113"/>
      <c r="I907" s="113"/>
      <c r="J907" s="113"/>
      <c r="K907" s="128"/>
      <c r="L907" s="113"/>
      <c r="M907" s="128"/>
      <c r="N907" s="128"/>
      <c r="O907" s="113"/>
      <c r="P907" s="113"/>
      <c r="Q907" s="132"/>
      <c r="R907" s="115"/>
      <c r="S907" s="115"/>
      <c r="T907" s="115"/>
      <c r="U907" s="116"/>
      <c r="V907" s="117"/>
      <c r="W907" s="118"/>
      <c r="X907" s="119"/>
      <c r="Y907" s="113"/>
      <c r="Z907" s="113"/>
      <c r="AH907" s="7"/>
      <c r="AI907" s="7"/>
    </row>
    <row r="908">
      <c r="A908" s="113"/>
      <c r="B908" s="113"/>
      <c r="C908" s="7"/>
      <c r="D908" s="113"/>
      <c r="E908" s="113"/>
      <c r="F908" s="113"/>
      <c r="G908" s="113"/>
      <c r="H908" s="113"/>
      <c r="I908" s="113"/>
      <c r="J908" s="113"/>
      <c r="K908" s="128"/>
      <c r="L908" s="113"/>
      <c r="M908" s="128"/>
      <c r="N908" s="128"/>
      <c r="O908" s="113"/>
      <c r="P908" s="113"/>
      <c r="Q908" s="132"/>
      <c r="R908" s="115"/>
      <c r="S908" s="115"/>
      <c r="T908" s="115"/>
      <c r="U908" s="116"/>
      <c r="V908" s="117"/>
      <c r="W908" s="118"/>
      <c r="X908" s="119"/>
      <c r="Y908" s="113"/>
      <c r="Z908" s="113"/>
      <c r="AH908" s="7"/>
      <c r="AI908" s="7"/>
    </row>
    <row r="909">
      <c r="A909" s="113"/>
      <c r="B909" s="113"/>
      <c r="C909" s="7"/>
      <c r="D909" s="113"/>
      <c r="E909" s="113"/>
      <c r="F909" s="113"/>
      <c r="G909" s="113"/>
      <c r="H909" s="113"/>
      <c r="I909" s="113"/>
      <c r="J909" s="113"/>
      <c r="K909" s="128"/>
      <c r="L909" s="113"/>
      <c r="M909" s="128"/>
      <c r="N909" s="128"/>
      <c r="O909" s="113"/>
      <c r="P909" s="113"/>
      <c r="Q909" s="132"/>
      <c r="R909" s="115"/>
      <c r="S909" s="115"/>
      <c r="T909" s="115"/>
      <c r="U909" s="116"/>
      <c r="V909" s="117"/>
      <c r="W909" s="118"/>
      <c r="X909" s="119"/>
      <c r="Y909" s="113"/>
      <c r="Z909" s="113"/>
      <c r="AH909" s="7"/>
      <c r="AI909" s="7"/>
    </row>
    <row r="910">
      <c r="A910" s="113"/>
      <c r="B910" s="113"/>
      <c r="C910" s="7"/>
      <c r="D910" s="113"/>
      <c r="E910" s="113"/>
      <c r="F910" s="113"/>
      <c r="G910" s="113"/>
      <c r="H910" s="113"/>
      <c r="I910" s="113"/>
      <c r="J910" s="113"/>
      <c r="K910" s="128"/>
      <c r="L910" s="113"/>
      <c r="M910" s="128"/>
      <c r="N910" s="128"/>
      <c r="O910" s="113"/>
      <c r="P910" s="113"/>
      <c r="Q910" s="132"/>
      <c r="R910" s="115"/>
      <c r="S910" s="115"/>
      <c r="T910" s="115"/>
      <c r="U910" s="116"/>
      <c r="V910" s="117"/>
      <c r="W910" s="118"/>
      <c r="X910" s="119"/>
      <c r="Y910" s="113"/>
      <c r="Z910" s="113"/>
      <c r="AH910" s="7"/>
      <c r="AI910" s="7"/>
    </row>
    <row r="911">
      <c r="A911" s="113"/>
      <c r="B911" s="113"/>
      <c r="C911" s="7"/>
      <c r="D911" s="113"/>
      <c r="E911" s="113"/>
      <c r="F911" s="113"/>
      <c r="G911" s="113"/>
      <c r="H911" s="113"/>
      <c r="I911" s="113"/>
      <c r="J911" s="113"/>
      <c r="K911" s="128"/>
      <c r="L911" s="113"/>
      <c r="M911" s="128"/>
      <c r="N911" s="128"/>
      <c r="O911" s="113"/>
      <c r="P911" s="113"/>
      <c r="Q911" s="132"/>
      <c r="R911" s="115"/>
      <c r="S911" s="115"/>
      <c r="T911" s="115"/>
      <c r="U911" s="116"/>
      <c r="V911" s="117"/>
      <c r="W911" s="118"/>
      <c r="X911" s="119"/>
      <c r="Y911" s="113"/>
      <c r="Z911" s="113"/>
      <c r="AH911" s="7"/>
      <c r="AI911" s="7"/>
    </row>
    <row r="912">
      <c r="A912" s="113"/>
      <c r="B912" s="113"/>
      <c r="C912" s="7"/>
      <c r="D912" s="113"/>
      <c r="E912" s="113"/>
      <c r="F912" s="113"/>
      <c r="G912" s="113"/>
      <c r="H912" s="113"/>
      <c r="I912" s="113"/>
      <c r="J912" s="113"/>
      <c r="K912" s="128"/>
      <c r="L912" s="113"/>
      <c r="M912" s="128"/>
      <c r="N912" s="128"/>
      <c r="O912" s="113"/>
      <c r="P912" s="113"/>
      <c r="Q912" s="132"/>
      <c r="R912" s="115"/>
      <c r="S912" s="115"/>
      <c r="T912" s="115"/>
      <c r="U912" s="116"/>
      <c r="V912" s="117"/>
      <c r="W912" s="118"/>
      <c r="X912" s="119"/>
      <c r="Y912" s="113"/>
      <c r="Z912" s="113"/>
      <c r="AH912" s="7"/>
      <c r="AI912" s="7"/>
    </row>
    <row r="913">
      <c r="A913" s="113"/>
      <c r="B913" s="113"/>
      <c r="C913" s="7"/>
      <c r="D913" s="113"/>
      <c r="E913" s="113"/>
      <c r="F913" s="113"/>
      <c r="G913" s="113"/>
      <c r="H913" s="113"/>
      <c r="I913" s="113"/>
      <c r="J913" s="113"/>
      <c r="K913" s="128"/>
      <c r="L913" s="113"/>
      <c r="M913" s="128"/>
      <c r="N913" s="128"/>
      <c r="O913" s="113"/>
      <c r="P913" s="113"/>
      <c r="Q913" s="132"/>
      <c r="R913" s="115"/>
      <c r="S913" s="115"/>
      <c r="T913" s="115"/>
      <c r="U913" s="116"/>
      <c r="V913" s="117"/>
      <c r="W913" s="118"/>
      <c r="X913" s="119"/>
      <c r="Y913" s="113"/>
      <c r="Z913" s="113"/>
      <c r="AH913" s="7"/>
      <c r="AI913" s="7"/>
    </row>
    <row r="914">
      <c r="A914" s="113"/>
      <c r="B914" s="113"/>
      <c r="C914" s="7"/>
      <c r="D914" s="113"/>
      <c r="E914" s="113"/>
      <c r="F914" s="113"/>
      <c r="G914" s="113"/>
      <c r="H914" s="113"/>
      <c r="I914" s="113"/>
      <c r="J914" s="113"/>
      <c r="K914" s="128"/>
      <c r="L914" s="113"/>
      <c r="M914" s="128"/>
      <c r="N914" s="128"/>
      <c r="O914" s="113"/>
      <c r="P914" s="113"/>
      <c r="Q914" s="132"/>
      <c r="R914" s="115"/>
      <c r="S914" s="115"/>
      <c r="T914" s="115"/>
      <c r="U914" s="116"/>
      <c r="V914" s="117"/>
      <c r="W914" s="118"/>
      <c r="X914" s="119"/>
      <c r="Y914" s="113"/>
      <c r="Z914" s="113"/>
      <c r="AH914" s="7"/>
      <c r="AI914" s="7"/>
    </row>
    <row r="915">
      <c r="A915" s="113"/>
      <c r="B915" s="113"/>
      <c r="C915" s="7"/>
      <c r="D915" s="113"/>
      <c r="E915" s="113"/>
      <c r="F915" s="113"/>
      <c r="G915" s="113"/>
      <c r="H915" s="113"/>
      <c r="I915" s="113"/>
      <c r="J915" s="113"/>
      <c r="K915" s="128"/>
      <c r="L915" s="113"/>
      <c r="M915" s="128"/>
      <c r="N915" s="128"/>
      <c r="O915" s="113"/>
      <c r="P915" s="113"/>
      <c r="Q915" s="132"/>
      <c r="R915" s="115"/>
      <c r="S915" s="115"/>
      <c r="T915" s="115"/>
      <c r="U915" s="116"/>
      <c r="V915" s="117"/>
      <c r="W915" s="118"/>
      <c r="X915" s="119"/>
      <c r="Y915" s="113"/>
      <c r="Z915" s="113"/>
      <c r="AH915" s="7"/>
      <c r="AI915" s="7"/>
    </row>
    <row r="916">
      <c r="A916" s="113"/>
      <c r="B916" s="113"/>
      <c r="C916" s="7"/>
      <c r="D916" s="113"/>
      <c r="E916" s="113"/>
      <c r="F916" s="113"/>
      <c r="G916" s="113"/>
      <c r="H916" s="113"/>
      <c r="I916" s="113"/>
      <c r="J916" s="113"/>
      <c r="K916" s="128"/>
      <c r="L916" s="113"/>
      <c r="M916" s="128"/>
      <c r="N916" s="128"/>
      <c r="O916" s="113"/>
      <c r="P916" s="113"/>
      <c r="Q916" s="132"/>
      <c r="R916" s="115"/>
      <c r="S916" s="115"/>
      <c r="T916" s="115"/>
      <c r="U916" s="116"/>
      <c r="V916" s="117"/>
      <c r="W916" s="118"/>
      <c r="X916" s="119"/>
      <c r="Y916" s="113"/>
      <c r="Z916" s="113"/>
      <c r="AH916" s="7"/>
      <c r="AI916" s="7"/>
    </row>
    <row r="917">
      <c r="A917" s="113"/>
      <c r="B917" s="113"/>
      <c r="C917" s="7"/>
      <c r="D917" s="113"/>
      <c r="E917" s="113"/>
      <c r="F917" s="113"/>
      <c r="G917" s="113"/>
      <c r="H917" s="113"/>
      <c r="I917" s="113"/>
      <c r="J917" s="113"/>
      <c r="K917" s="128"/>
      <c r="L917" s="113"/>
      <c r="M917" s="128"/>
      <c r="N917" s="128"/>
      <c r="O917" s="113"/>
      <c r="P917" s="113"/>
      <c r="Q917" s="132"/>
      <c r="R917" s="115"/>
      <c r="S917" s="115"/>
      <c r="T917" s="115"/>
      <c r="U917" s="116"/>
      <c r="V917" s="117"/>
      <c r="W917" s="118"/>
      <c r="X917" s="119"/>
      <c r="Y917" s="113"/>
      <c r="Z917" s="113"/>
      <c r="AH917" s="7"/>
      <c r="AI917" s="7"/>
    </row>
    <row r="918">
      <c r="A918" s="113"/>
      <c r="B918" s="113"/>
      <c r="C918" s="7"/>
      <c r="D918" s="113"/>
      <c r="E918" s="113"/>
      <c r="F918" s="113"/>
      <c r="G918" s="113"/>
      <c r="H918" s="113"/>
      <c r="I918" s="113"/>
      <c r="J918" s="113"/>
      <c r="K918" s="128"/>
      <c r="L918" s="113"/>
      <c r="M918" s="128"/>
      <c r="N918" s="128"/>
      <c r="O918" s="113"/>
      <c r="P918" s="113"/>
      <c r="Q918" s="132"/>
      <c r="R918" s="115"/>
      <c r="S918" s="115"/>
      <c r="T918" s="115"/>
      <c r="U918" s="116"/>
      <c r="V918" s="117"/>
      <c r="W918" s="118"/>
      <c r="X918" s="119"/>
      <c r="Y918" s="113"/>
      <c r="Z918" s="113"/>
      <c r="AH918" s="7"/>
      <c r="AI918" s="7"/>
    </row>
    <row r="919">
      <c r="A919" s="113"/>
      <c r="B919" s="113"/>
      <c r="C919" s="7"/>
      <c r="D919" s="113"/>
      <c r="E919" s="113"/>
      <c r="F919" s="113"/>
      <c r="G919" s="113"/>
      <c r="H919" s="113"/>
      <c r="I919" s="113"/>
      <c r="J919" s="113"/>
      <c r="K919" s="128"/>
      <c r="L919" s="113"/>
      <c r="M919" s="128"/>
      <c r="N919" s="128"/>
      <c r="O919" s="113"/>
      <c r="P919" s="113"/>
      <c r="Q919" s="132"/>
      <c r="R919" s="115"/>
      <c r="S919" s="115"/>
      <c r="T919" s="115"/>
      <c r="U919" s="116"/>
      <c r="V919" s="117"/>
      <c r="W919" s="118"/>
      <c r="X919" s="119"/>
      <c r="Y919" s="113"/>
      <c r="Z919" s="113"/>
      <c r="AH919" s="7"/>
      <c r="AI919" s="7"/>
    </row>
    <row r="920">
      <c r="A920" s="113"/>
      <c r="B920" s="113"/>
      <c r="C920" s="7"/>
      <c r="D920" s="113"/>
      <c r="E920" s="113"/>
      <c r="F920" s="113"/>
      <c r="G920" s="113"/>
      <c r="H920" s="113"/>
      <c r="I920" s="113"/>
      <c r="J920" s="113"/>
      <c r="K920" s="128"/>
      <c r="L920" s="113"/>
      <c r="M920" s="128"/>
      <c r="N920" s="128"/>
      <c r="O920" s="113"/>
      <c r="P920" s="113"/>
      <c r="Q920" s="132"/>
      <c r="R920" s="115"/>
      <c r="S920" s="115"/>
      <c r="T920" s="115"/>
      <c r="U920" s="116"/>
      <c r="V920" s="117"/>
      <c r="W920" s="118"/>
      <c r="X920" s="119"/>
      <c r="Y920" s="113"/>
      <c r="Z920" s="113"/>
      <c r="AH920" s="7"/>
      <c r="AI920" s="7"/>
    </row>
    <row r="921">
      <c r="A921" s="113"/>
      <c r="B921" s="113"/>
      <c r="C921" s="7"/>
      <c r="D921" s="113"/>
      <c r="E921" s="113"/>
      <c r="F921" s="113"/>
      <c r="G921" s="113"/>
      <c r="H921" s="113"/>
      <c r="I921" s="113"/>
      <c r="J921" s="113"/>
      <c r="K921" s="128"/>
      <c r="L921" s="113"/>
      <c r="M921" s="128"/>
      <c r="N921" s="128"/>
      <c r="O921" s="113"/>
      <c r="P921" s="113"/>
      <c r="Q921" s="132"/>
      <c r="R921" s="115"/>
      <c r="S921" s="115"/>
      <c r="T921" s="115"/>
      <c r="U921" s="116"/>
      <c r="V921" s="117"/>
      <c r="W921" s="118"/>
      <c r="X921" s="119"/>
      <c r="Y921" s="113"/>
      <c r="Z921" s="113"/>
      <c r="AH921" s="7"/>
      <c r="AI921" s="7"/>
    </row>
    <row r="922">
      <c r="A922" s="113"/>
      <c r="B922" s="113"/>
      <c r="C922" s="7"/>
      <c r="D922" s="113"/>
      <c r="E922" s="113"/>
      <c r="F922" s="113"/>
      <c r="G922" s="113"/>
      <c r="H922" s="113"/>
      <c r="I922" s="113"/>
      <c r="J922" s="113"/>
      <c r="K922" s="128"/>
      <c r="L922" s="113"/>
      <c r="M922" s="128"/>
      <c r="N922" s="128"/>
      <c r="O922" s="113"/>
      <c r="P922" s="113"/>
      <c r="Q922" s="132"/>
      <c r="R922" s="115"/>
      <c r="S922" s="115"/>
      <c r="T922" s="115"/>
      <c r="U922" s="116"/>
      <c r="V922" s="117"/>
      <c r="W922" s="118"/>
      <c r="X922" s="119"/>
      <c r="Y922" s="113"/>
      <c r="Z922" s="113"/>
      <c r="AH922" s="7"/>
      <c r="AI922" s="7"/>
    </row>
    <row r="923">
      <c r="A923" s="113"/>
      <c r="B923" s="113"/>
      <c r="C923" s="7"/>
      <c r="D923" s="113"/>
      <c r="E923" s="113"/>
      <c r="F923" s="113"/>
      <c r="G923" s="113"/>
      <c r="H923" s="113"/>
      <c r="I923" s="113"/>
      <c r="J923" s="113"/>
      <c r="K923" s="128"/>
      <c r="L923" s="113"/>
      <c r="M923" s="128"/>
      <c r="N923" s="128"/>
      <c r="O923" s="113"/>
      <c r="P923" s="113"/>
      <c r="Q923" s="132"/>
      <c r="R923" s="115"/>
      <c r="S923" s="115"/>
      <c r="T923" s="115"/>
      <c r="U923" s="116"/>
      <c r="V923" s="117"/>
      <c r="W923" s="118"/>
      <c r="X923" s="119"/>
      <c r="Y923" s="113"/>
      <c r="Z923" s="113"/>
      <c r="AH923" s="7"/>
      <c r="AI923" s="7"/>
    </row>
    <row r="924">
      <c r="A924" s="113"/>
      <c r="B924" s="113"/>
      <c r="C924" s="7"/>
      <c r="D924" s="113"/>
      <c r="E924" s="113"/>
      <c r="F924" s="113"/>
      <c r="G924" s="113"/>
      <c r="H924" s="113"/>
      <c r="I924" s="113"/>
      <c r="J924" s="113"/>
      <c r="K924" s="128"/>
      <c r="L924" s="113"/>
      <c r="M924" s="128"/>
      <c r="N924" s="128"/>
      <c r="O924" s="113"/>
      <c r="P924" s="113"/>
      <c r="Q924" s="132"/>
      <c r="R924" s="115"/>
      <c r="S924" s="115"/>
      <c r="T924" s="115"/>
      <c r="U924" s="116"/>
      <c r="V924" s="117"/>
      <c r="W924" s="118"/>
      <c r="X924" s="119"/>
      <c r="Y924" s="113"/>
      <c r="Z924" s="113"/>
      <c r="AH924" s="7"/>
      <c r="AI924" s="7"/>
    </row>
    <row r="925">
      <c r="A925" s="113"/>
      <c r="B925" s="113"/>
      <c r="C925" s="7"/>
      <c r="D925" s="113"/>
      <c r="E925" s="113"/>
      <c r="F925" s="113"/>
      <c r="G925" s="113"/>
      <c r="H925" s="113"/>
      <c r="I925" s="113"/>
      <c r="J925" s="113"/>
      <c r="K925" s="128"/>
      <c r="L925" s="113"/>
      <c r="M925" s="128"/>
      <c r="N925" s="128"/>
      <c r="O925" s="113"/>
      <c r="P925" s="113"/>
      <c r="Q925" s="132"/>
      <c r="R925" s="115"/>
      <c r="S925" s="115"/>
      <c r="T925" s="115"/>
      <c r="U925" s="116"/>
      <c r="V925" s="117"/>
      <c r="W925" s="118"/>
      <c r="X925" s="119"/>
      <c r="Y925" s="113"/>
      <c r="Z925" s="113"/>
      <c r="AH925" s="7"/>
      <c r="AI925" s="7"/>
    </row>
    <row r="926">
      <c r="A926" s="113"/>
      <c r="B926" s="113"/>
      <c r="C926" s="7"/>
      <c r="D926" s="113"/>
      <c r="E926" s="113"/>
      <c r="F926" s="113"/>
      <c r="G926" s="113"/>
      <c r="H926" s="113"/>
      <c r="I926" s="113"/>
      <c r="J926" s="113"/>
      <c r="K926" s="128"/>
      <c r="L926" s="113"/>
      <c r="M926" s="128"/>
      <c r="N926" s="128"/>
      <c r="O926" s="113"/>
      <c r="P926" s="113"/>
      <c r="Q926" s="132"/>
      <c r="R926" s="115"/>
      <c r="S926" s="115"/>
      <c r="T926" s="115"/>
      <c r="U926" s="116"/>
      <c r="V926" s="117"/>
      <c r="W926" s="118"/>
      <c r="X926" s="119"/>
      <c r="Y926" s="113"/>
      <c r="Z926" s="113"/>
      <c r="AH926" s="7"/>
      <c r="AI926" s="7"/>
    </row>
    <row r="927">
      <c r="A927" s="113"/>
      <c r="B927" s="113"/>
      <c r="C927" s="7"/>
      <c r="D927" s="113"/>
      <c r="E927" s="113"/>
      <c r="F927" s="113"/>
      <c r="G927" s="113"/>
      <c r="H927" s="113"/>
      <c r="I927" s="113"/>
      <c r="J927" s="113"/>
      <c r="K927" s="128"/>
      <c r="L927" s="113"/>
      <c r="M927" s="128"/>
      <c r="N927" s="128"/>
      <c r="O927" s="113"/>
      <c r="P927" s="113"/>
      <c r="Q927" s="132"/>
      <c r="R927" s="115"/>
      <c r="S927" s="115"/>
      <c r="T927" s="115"/>
      <c r="U927" s="116"/>
      <c r="V927" s="117"/>
      <c r="W927" s="118"/>
      <c r="X927" s="119"/>
      <c r="Y927" s="113"/>
      <c r="Z927" s="113"/>
      <c r="AH927" s="7"/>
      <c r="AI927" s="7"/>
    </row>
    <row r="928">
      <c r="A928" s="113"/>
      <c r="B928" s="113"/>
      <c r="C928" s="7"/>
      <c r="D928" s="113"/>
      <c r="E928" s="113"/>
      <c r="F928" s="113"/>
      <c r="G928" s="113"/>
      <c r="H928" s="113"/>
      <c r="I928" s="113"/>
      <c r="J928" s="113"/>
      <c r="K928" s="128"/>
      <c r="L928" s="113"/>
      <c r="M928" s="128"/>
      <c r="N928" s="128"/>
      <c r="O928" s="113"/>
      <c r="P928" s="113"/>
      <c r="Q928" s="132"/>
      <c r="R928" s="115"/>
      <c r="S928" s="115"/>
      <c r="T928" s="115"/>
      <c r="U928" s="116"/>
      <c r="V928" s="117"/>
      <c r="W928" s="118"/>
      <c r="X928" s="119"/>
      <c r="Y928" s="113"/>
      <c r="Z928" s="113"/>
      <c r="AH928" s="7"/>
      <c r="AI928" s="7"/>
    </row>
    <row r="929">
      <c r="A929" s="113"/>
      <c r="B929" s="113"/>
      <c r="C929" s="7"/>
      <c r="D929" s="113"/>
      <c r="E929" s="113"/>
      <c r="F929" s="113"/>
      <c r="G929" s="113"/>
      <c r="H929" s="113"/>
      <c r="I929" s="113"/>
      <c r="J929" s="113"/>
      <c r="K929" s="128"/>
      <c r="L929" s="113"/>
      <c r="M929" s="128"/>
      <c r="N929" s="128"/>
      <c r="O929" s="113"/>
      <c r="P929" s="113"/>
      <c r="Q929" s="132"/>
      <c r="R929" s="115"/>
      <c r="S929" s="115"/>
      <c r="T929" s="115"/>
      <c r="U929" s="116"/>
      <c r="V929" s="117"/>
      <c r="W929" s="118"/>
      <c r="X929" s="119"/>
      <c r="Y929" s="113"/>
      <c r="Z929" s="113"/>
      <c r="AH929" s="7"/>
      <c r="AI929" s="7"/>
    </row>
    <row r="930">
      <c r="A930" s="113"/>
      <c r="B930" s="113"/>
      <c r="C930" s="7"/>
      <c r="D930" s="113"/>
      <c r="E930" s="113"/>
      <c r="F930" s="113"/>
      <c r="G930" s="113"/>
      <c r="H930" s="113"/>
      <c r="I930" s="113"/>
      <c r="J930" s="113"/>
      <c r="K930" s="128"/>
      <c r="L930" s="113"/>
      <c r="M930" s="128"/>
      <c r="N930" s="128"/>
      <c r="O930" s="113"/>
      <c r="P930" s="113"/>
      <c r="Q930" s="132"/>
      <c r="R930" s="115"/>
      <c r="S930" s="115"/>
      <c r="T930" s="115"/>
      <c r="U930" s="116"/>
      <c r="V930" s="117"/>
      <c r="W930" s="118"/>
      <c r="X930" s="119"/>
      <c r="Y930" s="113"/>
      <c r="Z930" s="113"/>
      <c r="AH930" s="7"/>
      <c r="AI930" s="7"/>
    </row>
    <row r="931">
      <c r="A931" s="113"/>
      <c r="B931" s="113"/>
      <c r="C931" s="7"/>
      <c r="D931" s="113"/>
      <c r="E931" s="113"/>
      <c r="F931" s="113"/>
      <c r="G931" s="113"/>
      <c r="H931" s="113"/>
      <c r="I931" s="113"/>
      <c r="J931" s="113"/>
      <c r="K931" s="128"/>
      <c r="L931" s="113"/>
      <c r="M931" s="128"/>
      <c r="N931" s="128"/>
      <c r="O931" s="113"/>
      <c r="P931" s="113"/>
      <c r="Q931" s="132"/>
      <c r="R931" s="115"/>
      <c r="S931" s="115"/>
      <c r="T931" s="115"/>
      <c r="U931" s="116"/>
      <c r="V931" s="117"/>
      <c r="W931" s="118"/>
      <c r="X931" s="119"/>
      <c r="Y931" s="113"/>
      <c r="Z931" s="113"/>
      <c r="AH931" s="7"/>
      <c r="AI931" s="7"/>
    </row>
    <row r="932">
      <c r="A932" s="113"/>
      <c r="B932" s="113"/>
      <c r="C932" s="7"/>
      <c r="D932" s="113"/>
      <c r="E932" s="113"/>
      <c r="F932" s="113"/>
      <c r="G932" s="113"/>
      <c r="H932" s="113"/>
      <c r="I932" s="113"/>
      <c r="J932" s="113"/>
      <c r="K932" s="128"/>
      <c r="L932" s="113"/>
      <c r="M932" s="128"/>
      <c r="N932" s="128"/>
      <c r="O932" s="113"/>
      <c r="P932" s="113"/>
      <c r="Q932" s="132"/>
      <c r="R932" s="115"/>
      <c r="S932" s="115"/>
      <c r="T932" s="115"/>
      <c r="U932" s="116"/>
      <c r="V932" s="117"/>
      <c r="W932" s="118"/>
      <c r="X932" s="119"/>
      <c r="Y932" s="113"/>
      <c r="Z932" s="113"/>
      <c r="AH932" s="7"/>
      <c r="AI932" s="7"/>
    </row>
    <row r="933">
      <c r="A933" s="113"/>
      <c r="B933" s="113"/>
      <c r="C933" s="7"/>
      <c r="D933" s="113"/>
      <c r="E933" s="113"/>
      <c r="F933" s="113"/>
      <c r="G933" s="113"/>
      <c r="H933" s="113"/>
      <c r="I933" s="113"/>
      <c r="J933" s="113"/>
      <c r="K933" s="128"/>
      <c r="L933" s="113"/>
      <c r="M933" s="128"/>
      <c r="N933" s="128"/>
      <c r="O933" s="113"/>
      <c r="P933" s="113"/>
      <c r="Q933" s="132"/>
      <c r="R933" s="115"/>
      <c r="S933" s="115"/>
      <c r="T933" s="115"/>
      <c r="U933" s="116"/>
      <c r="V933" s="117"/>
      <c r="W933" s="118"/>
      <c r="X933" s="119"/>
      <c r="Y933" s="113"/>
      <c r="Z933" s="113"/>
      <c r="AH933" s="7"/>
      <c r="AI933" s="7"/>
    </row>
    <row r="934">
      <c r="A934" s="113"/>
      <c r="B934" s="113"/>
      <c r="C934" s="7"/>
      <c r="D934" s="113"/>
      <c r="E934" s="113"/>
      <c r="F934" s="113"/>
      <c r="G934" s="113"/>
      <c r="H934" s="113"/>
      <c r="I934" s="113"/>
      <c r="J934" s="113"/>
      <c r="K934" s="128"/>
      <c r="L934" s="113"/>
      <c r="M934" s="128"/>
      <c r="N934" s="128"/>
      <c r="O934" s="113"/>
      <c r="P934" s="113"/>
      <c r="Q934" s="132"/>
      <c r="R934" s="115"/>
      <c r="S934" s="115"/>
      <c r="T934" s="115"/>
      <c r="U934" s="116"/>
      <c r="V934" s="117"/>
      <c r="W934" s="118"/>
      <c r="X934" s="119"/>
      <c r="Y934" s="113"/>
      <c r="Z934" s="113"/>
      <c r="AH934" s="7"/>
      <c r="AI934" s="7"/>
    </row>
    <row r="935">
      <c r="A935" s="113"/>
      <c r="B935" s="113"/>
      <c r="C935" s="7"/>
      <c r="D935" s="113"/>
      <c r="E935" s="113"/>
      <c r="F935" s="113"/>
      <c r="G935" s="113"/>
      <c r="H935" s="113"/>
      <c r="I935" s="113"/>
      <c r="J935" s="113"/>
      <c r="K935" s="128"/>
      <c r="L935" s="113"/>
      <c r="M935" s="128"/>
      <c r="N935" s="128"/>
      <c r="O935" s="113"/>
      <c r="P935" s="113"/>
      <c r="Q935" s="132"/>
      <c r="R935" s="115"/>
      <c r="S935" s="115"/>
      <c r="T935" s="115"/>
      <c r="U935" s="116"/>
      <c r="V935" s="117"/>
      <c r="W935" s="118"/>
      <c r="X935" s="119"/>
      <c r="Y935" s="113"/>
      <c r="Z935" s="113"/>
      <c r="AH935" s="7"/>
      <c r="AI935" s="7"/>
    </row>
    <row r="936">
      <c r="A936" s="113"/>
      <c r="B936" s="113"/>
      <c r="C936" s="7"/>
      <c r="D936" s="113"/>
      <c r="E936" s="113"/>
      <c r="F936" s="113"/>
      <c r="G936" s="113"/>
      <c r="H936" s="113"/>
      <c r="I936" s="113"/>
      <c r="J936" s="113"/>
      <c r="K936" s="128"/>
      <c r="L936" s="113"/>
      <c r="M936" s="128"/>
      <c r="N936" s="128"/>
      <c r="O936" s="113"/>
      <c r="P936" s="113"/>
      <c r="Q936" s="132"/>
      <c r="R936" s="115"/>
      <c r="S936" s="115"/>
      <c r="T936" s="115"/>
      <c r="U936" s="116"/>
      <c r="V936" s="117"/>
      <c r="W936" s="118"/>
      <c r="X936" s="119"/>
      <c r="Y936" s="113"/>
      <c r="Z936" s="113"/>
      <c r="AH936" s="7"/>
      <c r="AI936" s="7"/>
    </row>
    <row r="937">
      <c r="A937" s="113"/>
      <c r="B937" s="113"/>
      <c r="C937" s="7"/>
      <c r="D937" s="113"/>
      <c r="E937" s="113"/>
      <c r="F937" s="113"/>
      <c r="G937" s="113"/>
      <c r="H937" s="113"/>
      <c r="I937" s="113"/>
      <c r="J937" s="113"/>
      <c r="K937" s="128"/>
      <c r="L937" s="113"/>
      <c r="M937" s="128"/>
      <c r="N937" s="128"/>
      <c r="O937" s="113"/>
      <c r="P937" s="113"/>
      <c r="Q937" s="132"/>
      <c r="R937" s="115"/>
      <c r="S937" s="115"/>
      <c r="T937" s="115"/>
      <c r="U937" s="116"/>
      <c r="V937" s="117"/>
      <c r="W937" s="118"/>
      <c r="X937" s="119"/>
      <c r="Y937" s="113"/>
      <c r="Z937" s="113"/>
      <c r="AH937" s="7"/>
      <c r="AI937" s="7"/>
    </row>
    <row r="938">
      <c r="A938" s="113"/>
      <c r="B938" s="113"/>
      <c r="C938" s="7"/>
      <c r="D938" s="113"/>
      <c r="E938" s="113"/>
      <c r="F938" s="113"/>
      <c r="G938" s="113"/>
      <c r="H938" s="113"/>
      <c r="I938" s="113"/>
      <c r="J938" s="113"/>
      <c r="K938" s="128"/>
      <c r="L938" s="113"/>
      <c r="M938" s="128"/>
      <c r="N938" s="128"/>
      <c r="O938" s="113"/>
      <c r="P938" s="113"/>
      <c r="Q938" s="132"/>
      <c r="R938" s="115"/>
      <c r="S938" s="115"/>
      <c r="T938" s="115"/>
      <c r="U938" s="116"/>
      <c r="V938" s="117"/>
      <c r="W938" s="118"/>
      <c r="X938" s="119"/>
      <c r="Y938" s="113"/>
      <c r="Z938" s="113"/>
      <c r="AH938" s="7"/>
      <c r="AI938" s="7"/>
    </row>
    <row r="939">
      <c r="A939" s="113"/>
      <c r="B939" s="113"/>
      <c r="C939" s="7"/>
      <c r="D939" s="113"/>
      <c r="E939" s="113"/>
      <c r="F939" s="113"/>
      <c r="G939" s="113"/>
      <c r="H939" s="113"/>
      <c r="I939" s="113"/>
      <c r="J939" s="113"/>
      <c r="K939" s="128"/>
      <c r="L939" s="113"/>
      <c r="M939" s="128"/>
      <c r="N939" s="128"/>
      <c r="O939" s="113"/>
      <c r="P939" s="113"/>
      <c r="Q939" s="132"/>
      <c r="R939" s="115"/>
      <c r="S939" s="115"/>
      <c r="T939" s="115"/>
      <c r="U939" s="116"/>
      <c r="V939" s="117"/>
      <c r="W939" s="118"/>
      <c r="X939" s="119"/>
      <c r="Y939" s="113"/>
      <c r="Z939" s="113"/>
      <c r="AH939" s="7"/>
      <c r="AI939" s="7"/>
    </row>
    <row r="940">
      <c r="A940" s="113"/>
      <c r="B940" s="113"/>
      <c r="C940" s="7"/>
      <c r="D940" s="113"/>
      <c r="E940" s="113"/>
      <c r="F940" s="113"/>
      <c r="G940" s="113"/>
      <c r="H940" s="113"/>
      <c r="I940" s="113"/>
      <c r="J940" s="113"/>
      <c r="K940" s="128"/>
      <c r="L940" s="113"/>
      <c r="M940" s="128"/>
      <c r="N940" s="128"/>
      <c r="O940" s="113"/>
      <c r="P940" s="113"/>
      <c r="Q940" s="132"/>
      <c r="R940" s="115"/>
      <c r="S940" s="115"/>
      <c r="T940" s="115"/>
      <c r="U940" s="116"/>
      <c r="V940" s="117"/>
      <c r="W940" s="118"/>
      <c r="X940" s="119"/>
      <c r="Y940" s="113"/>
      <c r="Z940" s="113"/>
      <c r="AH940" s="7"/>
      <c r="AI940" s="7"/>
    </row>
    <row r="941">
      <c r="A941" s="113"/>
      <c r="B941" s="113"/>
      <c r="C941" s="7"/>
      <c r="D941" s="113"/>
      <c r="E941" s="113"/>
      <c r="F941" s="113"/>
      <c r="G941" s="113"/>
      <c r="H941" s="113"/>
      <c r="I941" s="113"/>
      <c r="J941" s="113"/>
      <c r="K941" s="128"/>
      <c r="L941" s="113"/>
      <c r="M941" s="128"/>
      <c r="N941" s="128"/>
      <c r="O941" s="113"/>
      <c r="P941" s="113"/>
      <c r="Q941" s="132"/>
      <c r="R941" s="115"/>
      <c r="S941" s="115"/>
      <c r="T941" s="115"/>
      <c r="U941" s="116"/>
      <c r="V941" s="117"/>
      <c r="W941" s="118"/>
      <c r="X941" s="119"/>
      <c r="Y941" s="113"/>
      <c r="Z941" s="113"/>
      <c r="AH941" s="7"/>
      <c r="AI941" s="7"/>
    </row>
    <row r="942">
      <c r="A942" s="113"/>
      <c r="B942" s="113"/>
      <c r="C942" s="7"/>
      <c r="D942" s="113"/>
      <c r="E942" s="113"/>
      <c r="F942" s="113"/>
      <c r="G942" s="113"/>
      <c r="H942" s="113"/>
      <c r="I942" s="113"/>
      <c r="J942" s="113"/>
      <c r="K942" s="128"/>
      <c r="L942" s="113"/>
      <c r="M942" s="128"/>
      <c r="N942" s="128"/>
      <c r="O942" s="113"/>
      <c r="P942" s="113"/>
      <c r="Q942" s="132"/>
      <c r="R942" s="115"/>
      <c r="S942" s="115"/>
      <c r="T942" s="115"/>
      <c r="U942" s="116"/>
      <c r="V942" s="117"/>
      <c r="W942" s="118"/>
      <c r="X942" s="119"/>
      <c r="Y942" s="113"/>
      <c r="Z942" s="113"/>
      <c r="AH942" s="7"/>
      <c r="AI942" s="7"/>
    </row>
    <row r="943">
      <c r="A943" s="113"/>
      <c r="B943" s="113"/>
      <c r="C943" s="7"/>
      <c r="D943" s="113"/>
      <c r="E943" s="113"/>
      <c r="F943" s="113"/>
      <c r="G943" s="113"/>
      <c r="H943" s="113"/>
      <c r="I943" s="113"/>
      <c r="J943" s="113"/>
      <c r="K943" s="128"/>
      <c r="L943" s="113"/>
      <c r="M943" s="128"/>
      <c r="N943" s="128"/>
      <c r="O943" s="113"/>
      <c r="P943" s="113"/>
      <c r="Q943" s="132"/>
      <c r="R943" s="115"/>
      <c r="S943" s="115"/>
      <c r="T943" s="115"/>
      <c r="U943" s="116"/>
      <c r="V943" s="117"/>
      <c r="W943" s="118"/>
      <c r="X943" s="119"/>
      <c r="Y943" s="113"/>
      <c r="Z943" s="113"/>
      <c r="AH943" s="7"/>
      <c r="AI943" s="7"/>
    </row>
    <row r="944">
      <c r="A944" s="113"/>
      <c r="B944" s="113"/>
      <c r="C944" s="7"/>
      <c r="D944" s="113"/>
      <c r="E944" s="113"/>
      <c r="F944" s="113"/>
      <c r="G944" s="113"/>
      <c r="H944" s="113"/>
      <c r="I944" s="113"/>
      <c r="J944" s="113"/>
      <c r="K944" s="128"/>
      <c r="L944" s="113"/>
      <c r="M944" s="128"/>
      <c r="N944" s="128"/>
      <c r="O944" s="113"/>
      <c r="P944" s="113"/>
      <c r="Q944" s="132"/>
      <c r="R944" s="115"/>
      <c r="S944" s="115"/>
      <c r="T944" s="115"/>
      <c r="U944" s="116"/>
      <c r="V944" s="117"/>
      <c r="W944" s="118"/>
      <c r="X944" s="119"/>
      <c r="Y944" s="113"/>
      <c r="Z944" s="113"/>
      <c r="AH944" s="7"/>
      <c r="AI944" s="7"/>
    </row>
    <row r="945">
      <c r="A945" s="113"/>
      <c r="B945" s="113"/>
      <c r="C945" s="7"/>
      <c r="D945" s="113"/>
      <c r="E945" s="113"/>
      <c r="F945" s="113"/>
      <c r="G945" s="113"/>
      <c r="H945" s="113"/>
      <c r="I945" s="113"/>
      <c r="J945" s="113"/>
      <c r="K945" s="128"/>
      <c r="L945" s="113"/>
      <c r="M945" s="128"/>
      <c r="N945" s="128"/>
      <c r="O945" s="113"/>
      <c r="P945" s="113"/>
      <c r="Q945" s="132"/>
      <c r="R945" s="115"/>
      <c r="S945" s="115"/>
      <c r="T945" s="115"/>
      <c r="U945" s="116"/>
      <c r="V945" s="117"/>
      <c r="W945" s="118"/>
      <c r="X945" s="119"/>
      <c r="Y945" s="113"/>
      <c r="Z945" s="113"/>
      <c r="AH945" s="7"/>
      <c r="AI945" s="7"/>
    </row>
    <row r="946">
      <c r="A946" s="113"/>
      <c r="B946" s="113"/>
      <c r="C946" s="7"/>
      <c r="D946" s="113"/>
      <c r="E946" s="113"/>
      <c r="F946" s="113"/>
      <c r="G946" s="113"/>
      <c r="H946" s="113"/>
      <c r="I946" s="113"/>
      <c r="J946" s="113"/>
      <c r="K946" s="128"/>
      <c r="L946" s="113"/>
      <c r="M946" s="128"/>
      <c r="N946" s="128"/>
      <c r="O946" s="113"/>
      <c r="P946" s="113"/>
      <c r="Q946" s="132"/>
      <c r="R946" s="115"/>
      <c r="S946" s="115"/>
      <c r="T946" s="115"/>
      <c r="U946" s="116"/>
      <c r="V946" s="117"/>
      <c r="W946" s="118"/>
      <c r="X946" s="119"/>
      <c r="Y946" s="113"/>
      <c r="Z946" s="113"/>
      <c r="AH946" s="7"/>
      <c r="AI946" s="7"/>
    </row>
    <row r="947">
      <c r="A947" s="113"/>
      <c r="B947" s="113"/>
      <c r="C947" s="7"/>
      <c r="D947" s="113"/>
      <c r="E947" s="113"/>
      <c r="F947" s="113"/>
      <c r="G947" s="113"/>
      <c r="H947" s="113"/>
      <c r="I947" s="113"/>
      <c r="J947" s="113"/>
      <c r="K947" s="128"/>
      <c r="L947" s="113"/>
      <c r="M947" s="128"/>
      <c r="N947" s="128"/>
      <c r="O947" s="113"/>
      <c r="P947" s="113"/>
      <c r="Q947" s="132"/>
      <c r="R947" s="115"/>
      <c r="S947" s="115"/>
      <c r="T947" s="115"/>
      <c r="U947" s="116"/>
      <c r="V947" s="117"/>
      <c r="W947" s="118"/>
      <c r="X947" s="119"/>
      <c r="Y947" s="113"/>
      <c r="Z947" s="113"/>
      <c r="AH947" s="7"/>
      <c r="AI947" s="7"/>
    </row>
    <row r="948">
      <c r="A948" s="113"/>
      <c r="B948" s="113"/>
      <c r="C948" s="7"/>
      <c r="D948" s="113"/>
      <c r="E948" s="113"/>
      <c r="F948" s="113"/>
      <c r="G948" s="113"/>
      <c r="H948" s="113"/>
      <c r="I948" s="113"/>
      <c r="J948" s="113"/>
      <c r="K948" s="128"/>
      <c r="L948" s="113"/>
      <c r="M948" s="128"/>
      <c r="N948" s="128"/>
      <c r="O948" s="113"/>
      <c r="P948" s="113"/>
      <c r="Q948" s="132"/>
      <c r="R948" s="115"/>
      <c r="S948" s="115"/>
      <c r="T948" s="115"/>
      <c r="U948" s="116"/>
      <c r="V948" s="117"/>
      <c r="W948" s="118"/>
      <c r="X948" s="119"/>
      <c r="Y948" s="113"/>
      <c r="Z948" s="113"/>
      <c r="AH948" s="7"/>
      <c r="AI948" s="7"/>
    </row>
    <row r="949">
      <c r="A949" s="113"/>
      <c r="B949" s="113"/>
      <c r="C949" s="7"/>
      <c r="D949" s="113"/>
      <c r="E949" s="113"/>
      <c r="F949" s="113"/>
      <c r="G949" s="113"/>
      <c r="H949" s="113"/>
      <c r="I949" s="113"/>
      <c r="J949" s="113"/>
      <c r="K949" s="128"/>
      <c r="L949" s="113"/>
      <c r="M949" s="128"/>
      <c r="N949" s="128"/>
      <c r="O949" s="113"/>
      <c r="P949" s="113"/>
      <c r="Q949" s="132"/>
      <c r="R949" s="115"/>
      <c r="S949" s="115"/>
      <c r="T949" s="115"/>
      <c r="U949" s="116"/>
      <c r="V949" s="117"/>
      <c r="W949" s="118"/>
      <c r="X949" s="119"/>
      <c r="Y949" s="113"/>
      <c r="Z949" s="113"/>
      <c r="AH949" s="7"/>
      <c r="AI949" s="7"/>
    </row>
    <row r="950">
      <c r="A950" s="113"/>
      <c r="B950" s="113"/>
      <c r="C950" s="7"/>
      <c r="D950" s="113"/>
      <c r="E950" s="113"/>
      <c r="F950" s="113"/>
      <c r="G950" s="113"/>
      <c r="H950" s="113"/>
      <c r="I950" s="113"/>
      <c r="J950" s="113"/>
      <c r="K950" s="128"/>
      <c r="L950" s="113"/>
      <c r="M950" s="128"/>
      <c r="N950" s="128"/>
      <c r="O950" s="113"/>
      <c r="P950" s="113"/>
      <c r="Q950" s="132"/>
      <c r="R950" s="115"/>
      <c r="S950" s="115"/>
      <c r="T950" s="115"/>
      <c r="U950" s="116"/>
      <c r="V950" s="117"/>
      <c r="W950" s="118"/>
      <c r="X950" s="119"/>
      <c r="Y950" s="113"/>
      <c r="Z950" s="113"/>
      <c r="AH950" s="7"/>
      <c r="AI950" s="7"/>
    </row>
    <row r="951">
      <c r="A951" s="113"/>
      <c r="B951" s="113"/>
      <c r="C951" s="7"/>
      <c r="D951" s="113"/>
      <c r="E951" s="113"/>
      <c r="F951" s="113"/>
      <c r="G951" s="113"/>
      <c r="H951" s="113"/>
      <c r="I951" s="113"/>
      <c r="J951" s="113"/>
      <c r="K951" s="128"/>
      <c r="L951" s="113"/>
      <c r="M951" s="128"/>
      <c r="N951" s="128"/>
      <c r="O951" s="113"/>
      <c r="P951" s="113"/>
      <c r="Q951" s="132"/>
      <c r="R951" s="115"/>
      <c r="S951" s="115"/>
      <c r="T951" s="115"/>
      <c r="U951" s="116"/>
      <c r="V951" s="117"/>
      <c r="W951" s="118"/>
      <c r="X951" s="119"/>
      <c r="Y951" s="113"/>
      <c r="Z951" s="113"/>
      <c r="AH951" s="7"/>
      <c r="AI951" s="7"/>
    </row>
    <row r="952">
      <c r="A952" s="113"/>
      <c r="B952" s="113"/>
      <c r="C952" s="7"/>
      <c r="D952" s="113"/>
      <c r="E952" s="113"/>
      <c r="F952" s="113"/>
      <c r="G952" s="113"/>
      <c r="H952" s="113"/>
      <c r="I952" s="113"/>
      <c r="J952" s="113"/>
      <c r="K952" s="128"/>
      <c r="L952" s="113"/>
      <c r="M952" s="128"/>
      <c r="N952" s="128"/>
      <c r="O952" s="113"/>
      <c r="P952" s="113"/>
      <c r="Q952" s="132"/>
      <c r="R952" s="115"/>
      <c r="S952" s="115"/>
      <c r="T952" s="115"/>
      <c r="U952" s="116"/>
      <c r="V952" s="117"/>
      <c r="W952" s="118"/>
      <c r="X952" s="119"/>
      <c r="Y952" s="113"/>
      <c r="Z952" s="113"/>
      <c r="AH952" s="7"/>
      <c r="AI952" s="7"/>
    </row>
    <row r="953">
      <c r="A953" s="113"/>
      <c r="B953" s="113"/>
      <c r="C953" s="7"/>
      <c r="D953" s="113"/>
      <c r="E953" s="113"/>
      <c r="F953" s="113"/>
      <c r="G953" s="113"/>
      <c r="H953" s="113"/>
      <c r="I953" s="113"/>
      <c r="J953" s="113"/>
      <c r="K953" s="128"/>
      <c r="L953" s="113"/>
      <c r="M953" s="128"/>
      <c r="N953" s="128"/>
      <c r="O953" s="113"/>
      <c r="P953" s="113"/>
      <c r="Q953" s="132"/>
      <c r="R953" s="115"/>
      <c r="S953" s="115"/>
      <c r="T953" s="115"/>
      <c r="U953" s="116"/>
      <c r="V953" s="117"/>
      <c r="W953" s="118"/>
      <c r="X953" s="119"/>
      <c r="Y953" s="113"/>
      <c r="Z953" s="113"/>
      <c r="AH953" s="7"/>
      <c r="AI953" s="7"/>
    </row>
    <row r="954">
      <c r="A954" s="113"/>
      <c r="B954" s="113"/>
      <c r="C954" s="7"/>
      <c r="D954" s="113"/>
      <c r="E954" s="113"/>
      <c r="F954" s="113"/>
      <c r="G954" s="113"/>
      <c r="H954" s="113"/>
      <c r="I954" s="113"/>
      <c r="J954" s="113"/>
      <c r="K954" s="128"/>
      <c r="L954" s="113"/>
      <c r="M954" s="128"/>
      <c r="N954" s="128"/>
      <c r="O954" s="113"/>
      <c r="P954" s="113"/>
      <c r="Q954" s="132"/>
      <c r="R954" s="115"/>
      <c r="S954" s="115"/>
      <c r="T954" s="115"/>
      <c r="U954" s="116"/>
      <c r="V954" s="117"/>
      <c r="W954" s="118"/>
      <c r="X954" s="119"/>
      <c r="Y954" s="113"/>
      <c r="Z954" s="113"/>
      <c r="AH954" s="7"/>
      <c r="AI954" s="7"/>
    </row>
    <row r="955">
      <c r="A955" s="113"/>
      <c r="B955" s="113"/>
      <c r="C955" s="7"/>
      <c r="D955" s="113"/>
      <c r="E955" s="113"/>
      <c r="F955" s="113"/>
      <c r="G955" s="113"/>
      <c r="H955" s="113"/>
      <c r="I955" s="113"/>
      <c r="J955" s="113"/>
      <c r="K955" s="128"/>
      <c r="L955" s="113"/>
      <c r="M955" s="128"/>
      <c r="N955" s="128"/>
      <c r="O955" s="113"/>
      <c r="P955" s="113"/>
      <c r="Q955" s="132"/>
      <c r="R955" s="115"/>
      <c r="S955" s="115"/>
      <c r="T955" s="115"/>
      <c r="U955" s="116"/>
      <c r="V955" s="117"/>
      <c r="W955" s="118"/>
      <c r="X955" s="119"/>
      <c r="Y955" s="113"/>
      <c r="Z955" s="113"/>
      <c r="AH955" s="7"/>
      <c r="AI955" s="7"/>
    </row>
    <row r="956">
      <c r="A956" s="113"/>
      <c r="B956" s="113"/>
      <c r="C956" s="7"/>
      <c r="D956" s="113"/>
      <c r="E956" s="113"/>
      <c r="F956" s="113"/>
      <c r="G956" s="113"/>
      <c r="H956" s="113"/>
      <c r="I956" s="113"/>
      <c r="J956" s="113"/>
      <c r="K956" s="128"/>
      <c r="L956" s="113"/>
      <c r="M956" s="128"/>
      <c r="N956" s="128"/>
      <c r="O956" s="113"/>
      <c r="P956" s="113"/>
      <c r="Q956" s="132"/>
      <c r="R956" s="115"/>
      <c r="S956" s="115"/>
      <c r="T956" s="115"/>
      <c r="U956" s="116"/>
      <c r="V956" s="117"/>
      <c r="W956" s="118"/>
      <c r="X956" s="119"/>
      <c r="Y956" s="113"/>
      <c r="Z956" s="113"/>
      <c r="AH956" s="7"/>
      <c r="AI956" s="7"/>
    </row>
    <row r="957">
      <c r="A957" s="113"/>
      <c r="B957" s="113"/>
      <c r="C957" s="7"/>
      <c r="D957" s="113"/>
      <c r="E957" s="113"/>
      <c r="F957" s="113"/>
      <c r="G957" s="113"/>
      <c r="H957" s="113"/>
      <c r="I957" s="113"/>
      <c r="J957" s="113"/>
      <c r="K957" s="128"/>
      <c r="L957" s="113"/>
      <c r="M957" s="128"/>
      <c r="N957" s="128"/>
      <c r="O957" s="113"/>
      <c r="P957" s="113"/>
      <c r="Q957" s="132"/>
      <c r="R957" s="115"/>
      <c r="S957" s="115"/>
      <c r="T957" s="115"/>
      <c r="U957" s="116"/>
      <c r="V957" s="117"/>
      <c r="W957" s="118"/>
      <c r="X957" s="119"/>
      <c r="Y957" s="113"/>
      <c r="Z957" s="113"/>
      <c r="AH957" s="7"/>
      <c r="AI957" s="7"/>
    </row>
    <row r="958">
      <c r="A958" s="113"/>
      <c r="B958" s="113"/>
      <c r="C958" s="7"/>
      <c r="D958" s="113"/>
      <c r="E958" s="113"/>
      <c r="F958" s="113"/>
      <c r="G958" s="113"/>
      <c r="H958" s="113"/>
      <c r="I958" s="113"/>
      <c r="J958" s="113"/>
      <c r="K958" s="128"/>
      <c r="L958" s="113"/>
      <c r="M958" s="128"/>
      <c r="N958" s="128"/>
      <c r="O958" s="113"/>
      <c r="P958" s="113"/>
      <c r="Q958" s="132"/>
      <c r="R958" s="115"/>
      <c r="S958" s="115"/>
      <c r="T958" s="115"/>
      <c r="U958" s="116"/>
      <c r="V958" s="117"/>
      <c r="W958" s="118"/>
      <c r="X958" s="119"/>
      <c r="Y958" s="113"/>
      <c r="Z958" s="113"/>
      <c r="AH958" s="7"/>
      <c r="AI958" s="7"/>
    </row>
    <row r="959">
      <c r="A959" s="113"/>
      <c r="B959" s="113"/>
      <c r="C959" s="7"/>
      <c r="D959" s="113"/>
      <c r="E959" s="113"/>
      <c r="F959" s="113"/>
      <c r="G959" s="113"/>
      <c r="H959" s="113"/>
      <c r="I959" s="113"/>
      <c r="J959" s="113"/>
      <c r="K959" s="128"/>
      <c r="L959" s="113"/>
      <c r="M959" s="128"/>
      <c r="N959" s="128"/>
      <c r="O959" s="113"/>
      <c r="P959" s="113"/>
      <c r="Q959" s="132"/>
      <c r="R959" s="115"/>
      <c r="S959" s="115"/>
      <c r="T959" s="115"/>
      <c r="U959" s="116"/>
      <c r="V959" s="117"/>
      <c r="W959" s="118"/>
      <c r="X959" s="119"/>
      <c r="Y959" s="113"/>
      <c r="Z959" s="113"/>
      <c r="AH959" s="7"/>
      <c r="AI959" s="7"/>
    </row>
    <row r="960">
      <c r="A960" s="113"/>
      <c r="B960" s="113"/>
      <c r="C960" s="7"/>
      <c r="D960" s="113"/>
      <c r="E960" s="113"/>
      <c r="F960" s="113"/>
      <c r="G960" s="113"/>
      <c r="H960" s="113"/>
      <c r="I960" s="113"/>
      <c r="J960" s="113"/>
      <c r="K960" s="128"/>
      <c r="L960" s="113"/>
      <c r="M960" s="128"/>
      <c r="N960" s="128"/>
      <c r="O960" s="113"/>
      <c r="P960" s="113"/>
      <c r="Q960" s="132"/>
      <c r="R960" s="115"/>
      <c r="S960" s="115"/>
      <c r="T960" s="115"/>
      <c r="U960" s="116"/>
      <c r="V960" s="117"/>
      <c r="W960" s="118"/>
      <c r="X960" s="119"/>
      <c r="Y960" s="113"/>
      <c r="Z960" s="113"/>
      <c r="AH960" s="7"/>
      <c r="AI960" s="7"/>
    </row>
    <row r="961">
      <c r="A961" s="113"/>
      <c r="B961" s="113"/>
      <c r="C961" s="7"/>
      <c r="D961" s="113"/>
      <c r="E961" s="113"/>
      <c r="F961" s="113"/>
      <c r="G961" s="113"/>
      <c r="H961" s="113"/>
      <c r="I961" s="113"/>
      <c r="J961" s="113"/>
      <c r="K961" s="128"/>
      <c r="L961" s="113"/>
      <c r="M961" s="128"/>
      <c r="N961" s="128"/>
      <c r="O961" s="113"/>
      <c r="P961" s="113"/>
      <c r="Q961" s="132"/>
      <c r="R961" s="115"/>
      <c r="S961" s="115"/>
      <c r="T961" s="115"/>
      <c r="U961" s="116"/>
      <c r="V961" s="117"/>
      <c r="W961" s="118"/>
      <c r="X961" s="119"/>
      <c r="Y961" s="113"/>
      <c r="Z961" s="113"/>
      <c r="AH961" s="7"/>
      <c r="AI961" s="7"/>
    </row>
    <row r="962">
      <c r="A962" s="113"/>
      <c r="B962" s="113"/>
      <c r="C962" s="7"/>
      <c r="D962" s="113"/>
      <c r="E962" s="113"/>
      <c r="F962" s="113"/>
      <c r="G962" s="113"/>
      <c r="H962" s="113"/>
      <c r="I962" s="113"/>
      <c r="J962" s="113"/>
      <c r="K962" s="128"/>
      <c r="L962" s="113"/>
      <c r="M962" s="128"/>
      <c r="N962" s="128"/>
      <c r="O962" s="113"/>
      <c r="P962" s="113"/>
      <c r="Q962" s="132"/>
      <c r="R962" s="115"/>
      <c r="S962" s="115"/>
      <c r="T962" s="115"/>
      <c r="U962" s="116"/>
      <c r="V962" s="117"/>
      <c r="W962" s="118"/>
      <c r="X962" s="119"/>
      <c r="Y962" s="113"/>
      <c r="Z962" s="113"/>
      <c r="AH962" s="7"/>
      <c r="AI962" s="7"/>
    </row>
    <row r="963">
      <c r="A963" s="113"/>
      <c r="B963" s="113"/>
      <c r="C963" s="7"/>
      <c r="D963" s="113"/>
      <c r="E963" s="113"/>
      <c r="F963" s="113"/>
      <c r="G963" s="113"/>
      <c r="H963" s="113"/>
      <c r="I963" s="113"/>
      <c r="J963" s="113"/>
      <c r="K963" s="128"/>
      <c r="L963" s="113"/>
      <c r="M963" s="128"/>
      <c r="N963" s="128"/>
      <c r="O963" s="113"/>
      <c r="P963" s="113"/>
      <c r="Q963" s="132"/>
      <c r="R963" s="115"/>
      <c r="S963" s="115"/>
      <c r="T963" s="115"/>
      <c r="U963" s="116"/>
      <c r="V963" s="117"/>
      <c r="W963" s="118"/>
      <c r="X963" s="119"/>
      <c r="Y963" s="113"/>
      <c r="Z963" s="113"/>
      <c r="AH963" s="7"/>
      <c r="AI963" s="7"/>
    </row>
    <row r="964">
      <c r="A964" s="113"/>
      <c r="B964" s="113"/>
      <c r="C964" s="7"/>
      <c r="D964" s="113"/>
      <c r="E964" s="113"/>
      <c r="F964" s="113"/>
      <c r="G964" s="113"/>
      <c r="H964" s="113"/>
      <c r="I964" s="113"/>
      <c r="J964" s="113"/>
      <c r="K964" s="128"/>
      <c r="L964" s="113"/>
      <c r="M964" s="128"/>
      <c r="N964" s="128"/>
      <c r="O964" s="113"/>
      <c r="P964" s="113"/>
      <c r="Q964" s="132"/>
      <c r="R964" s="115"/>
      <c r="S964" s="115"/>
      <c r="T964" s="115"/>
      <c r="U964" s="116"/>
      <c r="V964" s="117"/>
      <c r="W964" s="118"/>
      <c r="X964" s="119"/>
      <c r="Y964" s="113"/>
      <c r="Z964" s="113"/>
      <c r="AH964" s="7"/>
      <c r="AI964" s="7"/>
    </row>
    <row r="965">
      <c r="A965" s="113"/>
      <c r="B965" s="113"/>
      <c r="C965" s="7"/>
      <c r="D965" s="113"/>
      <c r="E965" s="113"/>
      <c r="F965" s="113"/>
      <c r="G965" s="113"/>
      <c r="H965" s="113"/>
      <c r="I965" s="113"/>
      <c r="J965" s="113"/>
      <c r="K965" s="128"/>
      <c r="L965" s="113"/>
      <c r="M965" s="128"/>
      <c r="N965" s="128"/>
      <c r="O965" s="113"/>
      <c r="P965" s="113"/>
      <c r="Q965" s="132"/>
      <c r="R965" s="115"/>
      <c r="S965" s="115"/>
      <c r="T965" s="115"/>
      <c r="U965" s="116"/>
      <c r="V965" s="117"/>
      <c r="W965" s="118"/>
      <c r="X965" s="119"/>
      <c r="Y965" s="113"/>
      <c r="Z965" s="113"/>
      <c r="AH965" s="7"/>
      <c r="AI965" s="7"/>
    </row>
    <row r="966">
      <c r="A966" s="113"/>
      <c r="B966" s="113"/>
      <c r="C966" s="7"/>
      <c r="D966" s="113"/>
      <c r="E966" s="113"/>
      <c r="F966" s="113"/>
      <c r="G966" s="113"/>
      <c r="H966" s="113"/>
      <c r="I966" s="113"/>
      <c r="J966" s="113"/>
      <c r="K966" s="128"/>
      <c r="L966" s="113"/>
      <c r="M966" s="128"/>
      <c r="N966" s="128"/>
      <c r="O966" s="113"/>
      <c r="P966" s="113"/>
      <c r="Q966" s="132"/>
      <c r="R966" s="115"/>
      <c r="S966" s="115"/>
      <c r="T966" s="115"/>
      <c r="U966" s="116"/>
      <c r="V966" s="117"/>
      <c r="W966" s="118"/>
      <c r="X966" s="119"/>
      <c r="Y966" s="113"/>
      <c r="Z966" s="113"/>
      <c r="AH966" s="7"/>
      <c r="AI966" s="7"/>
    </row>
    <row r="967">
      <c r="A967" s="113"/>
      <c r="B967" s="113"/>
      <c r="C967" s="7"/>
      <c r="D967" s="113"/>
      <c r="E967" s="113"/>
      <c r="F967" s="113"/>
      <c r="G967" s="113"/>
      <c r="H967" s="113"/>
      <c r="I967" s="113"/>
      <c r="J967" s="113"/>
      <c r="K967" s="128"/>
      <c r="L967" s="113"/>
      <c r="M967" s="128"/>
      <c r="N967" s="128"/>
      <c r="O967" s="113"/>
      <c r="P967" s="113"/>
      <c r="Q967" s="132"/>
      <c r="R967" s="115"/>
      <c r="S967" s="115"/>
      <c r="T967" s="115"/>
      <c r="U967" s="116"/>
      <c r="V967" s="117"/>
      <c r="W967" s="118"/>
      <c r="X967" s="119"/>
      <c r="Y967" s="113"/>
      <c r="Z967" s="113"/>
      <c r="AH967" s="7"/>
      <c r="AI967" s="7"/>
    </row>
    <row r="968">
      <c r="A968" s="113"/>
      <c r="B968" s="113"/>
      <c r="C968" s="7"/>
      <c r="D968" s="113"/>
      <c r="E968" s="113"/>
      <c r="F968" s="113"/>
      <c r="G968" s="113"/>
      <c r="H968" s="113"/>
      <c r="I968" s="113"/>
      <c r="J968" s="113"/>
      <c r="K968" s="128"/>
      <c r="L968" s="113"/>
      <c r="M968" s="128"/>
      <c r="N968" s="128"/>
      <c r="O968" s="113"/>
      <c r="P968" s="113"/>
      <c r="Q968" s="132"/>
      <c r="R968" s="115"/>
      <c r="S968" s="115"/>
      <c r="T968" s="115"/>
      <c r="U968" s="116"/>
      <c r="V968" s="117"/>
      <c r="W968" s="118"/>
      <c r="X968" s="119"/>
      <c r="Y968" s="113"/>
      <c r="Z968" s="113"/>
      <c r="AH968" s="7"/>
      <c r="AI968" s="7"/>
    </row>
    <row r="969">
      <c r="A969" s="113"/>
      <c r="B969" s="113"/>
      <c r="C969" s="7"/>
      <c r="D969" s="113"/>
      <c r="E969" s="113"/>
      <c r="F969" s="113"/>
      <c r="G969" s="113"/>
      <c r="H969" s="113"/>
      <c r="I969" s="113"/>
      <c r="J969" s="113"/>
      <c r="K969" s="128"/>
      <c r="L969" s="113"/>
      <c r="M969" s="128"/>
      <c r="N969" s="128"/>
      <c r="O969" s="113"/>
      <c r="P969" s="113"/>
      <c r="Q969" s="132"/>
      <c r="R969" s="115"/>
      <c r="S969" s="115"/>
      <c r="T969" s="115"/>
      <c r="U969" s="116"/>
      <c r="V969" s="117"/>
      <c r="W969" s="118"/>
      <c r="X969" s="119"/>
      <c r="Y969" s="113"/>
      <c r="Z969" s="113"/>
      <c r="AH969" s="7"/>
      <c r="AI969" s="7"/>
    </row>
    <row r="970">
      <c r="A970" s="113"/>
      <c r="B970" s="113"/>
      <c r="C970" s="7"/>
      <c r="D970" s="113"/>
      <c r="E970" s="113"/>
      <c r="F970" s="113"/>
      <c r="G970" s="113"/>
      <c r="H970" s="113"/>
      <c r="I970" s="113"/>
      <c r="J970" s="113"/>
      <c r="K970" s="128"/>
      <c r="L970" s="113"/>
      <c r="M970" s="128"/>
      <c r="N970" s="128"/>
      <c r="O970" s="113"/>
      <c r="P970" s="113"/>
      <c r="Q970" s="132"/>
      <c r="R970" s="115"/>
      <c r="S970" s="115"/>
      <c r="T970" s="115"/>
      <c r="U970" s="116"/>
      <c r="V970" s="117"/>
      <c r="W970" s="118"/>
      <c r="X970" s="119"/>
      <c r="Y970" s="113"/>
      <c r="Z970" s="113"/>
      <c r="AH970" s="7"/>
      <c r="AI970" s="7"/>
    </row>
    <row r="971">
      <c r="A971" s="113"/>
      <c r="B971" s="113"/>
      <c r="C971" s="7"/>
      <c r="D971" s="113"/>
      <c r="E971" s="113"/>
      <c r="F971" s="113"/>
      <c r="G971" s="113"/>
      <c r="H971" s="113"/>
      <c r="I971" s="113"/>
      <c r="J971" s="113"/>
      <c r="K971" s="128"/>
      <c r="L971" s="113"/>
      <c r="M971" s="128"/>
      <c r="N971" s="128"/>
      <c r="O971" s="113"/>
      <c r="P971" s="113"/>
      <c r="Q971" s="132"/>
      <c r="R971" s="115"/>
      <c r="S971" s="115"/>
      <c r="T971" s="115"/>
      <c r="U971" s="116"/>
      <c r="V971" s="117"/>
      <c r="W971" s="118"/>
      <c r="X971" s="119"/>
      <c r="Y971" s="113"/>
      <c r="Z971" s="113"/>
      <c r="AH971" s="7"/>
      <c r="AI971" s="7"/>
    </row>
    <row r="972">
      <c r="A972" s="113"/>
      <c r="B972" s="113"/>
      <c r="C972" s="7"/>
      <c r="D972" s="113"/>
      <c r="E972" s="113"/>
      <c r="F972" s="113"/>
      <c r="G972" s="113"/>
      <c r="H972" s="113"/>
      <c r="I972" s="113"/>
      <c r="J972" s="113"/>
      <c r="K972" s="128"/>
      <c r="L972" s="113"/>
      <c r="M972" s="128"/>
      <c r="N972" s="128"/>
      <c r="O972" s="113"/>
      <c r="P972" s="113"/>
      <c r="Q972" s="132"/>
      <c r="R972" s="115"/>
      <c r="S972" s="115"/>
      <c r="T972" s="115"/>
      <c r="U972" s="116"/>
      <c r="V972" s="117"/>
      <c r="W972" s="118"/>
      <c r="X972" s="119"/>
      <c r="Y972" s="113"/>
      <c r="Z972" s="113"/>
      <c r="AH972" s="7"/>
      <c r="AI972" s="7"/>
    </row>
    <row r="973">
      <c r="A973" s="113"/>
      <c r="B973" s="113"/>
      <c r="C973" s="7"/>
      <c r="D973" s="113"/>
      <c r="E973" s="113"/>
      <c r="F973" s="113"/>
      <c r="G973" s="113"/>
      <c r="H973" s="113"/>
      <c r="I973" s="113"/>
      <c r="J973" s="113"/>
      <c r="K973" s="128"/>
      <c r="L973" s="113"/>
      <c r="M973" s="128"/>
      <c r="N973" s="128"/>
      <c r="O973" s="113"/>
      <c r="P973" s="113"/>
      <c r="Q973" s="132"/>
      <c r="R973" s="115"/>
      <c r="S973" s="115"/>
      <c r="T973" s="115"/>
      <c r="U973" s="116"/>
      <c r="V973" s="117"/>
      <c r="W973" s="118"/>
      <c r="X973" s="119"/>
      <c r="Y973" s="113"/>
      <c r="Z973" s="113"/>
      <c r="AH973" s="7"/>
      <c r="AI973" s="7"/>
    </row>
    <row r="974">
      <c r="A974" s="113"/>
      <c r="B974" s="113"/>
      <c r="C974" s="7"/>
      <c r="D974" s="113"/>
      <c r="E974" s="113"/>
      <c r="F974" s="113"/>
      <c r="G974" s="113"/>
      <c r="H974" s="113"/>
      <c r="I974" s="113"/>
      <c r="J974" s="113"/>
      <c r="K974" s="128"/>
      <c r="L974" s="113"/>
      <c r="M974" s="128"/>
      <c r="N974" s="128"/>
      <c r="O974" s="113"/>
      <c r="P974" s="113"/>
      <c r="Q974" s="132"/>
      <c r="R974" s="115"/>
      <c r="S974" s="115"/>
      <c r="T974" s="115"/>
      <c r="U974" s="116"/>
      <c r="V974" s="117"/>
      <c r="W974" s="118"/>
      <c r="X974" s="119"/>
      <c r="Y974" s="113"/>
      <c r="Z974" s="113"/>
      <c r="AH974" s="7"/>
      <c r="AI974" s="7"/>
    </row>
    <row r="975">
      <c r="A975" s="113"/>
      <c r="B975" s="113"/>
      <c r="C975" s="7"/>
      <c r="D975" s="113"/>
      <c r="E975" s="113"/>
      <c r="F975" s="113"/>
      <c r="G975" s="113"/>
      <c r="H975" s="113"/>
      <c r="I975" s="113"/>
      <c r="J975" s="113"/>
      <c r="K975" s="128"/>
      <c r="L975" s="113"/>
      <c r="M975" s="128"/>
      <c r="N975" s="128"/>
      <c r="O975" s="113"/>
      <c r="P975" s="113"/>
      <c r="Q975" s="132"/>
      <c r="R975" s="115"/>
      <c r="S975" s="115"/>
      <c r="T975" s="115"/>
      <c r="U975" s="116"/>
      <c r="V975" s="117"/>
      <c r="W975" s="118"/>
      <c r="X975" s="119"/>
      <c r="Y975" s="113"/>
      <c r="Z975" s="113"/>
      <c r="AH975" s="7"/>
      <c r="AI975" s="7"/>
    </row>
    <row r="976">
      <c r="A976" s="113"/>
      <c r="B976" s="113"/>
      <c r="C976" s="7"/>
      <c r="D976" s="113"/>
      <c r="E976" s="113"/>
      <c r="F976" s="113"/>
      <c r="G976" s="113"/>
      <c r="H976" s="113"/>
      <c r="I976" s="113"/>
      <c r="J976" s="113"/>
      <c r="K976" s="128"/>
      <c r="L976" s="113"/>
      <c r="M976" s="128"/>
      <c r="N976" s="128"/>
      <c r="O976" s="113"/>
      <c r="P976" s="113"/>
      <c r="Q976" s="132"/>
      <c r="R976" s="115"/>
      <c r="S976" s="115"/>
      <c r="T976" s="115"/>
      <c r="U976" s="116"/>
      <c r="V976" s="117"/>
      <c r="W976" s="118"/>
      <c r="X976" s="119"/>
      <c r="Y976" s="113"/>
      <c r="Z976" s="113"/>
      <c r="AH976" s="7"/>
      <c r="AI976" s="7"/>
    </row>
    <row r="977">
      <c r="A977" s="113"/>
      <c r="B977" s="113"/>
      <c r="C977" s="7"/>
      <c r="D977" s="113"/>
      <c r="E977" s="113"/>
      <c r="F977" s="113"/>
      <c r="G977" s="113"/>
      <c r="H977" s="113"/>
      <c r="I977" s="113"/>
      <c r="J977" s="113"/>
      <c r="K977" s="128"/>
      <c r="L977" s="113"/>
      <c r="M977" s="128"/>
      <c r="N977" s="128"/>
      <c r="O977" s="113"/>
      <c r="P977" s="113"/>
      <c r="Q977" s="132"/>
      <c r="R977" s="115"/>
      <c r="S977" s="115"/>
      <c r="T977" s="115"/>
      <c r="U977" s="116"/>
      <c r="V977" s="117"/>
      <c r="W977" s="118"/>
      <c r="X977" s="119"/>
      <c r="Y977" s="113"/>
      <c r="Z977" s="113"/>
      <c r="AH977" s="7"/>
      <c r="AI977" s="7"/>
    </row>
    <row r="978">
      <c r="A978" s="113"/>
      <c r="B978" s="113"/>
      <c r="C978" s="7"/>
      <c r="D978" s="113"/>
      <c r="E978" s="113"/>
      <c r="F978" s="113"/>
      <c r="G978" s="113"/>
      <c r="H978" s="113"/>
      <c r="I978" s="113"/>
      <c r="J978" s="113"/>
      <c r="K978" s="128"/>
      <c r="L978" s="113"/>
      <c r="M978" s="128"/>
      <c r="N978" s="128"/>
      <c r="O978" s="113"/>
      <c r="P978" s="113"/>
      <c r="Q978" s="132"/>
      <c r="R978" s="115"/>
      <c r="S978" s="115"/>
      <c r="T978" s="115"/>
      <c r="U978" s="116"/>
      <c r="V978" s="117"/>
      <c r="W978" s="118"/>
      <c r="X978" s="119"/>
      <c r="Y978" s="113"/>
      <c r="Z978" s="113"/>
      <c r="AH978" s="7"/>
      <c r="AI978" s="7"/>
    </row>
    <row r="979">
      <c r="A979" s="113"/>
      <c r="B979" s="113"/>
      <c r="C979" s="7"/>
      <c r="D979" s="113"/>
      <c r="E979" s="113"/>
      <c r="F979" s="113"/>
      <c r="G979" s="113"/>
      <c r="H979" s="113"/>
      <c r="I979" s="113"/>
      <c r="J979" s="113"/>
      <c r="K979" s="128"/>
      <c r="L979" s="113"/>
      <c r="M979" s="128"/>
      <c r="N979" s="128"/>
      <c r="O979" s="113"/>
      <c r="P979" s="113"/>
      <c r="Q979" s="132"/>
      <c r="R979" s="115"/>
      <c r="S979" s="115"/>
      <c r="T979" s="115"/>
      <c r="U979" s="116"/>
      <c r="V979" s="117"/>
      <c r="W979" s="118"/>
      <c r="X979" s="119"/>
      <c r="Y979" s="113"/>
      <c r="Z979" s="113"/>
      <c r="AH979" s="7"/>
      <c r="AI979" s="7"/>
    </row>
    <row r="980">
      <c r="A980" s="113"/>
      <c r="B980" s="113"/>
      <c r="C980" s="7"/>
      <c r="D980" s="113"/>
      <c r="E980" s="113"/>
      <c r="F980" s="113"/>
      <c r="G980" s="113"/>
      <c r="H980" s="113"/>
      <c r="I980" s="113"/>
      <c r="J980" s="113"/>
      <c r="K980" s="128"/>
      <c r="L980" s="113"/>
      <c r="M980" s="128"/>
      <c r="N980" s="128"/>
      <c r="O980" s="113"/>
      <c r="P980" s="113"/>
      <c r="Q980" s="132"/>
      <c r="R980" s="115"/>
      <c r="S980" s="115"/>
      <c r="T980" s="115"/>
      <c r="U980" s="116"/>
      <c r="V980" s="117"/>
      <c r="W980" s="118"/>
      <c r="X980" s="119"/>
      <c r="Y980" s="113"/>
      <c r="Z980" s="113"/>
      <c r="AH980" s="7"/>
      <c r="AI980" s="7"/>
    </row>
    <row r="981">
      <c r="A981" s="113"/>
      <c r="B981" s="113"/>
      <c r="C981" s="7"/>
      <c r="D981" s="113"/>
      <c r="E981" s="113"/>
      <c r="F981" s="113"/>
      <c r="G981" s="113"/>
      <c r="H981" s="113"/>
      <c r="I981" s="113"/>
      <c r="J981" s="113"/>
      <c r="K981" s="128"/>
      <c r="L981" s="113"/>
      <c r="M981" s="128"/>
      <c r="N981" s="128"/>
      <c r="O981" s="113"/>
      <c r="P981" s="113"/>
      <c r="Q981" s="132"/>
      <c r="R981" s="115"/>
      <c r="S981" s="115"/>
      <c r="T981" s="115"/>
      <c r="U981" s="116"/>
      <c r="V981" s="117"/>
      <c r="W981" s="118"/>
      <c r="X981" s="119"/>
      <c r="Y981" s="113"/>
      <c r="Z981" s="113"/>
      <c r="AH981" s="7"/>
      <c r="AI981" s="7"/>
    </row>
    <row r="982">
      <c r="A982" s="113"/>
      <c r="B982" s="113"/>
      <c r="C982" s="7"/>
      <c r="D982" s="113"/>
      <c r="E982" s="113"/>
      <c r="F982" s="113"/>
      <c r="G982" s="113"/>
      <c r="H982" s="113"/>
      <c r="I982" s="113"/>
      <c r="J982" s="113"/>
      <c r="K982" s="128"/>
      <c r="L982" s="113"/>
      <c r="M982" s="128"/>
      <c r="N982" s="128"/>
      <c r="O982" s="113"/>
      <c r="P982" s="113"/>
      <c r="Q982" s="132"/>
      <c r="R982" s="115"/>
      <c r="S982" s="115"/>
      <c r="T982" s="115"/>
      <c r="U982" s="116"/>
      <c r="V982" s="117"/>
      <c r="W982" s="118"/>
      <c r="X982" s="119"/>
      <c r="Y982" s="113"/>
      <c r="Z982" s="113"/>
      <c r="AH982" s="7"/>
      <c r="AI982" s="7"/>
    </row>
    <row r="983">
      <c r="A983" s="113"/>
      <c r="B983" s="113"/>
      <c r="C983" s="7"/>
      <c r="D983" s="113"/>
      <c r="E983" s="113"/>
      <c r="F983" s="113"/>
      <c r="G983" s="113"/>
      <c r="H983" s="113"/>
      <c r="I983" s="113"/>
      <c r="J983" s="113"/>
      <c r="K983" s="128"/>
      <c r="L983" s="113"/>
      <c r="M983" s="128"/>
      <c r="N983" s="128"/>
      <c r="O983" s="113"/>
      <c r="P983" s="113"/>
      <c r="Q983" s="132"/>
      <c r="R983" s="115"/>
      <c r="S983" s="115"/>
      <c r="T983" s="115"/>
      <c r="U983" s="116"/>
      <c r="V983" s="117"/>
      <c r="W983" s="118"/>
      <c r="X983" s="119"/>
      <c r="Y983" s="113"/>
      <c r="Z983" s="113"/>
      <c r="AH983" s="7"/>
      <c r="AI983" s="7"/>
    </row>
    <row r="984">
      <c r="A984" s="113"/>
      <c r="B984" s="113"/>
      <c r="C984" s="7"/>
      <c r="D984" s="113"/>
      <c r="E984" s="113"/>
      <c r="F984" s="113"/>
      <c r="G984" s="113"/>
      <c r="H984" s="113"/>
      <c r="I984" s="113"/>
      <c r="J984" s="113"/>
      <c r="K984" s="128"/>
      <c r="L984" s="113"/>
      <c r="M984" s="128"/>
      <c r="N984" s="128"/>
      <c r="O984" s="113"/>
      <c r="P984" s="113"/>
      <c r="Q984" s="132"/>
      <c r="R984" s="115"/>
      <c r="S984" s="115"/>
      <c r="T984" s="115"/>
      <c r="U984" s="116"/>
      <c r="V984" s="117"/>
      <c r="W984" s="118"/>
      <c r="X984" s="119"/>
      <c r="Y984" s="113"/>
      <c r="Z984" s="113"/>
      <c r="AH984" s="7"/>
      <c r="AI984" s="7"/>
    </row>
    <row r="985">
      <c r="A985" s="113"/>
      <c r="B985" s="113"/>
      <c r="C985" s="7"/>
      <c r="D985" s="113"/>
      <c r="E985" s="113"/>
      <c r="F985" s="113"/>
      <c r="G985" s="113"/>
      <c r="H985" s="113"/>
      <c r="I985" s="113"/>
      <c r="J985" s="113"/>
      <c r="K985" s="128"/>
      <c r="L985" s="113"/>
      <c r="M985" s="128"/>
      <c r="N985" s="128"/>
      <c r="O985" s="113"/>
      <c r="P985" s="113"/>
      <c r="Q985" s="132"/>
      <c r="R985" s="115"/>
      <c r="S985" s="115"/>
      <c r="T985" s="115"/>
      <c r="U985" s="116"/>
      <c r="V985" s="117"/>
      <c r="W985" s="118"/>
      <c r="X985" s="119"/>
      <c r="Y985" s="113"/>
      <c r="Z985" s="113"/>
      <c r="AH985" s="7"/>
      <c r="AI985" s="7"/>
    </row>
    <row r="986">
      <c r="A986" s="113"/>
      <c r="B986" s="113"/>
      <c r="C986" s="7"/>
      <c r="D986" s="113"/>
      <c r="E986" s="113"/>
      <c r="F986" s="113"/>
      <c r="G986" s="113"/>
      <c r="H986" s="113"/>
      <c r="I986" s="113"/>
      <c r="J986" s="113"/>
      <c r="K986" s="128"/>
      <c r="L986" s="113"/>
      <c r="M986" s="128"/>
      <c r="N986" s="128"/>
      <c r="O986" s="113"/>
      <c r="P986" s="113"/>
      <c r="Q986" s="132"/>
      <c r="R986" s="115"/>
      <c r="S986" s="115"/>
      <c r="T986" s="115"/>
      <c r="U986" s="116"/>
      <c r="V986" s="117"/>
      <c r="W986" s="118"/>
      <c r="X986" s="119"/>
      <c r="Y986" s="113"/>
      <c r="Z986" s="113"/>
      <c r="AH986" s="7"/>
      <c r="AI986" s="7"/>
    </row>
    <row r="987">
      <c r="A987" s="113"/>
      <c r="B987" s="113"/>
      <c r="C987" s="7"/>
      <c r="D987" s="113"/>
      <c r="E987" s="113"/>
      <c r="F987" s="113"/>
      <c r="G987" s="113"/>
      <c r="H987" s="113"/>
      <c r="I987" s="113"/>
      <c r="J987" s="113"/>
      <c r="K987" s="128"/>
      <c r="L987" s="113"/>
      <c r="M987" s="128"/>
      <c r="N987" s="128"/>
      <c r="O987" s="113"/>
      <c r="P987" s="113"/>
      <c r="Q987" s="132"/>
      <c r="R987" s="115"/>
      <c r="S987" s="115"/>
      <c r="T987" s="115"/>
      <c r="U987" s="116"/>
      <c r="V987" s="117"/>
      <c r="W987" s="118"/>
      <c r="X987" s="119"/>
      <c r="Y987" s="113"/>
      <c r="Z987" s="113"/>
      <c r="AH987" s="7"/>
      <c r="AI987" s="7"/>
    </row>
    <row r="988">
      <c r="A988" s="113"/>
      <c r="B988" s="113"/>
      <c r="C988" s="7"/>
      <c r="D988" s="113"/>
      <c r="E988" s="113"/>
      <c r="F988" s="113"/>
      <c r="G988" s="113"/>
      <c r="H988" s="113"/>
      <c r="I988" s="113"/>
      <c r="J988" s="113"/>
      <c r="K988" s="128"/>
      <c r="L988" s="113"/>
      <c r="M988" s="128"/>
      <c r="N988" s="128"/>
      <c r="O988" s="113"/>
      <c r="P988" s="113"/>
      <c r="Q988" s="132"/>
      <c r="R988" s="115"/>
      <c r="S988" s="115"/>
      <c r="T988" s="115"/>
      <c r="U988" s="116"/>
      <c r="V988" s="117"/>
      <c r="W988" s="118"/>
      <c r="X988" s="119"/>
      <c r="Y988" s="113"/>
      <c r="Z988" s="113"/>
      <c r="AH988" s="7"/>
      <c r="AI988" s="7"/>
    </row>
    <row r="989">
      <c r="A989" s="113"/>
      <c r="B989" s="113"/>
      <c r="C989" s="7"/>
      <c r="D989" s="113"/>
      <c r="E989" s="113"/>
      <c r="F989" s="113"/>
      <c r="G989" s="113"/>
      <c r="H989" s="113"/>
      <c r="I989" s="113"/>
      <c r="J989" s="113"/>
      <c r="K989" s="128"/>
      <c r="L989" s="113"/>
      <c r="M989" s="128"/>
      <c r="N989" s="128"/>
      <c r="O989" s="113"/>
      <c r="P989" s="113"/>
      <c r="Q989" s="132"/>
      <c r="R989" s="115"/>
      <c r="S989" s="115"/>
      <c r="T989" s="115"/>
      <c r="U989" s="116"/>
      <c r="V989" s="117"/>
      <c r="W989" s="118"/>
      <c r="X989" s="119"/>
      <c r="Y989" s="113"/>
      <c r="Z989" s="113"/>
      <c r="AH989" s="7"/>
      <c r="AI989" s="7"/>
    </row>
    <row r="990">
      <c r="A990" s="113"/>
      <c r="B990" s="113"/>
      <c r="C990" s="7"/>
      <c r="D990" s="113"/>
      <c r="E990" s="113"/>
      <c r="F990" s="113"/>
      <c r="G990" s="113"/>
      <c r="H990" s="113"/>
      <c r="I990" s="113"/>
      <c r="J990" s="113"/>
      <c r="K990" s="128"/>
      <c r="L990" s="113"/>
      <c r="M990" s="128"/>
      <c r="N990" s="128"/>
      <c r="O990" s="113"/>
      <c r="P990" s="113"/>
      <c r="Q990" s="132"/>
      <c r="R990" s="115"/>
      <c r="S990" s="115"/>
      <c r="T990" s="115"/>
      <c r="U990" s="116"/>
      <c r="V990" s="117"/>
      <c r="W990" s="118"/>
      <c r="X990" s="119"/>
      <c r="Y990" s="113"/>
      <c r="Z990" s="113"/>
      <c r="AH990" s="7"/>
      <c r="AI990" s="7"/>
    </row>
    <row r="991">
      <c r="A991" s="113"/>
      <c r="B991" s="113"/>
      <c r="C991" s="7"/>
      <c r="D991" s="113"/>
      <c r="E991" s="113"/>
      <c r="F991" s="113"/>
      <c r="G991" s="113"/>
      <c r="H991" s="113"/>
      <c r="I991" s="113"/>
      <c r="J991" s="113"/>
      <c r="K991" s="128"/>
      <c r="L991" s="113"/>
      <c r="M991" s="128"/>
      <c r="N991" s="128"/>
      <c r="O991" s="113"/>
      <c r="P991" s="113"/>
      <c r="Q991" s="132"/>
      <c r="R991" s="115"/>
      <c r="S991" s="115"/>
      <c r="T991" s="115"/>
      <c r="U991" s="116"/>
      <c r="V991" s="117"/>
      <c r="W991" s="118"/>
      <c r="X991" s="119"/>
      <c r="Y991" s="113"/>
      <c r="Z991" s="113"/>
      <c r="AH991" s="7"/>
      <c r="AI991" s="7"/>
    </row>
    <row r="992">
      <c r="A992" s="113"/>
      <c r="B992" s="113"/>
      <c r="C992" s="7"/>
      <c r="D992" s="113"/>
      <c r="E992" s="113"/>
      <c r="F992" s="113"/>
      <c r="G992" s="113"/>
      <c r="H992" s="113"/>
      <c r="I992" s="113"/>
      <c r="J992" s="113"/>
      <c r="K992" s="128"/>
      <c r="L992" s="113"/>
      <c r="M992" s="128"/>
      <c r="N992" s="128"/>
      <c r="O992" s="113"/>
      <c r="P992" s="113"/>
      <c r="Q992" s="132"/>
      <c r="R992" s="115"/>
      <c r="S992" s="115"/>
      <c r="T992" s="115"/>
      <c r="U992" s="116"/>
      <c r="V992" s="117"/>
      <c r="W992" s="118"/>
      <c r="X992" s="119"/>
      <c r="Y992" s="113"/>
      <c r="Z992" s="113"/>
      <c r="AH992" s="7"/>
      <c r="AI992" s="7"/>
    </row>
    <row r="993">
      <c r="A993" s="113"/>
      <c r="B993" s="113"/>
      <c r="C993" s="7"/>
      <c r="D993" s="113"/>
      <c r="E993" s="113"/>
      <c r="F993" s="113"/>
      <c r="G993" s="113"/>
      <c r="H993" s="113"/>
      <c r="I993" s="113"/>
      <c r="J993" s="113"/>
      <c r="K993" s="128"/>
      <c r="L993" s="113"/>
      <c r="M993" s="128"/>
      <c r="N993" s="128"/>
      <c r="O993" s="113"/>
      <c r="P993" s="113"/>
      <c r="Q993" s="132"/>
      <c r="R993" s="115"/>
      <c r="S993" s="115"/>
      <c r="T993" s="115"/>
      <c r="U993" s="116"/>
      <c r="V993" s="117"/>
      <c r="W993" s="118"/>
      <c r="X993" s="119"/>
      <c r="Y993" s="113"/>
      <c r="Z993" s="113"/>
      <c r="AH993" s="7"/>
      <c r="AI993" s="7"/>
    </row>
    <row r="994">
      <c r="A994" s="113"/>
      <c r="B994" s="113"/>
      <c r="C994" s="7"/>
      <c r="D994" s="113"/>
      <c r="E994" s="113"/>
      <c r="F994" s="113"/>
      <c r="G994" s="113"/>
      <c r="H994" s="113"/>
      <c r="I994" s="113"/>
      <c r="J994" s="113"/>
      <c r="K994" s="128"/>
      <c r="L994" s="113"/>
      <c r="M994" s="128"/>
      <c r="N994" s="128"/>
      <c r="O994" s="113"/>
      <c r="P994" s="113"/>
      <c r="Q994" s="132"/>
      <c r="R994" s="115"/>
      <c r="S994" s="115"/>
      <c r="T994" s="115"/>
      <c r="U994" s="116"/>
      <c r="V994" s="117"/>
      <c r="W994" s="118"/>
      <c r="X994" s="119"/>
      <c r="Y994" s="113"/>
      <c r="Z994" s="113"/>
      <c r="AH994" s="7"/>
      <c r="AI994" s="7"/>
    </row>
    <row r="995">
      <c r="A995" s="113"/>
      <c r="B995" s="113"/>
      <c r="C995" s="7"/>
      <c r="D995" s="113"/>
      <c r="E995" s="113"/>
      <c r="F995" s="113"/>
      <c r="G995" s="113"/>
      <c r="H995" s="113"/>
      <c r="I995" s="113"/>
      <c r="J995" s="113"/>
      <c r="K995" s="128"/>
      <c r="L995" s="113"/>
      <c r="M995" s="128"/>
      <c r="N995" s="128"/>
      <c r="O995" s="113"/>
      <c r="P995" s="113"/>
      <c r="Q995" s="132"/>
      <c r="R995" s="115"/>
      <c r="S995" s="115"/>
      <c r="T995" s="115"/>
      <c r="U995" s="116"/>
      <c r="V995" s="117"/>
      <c r="W995" s="118"/>
      <c r="X995" s="119"/>
      <c r="Y995" s="113"/>
      <c r="Z995" s="113"/>
      <c r="AH995" s="7"/>
      <c r="AI995" s="7"/>
    </row>
    <row r="996">
      <c r="A996" s="113"/>
      <c r="B996" s="113"/>
      <c r="C996" s="7"/>
      <c r="D996" s="113"/>
      <c r="E996" s="113"/>
      <c r="F996" s="113"/>
      <c r="G996" s="113"/>
      <c r="H996" s="113"/>
      <c r="I996" s="113"/>
      <c r="J996" s="113"/>
      <c r="K996" s="128"/>
      <c r="L996" s="113"/>
      <c r="M996" s="128"/>
      <c r="N996" s="128"/>
      <c r="O996" s="113"/>
      <c r="P996" s="113"/>
      <c r="Q996" s="132"/>
      <c r="R996" s="115"/>
      <c r="S996" s="115"/>
      <c r="T996" s="115"/>
      <c r="U996" s="116"/>
      <c r="V996" s="117"/>
      <c r="W996" s="118"/>
      <c r="X996" s="119"/>
      <c r="Y996" s="113"/>
      <c r="Z996" s="113"/>
      <c r="AH996" s="7"/>
      <c r="AI996" s="7"/>
    </row>
    <row r="997">
      <c r="A997" s="113"/>
      <c r="B997" s="113"/>
      <c r="C997" s="7"/>
      <c r="D997" s="113"/>
      <c r="E997" s="113"/>
      <c r="F997" s="113"/>
      <c r="G997" s="113"/>
      <c r="H997" s="113"/>
      <c r="I997" s="113"/>
      <c r="J997" s="113"/>
      <c r="K997" s="128"/>
      <c r="L997" s="113"/>
      <c r="M997" s="128"/>
      <c r="N997" s="128"/>
      <c r="O997" s="113"/>
      <c r="P997" s="113"/>
      <c r="Q997" s="132"/>
      <c r="R997" s="115"/>
      <c r="S997" s="115"/>
      <c r="T997" s="115"/>
      <c r="U997" s="116"/>
      <c r="V997" s="117"/>
      <c r="W997" s="118"/>
      <c r="X997" s="119"/>
      <c r="Y997" s="113"/>
      <c r="Z997" s="113"/>
      <c r="AH997" s="7"/>
      <c r="AI997" s="7"/>
    </row>
    <row r="998">
      <c r="A998" s="113"/>
      <c r="B998" s="113"/>
      <c r="C998" s="7"/>
      <c r="D998" s="113"/>
      <c r="E998" s="113"/>
      <c r="F998" s="113"/>
      <c r="G998" s="113"/>
      <c r="H998" s="113"/>
      <c r="I998" s="113"/>
      <c r="J998" s="113"/>
      <c r="K998" s="128"/>
      <c r="L998" s="113"/>
      <c r="M998" s="128"/>
      <c r="N998" s="128"/>
      <c r="O998" s="113"/>
      <c r="P998" s="113"/>
      <c r="Q998" s="132"/>
      <c r="R998" s="115"/>
      <c r="S998" s="115"/>
      <c r="T998" s="115"/>
      <c r="U998" s="116"/>
      <c r="V998" s="117"/>
      <c r="W998" s="118"/>
      <c r="X998" s="119"/>
      <c r="Y998" s="113"/>
      <c r="Z998" s="113"/>
      <c r="AH998" s="7"/>
      <c r="AI998" s="7"/>
    </row>
    <row r="999">
      <c r="A999" s="113"/>
      <c r="B999" s="113"/>
      <c r="C999" s="7"/>
      <c r="D999" s="113"/>
      <c r="E999" s="113"/>
      <c r="F999" s="113"/>
      <c r="G999" s="113"/>
      <c r="H999" s="113"/>
      <c r="I999" s="113"/>
      <c r="J999" s="113"/>
      <c r="K999" s="128"/>
      <c r="L999" s="113"/>
      <c r="M999" s="128"/>
      <c r="N999" s="128"/>
      <c r="O999" s="113"/>
      <c r="P999" s="113"/>
      <c r="Q999" s="132"/>
      <c r="R999" s="115"/>
      <c r="S999" s="115"/>
      <c r="T999" s="115"/>
      <c r="U999" s="116"/>
      <c r="V999" s="117"/>
      <c r="W999" s="118"/>
      <c r="X999" s="119"/>
      <c r="Y999" s="113"/>
      <c r="Z999" s="113"/>
      <c r="AH999" s="7"/>
      <c r="AI999" s="7"/>
    </row>
    <row r="1000">
      <c r="A1000" s="113"/>
      <c r="B1000" s="113"/>
      <c r="C1000" s="7"/>
      <c r="D1000" s="113"/>
      <c r="E1000" s="113"/>
      <c r="F1000" s="113"/>
      <c r="G1000" s="113"/>
      <c r="H1000" s="113"/>
      <c r="I1000" s="113"/>
      <c r="J1000" s="113"/>
      <c r="K1000" s="128"/>
      <c r="L1000" s="113"/>
      <c r="M1000" s="128"/>
      <c r="N1000" s="128"/>
      <c r="O1000" s="113"/>
      <c r="P1000" s="113"/>
      <c r="Q1000" s="132"/>
      <c r="R1000" s="115"/>
      <c r="S1000" s="115"/>
      <c r="T1000" s="115"/>
      <c r="U1000" s="116"/>
      <c r="V1000" s="117"/>
      <c r="W1000" s="118"/>
      <c r="X1000" s="119"/>
      <c r="Y1000" s="113"/>
      <c r="Z1000" s="113"/>
      <c r="AH1000" s="7"/>
      <c r="AI1000" s="7"/>
    </row>
    <row r="1001">
      <c r="A1001" s="113"/>
      <c r="B1001" s="113"/>
      <c r="C1001" s="7"/>
      <c r="D1001" s="113"/>
      <c r="E1001" s="113"/>
      <c r="F1001" s="113"/>
      <c r="G1001" s="113"/>
      <c r="H1001" s="113"/>
      <c r="I1001" s="113"/>
      <c r="J1001" s="113"/>
      <c r="K1001" s="128"/>
      <c r="L1001" s="113"/>
      <c r="M1001" s="128"/>
      <c r="N1001" s="128"/>
      <c r="O1001" s="113"/>
      <c r="P1001" s="113"/>
      <c r="Q1001" s="132"/>
      <c r="R1001" s="115"/>
      <c r="S1001" s="115"/>
      <c r="T1001" s="115"/>
      <c r="U1001" s="116"/>
      <c r="V1001" s="117"/>
      <c r="W1001" s="118"/>
      <c r="X1001" s="119"/>
      <c r="Y1001" s="113"/>
      <c r="Z1001" s="113"/>
      <c r="AH1001" s="7"/>
      <c r="AI1001" s="7"/>
    </row>
    <row r="1002">
      <c r="A1002" s="113"/>
      <c r="B1002" s="113"/>
      <c r="C1002" s="7"/>
      <c r="D1002" s="113"/>
      <c r="E1002" s="113"/>
      <c r="F1002" s="113"/>
      <c r="G1002" s="113"/>
      <c r="H1002" s="113"/>
      <c r="I1002" s="113"/>
      <c r="J1002" s="113"/>
      <c r="K1002" s="128"/>
      <c r="L1002" s="113"/>
      <c r="M1002" s="128"/>
      <c r="N1002" s="128"/>
      <c r="O1002" s="113"/>
      <c r="P1002" s="113"/>
      <c r="Q1002" s="132"/>
      <c r="R1002" s="115"/>
      <c r="S1002" s="115"/>
      <c r="T1002" s="115"/>
      <c r="U1002" s="116"/>
      <c r="V1002" s="117"/>
      <c r="W1002" s="118"/>
      <c r="X1002" s="119"/>
      <c r="Y1002" s="113"/>
      <c r="Z1002" s="113"/>
      <c r="AH1002" s="7"/>
      <c r="AI1002" s="7"/>
    </row>
    <row r="1003">
      <c r="A1003" s="113"/>
      <c r="B1003" s="113"/>
      <c r="C1003" s="7"/>
      <c r="D1003" s="113"/>
      <c r="E1003" s="113"/>
      <c r="F1003" s="113"/>
      <c r="G1003" s="113"/>
      <c r="H1003" s="113"/>
      <c r="I1003" s="113"/>
      <c r="J1003" s="113"/>
      <c r="K1003" s="128"/>
      <c r="L1003" s="113"/>
      <c r="M1003" s="128"/>
      <c r="N1003" s="128"/>
      <c r="O1003" s="113"/>
      <c r="P1003" s="113"/>
      <c r="Q1003" s="132"/>
      <c r="R1003" s="115"/>
      <c r="S1003" s="115"/>
      <c r="T1003" s="115"/>
      <c r="U1003" s="116"/>
      <c r="V1003" s="117"/>
      <c r="W1003" s="118"/>
      <c r="X1003" s="119"/>
      <c r="Y1003" s="113"/>
      <c r="Z1003" s="113"/>
      <c r="AH1003" s="7"/>
      <c r="AI1003" s="7"/>
    </row>
    <row r="1004">
      <c r="A1004" s="113"/>
      <c r="B1004" s="113"/>
      <c r="C1004" s="7"/>
      <c r="D1004" s="113"/>
      <c r="E1004" s="113"/>
      <c r="F1004" s="113"/>
      <c r="G1004" s="113"/>
      <c r="H1004" s="113"/>
      <c r="I1004" s="113"/>
      <c r="J1004" s="113"/>
      <c r="K1004" s="128"/>
      <c r="L1004" s="113"/>
      <c r="M1004" s="128"/>
      <c r="N1004" s="128"/>
      <c r="O1004" s="113"/>
      <c r="P1004" s="113"/>
      <c r="Q1004" s="132"/>
      <c r="R1004" s="115"/>
      <c r="S1004" s="115"/>
      <c r="T1004" s="115"/>
      <c r="U1004" s="116"/>
      <c r="V1004" s="117"/>
      <c r="W1004" s="118"/>
      <c r="X1004" s="119"/>
      <c r="Y1004" s="113"/>
      <c r="Z1004" s="113"/>
      <c r="AH1004" s="7"/>
      <c r="AI1004" s="7"/>
    </row>
    <row r="1005">
      <c r="A1005" s="113"/>
      <c r="B1005" s="113"/>
      <c r="C1005" s="7"/>
      <c r="D1005" s="113"/>
      <c r="E1005" s="113"/>
      <c r="F1005" s="113"/>
      <c r="G1005" s="113"/>
      <c r="H1005" s="113"/>
      <c r="I1005" s="113"/>
      <c r="J1005" s="113"/>
      <c r="K1005" s="128"/>
      <c r="L1005" s="113"/>
      <c r="M1005" s="128"/>
      <c r="N1005" s="128"/>
      <c r="O1005" s="113"/>
      <c r="P1005" s="113"/>
      <c r="Q1005" s="132"/>
      <c r="R1005" s="115"/>
      <c r="S1005" s="115"/>
      <c r="T1005" s="115"/>
      <c r="U1005" s="116"/>
      <c r="V1005" s="117"/>
      <c r="W1005" s="118"/>
      <c r="X1005" s="119"/>
      <c r="Y1005" s="113"/>
      <c r="Z1005" s="113"/>
      <c r="AH1005" s="7"/>
      <c r="AI1005" s="7"/>
    </row>
    <row r="1006">
      <c r="A1006" s="113"/>
      <c r="B1006" s="113"/>
      <c r="C1006" s="7"/>
      <c r="D1006" s="113"/>
      <c r="E1006" s="113"/>
      <c r="F1006" s="113"/>
      <c r="G1006" s="113"/>
      <c r="H1006" s="113"/>
      <c r="I1006" s="113"/>
      <c r="J1006" s="113"/>
      <c r="K1006" s="128"/>
      <c r="L1006" s="113"/>
      <c r="M1006" s="128"/>
      <c r="N1006" s="128"/>
      <c r="O1006" s="113"/>
      <c r="P1006" s="113"/>
      <c r="Q1006" s="132"/>
      <c r="R1006" s="115"/>
      <c r="S1006" s="115"/>
      <c r="T1006" s="115"/>
      <c r="U1006" s="116"/>
      <c r="V1006" s="117"/>
      <c r="W1006" s="118"/>
      <c r="X1006" s="119"/>
      <c r="Y1006" s="113"/>
      <c r="Z1006" s="113"/>
      <c r="AH1006" s="7"/>
      <c r="AI1006" s="7"/>
    </row>
    <row r="1007">
      <c r="A1007" s="113"/>
      <c r="B1007" s="113"/>
      <c r="C1007" s="7"/>
      <c r="D1007" s="113"/>
      <c r="E1007" s="113"/>
      <c r="F1007" s="113"/>
      <c r="G1007" s="113"/>
      <c r="H1007" s="113"/>
      <c r="I1007" s="113"/>
      <c r="J1007" s="113"/>
      <c r="K1007" s="128"/>
      <c r="L1007" s="113"/>
      <c r="M1007" s="128"/>
      <c r="N1007" s="128"/>
      <c r="O1007" s="113"/>
      <c r="P1007" s="113"/>
      <c r="Q1007" s="132"/>
      <c r="R1007" s="115"/>
      <c r="S1007" s="115"/>
      <c r="T1007" s="115"/>
      <c r="U1007" s="116"/>
      <c r="V1007" s="117"/>
      <c r="W1007" s="118"/>
      <c r="X1007" s="119"/>
      <c r="Y1007" s="113"/>
      <c r="Z1007" s="113"/>
      <c r="AH1007" s="7"/>
      <c r="AI1007" s="7"/>
    </row>
    <row r="1008">
      <c r="A1008" s="113"/>
      <c r="B1008" s="113"/>
      <c r="C1008" s="7"/>
      <c r="D1008" s="113"/>
      <c r="E1008" s="113"/>
      <c r="F1008" s="113"/>
      <c r="G1008" s="113"/>
      <c r="H1008" s="113"/>
      <c r="I1008" s="113"/>
      <c r="J1008" s="113"/>
      <c r="K1008" s="128"/>
      <c r="L1008" s="113"/>
      <c r="M1008" s="128"/>
      <c r="N1008" s="128"/>
      <c r="O1008" s="113"/>
      <c r="P1008" s="113"/>
      <c r="Q1008" s="132"/>
      <c r="R1008" s="115"/>
      <c r="S1008" s="115"/>
      <c r="T1008" s="115"/>
      <c r="U1008" s="116"/>
      <c r="V1008" s="117"/>
      <c r="W1008" s="118"/>
      <c r="X1008" s="119"/>
      <c r="Y1008" s="113"/>
      <c r="Z1008" s="113"/>
      <c r="AH1008" s="7"/>
      <c r="AI1008" s="7"/>
    </row>
    <row r="1009">
      <c r="A1009" s="113"/>
      <c r="B1009" s="113"/>
      <c r="C1009" s="7"/>
      <c r="D1009" s="113"/>
      <c r="E1009" s="113"/>
      <c r="F1009" s="113"/>
      <c r="G1009" s="113"/>
      <c r="H1009" s="113"/>
      <c r="I1009" s="113"/>
      <c r="J1009" s="113"/>
      <c r="K1009" s="128"/>
      <c r="L1009" s="113"/>
      <c r="M1009" s="128"/>
      <c r="N1009" s="128"/>
      <c r="O1009" s="113"/>
      <c r="P1009" s="113"/>
      <c r="Q1009" s="132"/>
      <c r="R1009" s="115"/>
      <c r="S1009" s="115"/>
      <c r="T1009" s="115"/>
      <c r="U1009" s="116"/>
      <c r="V1009" s="117"/>
      <c r="W1009" s="118"/>
      <c r="X1009" s="119"/>
      <c r="Y1009" s="113"/>
      <c r="Z1009" s="113"/>
      <c r="AH1009" s="7"/>
      <c r="AI1009" s="7"/>
    </row>
    <row r="1010">
      <c r="A1010" s="113"/>
      <c r="B1010" s="113"/>
      <c r="C1010" s="7"/>
      <c r="D1010" s="113"/>
      <c r="E1010" s="113"/>
      <c r="F1010" s="113"/>
      <c r="G1010" s="113"/>
      <c r="H1010" s="113"/>
      <c r="I1010" s="113"/>
      <c r="J1010" s="113"/>
      <c r="K1010" s="128"/>
      <c r="L1010" s="113"/>
      <c r="M1010" s="128"/>
      <c r="N1010" s="128"/>
      <c r="O1010" s="113"/>
      <c r="P1010" s="113"/>
      <c r="Q1010" s="132"/>
      <c r="R1010" s="115"/>
      <c r="S1010" s="115"/>
      <c r="T1010" s="115"/>
      <c r="U1010" s="116"/>
      <c r="V1010" s="117"/>
      <c r="W1010" s="118"/>
      <c r="X1010" s="119"/>
      <c r="Y1010" s="113"/>
      <c r="Z1010" s="113"/>
      <c r="AH1010" s="7"/>
      <c r="AI1010" s="7"/>
    </row>
    <row r="1011">
      <c r="A1011" s="113"/>
      <c r="B1011" s="113"/>
      <c r="C1011" s="7"/>
      <c r="D1011" s="113"/>
      <c r="E1011" s="113"/>
      <c r="F1011" s="113"/>
      <c r="G1011" s="113"/>
      <c r="H1011" s="113"/>
      <c r="I1011" s="113"/>
      <c r="J1011" s="113"/>
      <c r="K1011" s="128"/>
      <c r="L1011" s="113"/>
      <c r="M1011" s="128"/>
      <c r="N1011" s="128"/>
      <c r="O1011" s="113"/>
      <c r="P1011" s="113"/>
      <c r="Q1011" s="132"/>
      <c r="R1011" s="115"/>
      <c r="S1011" s="115"/>
      <c r="T1011" s="115"/>
      <c r="U1011" s="116"/>
      <c r="V1011" s="117"/>
      <c r="W1011" s="118"/>
      <c r="X1011" s="119"/>
      <c r="Y1011" s="113"/>
      <c r="Z1011" s="113"/>
      <c r="AH1011" s="7"/>
      <c r="AI1011" s="7"/>
    </row>
    <row r="1012">
      <c r="A1012" s="113"/>
      <c r="B1012" s="113"/>
      <c r="C1012" s="7"/>
      <c r="D1012" s="113"/>
      <c r="E1012" s="113"/>
      <c r="F1012" s="113"/>
      <c r="G1012" s="113"/>
      <c r="H1012" s="113"/>
      <c r="I1012" s="113"/>
      <c r="J1012" s="113"/>
      <c r="K1012" s="128"/>
      <c r="L1012" s="113"/>
      <c r="M1012" s="128"/>
      <c r="N1012" s="128"/>
      <c r="O1012" s="113"/>
      <c r="P1012" s="113"/>
      <c r="Q1012" s="132"/>
      <c r="R1012" s="115"/>
      <c r="S1012" s="115"/>
      <c r="T1012" s="115"/>
      <c r="U1012" s="116"/>
      <c r="V1012" s="117"/>
      <c r="W1012" s="118"/>
      <c r="X1012" s="119"/>
      <c r="Y1012" s="113"/>
      <c r="Z1012" s="113"/>
      <c r="AH1012" s="7"/>
      <c r="AI1012" s="7"/>
    </row>
    <row r="1013">
      <c r="A1013" s="113"/>
      <c r="B1013" s="113"/>
      <c r="C1013" s="7"/>
      <c r="D1013" s="113"/>
      <c r="E1013" s="113"/>
      <c r="F1013" s="113"/>
      <c r="G1013" s="113"/>
      <c r="H1013" s="113"/>
      <c r="I1013" s="113"/>
      <c r="J1013" s="113"/>
      <c r="K1013" s="128"/>
      <c r="L1013" s="113"/>
      <c r="M1013" s="128"/>
      <c r="N1013" s="128"/>
      <c r="O1013" s="113"/>
      <c r="P1013" s="113"/>
      <c r="Q1013" s="132"/>
      <c r="R1013" s="115"/>
      <c r="S1013" s="115"/>
      <c r="T1013" s="115"/>
      <c r="U1013" s="116"/>
      <c r="V1013" s="117"/>
      <c r="W1013" s="118"/>
      <c r="X1013" s="119"/>
      <c r="Y1013" s="113"/>
      <c r="Z1013" s="113"/>
      <c r="AH1013" s="7"/>
      <c r="AI1013" s="7"/>
    </row>
    <row r="1014">
      <c r="A1014" s="113"/>
      <c r="B1014" s="113"/>
      <c r="C1014" s="7"/>
      <c r="D1014" s="113"/>
      <c r="E1014" s="113"/>
      <c r="F1014" s="113"/>
      <c r="G1014" s="113"/>
      <c r="H1014" s="113"/>
      <c r="I1014" s="113"/>
      <c r="J1014" s="113"/>
      <c r="K1014" s="128"/>
      <c r="L1014" s="113"/>
      <c r="M1014" s="128"/>
      <c r="N1014" s="128"/>
      <c r="O1014" s="113"/>
      <c r="P1014" s="113"/>
      <c r="Q1014" s="132"/>
      <c r="R1014" s="115"/>
      <c r="S1014" s="115"/>
      <c r="T1014" s="115"/>
      <c r="U1014" s="116"/>
      <c r="V1014" s="117"/>
      <c r="W1014" s="118"/>
      <c r="X1014" s="119"/>
      <c r="Y1014" s="113"/>
      <c r="Z1014" s="113"/>
    </row>
    <row r="1015">
      <c r="A1015" s="113"/>
      <c r="B1015" s="113"/>
      <c r="C1015" s="113"/>
      <c r="D1015" s="113"/>
      <c r="E1015" s="113"/>
      <c r="F1015" s="113"/>
      <c r="G1015" s="113"/>
      <c r="H1015" s="113"/>
      <c r="I1015" s="113"/>
      <c r="J1015" s="113"/>
      <c r="K1015" s="113"/>
      <c r="L1015" s="113"/>
      <c r="M1015" s="113"/>
      <c r="N1015" s="113"/>
      <c r="O1015" s="113"/>
      <c r="P1015" s="113"/>
      <c r="Q1015" s="132"/>
      <c r="R1015" s="115"/>
      <c r="S1015" s="115"/>
      <c r="T1015" s="115"/>
      <c r="U1015" s="116"/>
      <c r="V1015" s="117"/>
      <c r="W1015" s="118"/>
      <c r="X1015" s="119"/>
      <c r="Y1015" s="113"/>
      <c r="Z1015" s="113"/>
    </row>
    <row r="1016">
      <c r="A1016" s="113"/>
      <c r="B1016" s="113"/>
      <c r="C1016" s="113"/>
      <c r="D1016" s="113"/>
      <c r="E1016" s="113"/>
      <c r="F1016" s="113"/>
      <c r="G1016" s="113"/>
      <c r="H1016" s="113"/>
      <c r="I1016" s="113"/>
      <c r="J1016" s="113"/>
      <c r="K1016" s="113"/>
      <c r="L1016" s="113"/>
      <c r="M1016" s="113"/>
      <c r="N1016" s="113"/>
      <c r="O1016" s="113"/>
      <c r="P1016" s="113"/>
      <c r="Q1016" s="132"/>
      <c r="R1016" s="115"/>
      <c r="S1016" s="115"/>
      <c r="T1016" s="115"/>
      <c r="U1016" s="116"/>
      <c r="V1016" s="117"/>
      <c r="W1016" s="118"/>
      <c r="X1016" s="119"/>
      <c r="Y1016" s="113"/>
      <c r="Z1016" s="113"/>
    </row>
    <row r="1017">
      <c r="A1017" s="113"/>
      <c r="B1017" s="113"/>
      <c r="C1017" s="113"/>
      <c r="D1017" s="113"/>
      <c r="E1017" s="113"/>
      <c r="F1017" s="113"/>
      <c r="G1017" s="113"/>
      <c r="H1017" s="113"/>
      <c r="I1017" s="113"/>
      <c r="J1017" s="113"/>
      <c r="K1017" s="113"/>
      <c r="L1017" s="113"/>
      <c r="M1017" s="113"/>
      <c r="N1017" s="113"/>
      <c r="O1017" s="113"/>
      <c r="P1017" s="113"/>
      <c r="Q1017" s="132"/>
      <c r="R1017" s="115"/>
      <c r="S1017" s="115"/>
      <c r="T1017" s="115"/>
      <c r="U1017" s="116"/>
      <c r="V1017" s="117"/>
      <c r="W1017" s="118"/>
      <c r="X1017" s="119"/>
      <c r="Y1017" s="113"/>
      <c r="Z1017" s="113"/>
    </row>
    <row r="1018">
      <c r="A1018" s="113"/>
      <c r="B1018" s="113"/>
      <c r="C1018" s="113"/>
      <c r="D1018" s="113"/>
      <c r="E1018" s="113"/>
      <c r="F1018" s="113"/>
      <c r="G1018" s="113"/>
      <c r="H1018" s="113"/>
      <c r="I1018" s="113"/>
      <c r="J1018" s="113"/>
      <c r="K1018" s="113"/>
      <c r="L1018" s="113"/>
      <c r="M1018" s="113"/>
      <c r="N1018" s="113"/>
      <c r="O1018" s="113"/>
      <c r="P1018" s="113"/>
      <c r="Q1018" s="132"/>
      <c r="R1018" s="115"/>
      <c r="S1018" s="115"/>
      <c r="T1018" s="115"/>
      <c r="U1018" s="116"/>
      <c r="V1018" s="117"/>
      <c r="W1018" s="118"/>
      <c r="X1018" s="119"/>
      <c r="Y1018" s="113"/>
      <c r="Z1018" s="113"/>
    </row>
    <row r="1019">
      <c r="A1019" s="113"/>
      <c r="B1019" s="113"/>
      <c r="C1019" s="113"/>
      <c r="D1019" s="113"/>
      <c r="E1019" s="113"/>
      <c r="F1019" s="113"/>
      <c r="G1019" s="113"/>
      <c r="H1019" s="113"/>
      <c r="I1019" s="113"/>
      <c r="J1019" s="113"/>
      <c r="K1019" s="113"/>
      <c r="L1019" s="113"/>
      <c r="M1019" s="113"/>
      <c r="N1019" s="113"/>
      <c r="O1019" s="113"/>
      <c r="P1019" s="113"/>
      <c r="Q1019" s="132"/>
      <c r="R1019" s="115"/>
      <c r="S1019" s="115"/>
      <c r="T1019" s="115"/>
      <c r="U1019" s="116"/>
      <c r="V1019" s="117"/>
      <c r="W1019" s="118"/>
      <c r="X1019" s="119"/>
      <c r="Y1019" s="113"/>
      <c r="Z1019" s="113"/>
    </row>
    <row r="1020">
      <c r="A1020" s="113"/>
      <c r="B1020" s="113"/>
      <c r="C1020" s="113"/>
      <c r="D1020" s="113"/>
      <c r="E1020" s="113"/>
      <c r="F1020" s="113"/>
      <c r="G1020" s="113"/>
      <c r="H1020" s="113"/>
      <c r="I1020" s="113"/>
      <c r="J1020" s="113"/>
      <c r="K1020" s="113"/>
      <c r="L1020" s="113"/>
      <c r="M1020" s="113"/>
      <c r="N1020" s="113"/>
      <c r="O1020" s="113"/>
      <c r="P1020" s="113"/>
      <c r="Q1020" s="132"/>
      <c r="R1020" s="115"/>
      <c r="S1020" s="115"/>
      <c r="T1020" s="115"/>
      <c r="U1020" s="116"/>
      <c r="V1020" s="117"/>
      <c r="W1020" s="118"/>
      <c r="X1020" s="119"/>
      <c r="Y1020" s="113"/>
      <c r="Z1020" s="113"/>
    </row>
    <row r="1021">
      <c r="A1021" s="113"/>
      <c r="B1021" s="113"/>
      <c r="C1021" s="113"/>
      <c r="D1021" s="113"/>
      <c r="E1021" s="113"/>
      <c r="F1021" s="113"/>
      <c r="G1021" s="113"/>
      <c r="H1021" s="113"/>
      <c r="I1021" s="113"/>
      <c r="J1021" s="113"/>
      <c r="K1021" s="113"/>
      <c r="L1021" s="113"/>
      <c r="M1021" s="113"/>
      <c r="N1021" s="113"/>
      <c r="O1021" s="113"/>
      <c r="P1021" s="113"/>
      <c r="Q1021" s="132"/>
      <c r="R1021" s="115"/>
      <c r="S1021" s="115"/>
      <c r="T1021" s="115"/>
      <c r="U1021" s="116"/>
      <c r="V1021" s="117"/>
      <c r="W1021" s="118"/>
      <c r="X1021" s="119"/>
      <c r="Y1021" s="113"/>
      <c r="Z1021" s="113"/>
    </row>
    <row r="1022">
      <c r="A1022" s="113"/>
      <c r="B1022" s="113"/>
      <c r="C1022" s="113"/>
      <c r="D1022" s="113"/>
      <c r="E1022" s="113"/>
      <c r="F1022" s="113"/>
      <c r="G1022" s="113"/>
      <c r="H1022" s="113"/>
      <c r="I1022" s="113"/>
      <c r="J1022" s="113"/>
      <c r="K1022" s="113"/>
      <c r="L1022" s="113"/>
      <c r="M1022" s="113"/>
      <c r="N1022" s="113"/>
      <c r="O1022" s="113"/>
      <c r="P1022" s="113"/>
      <c r="Q1022" s="132"/>
      <c r="R1022" s="115"/>
      <c r="S1022" s="115"/>
      <c r="T1022" s="115"/>
      <c r="U1022" s="116"/>
      <c r="V1022" s="117"/>
      <c r="W1022" s="118"/>
      <c r="X1022" s="119"/>
      <c r="Y1022" s="113"/>
      <c r="Z1022" s="113"/>
    </row>
    <row r="1023">
      <c r="A1023" s="113"/>
      <c r="B1023" s="113"/>
      <c r="C1023" s="113"/>
      <c r="D1023" s="113"/>
      <c r="E1023" s="113"/>
      <c r="F1023" s="113"/>
      <c r="G1023" s="113"/>
      <c r="H1023" s="113"/>
      <c r="I1023" s="113"/>
      <c r="J1023" s="113"/>
      <c r="K1023" s="113"/>
      <c r="L1023" s="113"/>
      <c r="M1023" s="113"/>
      <c r="N1023" s="113"/>
      <c r="O1023" s="113"/>
      <c r="P1023" s="113"/>
      <c r="Q1023" s="132"/>
      <c r="R1023" s="115"/>
      <c r="S1023" s="115"/>
      <c r="T1023" s="115"/>
      <c r="U1023" s="116"/>
      <c r="V1023" s="117"/>
      <c r="W1023" s="118"/>
      <c r="X1023" s="119"/>
      <c r="Y1023" s="113"/>
      <c r="Z1023" s="113"/>
    </row>
    <row r="1024">
      <c r="A1024" s="113"/>
      <c r="B1024" s="113"/>
      <c r="C1024" s="113"/>
      <c r="D1024" s="113"/>
      <c r="E1024" s="113"/>
      <c r="F1024" s="113"/>
      <c r="G1024" s="113"/>
      <c r="H1024" s="113"/>
      <c r="I1024" s="113"/>
      <c r="J1024" s="113"/>
      <c r="K1024" s="113"/>
      <c r="L1024" s="113"/>
      <c r="M1024" s="113"/>
      <c r="N1024" s="113"/>
      <c r="O1024" s="113"/>
      <c r="P1024" s="113"/>
      <c r="Q1024" s="132"/>
      <c r="R1024" s="115"/>
      <c r="S1024" s="115"/>
      <c r="T1024" s="115"/>
      <c r="U1024" s="116"/>
      <c r="V1024" s="117"/>
      <c r="W1024" s="118"/>
      <c r="X1024" s="119"/>
      <c r="Y1024" s="113"/>
      <c r="Z1024" s="113"/>
    </row>
    <row r="1025">
      <c r="A1025" s="113"/>
      <c r="B1025" s="113"/>
      <c r="C1025" s="113"/>
      <c r="D1025" s="113"/>
      <c r="E1025" s="113"/>
      <c r="F1025" s="113"/>
      <c r="G1025" s="113"/>
      <c r="H1025" s="113"/>
      <c r="I1025" s="113"/>
      <c r="J1025" s="113"/>
      <c r="K1025" s="113"/>
      <c r="L1025" s="113"/>
      <c r="M1025" s="113"/>
      <c r="N1025" s="113"/>
      <c r="O1025" s="113"/>
      <c r="P1025" s="113"/>
      <c r="Q1025" s="132"/>
      <c r="R1025" s="115"/>
      <c r="S1025" s="115"/>
      <c r="T1025" s="115"/>
      <c r="U1025" s="116"/>
      <c r="V1025" s="117"/>
      <c r="W1025" s="118"/>
      <c r="X1025" s="119"/>
      <c r="Y1025" s="113"/>
      <c r="Z1025" s="113"/>
    </row>
    <row r="1026">
      <c r="A1026" s="113"/>
      <c r="B1026" s="113"/>
      <c r="C1026" s="113"/>
      <c r="D1026" s="113"/>
      <c r="E1026" s="113"/>
      <c r="F1026" s="113"/>
      <c r="G1026" s="113"/>
      <c r="H1026" s="113"/>
      <c r="I1026" s="113"/>
      <c r="J1026" s="113"/>
      <c r="K1026" s="113"/>
      <c r="L1026" s="113"/>
      <c r="M1026" s="113"/>
      <c r="N1026" s="113"/>
      <c r="O1026" s="113"/>
      <c r="P1026" s="113"/>
      <c r="Q1026" s="132"/>
      <c r="R1026" s="115"/>
      <c r="S1026" s="115"/>
      <c r="T1026" s="115"/>
      <c r="U1026" s="116"/>
      <c r="V1026" s="117"/>
      <c r="W1026" s="118"/>
      <c r="X1026" s="119"/>
      <c r="Y1026" s="113"/>
      <c r="Z1026" s="113"/>
    </row>
    <row r="1027">
      <c r="A1027" s="113"/>
      <c r="B1027" s="113"/>
      <c r="C1027" s="113"/>
      <c r="D1027" s="113"/>
      <c r="E1027" s="113"/>
      <c r="F1027" s="113"/>
      <c r="G1027" s="113"/>
      <c r="H1027" s="113"/>
      <c r="I1027" s="113"/>
      <c r="J1027" s="113"/>
      <c r="K1027" s="113"/>
      <c r="L1027" s="113"/>
      <c r="M1027" s="113"/>
      <c r="N1027" s="113"/>
      <c r="O1027" s="113"/>
      <c r="P1027" s="113"/>
      <c r="Q1027" s="132"/>
      <c r="R1027" s="115"/>
      <c r="S1027" s="115"/>
      <c r="T1027" s="115"/>
      <c r="U1027" s="116"/>
      <c r="V1027" s="117"/>
      <c r="W1027" s="118"/>
      <c r="X1027" s="119"/>
      <c r="Y1027" s="113"/>
      <c r="Z1027" s="113"/>
    </row>
    <row r="1028">
      <c r="A1028" s="113"/>
      <c r="B1028" s="113"/>
      <c r="C1028" s="113"/>
      <c r="D1028" s="113"/>
      <c r="E1028" s="113"/>
      <c r="F1028" s="113"/>
      <c r="G1028" s="113"/>
      <c r="H1028" s="113"/>
      <c r="I1028" s="113"/>
      <c r="J1028" s="113"/>
      <c r="K1028" s="113"/>
      <c r="L1028" s="113"/>
      <c r="M1028" s="113"/>
      <c r="N1028" s="113"/>
      <c r="O1028" s="113"/>
      <c r="P1028" s="113"/>
      <c r="Q1028" s="132"/>
      <c r="R1028" s="115"/>
      <c r="S1028" s="115"/>
      <c r="T1028" s="115"/>
      <c r="U1028" s="116"/>
      <c r="V1028" s="117"/>
      <c r="W1028" s="118"/>
      <c r="X1028" s="119"/>
      <c r="Y1028" s="113"/>
      <c r="Z1028" s="113"/>
    </row>
    <row r="1029">
      <c r="A1029" s="113"/>
      <c r="B1029" s="113"/>
      <c r="C1029" s="113"/>
      <c r="D1029" s="113"/>
      <c r="E1029" s="113"/>
      <c r="F1029" s="113"/>
      <c r="G1029" s="113"/>
      <c r="H1029" s="113"/>
      <c r="I1029" s="113"/>
      <c r="J1029" s="113"/>
      <c r="K1029" s="113"/>
      <c r="L1029" s="113"/>
      <c r="M1029" s="113"/>
      <c r="N1029" s="113"/>
      <c r="O1029" s="113"/>
      <c r="P1029" s="113"/>
      <c r="Q1029" s="132"/>
      <c r="R1029" s="115"/>
      <c r="S1029" s="115"/>
      <c r="T1029" s="115"/>
      <c r="U1029" s="116"/>
      <c r="V1029" s="117"/>
      <c r="W1029" s="118"/>
      <c r="X1029" s="119"/>
      <c r="Y1029" s="113"/>
      <c r="Z1029" s="113"/>
    </row>
    <row r="1030">
      <c r="A1030" s="113"/>
      <c r="B1030" s="113"/>
      <c r="C1030" s="113"/>
      <c r="D1030" s="113"/>
      <c r="E1030" s="113"/>
      <c r="F1030" s="113"/>
      <c r="G1030" s="113"/>
      <c r="H1030" s="113"/>
      <c r="I1030" s="113"/>
      <c r="J1030" s="113"/>
      <c r="K1030" s="113"/>
      <c r="L1030" s="113"/>
      <c r="M1030" s="113"/>
      <c r="N1030" s="113"/>
      <c r="O1030" s="113"/>
      <c r="P1030" s="113"/>
      <c r="Q1030" s="132"/>
      <c r="R1030" s="115"/>
      <c r="S1030" s="115"/>
      <c r="T1030" s="115"/>
      <c r="U1030" s="116"/>
      <c r="V1030" s="117"/>
      <c r="W1030" s="118"/>
      <c r="X1030" s="119"/>
      <c r="Y1030" s="113"/>
      <c r="Z1030" s="113"/>
    </row>
    <row r="1031">
      <c r="A1031" s="113"/>
      <c r="B1031" s="113"/>
      <c r="C1031" s="113"/>
      <c r="D1031" s="113"/>
      <c r="E1031" s="113"/>
      <c r="F1031" s="113"/>
      <c r="G1031" s="113"/>
      <c r="H1031" s="113"/>
      <c r="I1031" s="113"/>
      <c r="J1031" s="113"/>
      <c r="K1031" s="113"/>
      <c r="L1031" s="113"/>
      <c r="M1031" s="113"/>
      <c r="N1031" s="113"/>
      <c r="O1031" s="113"/>
      <c r="P1031" s="113"/>
      <c r="Q1031" s="132"/>
      <c r="R1031" s="115"/>
      <c r="S1031" s="115"/>
      <c r="T1031" s="115"/>
      <c r="U1031" s="116"/>
      <c r="V1031" s="117"/>
      <c r="W1031" s="118"/>
      <c r="X1031" s="119"/>
      <c r="Y1031" s="113"/>
      <c r="Z1031" s="113"/>
    </row>
    <row r="1032">
      <c r="A1032" s="113"/>
      <c r="B1032" s="113"/>
      <c r="C1032" s="113"/>
      <c r="D1032" s="113"/>
      <c r="E1032" s="113"/>
      <c r="F1032" s="113"/>
      <c r="G1032" s="113"/>
      <c r="H1032" s="113"/>
      <c r="I1032" s="113"/>
      <c r="J1032" s="113"/>
      <c r="K1032" s="113"/>
      <c r="L1032" s="113"/>
      <c r="M1032" s="113"/>
      <c r="N1032" s="113"/>
      <c r="O1032" s="113"/>
      <c r="P1032" s="113"/>
      <c r="Q1032" s="132"/>
      <c r="R1032" s="115"/>
      <c r="S1032" s="115"/>
      <c r="T1032" s="115"/>
      <c r="U1032" s="116"/>
      <c r="V1032" s="117"/>
      <c r="W1032" s="118"/>
      <c r="X1032" s="119"/>
      <c r="Y1032" s="113"/>
      <c r="Z1032" s="113"/>
    </row>
    <row r="1033">
      <c r="A1033" s="113"/>
      <c r="B1033" s="113"/>
      <c r="C1033" s="113"/>
      <c r="D1033" s="113"/>
      <c r="E1033" s="113"/>
      <c r="F1033" s="113"/>
      <c r="G1033" s="113"/>
      <c r="H1033" s="113"/>
      <c r="I1033" s="113"/>
      <c r="J1033" s="113"/>
      <c r="K1033" s="113"/>
      <c r="L1033" s="113"/>
      <c r="M1033" s="113"/>
      <c r="N1033" s="113"/>
      <c r="O1033" s="113"/>
      <c r="P1033" s="113"/>
      <c r="Q1033" s="132"/>
      <c r="R1033" s="115"/>
      <c r="S1033" s="115"/>
      <c r="T1033" s="115"/>
      <c r="U1033" s="116"/>
      <c r="V1033" s="117"/>
      <c r="W1033" s="118"/>
      <c r="X1033" s="119"/>
      <c r="Y1033" s="113"/>
      <c r="Z1033" s="113"/>
    </row>
    <row r="1034">
      <c r="A1034" s="113"/>
      <c r="B1034" s="113"/>
      <c r="C1034" s="113"/>
      <c r="D1034" s="113"/>
      <c r="E1034" s="113"/>
      <c r="F1034" s="113"/>
      <c r="G1034" s="113"/>
      <c r="H1034" s="113"/>
      <c r="I1034" s="113"/>
      <c r="J1034" s="113"/>
      <c r="K1034" s="113"/>
      <c r="L1034" s="113"/>
      <c r="M1034" s="113"/>
      <c r="N1034" s="113"/>
      <c r="O1034" s="113"/>
      <c r="P1034" s="113"/>
      <c r="Q1034" s="132"/>
      <c r="R1034" s="115"/>
      <c r="S1034" s="115"/>
      <c r="T1034" s="115"/>
      <c r="U1034" s="116"/>
      <c r="V1034" s="117"/>
      <c r="W1034" s="118"/>
      <c r="X1034" s="119"/>
      <c r="Y1034" s="113"/>
      <c r="Z1034" s="113"/>
    </row>
    <row r="1035">
      <c r="A1035" s="113"/>
      <c r="B1035" s="113"/>
      <c r="C1035" s="113"/>
      <c r="D1035" s="113"/>
      <c r="E1035" s="113"/>
      <c r="F1035" s="113"/>
      <c r="G1035" s="113"/>
      <c r="H1035" s="113"/>
      <c r="I1035" s="113"/>
      <c r="J1035" s="113"/>
      <c r="K1035" s="113"/>
      <c r="L1035" s="113"/>
      <c r="M1035" s="113"/>
      <c r="N1035" s="113"/>
      <c r="O1035" s="113"/>
      <c r="P1035" s="113"/>
      <c r="Q1035" s="132"/>
      <c r="R1035" s="115"/>
      <c r="S1035" s="115"/>
      <c r="T1035" s="115"/>
      <c r="U1035" s="116"/>
      <c r="V1035" s="117"/>
      <c r="W1035" s="118"/>
      <c r="X1035" s="119"/>
      <c r="Y1035" s="113"/>
      <c r="Z1035" s="113"/>
    </row>
    <row r="1036">
      <c r="A1036" s="113"/>
      <c r="B1036" s="113"/>
      <c r="C1036" s="113"/>
      <c r="D1036" s="113"/>
      <c r="E1036" s="113"/>
      <c r="F1036" s="113"/>
      <c r="G1036" s="113"/>
      <c r="H1036" s="113"/>
      <c r="I1036" s="113"/>
      <c r="J1036" s="113"/>
      <c r="K1036" s="113"/>
      <c r="L1036" s="113"/>
      <c r="M1036" s="113"/>
      <c r="N1036" s="113"/>
      <c r="O1036" s="113"/>
      <c r="P1036" s="113"/>
      <c r="Q1036" s="132"/>
      <c r="R1036" s="115"/>
      <c r="S1036" s="115"/>
      <c r="T1036" s="115"/>
      <c r="U1036" s="116"/>
      <c r="V1036" s="117"/>
      <c r="W1036" s="118"/>
      <c r="X1036" s="119"/>
      <c r="Y1036" s="113"/>
      <c r="Z1036" s="113"/>
    </row>
    <row r="1037">
      <c r="A1037" s="113"/>
      <c r="B1037" s="113"/>
      <c r="C1037" s="113"/>
      <c r="D1037" s="113"/>
      <c r="E1037" s="113"/>
      <c r="F1037" s="113"/>
      <c r="G1037" s="113"/>
      <c r="H1037" s="113"/>
      <c r="I1037" s="113"/>
      <c r="J1037" s="113"/>
      <c r="K1037" s="113"/>
      <c r="L1037" s="113"/>
      <c r="M1037" s="113"/>
      <c r="N1037" s="113"/>
      <c r="O1037" s="113"/>
      <c r="P1037" s="113"/>
      <c r="Q1037" s="132"/>
      <c r="R1037" s="115"/>
      <c r="S1037" s="115"/>
      <c r="T1037" s="115"/>
      <c r="U1037" s="116"/>
      <c r="V1037" s="117"/>
      <c r="W1037" s="118"/>
      <c r="X1037" s="119"/>
      <c r="Y1037" s="113"/>
      <c r="Z1037" s="113"/>
    </row>
    <row r="1038">
      <c r="A1038" s="113"/>
      <c r="B1038" s="113"/>
      <c r="C1038" s="113"/>
      <c r="D1038" s="113"/>
      <c r="E1038" s="113"/>
      <c r="F1038" s="113"/>
      <c r="G1038" s="113"/>
      <c r="H1038" s="113"/>
      <c r="I1038" s="113"/>
      <c r="J1038" s="113"/>
      <c r="K1038" s="113"/>
      <c r="L1038" s="113"/>
      <c r="M1038" s="113"/>
      <c r="N1038" s="113"/>
      <c r="O1038" s="113"/>
      <c r="P1038" s="113"/>
      <c r="Q1038" s="132"/>
      <c r="R1038" s="115"/>
      <c r="S1038" s="115"/>
      <c r="T1038" s="115"/>
      <c r="U1038" s="116"/>
      <c r="V1038" s="117"/>
      <c r="W1038" s="118"/>
      <c r="X1038" s="119"/>
      <c r="Y1038" s="113"/>
      <c r="Z1038" s="113"/>
    </row>
    <row r="1039">
      <c r="A1039" s="113"/>
      <c r="B1039" s="113"/>
      <c r="C1039" s="113"/>
      <c r="D1039" s="113"/>
      <c r="E1039" s="113"/>
      <c r="F1039" s="113"/>
      <c r="G1039" s="113"/>
      <c r="H1039" s="113"/>
      <c r="I1039" s="113"/>
      <c r="J1039" s="113"/>
      <c r="K1039" s="113"/>
      <c r="L1039" s="113"/>
      <c r="M1039" s="113"/>
      <c r="N1039" s="113"/>
      <c r="O1039" s="113"/>
      <c r="P1039" s="113"/>
      <c r="Q1039" s="132"/>
      <c r="R1039" s="115"/>
      <c r="S1039" s="115"/>
      <c r="T1039" s="115"/>
      <c r="U1039" s="116"/>
      <c r="V1039" s="117"/>
      <c r="W1039" s="118"/>
      <c r="X1039" s="119"/>
      <c r="Y1039" s="113"/>
      <c r="Z1039" s="113"/>
    </row>
    <row r="1040">
      <c r="A1040" s="113"/>
      <c r="B1040" s="113"/>
      <c r="C1040" s="113"/>
      <c r="D1040" s="113"/>
      <c r="E1040" s="113"/>
      <c r="F1040" s="113"/>
      <c r="G1040" s="113"/>
      <c r="H1040" s="113"/>
      <c r="I1040" s="113"/>
      <c r="J1040" s="113"/>
      <c r="K1040" s="113"/>
      <c r="L1040" s="113"/>
      <c r="M1040" s="113"/>
      <c r="N1040" s="113"/>
      <c r="O1040" s="113"/>
      <c r="P1040" s="113"/>
      <c r="Q1040" s="132"/>
      <c r="R1040" s="115"/>
      <c r="S1040" s="115"/>
      <c r="T1040" s="115"/>
      <c r="U1040" s="116"/>
      <c r="V1040" s="117"/>
      <c r="W1040" s="118"/>
      <c r="X1040" s="119"/>
      <c r="Y1040" s="113"/>
      <c r="Z1040" s="113"/>
    </row>
    <row r="1041">
      <c r="A1041" s="113"/>
      <c r="B1041" s="113"/>
      <c r="C1041" s="113"/>
      <c r="D1041" s="113"/>
      <c r="E1041" s="113"/>
      <c r="F1041" s="113"/>
      <c r="G1041" s="113"/>
      <c r="H1041" s="113"/>
      <c r="I1041" s="113"/>
      <c r="J1041" s="113"/>
      <c r="K1041" s="113"/>
      <c r="L1041" s="113"/>
      <c r="M1041" s="113"/>
      <c r="N1041" s="113"/>
      <c r="O1041" s="113"/>
      <c r="P1041" s="113"/>
      <c r="Q1041" s="132"/>
      <c r="R1041" s="115"/>
      <c r="S1041" s="115"/>
      <c r="T1041" s="115"/>
      <c r="U1041" s="116"/>
      <c r="V1041" s="117"/>
      <c r="W1041" s="118"/>
      <c r="X1041" s="119"/>
      <c r="Y1041" s="113"/>
      <c r="Z1041" s="113"/>
    </row>
    <row r="1042">
      <c r="A1042" s="113"/>
      <c r="B1042" s="113"/>
      <c r="C1042" s="113"/>
      <c r="D1042" s="113"/>
      <c r="E1042" s="113"/>
      <c r="F1042" s="113"/>
      <c r="G1042" s="113"/>
      <c r="H1042" s="113"/>
      <c r="I1042" s="113"/>
      <c r="J1042" s="113"/>
      <c r="K1042" s="113"/>
      <c r="L1042" s="113"/>
      <c r="M1042" s="113"/>
      <c r="N1042" s="113"/>
      <c r="O1042" s="113"/>
      <c r="P1042" s="113"/>
      <c r="Q1042" s="132"/>
      <c r="R1042" s="115"/>
      <c r="S1042" s="115"/>
      <c r="T1042" s="115"/>
      <c r="U1042" s="116"/>
      <c r="V1042" s="117"/>
      <c r="W1042" s="118"/>
      <c r="X1042" s="119"/>
      <c r="Y1042" s="113"/>
      <c r="Z1042" s="113"/>
    </row>
    <row r="1043">
      <c r="A1043" s="113"/>
      <c r="B1043" s="113"/>
      <c r="C1043" s="113"/>
      <c r="D1043" s="113"/>
      <c r="E1043" s="113"/>
      <c r="F1043" s="113"/>
      <c r="G1043" s="113"/>
      <c r="H1043" s="113"/>
      <c r="I1043" s="113"/>
      <c r="J1043" s="113"/>
      <c r="K1043" s="113"/>
      <c r="L1043" s="113"/>
      <c r="M1043" s="113"/>
      <c r="N1043" s="113"/>
      <c r="O1043" s="113"/>
      <c r="P1043" s="113"/>
      <c r="Q1043" s="132"/>
      <c r="R1043" s="115"/>
      <c r="S1043" s="115"/>
      <c r="T1043" s="115"/>
      <c r="U1043" s="116"/>
      <c r="V1043" s="117"/>
      <c r="W1043" s="118"/>
      <c r="X1043" s="119"/>
      <c r="Y1043" s="113"/>
      <c r="Z1043" s="113"/>
    </row>
    <row r="1044">
      <c r="A1044" s="113"/>
      <c r="B1044" s="113"/>
      <c r="C1044" s="113"/>
      <c r="D1044" s="113"/>
      <c r="E1044" s="113"/>
      <c r="F1044" s="113"/>
      <c r="G1044" s="113"/>
      <c r="H1044" s="113"/>
      <c r="I1044" s="113"/>
      <c r="J1044" s="113"/>
      <c r="K1044" s="113"/>
      <c r="L1044" s="113"/>
      <c r="M1044" s="113"/>
      <c r="N1044" s="113"/>
      <c r="O1044" s="113"/>
      <c r="P1044" s="113"/>
      <c r="Q1044" s="132"/>
      <c r="R1044" s="115"/>
      <c r="S1044" s="115"/>
      <c r="T1044" s="115"/>
      <c r="U1044" s="116"/>
      <c r="V1044" s="117"/>
      <c r="W1044" s="118"/>
      <c r="X1044" s="119"/>
      <c r="Y1044" s="113"/>
      <c r="Z1044" s="113"/>
    </row>
    <row r="1045">
      <c r="A1045" s="113"/>
      <c r="B1045" s="113"/>
      <c r="C1045" s="113"/>
      <c r="D1045" s="113"/>
      <c r="E1045" s="113"/>
      <c r="F1045" s="113"/>
      <c r="G1045" s="113"/>
      <c r="H1045" s="113"/>
      <c r="I1045" s="113"/>
      <c r="J1045" s="113"/>
      <c r="K1045" s="113"/>
      <c r="L1045" s="113"/>
      <c r="M1045" s="113"/>
      <c r="N1045" s="113"/>
      <c r="O1045" s="113"/>
      <c r="P1045" s="113"/>
      <c r="Q1045" s="132"/>
      <c r="R1045" s="115"/>
      <c r="S1045" s="115"/>
      <c r="T1045" s="115"/>
      <c r="U1045" s="116"/>
      <c r="V1045" s="117"/>
      <c r="W1045" s="118"/>
      <c r="X1045" s="119"/>
      <c r="Y1045" s="113"/>
      <c r="Z1045" s="113"/>
    </row>
    <row r="1046">
      <c r="A1046" s="113"/>
      <c r="B1046" s="113"/>
      <c r="C1046" s="113"/>
      <c r="D1046" s="113"/>
      <c r="E1046" s="113"/>
      <c r="F1046" s="113"/>
      <c r="G1046" s="113"/>
      <c r="H1046" s="113"/>
      <c r="I1046" s="113"/>
      <c r="J1046" s="113"/>
      <c r="K1046" s="113"/>
      <c r="L1046" s="113"/>
      <c r="M1046" s="113"/>
      <c r="N1046" s="113"/>
      <c r="O1046" s="113"/>
      <c r="P1046" s="113"/>
      <c r="Q1046" s="132"/>
      <c r="R1046" s="115"/>
      <c r="S1046" s="115"/>
      <c r="T1046" s="115"/>
      <c r="U1046" s="116"/>
      <c r="V1046" s="117"/>
      <c r="W1046" s="118"/>
      <c r="X1046" s="119"/>
      <c r="Y1046" s="113"/>
      <c r="Z1046" s="113"/>
    </row>
    <row r="1047">
      <c r="A1047" s="113"/>
      <c r="B1047" s="113"/>
      <c r="C1047" s="113"/>
      <c r="D1047" s="113"/>
      <c r="E1047" s="113"/>
      <c r="F1047" s="113"/>
      <c r="G1047" s="113"/>
      <c r="H1047" s="113"/>
      <c r="I1047" s="113"/>
      <c r="J1047" s="113"/>
      <c r="K1047" s="113"/>
      <c r="L1047" s="113"/>
      <c r="M1047" s="113"/>
      <c r="N1047" s="113"/>
      <c r="O1047" s="113"/>
      <c r="P1047" s="113"/>
      <c r="Q1047" s="132"/>
      <c r="R1047" s="115"/>
      <c r="S1047" s="115"/>
      <c r="T1047" s="115"/>
      <c r="U1047" s="116"/>
      <c r="V1047" s="117"/>
      <c r="W1047" s="118"/>
      <c r="X1047" s="119"/>
      <c r="Y1047" s="113"/>
      <c r="Z1047" s="113"/>
    </row>
    <row r="1048">
      <c r="A1048" s="113"/>
      <c r="B1048" s="113"/>
      <c r="C1048" s="113"/>
      <c r="D1048" s="113"/>
      <c r="E1048" s="113"/>
      <c r="F1048" s="113"/>
      <c r="G1048" s="113"/>
      <c r="H1048" s="113"/>
      <c r="I1048" s="113"/>
      <c r="J1048" s="113"/>
      <c r="K1048" s="113"/>
      <c r="L1048" s="113"/>
      <c r="M1048" s="113"/>
      <c r="N1048" s="113"/>
      <c r="O1048" s="113"/>
      <c r="P1048" s="113"/>
      <c r="Q1048" s="132"/>
      <c r="R1048" s="115"/>
      <c r="S1048" s="115"/>
      <c r="T1048" s="115"/>
      <c r="U1048" s="116"/>
      <c r="V1048" s="117"/>
      <c r="W1048" s="118"/>
      <c r="X1048" s="119"/>
      <c r="Y1048" s="113"/>
      <c r="Z1048" s="113"/>
    </row>
    <row r="1049">
      <c r="A1049" s="113"/>
      <c r="B1049" s="113"/>
      <c r="C1049" s="113"/>
      <c r="D1049" s="113"/>
      <c r="E1049" s="113"/>
      <c r="F1049" s="113"/>
      <c r="G1049" s="113"/>
      <c r="H1049" s="113"/>
      <c r="I1049" s="113"/>
      <c r="J1049" s="113"/>
      <c r="K1049" s="113"/>
      <c r="L1049" s="113"/>
      <c r="M1049" s="113"/>
      <c r="N1049" s="113"/>
      <c r="O1049" s="113"/>
      <c r="P1049" s="113"/>
      <c r="Q1049" s="132"/>
      <c r="R1049" s="115"/>
      <c r="S1049" s="115"/>
      <c r="T1049" s="115"/>
      <c r="U1049" s="116"/>
      <c r="V1049" s="117"/>
      <c r="W1049" s="118"/>
      <c r="X1049" s="119"/>
      <c r="Y1049" s="113"/>
      <c r="Z1049" s="113"/>
    </row>
    <row r="1050">
      <c r="A1050" s="113"/>
      <c r="B1050" s="113"/>
      <c r="C1050" s="113"/>
      <c r="D1050" s="113"/>
      <c r="E1050" s="113"/>
      <c r="F1050" s="113"/>
      <c r="G1050" s="113"/>
      <c r="H1050" s="113"/>
      <c r="I1050" s="113"/>
      <c r="J1050" s="113"/>
      <c r="K1050" s="113"/>
      <c r="L1050" s="113"/>
      <c r="M1050" s="113"/>
      <c r="N1050" s="113"/>
      <c r="O1050" s="113"/>
      <c r="P1050" s="113"/>
      <c r="Q1050" s="132"/>
      <c r="R1050" s="115"/>
      <c r="S1050" s="115"/>
      <c r="T1050" s="115"/>
      <c r="U1050" s="116"/>
      <c r="V1050" s="117"/>
      <c r="W1050" s="118"/>
      <c r="X1050" s="119"/>
      <c r="Y1050" s="113"/>
      <c r="Z1050" s="113"/>
    </row>
    <row r="1051">
      <c r="A1051" s="113"/>
      <c r="B1051" s="113"/>
      <c r="C1051" s="113"/>
      <c r="D1051" s="113"/>
      <c r="E1051" s="113"/>
      <c r="F1051" s="113"/>
      <c r="G1051" s="113"/>
      <c r="H1051" s="113"/>
      <c r="I1051" s="113"/>
      <c r="J1051" s="113"/>
      <c r="K1051" s="113"/>
      <c r="L1051" s="113"/>
      <c r="M1051" s="113"/>
      <c r="N1051" s="113"/>
      <c r="O1051" s="113"/>
      <c r="P1051" s="113"/>
      <c r="Q1051" s="132"/>
      <c r="R1051" s="115"/>
      <c r="S1051" s="115"/>
      <c r="T1051" s="115"/>
      <c r="U1051" s="116"/>
      <c r="V1051" s="117"/>
      <c r="W1051" s="118"/>
      <c r="X1051" s="119"/>
      <c r="Y1051" s="113"/>
      <c r="Z1051" s="113"/>
    </row>
    <row r="1052">
      <c r="A1052" s="113"/>
      <c r="B1052" s="113"/>
      <c r="C1052" s="113"/>
      <c r="D1052" s="113"/>
      <c r="E1052" s="113"/>
      <c r="F1052" s="113"/>
      <c r="G1052" s="113"/>
      <c r="H1052" s="113"/>
      <c r="I1052" s="113"/>
      <c r="J1052" s="113"/>
      <c r="K1052" s="113"/>
      <c r="L1052" s="113"/>
      <c r="M1052" s="113"/>
      <c r="N1052" s="113"/>
      <c r="O1052" s="113"/>
      <c r="P1052" s="113"/>
      <c r="Q1052" s="132"/>
      <c r="R1052" s="115"/>
      <c r="S1052" s="115"/>
      <c r="T1052" s="115"/>
      <c r="U1052" s="116"/>
      <c r="V1052" s="117"/>
      <c r="W1052" s="118"/>
      <c r="X1052" s="119"/>
      <c r="Y1052" s="113"/>
      <c r="Z1052" s="113"/>
    </row>
    <row r="1053">
      <c r="A1053" s="113"/>
      <c r="B1053" s="113"/>
      <c r="C1053" s="113"/>
      <c r="D1053" s="113"/>
      <c r="E1053" s="113"/>
      <c r="F1053" s="113"/>
      <c r="G1053" s="113"/>
      <c r="H1053" s="113"/>
      <c r="I1053" s="113"/>
      <c r="J1053" s="113"/>
      <c r="K1053" s="113"/>
      <c r="L1053" s="113"/>
      <c r="M1053" s="113"/>
      <c r="N1053" s="113"/>
      <c r="O1053" s="113"/>
      <c r="P1053" s="113"/>
      <c r="Q1053" s="132"/>
      <c r="R1053" s="115"/>
      <c r="S1053" s="115"/>
      <c r="T1053" s="115"/>
      <c r="U1053" s="116"/>
      <c r="V1053" s="117"/>
      <c r="W1053" s="118"/>
      <c r="X1053" s="119"/>
      <c r="Y1053" s="113"/>
      <c r="Z1053" s="113"/>
    </row>
    <row r="1054">
      <c r="A1054" s="113"/>
      <c r="B1054" s="113"/>
      <c r="C1054" s="113"/>
      <c r="D1054" s="113"/>
      <c r="E1054" s="113"/>
      <c r="F1054" s="113"/>
      <c r="G1054" s="113"/>
      <c r="H1054" s="113"/>
      <c r="I1054" s="113"/>
      <c r="J1054" s="113"/>
      <c r="K1054" s="113"/>
      <c r="L1054" s="113"/>
      <c r="M1054" s="113"/>
      <c r="N1054" s="113"/>
      <c r="O1054" s="113"/>
      <c r="P1054" s="113"/>
      <c r="Q1054" s="132"/>
      <c r="R1054" s="115"/>
      <c r="S1054" s="115"/>
      <c r="T1054" s="115"/>
      <c r="U1054" s="116"/>
      <c r="V1054" s="117"/>
      <c r="W1054" s="118"/>
      <c r="X1054" s="119"/>
      <c r="Y1054" s="113"/>
      <c r="Z1054" s="113"/>
    </row>
    <row r="1055">
      <c r="A1055" s="113"/>
      <c r="B1055" s="113"/>
      <c r="C1055" s="113"/>
      <c r="D1055" s="113"/>
      <c r="E1055" s="113"/>
      <c r="F1055" s="113"/>
      <c r="G1055" s="113"/>
      <c r="H1055" s="113"/>
      <c r="I1055" s="113"/>
      <c r="J1055" s="113"/>
      <c r="K1055" s="113"/>
      <c r="L1055" s="113"/>
      <c r="M1055" s="113"/>
      <c r="N1055" s="113"/>
      <c r="O1055" s="113"/>
      <c r="P1055" s="113"/>
      <c r="Q1055" s="132"/>
      <c r="R1055" s="115"/>
      <c r="S1055" s="115"/>
      <c r="T1055" s="115"/>
      <c r="U1055" s="116"/>
      <c r="V1055" s="117"/>
      <c r="W1055" s="118"/>
      <c r="X1055" s="119"/>
      <c r="Y1055" s="113"/>
      <c r="Z1055" s="113"/>
    </row>
    <row r="1056">
      <c r="A1056" s="113"/>
      <c r="B1056" s="113"/>
      <c r="C1056" s="113"/>
      <c r="D1056" s="113"/>
      <c r="E1056" s="113"/>
      <c r="F1056" s="113"/>
      <c r="G1056" s="113"/>
      <c r="H1056" s="113"/>
      <c r="I1056" s="113"/>
      <c r="J1056" s="113"/>
      <c r="K1056" s="113"/>
      <c r="L1056" s="113"/>
      <c r="M1056" s="113"/>
      <c r="N1056" s="113"/>
      <c r="O1056" s="113"/>
      <c r="P1056" s="113"/>
      <c r="Q1056" s="132"/>
      <c r="R1056" s="115"/>
      <c r="S1056" s="115"/>
      <c r="T1056" s="115"/>
      <c r="U1056" s="116"/>
      <c r="V1056" s="117"/>
      <c r="W1056" s="118"/>
      <c r="X1056" s="119"/>
      <c r="Y1056" s="113"/>
      <c r="Z1056" s="113"/>
    </row>
    <row r="1057">
      <c r="A1057" s="113"/>
      <c r="B1057" s="113"/>
      <c r="C1057" s="113"/>
      <c r="D1057" s="113"/>
      <c r="E1057" s="113"/>
      <c r="F1057" s="113"/>
      <c r="G1057" s="113"/>
      <c r="H1057" s="113"/>
      <c r="I1057" s="113"/>
      <c r="J1057" s="113"/>
      <c r="K1057" s="113"/>
      <c r="L1057" s="113"/>
      <c r="M1057" s="113"/>
      <c r="N1057" s="113"/>
      <c r="O1057" s="113"/>
      <c r="P1057" s="113"/>
      <c r="Q1057" s="132"/>
      <c r="R1057" s="115"/>
      <c r="S1057" s="115"/>
      <c r="T1057" s="115"/>
      <c r="U1057" s="116"/>
      <c r="V1057" s="117"/>
      <c r="W1057" s="118"/>
      <c r="X1057" s="119"/>
      <c r="Y1057" s="113"/>
      <c r="Z1057" s="113"/>
    </row>
    <row r="1058">
      <c r="A1058" s="113"/>
      <c r="B1058" s="113"/>
      <c r="C1058" s="113"/>
      <c r="D1058" s="113"/>
      <c r="E1058" s="113"/>
      <c r="F1058" s="113"/>
      <c r="G1058" s="113"/>
      <c r="H1058" s="113"/>
      <c r="I1058" s="113"/>
      <c r="J1058" s="113"/>
      <c r="K1058" s="113"/>
      <c r="L1058" s="113"/>
      <c r="M1058" s="113"/>
      <c r="N1058" s="113"/>
      <c r="O1058" s="113"/>
      <c r="P1058" s="113"/>
      <c r="Q1058" s="132"/>
      <c r="R1058" s="115"/>
      <c r="S1058" s="115"/>
      <c r="T1058" s="115"/>
      <c r="U1058" s="116"/>
      <c r="V1058" s="117"/>
      <c r="W1058" s="118"/>
      <c r="X1058" s="119"/>
      <c r="Y1058" s="113"/>
      <c r="Z1058" s="113"/>
    </row>
    <row r="1059">
      <c r="A1059" s="113"/>
      <c r="B1059" s="113"/>
      <c r="C1059" s="113"/>
      <c r="D1059" s="113"/>
      <c r="E1059" s="113"/>
      <c r="F1059" s="113"/>
      <c r="G1059" s="113"/>
      <c r="H1059" s="113"/>
      <c r="I1059" s="113"/>
      <c r="J1059" s="113"/>
      <c r="K1059" s="113"/>
      <c r="L1059" s="113"/>
      <c r="M1059" s="113"/>
      <c r="N1059" s="113"/>
      <c r="O1059" s="113"/>
      <c r="P1059" s="113"/>
      <c r="Q1059" s="132"/>
      <c r="R1059" s="115"/>
      <c r="S1059" s="115"/>
      <c r="T1059" s="115"/>
      <c r="U1059" s="116"/>
      <c r="V1059" s="117"/>
      <c r="W1059" s="118"/>
      <c r="X1059" s="119"/>
      <c r="Y1059" s="113"/>
      <c r="Z1059" s="113"/>
    </row>
    <row r="1060">
      <c r="A1060" s="113"/>
      <c r="B1060" s="113"/>
      <c r="C1060" s="113"/>
      <c r="D1060" s="113"/>
      <c r="E1060" s="113"/>
      <c r="F1060" s="113"/>
      <c r="G1060" s="113"/>
      <c r="H1060" s="113"/>
      <c r="I1060" s="113"/>
      <c r="J1060" s="113"/>
      <c r="K1060" s="113"/>
      <c r="L1060" s="113"/>
      <c r="M1060" s="113"/>
      <c r="N1060" s="113"/>
      <c r="O1060" s="113"/>
      <c r="P1060" s="113"/>
      <c r="Q1060" s="132"/>
      <c r="R1060" s="115"/>
      <c r="S1060" s="115"/>
      <c r="T1060" s="115"/>
      <c r="U1060" s="116"/>
      <c r="V1060" s="117"/>
      <c r="W1060" s="118"/>
      <c r="X1060" s="119"/>
      <c r="Y1060" s="113"/>
      <c r="Z1060" s="113"/>
    </row>
    <row r="1061">
      <c r="A1061" s="113"/>
      <c r="B1061" s="113"/>
      <c r="C1061" s="113"/>
      <c r="D1061" s="113"/>
      <c r="E1061" s="113"/>
      <c r="F1061" s="113"/>
      <c r="G1061" s="113"/>
      <c r="H1061" s="113"/>
      <c r="I1061" s="113"/>
      <c r="J1061" s="113"/>
      <c r="K1061" s="113"/>
      <c r="L1061" s="113"/>
      <c r="M1061" s="113"/>
      <c r="N1061" s="113"/>
      <c r="O1061" s="113"/>
      <c r="P1061" s="113"/>
      <c r="Q1061" s="132"/>
      <c r="R1061" s="115"/>
      <c r="S1061" s="115"/>
      <c r="T1061" s="115"/>
      <c r="U1061" s="116"/>
      <c r="V1061" s="117"/>
      <c r="W1061" s="118"/>
      <c r="X1061" s="119"/>
      <c r="Y1061" s="113"/>
      <c r="Z1061" s="113"/>
    </row>
    <row r="1062">
      <c r="A1062" s="113"/>
      <c r="B1062" s="113"/>
      <c r="C1062" s="113"/>
      <c r="D1062" s="113"/>
      <c r="E1062" s="113"/>
      <c r="F1062" s="113"/>
      <c r="G1062" s="113"/>
      <c r="H1062" s="113"/>
      <c r="I1062" s="113"/>
      <c r="J1062" s="113"/>
      <c r="K1062" s="113"/>
      <c r="L1062" s="113"/>
      <c r="M1062" s="113"/>
      <c r="N1062" s="113"/>
      <c r="O1062" s="113"/>
      <c r="P1062" s="113"/>
      <c r="Q1062" s="132"/>
      <c r="R1062" s="115"/>
      <c r="S1062" s="115"/>
      <c r="T1062" s="115"/>
      <c r="U1062" s="116"/>
      <c r="V1062" s="117"/>
      <c r="W1062" s="118"/>
      <c r="X1062" s="119"/>
      <c r="Y1062" s="113"/>
      <c r="Z1062" s="113"/>
    </row>
    <row r="1063">
      <c r="A1063" s="113"/>
      <c r="B1063" s="113"/>
      <c r="C1063" s="113"/>
      <c r="D1063" s="113"/>
      <c r="E1063" s="113"/>
      <c r="F1063" s="113"/>
      <c r="G1063" s="113"/>
      <c r="H1063" s="113"/>
      <c r="I1063" s="113"/>
      <c r="J1063" s="113"/>
      <c r="K1063" s="113"/>
      <c r="L1063" s="113"/>
      <c r="M1063" s="113"/>
      <c r="N1063" s="113"/>
      <c r="O1063" s="113"/>
      <c r="P1063" s="113"/>
      <c r="Q1063" s="132"/>
      <c r="R1063" s="115"/>
      <c r="S1063" s="115"/>
      <c r="T1063" s="115"/>
      <c r="U1063" s="116"/>
      <c r="V1063" s="117"/>
      <c r="W1063" s="118"/>
      <c r="X1063" s="119"/>
      <c r="Y1063" s="113"/>
      <c r="Z1063" s="113"/>
    </row>
    <row r="1064">
      <c r="A1064" s="113"/>
      <c r="B1064" s="113"/>
      <c r="C1064" s="113"/>
      <c r="D1064" s="113"/>
      <c r="E1064" s="113"/>
      <c r="F1064" s="113"/>
      <c r="G1064" s="113"/>
      <c r="H1064" s="113"/>
      <c r="I1064" s="113"/>
      <c r="J1064" s="113"/>
      <c r="K1064" s="113"/>
      <c r="L1064" s="113"/>
      <c r="M1064" s="113"/>
      <c r="N1064" s="113"/>
      <c r="O1064" s="113"/>
      <c r="P1064" s="113"/>
      <c r="Q1064" s="132"/>
      <c r="R1064" s="115"/>
      <c r="S1064" s="115"/>
      <c r="T1064" s="115"/>
      <c r="U1064" s="116"/>
      <c r="V1064" s="117"/>
      <c r="W1064" s="118"/>
      <c r="X1064" s="119"/>
      <c r="Y1064" s="113"/>
      <c r="Z1064" s="113"/>
    </row>
    <row r="1065">
      <c r="A1065" s="113"/>
      <c r="B1065" s="113"/>
      <c r="C1065" s="113"/>
      <c r="D1065" s="113"/>
      <c r="E1065" s="113"/>
      <c r="F1065" s="113"/>
      <c r="G1065" s="113"/>
      <c r="H1065" s="113"/>
      <c r="I1065" s="113"/>
      <c r="J1065" s="113"/>
      <c r="K1065" s="113"/>
      <c r="L1065" s="113"/>
      <c r="M1065" s="113"/>
      <c r="N1065" s="113"/>
      <c r="O1065" s="113"/>
      <c r="P1065" s="113"/>
      <c r="Q1065" s="132"/>
      <c r="R1065" s="115"/>
      <c r="S1065" s="115"/>
      <c r="T1065" s="115"/>
      <c r="U1065" s="116"/>
      <c r="V1065" s="117"/>
      <c r="W1065" s="118"/>
      <c r="X1065" s="119"/>
      <c r="Y1065" s="113"/>
      <c r="Z1065" s="113"/>
    </row>
    <row r="1066">
      <c r="A1066" s="113"/>
      <c r="B1066" s="113"/>
      <c r="C1066" s="113"/>
      <c r="D1066" s="113"/>
      <c r="E1066" s="113"/>
      <c r="F1066" s="113"/>
      <c r="G1066" s="113"/>
      <c r="H1066" s="113"/>
      <c r="I1066" s="113"/>
      <c r="J1066" s="113"/>
      <c r="K1066" s="113"/>
      <c r="L1066" s="113"/>
      <c r="M1066" s="113"/>
      <c r="N1066" s="113"/>
      <c r="O1066" s="113"/>
      <c r="P1066" s="113"/>
      <c r="Q1066" s="132"/>
      <c r="R1066" s="115"/>
      <c r="S1066" s="115"/>
      <c r="T1066" s="115"/>
      <c r="U1066" s="116"/>
      <c r="V1066" s="117"/>
      <c r="W1066" s="118"/>
      <c r="X1066" s="119"/>
      <c r="Y1066" s="113"/>
      <c r="Z1066" s="113"/>
    </row>
    <row r="1067">
      <c r="A1067" s="113"/>
      <c r="B1067" s="113"/>
      <c r="C1067" s="113"/>
      <c r="D1067" s="113"/>
      <c r="E1067" s="113"/>
      <c r="F1067" s="113"/>
      <c r="G1067" s="113"/>
      <c r="H1067" s="113"/>
      <c r="I1067" s="113"/>
      <c r="J1067" s="113"/>
      <c r="K1067" s="113"/>
      <c r="L1067" s="113"/>
      <c r="M1067" s="113"/>
      <c r="N1067" s="113"/>
      <c r="O1067" s="113"/>
      <c r="P1067" s="113"/>
      <c r="Q1067" s="132"/>
      <c r="R1067" s="115"/>
      <c r="S1067" s="115"/>
      <c r="T1067" s="115"/>
      <c r="U1067" s="116"/>
      <c r="V1067" s="117"/>
      <c r="W1067" s="118"/>
      <c r="X1067" s="119"/>
      <c r="Y1067" s="113"/>
      <c r="Z1067" s="113"/>
    </row>
    <row r="1068">
      <c r="A1068" s="113"/>
      <c r="B1068" s="113"/>
      <c r="C1068" s="113"/>
      <c r="D1068" s="113"/>
      <c r="E1068" s="113"/>
      <c r="F1068" s="113"/>
      <c r="G1068" s="113"/>
      <c r="H1068" s="113"/>
      <c r="I1068" s="113"/>
      <c r="J1068" s="113"/>
      <c r="K1068" s="113"/>
      <c r="L1068" s="113"/>
      <c r="M1068" s="113"/>
      <c r="N1068" s="113"/>
      <c r="O1068" s="113"/>
      <c r="P1068" s="113"/>
      <c r="Q1068" s="132"/>
      <c r="R1068" s="115"/>
      <c r="S1068" s="115"/>
      <c r="T1068" s="115"/>
      <c r="U1068" s="116"/>
      <c r="V1068" s="117"/>
      <c r="W1068" s="118"/>
      <c r="X1068" s="119"/>
      <c r="Y1068" s="113"/>
      <c r="Z1068" s="113"/>
    </row>
    <row r="1069">
      <c r="A1069" s="113"/>
      <c r="B1069" s="113"/>
      <c r="C1069" s="113"/>
      <c r="D1069" s="113"/>
      <c r="E1069" s="113"/>
      <c r="F1069" s="113"/>
      <c r="G1069" s="113"/>
      <c r="H1069" s="113"/>
      <c r="I1069" s="113"/>
      <c r="J1069" s="113"/>
      <c r="K1069" s="113"/>
      <c r="L1069" s="113"/>
      <c r="M1069" s="113"/>
      <c r="N1069" s="113"/>
      <c r="O1069" s="113"/>
      <c r="P1069" s="113"/>
      <c r="Q1069" s="132"/>
      <c r="R1069" s="115"/>
      <c r="S1069" s="115"/>
      <c r="T1069" s="115"/>
      <c r="U1069" s="116"/>
      <c r="V1069" s="117"/>
      <c r="W1069" s="118"/>
      <c r="X1069" s="119"/>
      <c r="Y1069" s="113"/>
      <c r="Z1069" s="113"/>
    </row>
  </sheetData>
  <dataValidations>
    <dataValidation type="list" allowBlank="1" sqref="C2:C17 C82:C772">
      <formula1>Fields!$F$2:$F$4</formula1>
    </dataValidation>
    <dataValidation type="list" allowBlank="1" sqref="C18:C81">
      <formula1>Fields!$F$2:$F$8</formula1>
    </dataValidation>
    <dataValidation type="list" allowBlank="1" showErrorMessage="1" sqref="U3:U14 U16 S82:S832">
      <formula1>"Yes,No"</formula1>
    </dataValidation>
    <dataValidation type="list" allowBlank="1" sqref="D15 D18:D38 D41:D81">
      <formula1>Fields!$A$2:$A$8</formula1>
    </dataValidation>
    <dataValidation type="list" allowBlank="1" sqref="B15">
      <formula1>Fields!$D$2:$D$6</formula1>
    </dataValidation>
    <dataValidation type="list" allowBlank="1" sqref="B18:B81">
      <formula1>Fields!$D$2:$D$12</formula1>
    </dataValidation>
  </dataValidations>
  <hyperlinks>
    <hyperlink r:id="rId2" ref="F2"/>
    <hyperlink r:id="rId3" ref="F15"/>
    <hyperlink r:id="rId4" ref="F18"/>
    <hyperlink r:id="rId5" ref="F20"/>
    <hyperlink r:id="rId6" ref="F25"/>
    <hyperlink r:id="rId7" ref="F27"/>
    <hyperlink r:id="rId8" ref="F29"/>
    <hyperlink r:id="rId9" ref="F31"/>
    <hyperlink r:id="rId10" ref="F33"/>
    <hyperlink r:id="rId11" ref="F35"/>
    <hyperlink r:id="rId12" ref="F36"/>
    <hyperlink r:id="rId13" ref="F38"/>
    <hyperlink r:id="rId14" ref="F41"/>
    <hyperlink r:id="rId15" ref="F58"/>
    <hyperlink r:id="rId16" ref="F69"/>
    <hyperlink r:id="rId17" ref="F71"/>
    <hyperlink r:id="rId18" ref="F73"/>
    <hyperlink r:id="rId19" ref="F75"/>
    <hyperlink r:id="rId20" ref="F76"/>
    <hyperlink r:id="rId21" ref="F77"/>
    <hyperlink r:id="rId22" ref="F78"/>
    <hyperlink r:id="rId23" ref="F79"/>
    <hyperlink r:id="rId24" ref="F80"/>
    <hyperlink r:id="rId25" ref="F81"/>
  </hyperlinks>
  <drawing r:id="rId26"/>
  <legacy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2.63" defaultRowHeight="15.0"/>
  <cols>
    <col customWidth="1" min="1" max="1" width="5.13"/>
    <col customWidth="1" min="2" max="2" width="6.25"/>
    <col customWidth="1" min="3" max="3" width="5.5"/>
    <col customWidth="1" min="4" max="4" width="11.25"/>
    <col customWidth="1" min="5" max="5" width="3.13"/>
    <col customWidth="1" min="6" max="6" width="24.5"/>
    <col customWidth="1" min="7" max="7" width="24.88"/>
    <col customWidth="1" min="8" max="8" width="48.75"/>
    <col customWidth="1" min="9" max="10" width="7.38"/>
    <col customWidth="1" min="11" max="11" width="6.5"/>
    <col customWidth="1" min="12" max="12" width="8.5"/>
    <col customWidth="1" min="13" max="14" width="6.5"/>
    <col customWidth="1" min="15" max="16" width="7.38"/>
    <col customWidth="1" min="17" max="17" width="18.25"/>
    <col customWidth="1" min="18" max="18" width="5.75"/>
    <col customWidth="1" min="19" max="19" width="5.63"/>
    <col customWidth="1" min="20" max="20" width="6.63"/>
    <col customWidth="1" min="21" max="21" width="6.88"/>
    <col customWidth="1" min="22" max="22" width="7.75"/>
    <col customWidth="1" min="23" max="23" width="6.63"/>
    <col customWidth="1" min="24" max="24" width="7.63"/>
    <col customWidth="1" min="25" max="26" width="42.88"/>
    <col customWidth="1" min="27" max="37" width="11.0"/>
  </cols>
  <sheetData>
    <row r="1" ht="45.0" customHeight="1">
      <c r="A1" s="1" t="s">
        <v>0</v>
      </c>
      <c r="B1" s="6" t="str">
        <f>HYPERLINK("#rangeid=2086300674","Content Owner")</f>
        <v>Content Owner</v>
      </c>
      <c r="C1" s="9" t="str">
        <f>HYPERLINK("#rangeid=632369931","Video Owner")</f>
        <v>Video Owner</v>
      </c>
      <c r="D1" s="11" t="s">
        <v>4</v>
      </c>
      <c r="E1" s="12" t="s">
        <v>5</v>
      </c>
      <c r="F1" s="13" t="s">
        <v>6</v>
      </c>
      <c r="G1" s="1" t="s">
        <v>7</v>
      </c>
      <c r="H1" s="21" t="str">
        <f>HYPERLINK("#rangeid=906849400","Description")</f>
        <v>Description</v>
      </c>
      <c r="I1" s="17" t="s">
        <v>11</v>
      </c>
      <c r="J1" s="1" t="s">
        <v>15</v>
      </c>
      <c r="K1" s="19" t="s">
        <v>16</v>
      </c>
      <c r="L1" s="1" t="s">
        <v>22</v>
      </c>
      <c r="M1" s="1" t="s">
        <v>23</v>
      </c>
      <c r="N1" s="1" t="s">
        <v>25</v>
      </c>
      <c r="O1" s="1" t="s">
        <v>26</v>
      </c>
      <c r="P1" s="1" t="s">
        <v>27</v>
      </c>
      <c r="Q1" s="1" t="s">
        <v>28</v>
      </c>
      <c r="R1" s="23" t="s">
        <v>29</v>
      </c>
      <c r="S1" s="23" t="s">
        <v>31</v>
      </c>
      <c r="T1" s="23" t="s">
        <v>32</v>
      </c>
      <c r="U1" s="26" t="s">
        <v>33</v>
      </c>
      <c r="V1" s="29" t="s">
        <v>35</v>
      </c>
      <c r="W1" s="31" t="str">
        <f>HYPERLINK("#rangeid=120001109","Replay")</f>
        <v>Replay</v>
      </c>
      <c r="X1" s="33" t="s">
        <v>38</v>
      </c>
      <c r="Y1" s="34" t="s">
        <v>39</v>
      </c>
      <c r="Z1" s="36" t="s">
        <v>40</v>
      </c>
      <c r="AA1" s="37"/>
      <c r="AB1" s="37"/>
      <c r="AC1" s="37"/>
      <c r="AD1" s="37"/>
      <c r="AE1" s="37"/>
      <c r="AF1" s="37"/>
      <c r="AG1" s="37"/>
      <c r="AH1" s="37"/>
      <c r="AI1" s="37"/>
      <c r="AJ1" s="37"/>
      <c r="AK1" s="37"/>
    </row>
    <row r="2">
      <c r="A2" s="38">
        <v>328.0</v>
      </c>
      <c r="B2" s="63" t="s">
        <v>619</v>
      </c>
      <c r="C2" s="51"/>
      <c r="D2" s="38"/>
      <c r="E2" s="38" t="s">
        <v>1046</v>
      </c>
      <c r="F2" s="41" t="s">
        <v>1047</v>
      </c>
      <c r="G2" s="43"/>
      <c r="H2" s="45"/>
      <c r="I2" s="38"/>
      <c r="J2" s="38">
        <f>16*1000</f>
        <v>16000</v>
      </c>
      <c r="K2" s="46">
        <v>0.06074074074074074</v>
      </c>
      <c r="L2" s="47" t="s">
        <v>1048</v>
      </c>
      <c r="M2" s="133"/>
      <c r="N2" s="133"/>
      <c r="O2" s="38">
        <f t="shared" ref="O2:O12" si="1">N2-M2</f>
        <v>0</v>
      </c>
      <c r="P2" s="82">
        <v>43018.0</v>
      </c>
      <c r="Q2" s="12" t="str">
        <f t="shared" ref="Q2:Q29" si="2">HYPERLINK(IF(INT(A2)-A2=0,"",REPLACE(INDIRECT("MasterList!e"&amp;INT(A2)+1),25,8,"embed/")&amp;"?start="&amp;HOUR(M2)*3600+MINUTE(M2)*60+SECOND(M2)&amp;"&amp;end="&amp;HOUR(N2)*3600+MINUTE(N2)*60+SECOND(N2)&amp;"&amp;autoplay=1"))</f>
        <v/>
      </c>
      <c r="R2" s="63" t="s">
        <v>91</v>
      </c>
      <c r="S2" s="63" t="s">
        <v>1053</v>
      </c>
      <c r="T2" s="63" t="s">
        <v>61</v>
      </c>
      <c r="U2" s="51"/>
      <c r="V2" s="52"/>
      <c r="W2" s="81" t="s">
        <v>76</v>
      </c>
      <c r="X2" s="57"/>
      <c r="Y2" s="134" t="s">
        <v>1054</v>
      </c>
      <c r="Z2" s="134" t="s">
        <v>1057</v>
      </c>
      <c r="AA2" s="106"/>
      <c r="AB2" s="106"/>
    </row>
    <row r="3">
      <c r="A3" s="38">
        <v>750.0</v>
      </c>
      <c r="B3" s="63" t="s">
        <v>619</v>
      </c>
      <c r="C3" s="51"/>
      <c r="D3" s="39" t="s">
        <v>55</v>
      </c>
      <c r="E3" s="38" t="s">
        <v>1058</v>
      </c>
      <c r="F3" s="41" t="s">
        <v>1059</v>
      </c>
      <c r="G3" s="43"/>
      <c r="H3" s="45"/>
      <c r="I3" s="38"/>
      <c r="J3" s="38">
        <f>14*1000</f>
        <v>14000</v>
      </c>
      <c r="K3" s="46">
        <v>0.042465277777777775</v>
      </c>
      <c r="L3" s="47" t="s">
        <v>1060</v>
      </c>
      <c r="M3" s="38"/>
      <c r="N3" s="38"/>
      <c r="O3" s="38">
        <f t="shared" si="1"/>
        <v>0</v>
      </c>
      <c r="P3" s="72"/>
      <c r="Q3" s="12" t="str">
        <f t="shared" si="2"/>
        <v/>
      </c>
      <c r="R3" s="42"/>
      <c r="S3" s="42"/>
      <c r="T3" s="42"/>
      <c r="U3" s="51"/>
      <c r="V3" s="52"/>
      <c r="W3" s="55"/>
      <c r="X3" s="57"/>
      <c r="Y3" s="106"/>
      <c r="Z3" s="106"/>
      <c r="AA3" s="106"/>
      <c r="AB3" s="106"/>
    </row>
    <row r="4">
      <c r="A4" s="135">
        <v>750.01</v>
      </c>
      <c r="B4" s="63" t="s">
        <v>619</v>
      </c>
      <c r="C4" s="51"/>
      <c r="D4" s="39" t="s">
        <v>55</v>
      </c>
      <c r="F4" s="135"/>
      <c r="G4" s="135" t="s">
        <v>1063</v>
      </c>
      <c r="H4" s="135" t="s">
        <v>1064</v>
      </c>
      <c r="I4" s="136"/>
      <c r="J4" s="136"/>
      <c r="K4" s="136"/>
      <c r="L4" s="136"/>
      <c r="M4" s="137">
        <v>0.0014699074074074074</v>
      </c>
      <c r="N4" s="137">
        <v>0.005983796296296296</v>
      </c>
      <c r="O4" s="124">
        <f t="shared" si="1"/>
        <v>0.004513888889</v>
      </c>
      <c r="P4" s="138">
        <v>43019.0</v>
      </c>
      <c r="Q4" s="61" t="str">
        <f t="shared" si="2"/>
        <v>https://www.youtube.com/embed/dHQ-HMVdPyE?start=127&amp;end=517&amp;autoplay=1</v>
      </c>
      <c r="R4" s="139" t="s">
        <v>61</v>
      </c>
      <c r="S4" s="139" t="s">
        <v>61</v>
      </c>
      <c r="T4" s="139" t="s">
        <v>61</v>
      </c>
      <c r="U4" s="136"/>
      <c r="V4" s="136"/>
      <c r="W4" s="135" t="s">
        <v>62</v>
      </c>
    </row>
    <row r="5">
      <c r="A5" s="135">
        <v>750.02</v>
      </c>
      <c r="B5" s="63" t="s">
        <v>619</v>
      </c>
      <c r="C5" s="51"/>
      <c r="D5" s="39" t="s">
        <v>55</v>
      </c>
      <c r="G5" s="135" t="s">
        <v>1067</v>
      </c>
      <c r="H5" s="135" t="s">
        <v>1068</v>
      </c>
      <c r="I5" s="136"/>
      <c r="J5" s="136"/>
      <c r="K5" s="136"/>
      <c r="L5" s="136"/>
      <c r="M5" s="137">
        <v>0.0059953703703703705</v>
      </c>
      <c r="N5" s="137">
        <v>0.01074074074074074</v>
      </c>
      <c r="O5" s="124">
        <f t="shared" si="1"/>
        <v>0.00474537037</v>
      </c>
      <c r="P5" s="138">
        <v>43019.0</v>
      </c>
      <c r="Q5" s="61" t="str">
        <f t="shared" si="2"/>
        <v>https://www.youtube.com/embed/dHQ-HMVdPyE?start=518&amp;end=928&amp;autoplay=1</v>
      </c>
      <c r="R5" s="139" t="s">
        <v>61</v>
      </c>
      <c r="S5" s="139" t="s">
        <v>61</v>
      </c>
      <c r="T5" s="139" t="s">
        <v>61</v>
      </c>
      <c r="U5" s="136"/>
      <c r="V5" s="136"/>
      <c r="W5" s="135" t="s">
        <v>62</v>
      </c>
    </row>
    <row r="6">
      <c r="A6" s="135">
        <v>750.03</v>
      </c>
      <c r="B6" s="63" t="s">
        <v>619</v>
      </c>
      <c r="C6" s="51"/>
      <c r="D6" s="39" t="s">
        <v>55</v>
      </c>
      <c r="G6" s="135" t="s">
        <v>1071</v>
      </c>
      <c r="H6" s="135" t="s">
        <v>1072</v>
      </c>
      <c r="I6" s="136"/>
      <c r="J6" s="136"/>
      <c r="K6" s="136"/>
      <c r="L6" s="136"/>
      <c r="M6" s="137">
        <v>0.010752314814814815</v>
      </c>
      <c r="N6" s="137">
        <v>0.013368055555555555</v>
      </c>
      <c r="O6" s="124">
        <f t="shared" si="1"/>
        <v>0.002615740741</v>
      </c>
      <c r="P6" s="138">
        <v>43019.0</v>
      </c>
      <c r="Q6" s="61" t="str">
        <f t="shared" si="2"/>
        <v>https://www.youtube.com/embed/dHQ-HMVdPyE?start=929&amp;end=1155&amp;autoplay=1</v>
      </c>
      <c r="R6" s="139" t="s">
        <v>61</v>
      </c>
      <c r="S6" s="139" t="s">
        <v>61</v>
      </c>
      <c r="T6" s="139" t="s">
        <v>61</v>
      </c>
      <c r="U6" s="136"/>
      <c r="V6" s="136"/>
      <c r="W6" s="135" t="s">
        <v>62</v>
      </c>
    </row>
    <row r="7">
      <c r="A7" s="135">
        <v>750.04</v>
      </c>
      <c r="B7" s="63" t="s">
        <v>619</v>
      </c>
      <c r="C7" s="51"/>
      <c r="D7" s="39" t="s">
        <v>55</v>
      </c>
      <c r="G7" s="135" t="s">
        <v>1073</v>
      </c>
      <c r="H7" s="135" t="s">
        <v>1074</v>
      </c>
      <c r="I7" s="136"/>
      <c r="J7" s="136"/>
      <c r="K7" s="136"/>
      <c r="L7" s="136"/>
      <c r="M7" s="137">
        <v>0.01337962962962963</v>
      </c>
      <c r="N7" s="137">
        <v>0.016828703703703703</v>
      </c>
      <c r="O7" s="124">
        <f t="shared" si="1"/>
        <v>0.003449074074</v>
      </c>
      <c r="P7" s="138">
        <v>43019.0</v>
      </c>
      <c r="Q7" s="61" t="str">
        <f t="shared" si="2"/>
        <v>https://www.youtube.com/embed/dHQ-HMVdPyE?start=1156&amp;end=1454&amp;autoplay=1</v>
      </c>
      <c r="R7" s="139" t="s">
        <v>61</v>
      </c>
      <c r="S7" s="139" t="s">
        <v>61</v>
      </c>
      <c r="T7" s="139" t="s">
        <v>61</v>
      </c>
      <c r="U7" s="136"/>
      <c r="V7" s="136"/>
      <c r="W7" s="135" t="s">
        <v>62</v>
      </c>
    </row>
    <row r="8">
      <c r="A8" s="135">
        <v>750.05</v>
      </c>
      <c r="B8" s="63" t="s">
        <v>619</v>
      </c>
      <c r="C8" s="51"/>
      <c r="D8" s="39" t="s">
        <v>55</v>
      </c>
      <c r="G8" s="135" t="s">
        <v>1077</v>
      </c>
      <c r="H8" s="135" t="s">
        <v>1078</v>
      </c>
      <c r="I8" s="136"/>
      <c r="J8" s="136"/>
      <c r="K8" s="136"/>
      <c r="L8" s="136"/>
      <c r="M8" s="137">
        <v>0.016840277777777777</v>
      </c>
      <c r="N8" s="137">
        <v>0.02091435185185185</v>
      </c>
      <c r="O8" s="124">
        <f t="shared" si="1"/>
        <v>0.004074074074</v>
      </c>
      <c r="P8" s="138">
        <v>43019.0</v>
      </c>
      <c r="Q8" s="61" t="str">
        <f t="shared" si="2"/>
        <v>https://www.youtube.com/embed/dHQ-HMVdPyE?start=1455&amp;end=1807&amp;autoplay=1</v>
      </c>
      <c r="R8" s="139" t="s">
        <v>61</v>
      </c>
      <c r="S8" s="139" t="s">
        <v>61</v>
      </c>
      <c r="T8" s="139" t="s">
        <v>61</v>
      </c>
      <c r="U8" s="136"/>
      <c r="V8" s="136"/>
      <c r="W8" s="135" t="s">
        <v>62</v>
      </c>
    </row>
    <row r="9">
      <c r="A9" s="135">
        <v>750.06</v>
      </c>
      <c r="B9" s="63" t="s">
        <v>619</v>
      </c>
      <c r="C9" s="51"/>
      <c r="D9" s="39" t="s">
        <v>55</v>
      </c>
      <c r="G9" s="135" t="s">
        <v>1079</v>
      </c>
      <c r="H9" s="135" t="s">
        <v>1080</v>
      </c>
      <c r="I9" s="136"/>
      <c r="J9" s="136"/>
      <c r="K9" s="136"/>
      <c r="L9" s="136"/>
      <c r="M9" s="137">
        <v>0.020925925925925924</v>
      </c>
      <c r="N9" s="137">
        <v>0.022916666666666665</v>
      </c>
      <c r="O9" s="124">
        <f t="shared" si="1"/>
        <v>0.001990740741</v>
      </c>
      <c r="P9" s="138">
        <v>43019.0</v>
      </c>
      <c r="Q9" s="61" t="str">
        <f t="shared" si="2"/>
        <v>https://www.youtube.com/embed/dHQ-HMVdPyE?start=1808&amp;end=1980&amp;autoplay=1</v>
      </c>
      <c r="R9" s="139" t="s">
        <v>61</v>
      </c>
      <c r="S9" s="139" t="s">
        <v>61</v>
      </c>
      <c r="T9" s="139" t="s">
        <v>61</v>
      </c>
      <c r="U9" s="136"/>
      <c r="V9" s="136"/>
      <c r="W9" s="135" t="s">
        <v>62</v>
      </c>
    </row>
    <row r="10">
      <c r="A10" s="135">
        <v>750.07</v>
      </c>
      <c r="B10" s="63" t="s">
        <v>619</v>
      </c>
      <c r="C10" s="51"/>
      <c r="D10" s="39" t="s">
        <v>55</v>
      </c>
      <c r="G10" s="135" t="s">
        <v>1081</v>
      </c>
      <c r="H10" s="135" t="s">
        <v>1084</v>
      </c>
      <c r="I10" s="136"/>
      <c r="J10" s="136"/>
      <c r="K10" s="136"/>
      <c r="L10" s="136"/>
      <c r="M10" s="137">
        <v>0.02295138888888889</v>
      </c>
      <c r="N10" s="137">
        <v>0.02877314814814815</v>
      </c>
      <c r="O10" s="124">
        <f t="shared" si="1"/>
        <v>0.005821759259</v>
      </c>
      <c r="P10" s="138">
        <v>43019.0</v>
      </c>
      <c r="Q10" s="61" t="str">
        <f t="shared" si="2"/>
        <v>https://www.youtube.com/embed/dHQ-HMVdPyE?start=1983&amp;end=2486&amp;autoplay=1</v>
      </c>
      <c r="R10" s="139" t="s">
        <v>61</v>
      </c>
      <c r="S10" s="139" t="s">
        <v>61</v>
      </c>
      <c r="T10" s="139" t="s">
        <v>61</v>
      </c>
      <c r="U10" s="136"/>
      <c r="V10" s="136"/>
      <c r="W10" s="135" t="s">
        <v>62</v>
      </c>
    </row>
    <row r="11">
      <c r="A11" s="135">
        <v>750.08</v>
      </c>
      <c r="B11" s="63" t="s">
        <v>619</v>
      </c>
      <c r="C11" s="51"/>
      <c r="D11" s="39" t="s">
        <v>55</v>
      </c>
      <c r="G11" s="135" t="s">
        <v>1085</v>
      </c>
      <c r="H11" s="135" t="s">
        <v>1086</v>
      </c>
      <c r="I11" s="136"/>
      <c r="J11" s="136"/>
      <c r="K11" s="136"/>
      <c r="L11" s="136"/>
      <c r="M11" s="137">
        <v>0.02880787037037037</v>
      </c>
      <c r="N11" s="137">
        <v>0.031203703703703702</v>
      </c>
      <c r="O11" s="124">
        <f t="shared" si="1"/>
        <v>0.002395833333</v>
      </c>
      <c r="P11" s="138">
        <v>43019.0</v>
      </c>
      <c r="Q11" s="61" t="str">
        <f t="shared" si="2"/>
        <v>https://www.youtube.com/embed/dHQ-HMVdPyE?start=2489&amp;end=2696&amp;autoplay=1</v>
      </c>
      <c r="R11" s="139" t="s">
        <v>61</v>
      </c>
      <c r="S11" s="139" t="s">
        <v>61</v>
      </c>
      <c r="T11" s="139" t="s">
        <v>61</v>
      </c>
      <c r="U11" s="136"/>
      <c r="V11" s="136"/>
      <c r="W11" s="135" t="s">
        <v>62</v>
      </c>
    </row>
    <row r="12">
      <c r="A12" s="135">
        <v>750.09</v>
      </c>
      <c r="B12" s="63" t="s">
        <v>619</v>
      </c>
      <c r="C12" s="51"/>
      <c r="D12" s="39" t="s">
        <v>55</v>
      </c>
      <c r="G12" s="135" t="s">
        <v>1087</v>
      </c>
      <c r="H12" s="135" t="s">
        <v>1088</v>
      </c>
      <c r="I12" s="136"/>
      <c r="J12" s="136"/>
      <c r="K12" s="136"/>
      <c r="L12" s="136"/>
      <c r="M12" s="137">
        <v>0.03121527777777778</v>
      </c>
      <c r="N12" s="137">
        <v>0.04224537037037037</v>
      </c>
      <c r="O12" s="124">
        <f t="shared" si="1"/>
        <v>0.01103009259</v>
      </c>
      <c r="P12" s="138">
        <v>43019.0</v>
      </c>
      <c r="Q12" s="61" t="str">
        <f t="shared" si="2"/>
        <v>https://www.youtube.com/embed/dHQ-HMVdPyE?start=2697&amp;end=3650&amp;autoplay=1</v>
      </c>
      <c r="R12" s="139" t="s">
        <v>61</v>
      </c>
      <c r="S12" s="139" t="s">
        <v>61</v>
      </c>
      <c r="T12" s="139" t="s">
        <v>61</v>
      </c>
      <c r="U12" s="136"/>
      <c r="V12" s="136"/>
      <c r="W12" s="135" t="s">
        <v>62</v>
      </c>
    </row>
    <row r="13">
      <c r="A13" s="38">
        <v>740.0</v>
      </c>
      <c r="B13" s="63" t="s">
        <v>619</v>
      </c>
      <c r="C13" s="51"/>
      <c r="D13" s="38"/>
      <c r="E13" s="38" t="s">
        <v>1091</v>
      </c>
      <c r="F13" s="41" t="s">
        <v>1092</v>
      </c>
      <c r="G13" s="43"/>
      <c r="H13" s="45"/>
      <c r="I13" s="38"/>
      <c r="J13" s="38">
        <f>8.1*1000</f>
        <v>8100</v>
      </c>
      <c r="K13" s="46">
        <v>0.07232638888888888</v>
      </c>
      <c r="L13" s="47" t="s">
        <v>1093</v>
      </c>
      <c r="M13" s="38"/>
      <c r="N13" s="38"/>
      <c r="O13" s="38"/>
      <c r="P13" s="138">
        <v>43020.0</v>
      </c>
      <c r="Q13" s="12" t="str">
        <f t="shared" si="2"/>
        <v/>
      </c>
      <c r="R13" s="42"/>
      <c r="S13" s="42"/>
      <c r="T13" s="42"/>
      <c r="U13" s="51"/>
      <c r="V13" s="52"/>
      <c r="W13" s="55"/>
      <c r="X13" s="57"/>
      <c r="Y13" s="106"/>
      <c r="Z13" s="106"/>
      <c r="AA13" s="106"/>
      <c r="AB13" s="106"/>
    </row>
    <row r="14">
      <c r="A14" s="140">
        <v>740.01</v>
      </c>
      <c r="B14" s="63" t="s">
        <v>619</v>
      </c>
      <c r="C14" s="51"/>
      <c r="D14" s="39" t="s">
        <v>55</v>
      </c>
      <c r="E14" s="136"/>
      <c r="F14" s="136"/>
      <c r="G14" s="140" t="s">
        <v>1096</v>
      </c>
      <c r="H14" s="140" t="s">
        <v>1097</v>
      </c>
      <c r="I14" s="141"/>
      <c r="J14" s="141"/>
      <c r="K14" s="141"/>
      <c r="L14" s="141"/>
      <c r="M14" s="142">
        <v>0.0024421296296296296</v>
      </c>
      <c r="N14" s="142">
        <v>0.003912037037037037</v>
      </c>
      <c r="O14" s="143">
        <f t="shared" ref="O14:O29" si="3">N14-M14</f>
        <v>0.001469907407</v>
      </c>
      <c r="P14" s="144">
        <v>43020.0</v>
      </c>
      <c r="Q14" s="61" t="str">
        <f t="shared" si="2"/>
        <v>https://www.youtube.com/embed/VFJFvcNogFU?start=211&amp;end=338&amp;autoplay=1</v>
      </c>
      <c r="R14" s="139" t="s">
        <v>61</v>
      </c>
      <c r="S14" s="139" t="s">
        <v>61</v>
      </c>
      <c r="T14" s="139" t="s">
        <v>61</v>
      </c>
      <c r="U14" s="136"/>
      <c r="V14" s="136"/>
      <c r="W14" s="135" t="s">
        <v>62</v>
      </c>
      <c r="X14" s="136"/>
      <c r="Y14" s="136"/>
      <c r="Z14" s="136"/>
      <c r="AA14" s="136"/>
      <c r="AB14" s="136"/>
      <c r="AC14" s="136"/>
      <c r="AD14" s="136"/>
      <c r="AE14" s="136"/>
      <c r="AF14" s="136"/>
      <c r="AG14" s="136"/>
      <c r="AH14" s="136"/>
      <c r="AI14" s="136"/>
      <c r="AJ14" s="136"/>
      <c r="AK14" s="136"/>
    </row>
    <row r="15">
      <c r="A15" s="112">
        <v>740.02</v>
      </c>
      <c r="B15" s="63" t="s">
        <v>619</v>
      </c>
      <c r="C15" s="51"/>
      <c r="D15" s="39" t="s">
        <v>55</v>
      </c>
      <c r="E15" s="38"/>
      <c r="F15" s="136"/>
      <c r="G15" s="140" t="s">
        <v>1102</v>
      </c>
      <c r="H15" s="140" t="s">
        <v>1103</v>
      </c>
      <c r="I15" s="141"/>
      <c r="J15" s="141"/>
      <c r="K15" s="145"/>
      <c r="L15" s="146"/>
      <c r="M15" s="147">
        <v>0.003923611111111111</v>
      </c>
      <c r="N15" s="147">
        <v>0.005486111111111111</v>
      </c>
      <c r="O15" s="143">
        <f t="shared" si="3"/>
        <v>0.0015625</v>
      </c>
      <c r="P15" s="144">
        <v>43020.0</v>
      </c>
      <c r="Q15" s="61" t="str">
        <f t="shared" si="2"/>
        <v>https://www.youtube.com/embed/VFJFvcNogFU?start=339&amp;end=474&amp;autoplay=1</v>
      </c>
      <c r="R15" s="139" t="s">
        <v>61</v>
      </c>
      <c r="S15" s="139" t="s">
        <v>61</v>
      </c>
      <c r="T15" s="139" t="s">
        <v>61</v>
      </c>
      <c r="U15" s="51"/>
      <c r="V15" s="52"/>
      <c r="W15" s="135" t="s">
        <v>62</v>
      </c>
      <c r="X15" s="57"/>
      <c r="Y15" s="113"/>
      <c r="Z15" s="113"/>
      <c r="AA15" s="113"/>
      <c r="AB15" s="113"/>
      <c r="AC15" s="136"/>
      <c r="AD15" s="136"/>
      <c r="AE15" s="136"/>
      <c r="AF15" s="136"/>
      <c r="AG15" s="136"/>
      <c r="AH15" s="136"/>
      <c r="AI15" s="136"/>
      <c r="AJ15" s="136"/>
      <c r="AK15" s="136"/>
    </row>
    <row r="16">
      <c r="A16" s="112">
        <v>740.03</v>
      </c>
      <c r="B16" s="63" t="s">
        <v>619</v>
      </c>
      <c r="C16" s="51"/>
      <c r="D16" s="39" t="s">
        <v>55</v>
      </c>
      <c r="E16" s="38"/>
      <c r="F16" s="136"/>
      <c r="G16" s="140" t="s">
        <v>1106</v>
      </c>
      <c r="H16" s="140" t="s">
        <v>1107</v>
      </c>
      <c r="I16" s="141"/>
      <c r="J16" s="141"/>
      <c r="K16" s="145"/>
      <c r="L16" s="146"/>
      <c r="M16" s="147">
        <v>0.005497685185185185</v>
      </c>
      <c r="N16" s="147">
        <v>0.008125</v>
      </c>
      <c r="O16" s="143">
        <f t="shared" si="3"/>
        <v>0.002627314815</v>
      </c>
      <c r="P16" s="144">
        <v>43020.0</v>
      </c>
      <c r="Q16" s="61" t="str">
        <f t="shared" si="2"/>
        <v>https://www.youtube.com/embed/VFJFvcNogFU?start=475&amp;end=702&amp;autoplay=1</v>
      </c>
      <c r="R16" s="139" t="s">
        <v>61</v>
      </c>
      <c r="S16" s="139" t="s">
        <v>61</v>
      </c>
      <c r="T16" s="139" t="s">
        <v>61</v>
      </c>
      <c r="U16" s="51"/>
      <c r="V16" s="52"/>
      <c r="W16" s="81" t="s">
        <v>62</v>
      </c>
      <c r="X16" s="57"/>
      <c r="Y16" s="113"/>
      <c r="Z16" s="113"/>
      <c r="AA16" s="113"/>
      <c r="AB16" s="113"/>
      <c r="AC16" s="136"/>
      <c r="AD16" s="136"/>
      <c r="AE16" s="136"/>
      <c r="AF16" s="136"/>
      <c r="AG16" s="136"/>
      <c r="AH16" s="136"/>
      <c r="AI16" s="136"/>
      <c r="AJ16" s="136"/>
      <c r="AK16" s="136"/>
    </row>
    <row r="17">
      <c r="A17" s="112">
        <v>740.04</v>
      </c>
      <c r="B17" s="63" t="s">
        <v>619</v>
      </c>
      <c r="C17" s="51"/>
      <c r="D17" s="39" t="s">
        <v>55</v>
      </c>
      <c r="E17" s="38"/>
      <c r="F17" s="41"/>
      <c r="G17" s="148" t="s">
        <v>1108</v>
      </c>
      <c r="H17" s="149" t="s">
        <v>1111</v>
      </c>
      <c r="I17" s="113"/>
      <c r="J17" s="113"/>
      <c r="K17" s="145"/>
      <c r="L17" s="146"/>
      <c r="M17" s="147">
        <v>0.008136574074074074</v>
      </c>
      <c r="N17" s="147">
        <v>0.009097222222222222</v>
      </c>
      <c r="O17" s="143">
        <f t="shared" si="3"/>
        <v>0.0009606481481</v>
      </c>
      <c r="P17" s="144">
        <v>43020.0</v>
      </c>
      <c r="Q17" s="61" t="str">
        <f t="shared" si="2"/>
        <v>https://www.youtube.com/embed/VFJFvcNogFU?start=703&amp;end=786&amp;autoplay=1</v>
      </c>
      <c r="R17" s="139" t="s">
        <v>61</v>
      </c>
      <c r="S17" s="139" t="s">
        <v>61</v>
      </c>
      <c r="T17" s="139" t="s">
        <v>61</v>
      </c>
      <c r="U17" s="51"/>
      <c r="V17" s="52"/>
      <c r="W17" s="81" t="s">
        <v>62</v>
      </c>
      <c r="X17" s="57"/>
      <c r="Y17" s="113"/>
      <c r="Z17" s="113"/>
      <c r="AA17" s="113"/>
      <c r="AB17" s="113"/>
      <c r="AC17" s="136"/>
      <c r="AD17" s="136"/>
      <c r="AE17" s="136"/>
      <c r="AF17" s="136"/>
      <c r="AG17" s="136"/>
      <c r="AH17" s="136"/>
      <c r="AI17" s="136"/>
      <c r="AJ17" s="136"/>
      <c r="AK17" s="136"/>
    </row>
    <row r="18">
      <c r="A18" s="112">
        <v>740.05</v>
      </c>
      <c r="B18" s="63" t="s">
        <v>619</v>
      </c>
      <c r="C18" s="51"/>
      <c r="D18" s="39" t="s">
        <v>55</v>
      </c>
      <c r="E18" s="38"/>
      <c r="F18" s="41"/>
      <c r="G18" s="148" t="s">
        <v>1112</v>
      </c>
      <c r="H18" s="149" t="s">
        <v>1113</v>
      </c>
      <c r="I18" s="113"/>
      <c r="J18" s="113"/>
      <c r="K18" s="145"/>
      <c r="L18" s="146"/>
      <c r="M18" s="147">
        <v>0.009097222222222222</v>
      </c>
      <c r="N18" s="147">
        <v>0.010185185185185186</v>
      </c>
      <c r="O18" s="143">
        <f t="shared" si="3"/>
        <v>0.001087962963</v>
      </c>
      <c r="P18" s="144">
        <v>43020.0</v>
      </c>
      <c r="Q18" s="61" t="str">
        <f t="shared" si="2"/>
        <v>https://www.youtube.com/embed/VFJFvcNogFU?start=786&amp;end=880&amp;autoplay=1</v>
      </c>
      <c r="R18" s="139" t="s">
        <v>61</v>
      </c>
      <c r="S18" s="139" t="s">
        <v>61</v>
      </c>
      <c r="T18" s="139" t="s">
        <v>61</v>
      </c>
      <c r="U18" s="51"/>
      <c r="V18" s="52"/>
      <c r="W18" s="81" t="s">
        <v>62</v>
      </c>
      <c r="X18" s="57"/>
      <c r="Y18" s="113"/>
      <c r="Z18" s="113"/>
      <c r="AA18" s="113"/>
      <c r="AB18" s="113"/>
      <c r="AC18" s="136"/>
      <c r="AD18" s="136"/>
      <c r="AE18" s="136"/>
      <c r="AF18" s="136"/>
      <c r="AG18" s="136"/>
      <c r="AH18" s="136"/>
      <c r="AI18" s="136"/>
      <c r="AJ18" s="136"/>
      <c r="AK18" s="136"/>
    </row>
    <row r="19">
      <c r="A19" s="112">
        <v>740.06</v>
      </c>
      <c r="B19" s="63" t="s">
        <v>619</v>
      </c>
      <c r="C19" s="51"/>
      <c r="D19" s="39" t="s">
        <v>55</v>
      </c>
      <c r="E19" s="38"/>
      <c r="F19" s="41"/>
      <c r="G19" s="148" t="s">
        <v>1116</v>
      </c>
      <c r="H19" s="149" t="s">
        <v>1117</v>
      </c>
      <c r="I19" s="113"/>
      <c r="J19" s="113"/>
      <c r="K19" s="145"/>
      <c r="L19" s="146"/>
      <c r="M19" s="147">
        <v>0.010578703703703703</v>
      </c>
      <c r="N19" s="147">
        <v>0.016898148148148148</v>
      </c>
      <c r="O19" s="143">
        <f t="shared" si="3"/>
        <v>0.006319444444</v>
      </c>
      <c r="P19" s="144">
        <v>43020.0</v>
      </c>
      <c r="Q19" s="61" t="str">
        <f t="shared" si="2"/>
        <v>https://www.youtube.com/embed/VFJFvcNogFU?start=914&amp;end=1460&amp;autoplay=1</v>
      </c>
      <c r="R19" s="139" t="s">
        <v>61</v>
      </c>
      <c r="S19" s="139" t="s">
        <v>61</v>
      </c>
      <c r="T19" s="139" t="s">
        <v>61</v>
      </c>
      <c r="U19" s="51"/>
      <c r="V19" s="52"/>
      <c r="W19" s="81" t="s">
        <v>62</v>
      </c>
      <c r="X19" s="57"/>
      <c r="Y19" s="113"/>
      <c r="Z19" s="113"/>
      <c r="AA19" s="113"/>
      <c r="AB19" s="113"/>
      <c r="AC19" s="136"/>
      <c r="AD19" s="136"/>
      <c r="AE19" s="136"/>
      <c r="AF19" s="136"/>
      <c r="AG19" s="136"/>
      <c r="AH19" s="136"/>
      <c r="AI19" s="136"/>
      <c r="AJ19" s="136"/>
      <c r="AK19" s="136"/>
    </row>
    <row r="20">
      <c r="A20" s="112">
        <v>740.07</v>
      </c>
      <c r="B20" s="63" t="s">
        <v>619</v>
      </c>
      <c r="C20" s="51"/>
      <c r="D20" s="39" t="s">
        <v>55</v>
      </c>
      <c r="E20" s="113"/>
      <c r="F20" s="113"/>
      <c r="G20" s="112" t="s">
        <v>1118</v>
      </c>
      <c r="H20" s="112" t="s">
        <v>1119</v>
      </c>
      <c r="I20" s="113"/>
      <c r="J20" s="113"/>
      <c r="K20" s="113"/>
      <c r="L20" s="113"/>
      <c r="M20" s="147">
        <v>0.017141203703703704</v>
      </c>
      <c r="N20" s="147">
        <v>0.01826388888888889</v>
      </c>
      <c r="O20" s="143">
        <f t="shared" si="3"/>
        <v>0.001122685185</v>
      </c>
      <c r="P20" s="144">
        <v>43020.0</v>
      </c>
      <c r="Q20" s="61" t="str">
        <f t="shared" si="2"/>
        <v>https://www.youtube.com/embed/VFJFvcNogFU?start=1481&amp;end=1578&amp;autoplay=1</v>
      </c>
      <c r="R20" s="139" t="s">
        <v>61</v>
      </c>
      <c r="S20" s="139" t="s">
        <v>61</v>
      </c>
      <c r="T20" s="139" t="s">
        <v>61</v>
      </c>
      <c r="U20" s="150"/>
      <c r="V20" s="151"/>
      <c r="W20" s="81" t="s">
        <v>62</v>
      </c>
      <c r="X20" s="119"/>
      <c r="Y20" s="113"/>
      <c r="Z20" s="113"/>
      <c r="AA20" s="136"/>
      <c r="AB20" s="136"/>
      <c r="AC20" s="136"/>
      <c r="AD20" s="136"/>
      <c r="AE20" s="136"/>
      <c r="AF20" s="136"/>
      <c r="AG20" s="136"/>
      <c r="AH20" s="136"/>
      <c r="AI20" s="136"/>
      <c r="AJ20" s="136"/>
      <c r="AK20" s="136"/>
    </row>
    <row r="21">
      <c r="A21" s="112">
        <v>740.08</v>
      </c>
      <c r="B21" s="63" t="s">
        <v>619</v>
      </c>
      <c r="C21" s="51"/>
      <c r="D21" s="39" t="s">
        <v>55</v>
      </c>
      <c r="E21" s="113"/>
      <c r="F21" s="113"/>
      <c r="G21" s="112" t="s">
        <v>1124</v>
      </c>
      <c r="H21" s="112" t="s">
        <v>1125</v>
      </c>
      <c r="I21" s="113"/>
      <c r="J21" s="113"/>
      <c r="K21" s="113"/>
      <c r="L21" s="113"/>
      <c r="M21" s="147">
        <v>0.018275462962962962</v>
      </c>
      <c r="N21" s="147">
        <v>0.02074074074074074</v>
      </c>
      <c r="O21" s="143">
        <f t="shared" si="3"/>
        <v>0.002465277778</v>
      </c>
      <c r="P21" s="144">
        <v>43020.0</v>
      </c>
      <c r="Q21" s="61" t="str">
        <f t="shared" si="2"/>
        <v>https://www.youtube.com/embed/VFJFvcNogFU?start=1579&amp;end=1792&amp;autoplay=1</v>
      </c>
      <c r="R21" s="139" t="s">
        <v>61</v>
      </c>
      <c r="S21" s="139" t="s">
        <v>61</v>
      </c>
      <c r="T21" s="139" t="s">
        <v>61</v>
      </c>
      <c r="U21" s="150"/>
      <c r="V21" s="151"/>
      <c r="W21" s="81" t="s">
        <v>62</v>
      </c>
      <c r="X21" s="119"/>
      <c r="Y21" s="113"/>
      <c r="Z21" s="113"/>
      <c r="AA21" s="136"/>
      <c r="AB21" s="136"/>
      <c r="AC21" s="136"/>
      <c r="AD21" s="136"/>
      <c r="AE21" s="136"/>
      <c r="AF21" s="136"/>
      <c r="AG21" s="136"/>
      <c r="AH21" s="136"/>
      <c r="AI21" s="136"/>
      <c r="AJ21" s="136"/>
      <c r="AK21" s="136"/>
    </row>
    <row r="22">
      <c r="A22" s="112">
        <v>740.09</v>
      </c>
      <c r="B22" s="63" t="s">
        <v>619</v>
      </c>
      <c r="C22" s="51"/>
      <c r="D22" s="39" t="s">
        <v>55</v>
      </c>
      <c r="E22" s="113"/>
      <c r="F22" s="136"/>
      <c r="G22" s="140" t="s">
        <v>1126</v>
      </c>
      <c r="H22" s="140" t="s">
        <v>1127</v>
      </c>
      <c r="I22" s="141"/>
      <c r="J22" s="141"/>
      <c r="K22" s="113"/>
      <c r="L22" s="113"/>
      <c r="M22" s="147">
        <v>0.020752314814814814</v>
      </c>
      <c r="N22" s="147">
        <v>0.02306712962962963</v>
      </c>
      <c r="O22" s="143">
        <f t="shared" si="3"/>
        <v>0.002314814815</v>
      </c>
      <c r="P22" s="144">
        <v>43020.0</v>
      </c>
      <c r="Q22" s="61" t="str">
        <f t="shared" si="2"/>
        <v>https://www.youtube.com/embed/VFJFvcNogFU?start=1793&amp;end=1993&amp;autoplay=1</v>
      </c>
      <c r="R22" s="139" t="s">
        <v>61</v>
      </c>
      <c r="S22" s="139" t="s">
        <v>61</v>
      </c>
      <c r="T22" s="139" t="s">
        <v>61</v>
      </c>
      <c r="U22" s="150"/>
      <c r="V22" s="151"/>
      <c r="W22" s="81" t="s">
        <v>62</v>
      </c>
      <c r="X22" s="119"/>
      <c r="Y22" s="113"/>
      <c r="Z22" s="113"/>
      <c r="AA22" s="136"/>
      <c r="AB22" s="136"/>
      <c r="AC22" s="136"/>
      <c r="AD22" s="136"/>
      <c r="AE22" s="136"/>
      <c r="AF22" s="136"/>
      <c r="AG22" s="136"/>
      <c r="AH22" s="136"/>
      <c r="AI22" s="136"/>
      <c r="AJ22" s="136"/>
      <c r="AK22" s="136"/>
    </row>
    <row r="23">
      <c r="A23" s="120">
        <v>740.1</v>
      </c>
      <c r="B23" s="63" t="s">
        <v>619</v>
      </c>
      <c r="C23" s="51"/>
      <c r="D23" s="39" t="s">
        <v>55</v>
      </c>
      <c r="E23" s="38"/>
      <c r="F23" s="136"/>
      <c r="G23" s="140" t="s">
        <v>1130</v>
      </c>
      <c r="H23" s="140" t="s">
        <v>1131</v>
      </c>
      <c r="I23" s="141"/>
      <c r="J23" s="141"/>
      <c r="K23" s="145"/>
      <c r="L23" s="146"/>
      <c r="M23" s="147">
        <v>0.023078703703703702</v>
      </c>
      <c r="N23" s="147">
        <v>0.026956018518518518</v>
      </c>
      <c r="O23" s="143">
        <f t="shared" si="3"/>
        <v>0.003877314815</v>
      </c>
      <c r="P23" s="144">
        <v>43020.0</v>
      </c>
      <c r="Q23" s="61" t="str">
        <f t="shared" si="2"/>
        <v>https://www.youtube.com/embed/VFJFvcNogFU?start=1994&amp;end=2329&amp;autoplay=1</v>
      </c>
      <c r="R23" s="139" t="s">
        <v>61</v>
      </c>
      <c r="S23" s="139" t="s">
        <v>61</v>
      </c>
      <c r="T23" s="139" t="s">
        <v>61</v>
      </c>
      <c r="U23" s="51"/>
      <c r="V23" s="52"/>
      <c r="W23" s="81" t="s">
        <v>62</v>
      </c>
      <c r="X23" s="57"/>
      <c r="Y23" s="113"/>
      <c r="Z23" s="113"/>
      <c r="AA23" s="113"/>
      <c r="AB23" s="113"/>
      <c r="AC23" s="136"/>
      <c r="AD23" s="136"/>
      <c r="AE23" s="136"/>
      <c r="AF23" s="136"/>
      <c r="AG23" s="136"/>
      <c r="AH23" s="136"/>
      <c r="AI23" s="136"/>
      <c r="AJ23" s="136"/>
      <c r="AK23" s="136"/>
    </row>
    <row r="24">
      <c r="A24" s="112">
        <v>740.11</v>
      </c>
      <c r="B24" s="63" t="s">
        <v>619</v>
      </c>
      <c r="C24" s="51"/>
      <c r="D24" s="39" t="s">
        <v>55</v>
      </c>
      <c r="E24" s="38"/>
      <c r="F24" s="41"/>
      <c r="G24" s="148" t="s">
        <v>1132</v>
      </c>
      <c r="H24" s="149" t="s">
        <v>1134</v>
      </c>
      <c r="I24" s="113"/>
      <c r="J24" s="113"/>
      <c r="K24" s="145"/>
      <c r="L24" s="146"/>
      <c r="M24" s="147">
        <v>0.02696759259259259</v>
      </c>
      <c r="N24" s="147">
        <v>0.02829861111111111</v>
      </c>
      <c r="O24" s="143">
        <f t="shared" si="3"/>
        <v>0.001331018519</v>
      </c>
      <c r="P24" s="144">
        <v>43020.0</v>
      </c>
      <c r="Q24" s="61" t="str">
        <f t="shared" si="2"/>
        <v>https://www.youtube.com/embed/VFJFvcNogFU?start=2330&amp;end=2445&amp;autoplay=1</v>
      </c>
      <c r="R24" s="139" t="s">
        <v>61</v>
      </c>
      <c r="S24" s="139" t="s">
        <v>61</v>
      </c>
      <c r="T24" s="139" t="s">
        <v>61</v>
      </c>
      <c r="U24" s="51"/>
      <c r="V24" s="52"/>
      <c r="W24" s="81" t="s">
        <v>62</v>
      </c>
      <c r="X24" s="57"/>
      <c r="Y24" s="113"/>
      <c r="Z24" s="113"/>
      <c r="AA24" s="113"/>
      <c r="AB24" s="113"/>
      <c r="AC24" s="136"/>
      <c r="AD24" s="136"/>
      <c r="AE24" s="136"/>
      <c r="AF24" s="136"/>
      <c r="AG24" s="136"/>
      <c r="AH24" s="136"/>
      <c r="AI24" s="136"/>
      <c r="AJ24" s="136"/>
      <c r="AK24" s="136"/>
    </row>
    <row r="25">
      <c r="A25" s="112">
        <v>740.12</v>
      </c>
      <c r="B25" s="63" t="s">
        <v>619</v>
      </c>
      <c r="C25" s="51"/>
      <c r="D25" s="39" t="s">
        <v>55</v>
      </c>
      <c r="E25" s="38"/>
      <c r="F25" s="41"/>
      <c r="G25" s="148" t="s">
        <v>1136</v>
      </c>
      <c r="H25" s="149" t="s">
        <v>1137</v>
      </c>
      <c r="I25" s="113"/>
      <c r="J25" s="113"/>
      <c r="K25" s="145"/>
      <c r="L25" s="146"/>
      <c r="M25" s="147">
        <v>0.028310185185185185</v>
      </c>
      <c r="N25" s="147">
        <v>0.030439814814814815</v>
      </c>
      <c r="O25" s="143">
        <f t="shared" si="3"/>
        <v>0.00212962963</v>
      </c>
      <c r="P25" s="144">
        <v>43020.0</v>
      </c>
      <c r="Q25" s="61" t="str">
        <f t="shared" si="2"/>
        <v>https://www.youtube.com/embed/VFJFvcNogFU?start=2446&amp;end=2630&amp;autoplay=1</v>
      </c>
      <c r="R25" s="63" t="s">
        <v>1053</v>
      </c>
      <c r="S25" s="63" t="s">
        <v>61</v>
      </c>
      <c r="T25" s="63" t="s">
        <v>61</v>
      </c>
      <c r="U25" s="51"/>
      <c r="V25" s="52"/>
      <c r="W25" s="81" t="s">
        <v>76</v>
      </c>
      <c r="X25" s="57"/>
      <c r="Y25" s="113"/>
      <c r="Z25" s="113"/>
      <c r="AA25" s="113"/>
      <c r="AB25" s="113"/>
      <c r="AC25" s="136"/>
      <c r="AD25" s="136"/>
      <c r="AE25" s="136"/>
      <c r="AF25" s="136"/>
      <c r="AG25" s="136"/>
      <c r="AH25" s="136"/>
      <c r="AI25" s="136"/>
      <c r="AJ25" s="136"/>
      <c r="AK25" s="136"/>
    </row>
    <row r="26">
      <c r="A26" s="112">
        <v>740.13</v>
      </c>
      <c r="B26" s="63" t="s">
        <v>619</v>
      </c>
      <c r="C26" s="51"/>
      <c r="D26" s="39" t="s">
        <v>55</v>
      </c>
      <c r="E26" s="38"/>
      <c r="F26" s="41"/>
      <c r="G26" s="148" t="s">
        <v>1140</v>
      </c>
      <c r="H26" s="149" t="s">
        <v>1141</v>
      </c>
      <c r="I26" s="113"/>
      <c r="J26" s="113"/>
      <c r="K26" s="145"/>
      <c r="L26" s="146"/>
      <c r="M26" s="147">
        <v>0.03045138888888889</v>
      </c>
      <c r="N26" s="147">
        <v>0.03295138888888889</v>
      </c>
      <c r="O26" s="143">
        <f t="shared" si="3"/>
        <v>0.0025</v>
      </c>
      <c r="P26" s="144">
        <v>43020.0</v>
      </c>
      <c r="Q26" s="61" t="str">
        <f t="shared" si="2"/>
        <v>https://www.youtube.com/embed/VFJFvcNogFU?start=2631&amp;end=2847&amp;autoplay=1</v>
      </c>
      <c r="R26" s="63" t="s">
        <v>1053</v>
      </c>
      <c r="S26" s="63" t="s">
        <v>61</v>
      </c>
      <c r="T26" s="63" t="s">
        <v>61</v>
      </c>
      <c r="U26" s="51"/>
      <c r="V26" s="52"/>
      <c r="W26" s="81" t="s">
        <v>76</v>
      </c>
      <c r="X26" s="57"/>
      <c r="Y26" s="113"/>
      <c r="Z26" s="113"/>
      <c r="AA26" s="113"/>
      <c r="AB26" s="113"/>
      <c r="AC26" s="136"/>
      <c r="AD26" s="136"/>
      <c r="AE26" s="136"/>
      <c r="AF26" s="136"/>
      <c r="AG26" s="136"/>
      <c r="AH26" s="136"/>
      <c r="AI26" s="136"/>
      <c r="AJ26" s="136"/>
      <c r="AK26" s="136"/>
    </row>
    <row r="27">
      <c r="A27" s="112">
        <v>740.14</v>
      </c>
      <c r="B27" s="63" t="s">
        <v>619</v>
      </c>
      <c r="C27" s="51"/>
      <c r="D27" s="39" t="s">
        <v>55</v>
      </c>
      <c r="E27" s="38"/>
      <c r="F27" s="41"/>
      <c r="G27" s="148" t="s">
        <v>1144</v>
      </c>
      <c r="H27" s="149" t="s">
        <v>1145</v>
      </c>
      <c r="I27" s="113"/>
      <c r="J27" s="113"/>
      <c r="K27" s="145"/>
      <c r="L27" s="146"/>
      <c r="M27" s="147">
        <v>0.03298611111111111</v>
      </c>
      <c r="N27" s="147">
        <v>0.03577546296296296</v>
      </c>
      <c r="O27" s="143">
        <f t="shared" si="3"/>
        <v>0.002789351852</v>
      </c>
      <c r="P27" s="144">
        <v>43020.0</v>
      </c>
      <c r="Q27" s="61" t="str">
        <f t="shared" si="2"/>
        <v>https://www.youtube.com/embed/VFJFvcNogFU?start=2850&amp;end=3091&amp;autoplay=1</v>
      </c>
      <c r="R27" s="139" t="s">
        <v>61</v>
      </c>
      <c r="S27" s="139" t="s">
        <v>61</v>
      </c>
      <c r="T27" s="139" t="s">
        <v>61</v>
      </c>
      <c r="U27" s="51"/>
      <c r="V27" s="52"/>
      <c r="W27" s="81" t="s">
        <v>62</v>
      </c>
      <c r="X27" s="57"/>
      <c r="Y27" s="113"/>
      <c r="Z27" s="113"/>
      <c r="AA27" s="113"/>
      <c r="AB27" s="113"/>
      <c r="AC27" s="136"/>
      <c r="AD27" s="136"/>
      <c r="AE27" s="136"/>
      <c r="AF27" s="136"/>
      <c r="AG27" s="136"/>
      <c r="AH27" s="136"/>
      <c r="AI27" s="136"/>
      <c r="AJ27" s="136"/>
      <c r="AK27" s="136"/>
    </row>
    <row r="28">
      <c r="A28" s="112">
        <v>740.15</v>
      </c>
      <c r="B28" s="63" t="s">
        <v>619</v>
      </c>
      <c r="C28" s="51"/>
      <c r="D28" s="39" t="s">
        <v>55</v>
      </c>
      <c r="E28" s="38"/>
      <c r="F28" s="41"/>
      <c r="G28" s="148" t="s">
        <v>1148</v>
      </c>
      <c r="H28" s="149" t="s">
        <v>1149</v>
      </c>
      <c r="I28" s="113"/>
      <c r="J28" s="113"/>
      <c r="K28" s="145"/>
      <c r="L28" s="146"/>
      <c r="M28" s="147">
        <v>0.035798611111111114</v>
      </c>
      <c r="N28" s="147">
        <v>0.03930555555555556</v>
      </c>
      <c r="O28" s="143">
        <f t="shared" si="3"/>
        <v>0.003506944444</v>
      </c>
      <c r="P28" s="144">
        <v>43020.0</v>
      </c>
      <c r="Q28" s="61" t="str">
        <f t="shared" si="2"/>
        <v>https://www.youtube.com/embed/VFJFvcNogFU?start=3093&amp;end=3396&amp;autoplay=1</v>
      </c>
      <c r="R28" s="139" t="s">
        <v>61</v>
      </c>
      <c r="S28" s="139" t="s">
        <v>61</v>
      </c>
      <c r="T28" s="139" t="s">
        <v>61</v>
      </c>
      <c r="U28" s="51"/>
      <c r="V28" s="52"/>
      <c r="W28" s="81" t="s">
        <v>62</v>
      </c>
      <c r="X28" s="57"/>
      <c r="Y28" s="113"/>
      <c r="Z28" s="113"/>
      <c r="AA28" s="113"/>
      <c r="AB28" s="113"/>
      <c r="AC28" s="136"/>
      <c r="AD28" s="136"/>
      <c r="AE28" s="136"/>
      <c r="AF28" s="136"/>
      <c r="AG28" s="136"/>
      <c r="AH28" s="136"/>
      <c r="AI28" s="136"/>
      <c r="AJ28" s="136"/>
      <c r="AK28" s="136"/>
    </row>
    <row r="29">
      <c r="A29" s="112">
        <v>740.16</v>
      </c>
      <c r="B29" s="63" t="s">
        <v>619</v>
      </c>
      <c r="C29" s="51"/>
      <c r="D29" s="39" t="s">
        <v>55</v>
      </c>
      <c r="E29" s="38"/>
      <c r="F29" s="41"/>
      <c r="G29" s="148" t="s">
        <v>1150</v>
      </c>
      <c r="H29" s="149" t="s">
        <v>1151</v>
      </c>
      <c r="I29" s="113"/>
      <c r="J29" s="113"/>
      <c r="K29" s="145"/>
      <c r="L29" s="146"/>
      <c r="M29" s="147">
        <v>0.039328703703703706</v>
      </c>
      <c r="N29" s="147">
        <v>0.04598379629629629</v>
      </c>
      <c r="O29" s="143">
        <f t="shared" si="3"/>
        <v>0.006655092593</v>
      </c>
      <c r="P29" s="144">
        <v>43020.0</v>
      </c>
      <c r="Q29" s="61" t="str">
        <f t="shared" si="2"/>
        <v>https://www.youtube.com/embed/VFJFvcNogFU?start=3398&amp;end=3973&amp;autoplay=1</v>
      </c>
      <c r="R29" s="139" t="s">
        <v>61</v>
      </c>
      <c r="S29" s="139" t="s">
        <v>61</v>
      </c>
      <c r="T29" s="139" t="s">
        <v>61</v>
      </c>
      <c r="U29" s="51"/>
      <c r="V29" s="52"/>
      <c r="W29" s="81" t="s">
        <v>62</v>
      </c>
      <c r="X29" s="57"/>
      <c r="Y29" s="113"/>
      <c r="Z29" s="113"/>
      <c r="AA29" s="113"/>
      <c r="AB29" s="113"/>
      <c r="AC29" s="136"/>
      <c r="AD29" s="136"/>
      <c r="AE29" s="136"/>
      <c r="AF29" s="136"/>
      <c r="AG29" s="136"/>
      <c r="AH29" s="136"/>
      <c r="AI29" s="136"/>
      <c r="AJ29" s="136"/>
      <c r="AK29" s="136"/>
    </row>
    <row r="30">
      <c r="A30" s="112">
        <v>740.17</v>
      </c>
      <c r="B30" s="63" t="s">
        <v>619</v>
      </c>
      <c r="C30" s="51"/>
      <c r="D30" s="39" t="s">
        <v>55</v>
      </c>
      <c r="E30" s="38"/>
      <c r="F30" s="41"/>
      <c r="G30" s="148" t="s">
        <v>1154</v>
      </c>
      <c r="H30" s="149" t="s">
        <v>1155</v>
      </c>
      <c r="I30" s="113"/>
      <c r="J30" s="113"/>
      <c r="K30" s="145"/>
      <c r="L30" s="146"/>
      <c r="M30" s="147">
        <v>0.04599537037037037</v>
      </c>
      <c r="N30" s="147">
        <v>0.049039351851851855</v>
      </c>
      <c r="O30" s="113"/>
      <c r="P30" s="152">
        <v>43021.0</v>
      </c>
      <c r="Q30" s="12"/>
      <c r="R30" s="139" t="s">
        <v>61</v>
      </c>
      <c r="S30" s="139" t="s">
        <v>61</v>
      </c>
      <c r="T30" s="139" t="s">
        <v>61</v>
      </c>
      <c r="U30" s="51"/>
      <c r="V30" s="52"/>
      <c r="W30" s="81" t="s">
        <v>62</v>
      </c>
      <c r="X30" s="57"/>
      <c r="Y30" s="106"/>
      <c r="Z30" s="106"/>
      <c r="AA30" s="106"/>
      <c r="AB30" s="106"/>
    </row>
    <row r="31">
      <c r="A31" s="112">
        <v>740.18</v>
      </c>
      <c r="B31" s="63" t="s">
        <v>619</v>
      </c>
      <c r="C31" s="51"/>
      <c r="D31" s="39" t="s">
        <v>55</v>
      </c>
      <c r="E31" s="38"/>
      <c r="F31" s="41"/>
      <c r="G31" s="148" t="s">
        <v>1158</v>
      </c>
      <c r="H31" s="149" t="s">
        <v>1159</v>
      </c>
      <c r="I31" s="113"/>
      <c r="J31" s="113"/>
      <c r="K31" s="145"/>
      <c r="L31" s="146"/>
      <c r="M31" s="147">
        <v>0.04905092592592593</v>
      </c>
      <c r="N31" s="147">
        <v>0.06225694444444444</v>
      </c>
      <c r="O31" s="113"/>
      <c r="P31" s="152">
        <v>43023.0</v>
      </c>
      <c r="Q31" s="12"/>
      <c r="R31" s="139" t="s">
        <v>61</v>
      </c>
      <c r="S31" s="139" t="s">
        <v>61</v>
      </c>
      <c r="T31" s="139" t="s">
        <v>61</v>
      </c>
      <c r="U31" s="51"/>
      <c r="V31" s="52"/>
      <c r="W31" s="81" t="s">
        <v>62</v>
      </c>
      <c r="X31" s="57"/>
      <c r="Y31" s="106"/>
      <c r="Z31" s="106"/>
      <c r="AA31" s="106"/>
      <c r="AB31" s="106"/>
    </row>
    <row r="32">
      <c r="A32" s="140">
        <v>740.19</v>
      </c>
      <c r="B32" s="63" t="s">
        <v>619</v>
      </c>
      <c r="C32" s="51"/>
      <c r="D32" s="39" t="s">
        <v>55</v>
      </c>
      <c r="G32" s="140" t="s">
        <v>1160</v>
      </c>
      <c r="H32" s="140" t="s">
        <v>1161</v>
      </c>
      <c r="I32" s="141"/>
      <c r="J32" s="141"/>
      <c r="K32" s="141"/>
      <c r="L32" s="141"/>
      <c r="M32" s="142">
        <v>0.06226851851851852</v>
      </c>
      <c r="N32" s="142">
        <v>0.06702546296296297</v>
      </c>
      <c r="O32" s="141"/>
      <c r="P32" s="153">
        <v>43023.0</v>
      </c>
      <c r="Q32" s="136"/>
      <c r="R32" s="139" t="s">
        <v>61</v>
      </c>
      <c r="S32" s="139" t="s">
        <v>61</v>
      </c>
      <c r="T32" s="139" t="s">
        <v>61</v>
      </c>
      <c r="U32" s="136"/>
      <c r="V32" s="136"/>
      <c r="W32" s="81" t="s">
        <v>62</v>
      </c>
    </row>
    <row r="33">
      <c r="A33" s="154">
        <v>740.2</v>
      </c>
      <c r="B33" s="63" t="s">
        <v>619</v>
      </c>
      <c r="C33" s="51"/>
      <c r="D33" s="39" t="s">
        <v>55</v>
      </c>
      <c r="G33" s="140" t="s">
        <v>1164</v>
      </c>
      <c r="H33" s="140" t="s">
        <v>1165</v>
      </c>
      <c r="I33" s="141"/>
      <c r="J33" s="141"/>
      <c r="K33" s="141"/>
      <c r="L33" s="141"/>
      <c r="M33" s="142">
        <v>0.06703703703703703</v>
      </c>
      <c r="N33" s="142">
        <v>0.07030092592592592</v>
      </c>
      <c r="O33" s="141"/>
      <c r="P33" s="153">
        <v>43023.0</v>
      </c>
      <c r="Q33" s="136"/>
      <c r="R33" s="139" t="s">
        <v>61</v>
      </c>
      <c r="S33" s="139" t="s">
        <v>61</v>
      </c>
      <c r="T33" s="139" t="s">
        <v>61</v>
      </c>
      <c r="U33" s="136"/>
      <c r="V33" s="136"/>
      <c r="W33" s="81" t="s">
        <v>62</v>
      </c>
    </row>
    <row r="34">
      <c r="A34" s="38">
        <v>700.0</v>
      </c>
      <c r="B34" s="63" t="s">
        <v>619</v>
      </c>
      <c r="C34" s="51"/>
      <c r="D34" s="39" t="s">
        <v>55</v>
      </c>
      <c r="E34" s="38" t="s">
        <v>1167</v>
      </c>
      <c r="F34" s="41" t="s">
        <v>1168</v>
      </c>
      <c r="G34" s="155"/>
      <c r="H34" s="156"/>
      <c r="I34" s="113"/>
      <c r="J34" s="113">
        <f>12*1000</f>
        <v>12000</v>
      </c>
      <c r="K34" s="145">
        <v>0.027951388888888887</v>
      </c>
      <c r="L34" s="146" t="s">
        <v>1170</v>
      </c>
      <c r="M34" s="113"/>
      <c r="N34" s="113"/>
      <c r="O34" s="113"/>
      <c r="P34" s="113"/>
      <c r="Q34" s="12" t="str">
        <f>HYPERLINK(IF(INT(A34)-A34=0,"",REPLACE(INDIRECT("MasterList!e"&amp;INT(A34)+1),25,8,"embed/")&amp;"?start="&amp;HOUR(M34)*3600+MINUTE(M34)*60+SECOND(M34)&amp;"&amp;end="&amp;HOUR(N34)*3600+MINUTE(N34)*60+SECOND(N34)&amp;"&amp;autoplay=1"))</f>
        <v/>
      </c>
      <c r="R34" s="42"/>
      <c r="S34" s="42"/>
      <c r="T34" s="42"/>
      <c r="U34" s="51"/>
      <c r="V34" s="52"/>
      <c r="W34" s="55"/>
      <c r="X34" s="57"/>
      <c r="Y34" s="106"/>
      <c r="Z34" s="106"/>
      <c r="AA34" s="106"/>
      <c r="AB34" s="106"/>
    </row>
    <row r="35">
      <c r="A35" s="140">
        <v>700.01</v>
      </c>
      <c r="B35" s="157" t="s">
        <v>619</v>
      </c>
      <c r="C35" s="51"/>
      <c r="D35" s="39" t="s">
        <v>55</v>
      </c>
      <c r="E35" s="141"/>
      <c r="F35" s="141"/>
      <c r="G35" s="140" t="s">
        <v>1175</v>
      </c>
      <c r="H35" s="140" t="s">
        <v>1176</v>
      </c>
      <c r="I35" s="141"/>
      <c r="J35" s="141"/>
      <c r="K35" s="141"/>
      <c r="L35" s="141"/>
      <c r="M35" s="142">
        <v>1.9675925925925926E-4</v>
      </c>
      <c r="N35" s="142">
        <v>0.0038425925925925928</v>
      </c>
      <c r="O35" s="141"/>
      <c r="P35" s="153">
        <v>43024.0</v>
      </c>
      <c r="Q35" s="141"/>
      <c r="R35" s="139" t="s">
        <v>61</v>
      </c>
      <c r="S35" s="139" t="s">
        <v>61</v>
      </c>
      <c r="T35" s="139" t="s">
        <v>61</v>
      </c>
      <c r="U35" s="141"/>
      <c r="V35" s="141"/>
      <c r="W35" s="81" t="s">
        <v>62</v>
      </c>
      <c r="X35" s="141"/>
      <c r="Y35" s="141"/>
      <c r="Z35" s="141"/>
      <c r="AA35" s="141"/>
      <c r="AB35" s="141"/>
      <c r="AC35" s="141"/>
      <c r="AD35" s="141"/>
      <c r="AE35" s="141"/>
      <c r="AF35" s="141"/>
      <c r="AG35" s="141"/>
      <c r="AH35" s="141"/>
      <c r="AI35" s="141"/>
      <c r="AJ35" s="141"/>
      <c r="AK35" s="141"/>
    </row>
    <row r="36">
      <c r="A36" s="140">
        <v>700.02</v>
      </c>
      <c r="B36" s="157" t="s">
        <v>619</v>
      </c>
      <c r="C36" s="51"/>
      <c r="D36" s="39" t="s">
        <v>55</v>
      </c>
      <c r="E36" s="141"/>
      <c r="F36" s="141"/>
      <c r="G36" s="140" t="s">
        <v>1179</v>
      </c>
      <c r="H36" s="140" t="s">
        <v>1180</v>
      </c>
      <c r="I36" s="141"/>
      <c r="J36" s="141"/>
      <c r="K36" s="141"/>
      <c r="L36" s="141"/>
      <c r="M36" s="142">
        <v>0.0038657407407407408</v>
      </c>
      <c r="N36" s="142">
        <v>0.0060416666666666665</v>
      </c>
      <c r="O36" s="141"/>
      <c r="P36" s="153">
        <v>43024.0</v>
      </c>
      <c r="Q36" s="141"/>
      <c r="R36" s="139" t="s">
        <v>61</v>
      </c>
      <c r="S36" s="139" t="s">
        <v>61</v>
      </c>
      <c r="T36" s="139" t="s">
        <v>61</v>
      </c>
      <c r="U36" s="141"/>
      <c r="V36" s="141"/>
      <c r="W36" s="81" t="s">
        <v>62</v>
      </c>
      <c r="X36" s="141"/>
      <c r="Y36" s="141"/>
      <c r="Z36" s="141"/>
      <c r="AA36" s="141"/>
      <c r="AB36" s="141"/>
      <c r="AC36" s="141"/>
      <c r="AD36" s="141"/>
      <c r="AE36" s="141"/>
      <c r="AF36" s="141"/>
      <c r="AG36" s="141"/>
      <c r="AH36" s="141"/>
      <c r="AI36" s="141"/>
      <c r="AJ36" s="141"/>
      <c r="AK36" s="141"/>
    </row>
    <row r="37">
      <c r="A37" s="140">
        <v>700.03</v>
      </c>
      <c r="B37" s="157" t="s">
        <v>619</v>
      </c>
      <c r="C37" s="51"/>
      <c r="D37" s="39" t="s">
        <v>55</v>
      </c>
      <c r="E37" s="141"/>
      <c r="F37" s="141"/>
      <c r="G37" s="140" t="s">
        <v>1181</v>
      </c>
      <c r="H37" s="140" t="s">
        <v>1183</v>
      </c>
      <c r="I37" s="141"/>
      <c r="J37" s="141"/>
      <c r="K37" s="141"/>
      <c r="L37" s="141"/>
      <c r="M37" s="142">
        <v>0.006053240740740741</v>
      </c>
      <c r="N37" s="142">
        <v>0.019270833333333334</v>
      </c>
      <c r="O37" s="141"/>
      <c r="P37" s="153">
        <v>43024.0</v>
      </c>
      <c r="Q37" s="141"/>
      <c r="R37" s="139" t="s">
        <v>61</v>
      </c>
      <c r="S37" s="139" t="s">
        <v>61</v>
      </c>
      <c r="T37" s="139" t="s">
        <v>61</v>
      </c>
      <c r="U37" s="141"/>
      <c r="V37" s="141"/>
      <c r="W37" s="81" t="s">
        <v>62</v>
      </c>
      <c r="X37" s="141"/>
      <c r="Y37" s="141"/>
      <c r="Z37" s="141"/>
      <c r="AA37" s="141"/>
      <c r="AB37" s="141"/>
      <c r="AC37" s="141"/>
      <c r="AD37" s="141"/>
      <c r="AE37" s="141"/>
      <c r="AF37" s="141"/>
      <c r="AG37" s="141"/>
      <c r="AH37" s="141"/>
      <c r="AI37" s="141"/>
      <c r="AJ37" s="141"/>
      <c r="AK37" s="141"/>
    </row>
    <row r="38">
      <c r="A38" s="140">
        <v>700.04</v>
      </c>
      <c r="B38" s="157" t="s">
        <v>619</v>
      </c>
      <c r="C38" s="51"/>
      <c r="D38" s="39" t="s">
        <v>55</v>
      </c>
      <c r="E38" s="141"/>
      <c r="F38" s="141"/>
      <c r="G38" s="140" t="s">
        <v>1185</v>
      </c>
      <c r="H38" s="140" t="s">
        <v>1186</v>
      </c>
      <c r="I38" s="141"/>
      <c r="J38" s="141"/>
      <c r="K38" s="141"/>
      <c r="L38" s="141"/>
      <c r="M38" s="142">
        <v>0.019270833333333334</v>
      </c>
      <c r="N38" s="142">
        <v>0.027349537037037037</v>
      </c>
      <c r="O38" s="141"/>
      <c r="P38" s="153">
        <v>43024.0</v>
      </c>
      <c r="Q38" s="141"/>
      <c r="R38" s="139" t="s">
        <v>61</v>
      </c>
      <c r="S38" s="139" t="s">
        <v>61</v>
      </c>
      <c r="T38" s="139" t="s">
        <v>61</v>
      </c>
      <c r="U38" s="141"/>
      <c r="V38" s="141"/>
      <c r="W38" s="81" t="s">
        <v>62</v>
      </c>
      <c r="X38" s="141"/>
      <c r="Y38" s="141"/>
      <c r="Z38" s="141"/>
      <c r="AA38" s="141"/>
      <c r="AB38" s="141"/>
      <c r="AC38" s="141"/>
      <c r="AD38" s="141"/>
      <c r="AE38" s="141"/>
      <c r="AF38" s="141"/>
      <c r="AG38" s="141"/>
      <c r="AH38" s="141"/>
      <c r="AI38" s="141"/>
      <c r="AJ38" s="141"/>
      <c r="AK38" s="141"/>
    </row>
    <row r="39">
      <c r="A39" s="38">
        <v>106.0</v>
      </c>
      <c r="B39" s="63" t="s">
        <v>619</v>
      </c>
      <c r="C39" s="51"/>
      <c r="D39" s="39" t="s">
        <v>55</v>
      </c>
      <c r="E39" s="38" t="s">
        <v>620</v>
      </c>
      <c r="F39" s="41" t="s">
        <v>621</v>
      </c>
      <c r="G39" s="43"/>
      <c r="H39" s="45"/>
      <c r="I39" s="38"/>
      <c r="J39" s="38">
        <f>11*1000</f>
        <v>11000</v>
      </c>
      <c r="K39" s="46">
        <v>0.054884259259259265</v>
      </c>
      <c r="L39" s="47" t="s">
        <v>211</v>
      </c>
      <c r="M39" s="38"/>
      <c r="N39" s="38"/>
      <c r="O39" s="38"/>
      <c r="P39" s="152">
        <v>43025.0</v>
      </c>
      <c r="Q39" s="12" t="str">
        <f>HYPERLINK(IF(INT(A39)-A39=0,"",REPLACE(INDIRECT("MasterList!e"&amp;INT(A39)+1),25,8,"embed/")&amp;"?start="&amp;HOUR(M39)*3600+MINUTE(M39)*60+SECOND(M39)&amp;"&amp;end="&amp;HOUR(N39)*3600+MINUTE(N39)*60+SECOND(N39)&amp;"&amp;autoplay=1"))</f>
        <v/>
      </c>
      <c r="R39" s="42"/>
      <c r="S39" s="42"/>
      <c r="T39" s="42"/>
      <c r="U39" s="51"/>
      <c r="V39" s="52"/>
      <c r="W39" s="55"/>
      <c r="X39" s="57"/>
      <c r="Y39" s="106"/>
      <c r="Z39" s="106"/>
      <c r="AA39" s="106"/>
      <c r="AB39" s="106"/>
    </row>
    <row r="40">
      <c r="A40" s="140">
        <v>106.01</v>
      </c>
      <c r="B40" s="157" t="s">
        <v>619</v>
      </c>
      <c r="C40" s="150"/>
      <c r="D40" s="39" t="s">
        <v>55</v>
      </c>
      <c r="E40" s="141"/>
      <c r="F40" s="141"/>
      <c r="G40" s="140" t="s">
        <v>1191</v>
      </c>
      <c r="H40" s="140" t="s">
        <v>1192</v>
      </c>
      <c r="I40" s="141"/>
      <c r="J40" s="141"/>
      <c r="K40" s="141"/>
      <c r="L40" s="141"/>
      <c r="M40" s="142">
        <v>2.3148148148148147E-5</v>
      </c>
      <c r="N40" s="142">
        <v>0.010023148148148147</v>
      </c>
      <c r="O40" s="141"/>
      <c r="P40" s="153">
        <v>43026.0</v>
      </c>
      <c r="Q40" s="141"/>
      <c r="R40" s="139" t="s">
        <v>61</v>
      </c>
      <c r="S40" s="139" t="s">
        <v>61</v>
      </c>
      <c r="T40" s="139" t="s">
        <v>61</v>
      </c>
      <c r="U40" s="141"/>
      <c r="V40" s="141"/>
      <c r="W40" s="81" t="s">
        <v>62</v>
      </c>
      <c r="X40" s="141"/>
      <c r="Y40" s="141"/>
      <c r="Z40" s="141"/>
      <c r="AA40" s="141"/>
      <c r="AB40" s="141"/>
      <c r="AC40" s="141"/>
      <c r="AD40" s="141"/>
      <c r="AE40" s="141"/>
      <c r="AF40" s="141"/>
      <c r="AG40" s="141"/>
      <c r="AH40" s="141"/>
      <c r="AI40" s="141"/>
      <c r="AJ40" s="141"/>
      <c r="AK40" s="141"/>
    </row>
    <row r="41">
      <c r="A41" s="140">
        <v>106.02</v>
      </c>
      <c r="B41" s="157" t="s">
        <v>619</v>
      </c>
      <c r="C41" s="150"/>
      <c r="D41" s="39" t="s">
        <v>55</v>
      </c>
      <c r="E41" s="141"/>
      <c r="F41" s="141"/>
      <c r="G41" s="140" t="s">
        <v>1195</v>
      </c>
      <c r="H41" s="140" t="s">
        <v>1196</v>
      </c>
      <c r="I41" s="141"/>
      <c r="J41" s="141"/>
      <c r="K41" s="141"/>
      <c r="L41" s="141"/>
      <c r="M41" s="142">
        <v>0.010034722222222223</v>
      </c>
      <c r="N41" s="142">
        <v>0.011979166666666667</v>
      </c>
      <c r="O41" s="141"/>
      <c r="P41" s="153">
        <v>43027.0</v>
      </c>
      <c r="Q41" s="141"/>
      <c r="R41" s="139" t="s">
        <v>61</v>
      </c>
      <c r="S41" s="139" t="s">
        <v>61</v>
      </c>
      <c r="T41" s="139" t="s">
        <v>61</v>
      </c>
      <c r="U41" s="141"/>
      <c r="V41" s="141"/>
      <c r="W41" s="81" t="s">
        <v>62</v>
      </c>
      <c r="X41" s="141"/>
      <c r="Y41" s="141"/>
      <c r="Z41" s="141"/>
      <c r="AA41" s="141"/>
      <c r="AB41" s="141"/>
      <c r="AC41" s="141"/>
      <c r="AD41" s="141"/>
      <c r="AE41" s="141"/>
      <c r="AF41" s="141"/>
      <c r="AG41" s="141"/>
      <c r="AH41" s="141"/>
      <c r="AI41" s="141"/>
      <c r="AJ41" s="141"/>
      <c r="AK41" s="141"/>
    </row>
    <row r="42">
      <c r="A42" s="112">
        <v>106.03</v>
      </c>
      <c r="B42" s="157" t="s">
        <v>619</v>
      </c>
      <c r="C42" s="150"/>
      <c r="D42" s="39" t="s">
        <v>55</v>
      </c>
      <c r="E42" s="113"/>
      <c r="F42" s="113"/>
      <c r="G42" s="158" t="s">
        <v>1197</v>
      </c>
      <c r="H42" s="159" t="s">
        <v>1198</v>
      </c>
      <c r="I42" s="113"/>
      <c r="J42" s="113"/>
      <c r="K42" s="113"/>
      <c r="L42" s="113"/>
      <c r="M42" s="147">
        <v>0.011979166666666667</v>
      </c>
      <c r="N42" s="147">
        <v>0.012592592592592593</v>
      </c>
      <c r="O42" s="113"/>
      <c r="P42" s="152">
        <v>43029.0</v>
      </c>
      <c r="Q42" s="132"/>
      <c r="R42" s="139" t="s">
        <v>61</v>
      </c>
      <c r="S42" s="139" t="s">
        <v>61</v>
      </c>
      <c r="T42" s="139" t="s">
        <v>61</v>
      </c>
      <c r="U42" s="150"/>
      <c r="V42" s="151"/>
      <c r="W42" s="81" t="s">
        <v>62</v>
      </c>
      <c r="X42" s="119"/>
      <c r="Y42" s="113"/>
      <c r="Z42" s="113"/>
      <c r="AA42" s="141"/>
      <c r="AB42" s="141"/>
      <c r="AC42" s="141"/>
      <c r="AD42" s="141"/>
      <c r="AE42" s="141"/>
      <c r="AF42" s="141"/>
      <c r="AG42" s="141"/>
      <c r="AH42" s="141"/>
      <c r="AI42" s="141"/>
      <c r="AJ42" s="141"/>
      <c r="AK42" s="141"/>
    </row>
    <row r="43">
      <c r="A43" s="112">
        <v>106.04</v>
      </c>
      <c r="B43" s="157" t="s">
        <v>619</v>
      </c>
      <c r="C43" s="150"/>
      <c r="D43" s="39" t="s">
        <v>55</v>
      </c>
      <c r="E43" s="113"/>
      <c r="F43" s="113"/>
      <c r="G43" s="160" t="s">
        <v>1201</v>
      </c>
      <c r="H43" s="161" t="s">
        <v>1202</v>
      </c>
      <c r="I43" s="113"/>
      <c r="J43" s="113"/>
      <c r="K43" s="113"/>
      <c r="L43" s="113"/>
      <c r="M43" s="147">
        <v>0.012604166666666666</v>
      </c>
      <c r="N43" s="147">
        <v>0.013287037037037036</v>
      </c>
      <c r="O43" s="113"/>
      <c r="P43" s="152">
        <v>43029.0</v>
      </c>
      <c r="Q43" s="132"/>
      <c r="R43" s="139" t="s">
        <v>61</v>
      </c>
      <c r="S43" s="139" t="s">
        <v>61</v>
      </c>
      <c r="T43" s="139" t="s">
        <v>61</v>
      </c>
      <c r="U43" s="150"/>
      <c r="V43" s="151"/>
      <c r="W43" s="81" t="s">
        <v>62</v>
      </c>
      <c r="X43" s="119"/>
      <c r="Y43" s="113"/>
      <c r="Z43" s="113"/>
      <c r="AA43" s="141"/>
      <c r="AB43" s="141"/>
      <c r="AC43" s="141"/>
      <c r="AD43" s="141"/>
      <c r="AE43" s="141"/>
      <c r="AF43" s="141"/>
      <c r="AG43" s="141"/>
      <c r="AH43" s="141"/>
      <c r="AI43" s="141"/>
      <c r="AJ43" s="141"/>
      <c r="AK43" s="141"/>
    </row>
    <row r="44">
      <c r="A44" s="120">
        <v>106.05</v>
      </c>
      <c r="B44" s="157" t="s">
        <v>619</v>
      </c>
      <c r="C44" s="150"/>
      <c r="D44" s="39" t="s">
        <v>55</v>
      </c>
      <c r="E44" s="113"/>
      <c r="F44" s="113"/>
      <c r="G44" s="160" t="s">
        <v>1205</v>
      </c>
      <c r="H44" s="161" t="s">
        <v>1206</v>
      </c>
      <c r="I44" s="113"/>
      <c r="J44" s="113"/>
      <c r="K44" s="113"/>
      <c r="L44" s="113"/>
      <c r="M44" s="147">
        <v>0.013298611111111112</v>
      </c>
      <c r="N44" s="147">
        <v>0.018518518518518517</v>
      </c>
      <c r="O44" s="113"/>
      <c r="P44" s="152">
        <v>43029.0</v>
      </c>
      <c r="Q44" s="132"/>
      <c r="R44" s="139" t="s">
        <v>61</v>
      </c>
      <c r="S44" s="139" t="s">
        <v>61</v>
      </c>
      <c r="T44" s="139" t="s">
        <v>61</v>
      </c>
      <c r="U44" s="150"/>
      <c r="V44" s="151"/>
      <c r="W44" s="81" t="s">
        <v>62</v>
      </c>
      <c r="X44" s="119"/>
      <c r="Y44" s="113"/>
      <c r="Z44" s="113"/>
      <c r="AA44" s="141"/>
      <c r="AB44" s="141"/>
      <c r="AC44" s="141"/>
      <c r="AD44" s="141"/>
      <c r="AE44" s="141"/>
      <c r="AF44" s="141"/>
      <c r="AG44" s="141"/>
      <c r="AH44" s="141"/>
      <c r="AI44" s="141"/>
      <c r="AJ44" s="141"/>
      <c r="AK44" s="141"/>
    </row>
    <row r="45">
      <c r="A45" s="112">
        <v>106.06</v>
      </c>
      <c r="B45" s="157" t="s">
        <v>619</v>
      </c>
      <c r="C45" s="150"/>
      <c r="D45" s="39" t="s">
        <v>55</v>
      </c>
      <c r="E45" s="113"/>
      <c r="F45" s="113"/>
      <c r="G45" s="160" t="s">
        <v>1207</v>
      </c>
      <c r="H45" s="161" t="s">
        <v>1208</v>
      </c>
      <c r="I45" s="113"/>
      <c r="J45" s="113"/>
      <c r="K45" s="113"/>
      <c r="L45" s="113"/>
      <c r="M45" s="147">
        <v>0.018541666666666668</v>
      </c>
      <c r="N45" s="147">
        <v>0.019560185185185184</v>
      </c>
      <c r="O45" s="113"/>
      <c r="P45" s="152">
        <v>43030.0</v>
      </c>
      <c r="Q45" s="132"/>
      <c r="R45" s="139" t="s">
        <v>61</v>
      </c>
      <c r="S45" s="139" t="s">
        <v>61</v>
      </c>
      <c r="T45" s="139" t="s">
        <v>61</v>
      </c>
      <c r="U45" s="150"/>
      <c r="V45" s="151"/>
      <c r="W45" s="81" t="s">
        <v>62</v>
      </c>
      <c r="X45" s="119"/>
      <c r="Y45" s="113"/>
      <c r="Z45" s="113"/>
      <c r="AA45" s="141"/>
      <c r="AB45" s="141"/>
      <c r="AC45" s="141"/>
      <c r="AD45" s="141"/>
      <c r="AE45" s="141"/>
      <c r="AF45" s="141"/>
      <c r="AG45" s="141"/>
      <c r="AH45" s="141"/>
      <c r="AI45" s="141"/>
      <c r="AJ45" s="141"/>
      <c r="AK45" s="141"/>
    </row>
    <row r="46">
      <c r="A46" s="112">
        <v>106.07</v>
      </c>
      <c r="B46" s="157" t="s">
        <v>619</v>
      </c>
      <c r="C46" s="150"/>
      <c r="D46" s="39" t="s">
        <v>55</v>
      </c>
      <c r="E46" s="113"/>
      <c r="F46" s="162"/>
      <c r="G46" s="163" t="s">
        <v>1211</v>
      </c>
      <c r="H46" s="164" t="s">
        <v>1214</v>
      </c>
      <c r="I46" s="113"/>
      <c r="J46" s="113"/>
      <c r="K46" s="145"/>
      <c r="L46" s="146"/>
      <c r="M46" s="147">
        <v>0.019583333333333335</v>
      </c>
      <c r="N46" s="147">
        <v>0.021238425925925924</v>
      </c>
      <c r="O46" s="113"/>
      <c r="P46" s="152">
        <v>43030.0</v>
      </c>
      <c r="Q46" s="132"/>
      <c r="R46" s="139" t="s">
        <v>61</v>
      </c>
      <c r="S46" s="139" t="s">
        <v>61</v>
      </c>
      <c r="T46" s="139" t="s">
        <v>61</v>
      </c>
      <c r="U46" s="150"/>
      <c r="V46" s="151"/>
      <c r="W46" s="81" t="s">
        <v>62</v>
      </c>
      <c r="X46" s="119"/>
      <c r="Y46" s="113"/>
      <c r="Z46" s="113"/>
      <c r="AA46" s="113"/>
      <c r="AB46" s="113"/>
      <c r="AC46" s="141"/>
      <c r="AD46" s="141"/>
      <c r="AE46" s="141"/>
      <c r="AF46" s="141"/>
      <c r="AG46" s="141"/>
      <c r="AH46" s="141"/>
      <c r="AI46" s="141"/>
      <c r="AJ46" s="141"/>
      <c r="AK46" s="141"/>
    </row>
    <row r="47">
      <c r="A47" s="140">
        <v>106.08</v>
      </c>
      <c r="B47" s="157" t="s">
        <v>619</v>
      </c>
      <c r="C47" s="150"/>
      <c r="D47" s="39" t="s">
        <v>55</v>
      </c>
      <c r="E47" s="141"/>
      <c r="F47" s="141"/>
      <c r="G47" s="163" t="s">
        <v>1215</v>
      </c>
      <c r="H47" s="164" t="s">
        <v>1216</v>
      </c>
      <c r="I47" s="141"/>
      <c r="J47" s="141"/>
      <c r="K47" s="141"/>
      <c r="L47" s="141"/>
      <c r="M47" s="142">
        <v>0.021261574074074075</v>
      </c>
      <c r="N47" s="142">
        <v>0.022754629629629628</v>
      </c>
      <c r="O47" s="141"/>
      <c r="P47" s="152">
        <v>43030.0</v>
      </c>
      <c r="Q47" s="141"/>
      <c r="R47" s="139" t="s">
        <v>61</v>
      </c>
      <c r="S47" s="139" t="s">
        <v>61</v>
      </c>
      <c r="T47" s="139" t="s">
        <v>61</v>
      </c>
      <c r="U47" s="141"/>
      <c r="V47" s="141"/>
      <c r="W47" s="81" t="s">
        <v>62</v>
      </c>
      <c r="X47" s="141"/>
      <c r="Y47" s="141"/>
      <c r="Z47" s="141"/>
      <c r="AA47" s="141"/>
      <c r="AB47" s="141"/>
      <c r="AC47" s="141"/>
      <c r="AD47" s="141"/>
      <c r="AE47" s="141"/>
      <c r="AF47" s="141"/>
      <c r="AG47" s="141"/>
      <c r="AH47" s="141"/>
      <c r="AI47" s="141"/>
      <c r="AJ47" s="141"/>
      <c r="AK47" s="141"/>
    </row>
    <row r="48">
      <c r="A48" s="140">
        <v>106.09</v>
      </c>
      <c r="B48" s="157" t="s">
        <v>619</v>
      </c>
      <c r="C48" s="150"/>
      <c r="D48" s="39" t="s">
        <v>55</v>
      </c>
      <c r="E48" s="141"/>
      <c r="F48" s="141"/>
      <c r="G48" s="163" t="s">
        <v>1217</v>
      </c>
      <c r="H48" s="164" t="s">
        <v>1218</v>
      </c>
      <c r="I48" s="141"/>
      <c r="J48" s="141"/>
      <c r="K48" s="141"/>
      <c r="L48" s="141"/>
      <c r="M48" s="142">
        <v>0.02277777777777778</v>
      </c>
      <c r="N48" s="142">
        <v>0.023229166666666665</v>
      </c>
      <c r="O48" s="141"/>
      <c r="P48" s="152">
        <v>43030.0</v>
      </c>
      <c r="Q48" s="141"/>
      <c r="R48" s="139" t="s">
        <v>61</v>
      </c>
      <c r="S48" s="139" t="s">
        <v>61</v>
      </c>
      <c r="T48" s="139" t="s">
        <v>61</v>
      </c>
      <c r="U48" s="141"/>
      <c r="V48" s="141"/>
      <c r="W48" s="81" t="s">
        <v>62</v>
      </c>
      <c r="X48" s="141"/>
      <c r="Y48" s="141"/>
      <c r="Z48" s="141"/>
      <c r="AA48" s="141"/>
      <c r="AB48" s="141"/>
      <c r="AC48" s="141"/>
      <c r="AD48" s="141"/>
      <c r="AE48" s="141"/>
      <c r="AF48" s="141"/>
      <c r="AG48" s="141"/>
      <c r="AH48" s="141"/>
      <c r="AI48" s="141"/>
      <c r="AJ48" s="141"/>
      <c r="AK48" s="141"/>
    </row>
    <row r="49">
      <c r="A49" s="154">
        <v>106.1</v>
      </c>
      <c r="B49" s="157" t="s">
        <v>619</v>
      </c>
      <c r="C49" s="150"/>
      <c r="D49" s="39" t="s">
        <v>55</v>
      </c>
      <c r="E49" s="141"/>
      <c r="F49" s="141"/>
      <c r="G49" s="163" t="s">
        <v>1221</v>
      </c>
      <c r="H49" s="164" t="s">
        <v>1222</v>
      </c>
      <c r="I49" s="141"/>
      <c r="J49" s="141"/>
      <c r="K49" s="141"/>
      <c r="L49" s="141"/>
      <c r="M49" s="142">
        <v>0.023240740740740742</v>
      </c>
      <c r="N49" s="142">
        <v>0.02771990740740741</v>
      </c>
      <c r="O49" s="141"/>
      <c r="P49" s="152">
        <v>43030.0</v>
      </c>
      <c r="Q49" s="141"/>
      <c r="R49" s="139" t="s">
        <v>61</v>
      </c>
      <c r="S49" s="139" t="s">
        <v>61</v>
      </c>
      <c r="T49" s="139" t="s">
        <v>61</v>
      </c>
      <c r="U49" s="141"/>
      <c r="V49" s="141"/>
      <c r="W49" s="81" t="s">
        <v>62</v>
      </c>
      <c r="X49" s="141"/>
      <c r="Y49" s="141"/>
      <c r="Z49" s="141"/>
      <c r="AA49" s="141"/>
      <c r="AB49" s="141"/>
      <c r="AC49" s="141"/>
      <c r="AD49" s="141"/>
      <c r="AE49" s="141"/>
      <c r="AF49" s="141"/>
      <c r="AG49" s="141"/>
      <c r="AH49" s="141"/>
      <c r="AI49" s="141"/>
      <c r="AJ49" s="141"/>
      <c r="AK49" s="141"/>
    </row>
    <row r="50">
      <c r="A50" s="140">
        <v>106.11</v>
      </c>
      <c r="B50" s="157" t="s">
        <v>619</v>
      </c>
      <c r="C50" s="150"/>
      <c r="D50" s="39" t="s">
        <v>55</v>
      </c>
      <c r="E50" s="141"/>
      <c r="F50" s="141"/>
      <c r="G50" s="163" t="s">
        <v>1223</v>
      </c>
      <c r="H50" s="164" t="s">
        <v>1224</v>
      </c>
      <c r="I50" s="141"/>
      <c r="J50" s="141"/>
      <c r="K50" s="141"/>
      <c r="L50" s="141"/>
      <c r="M50" s="142">
        <v>0.027731481481481482</v>
      </c>
      <c r="N50" s="142">
        <v>0.031099537037037037</v>
      </c>
      <c r="O50" s="141"/>
      <c r="P50" s="152">
        <v>43030.0</v>
      </c>
      <c r="Q50" s="141"/>
      <c r="R50" s="139" t="s">
        <v>61</v>
      </c>
      <c r="S50" s="139" t="s">
        <v>61</v>
      </c>
      <c r="T50" s="139" t="s">
        <v>61</v>
      </c>
      <c r="U50" s="141"/>
      <c r="V50" s="141"/>
      <c r="W50" s="81" t="s">
        <v>62</v>
      </c>
      <c r="X50" s="141"/>
      <c r="Y50" s="141"/>
      <c r="Z50" s="141"/>
      <c r="AA50" s="141"/>
      <c r="AB50" s="141"/>
      <c r="AC50" s="141"/>
      <c r="AD50" s="141"/>
      <c r="AE50" s="141"/>
      <c r="AF50" s="141"/>
      <c r="AG50" s="141"/>
      <c r="AH50" s="141"/>
      <c r="AI50" s="141"/>
      <c r="AJ50" s="141"/>
      <c r="AK50" s="141"/>
    </row>
    <row r="51">
      <c r="A51" s="140">
        <v>106.12</v>
      </c>
      <c r="B51" s="157" t="s">
        <v>619</v>
      </c>
      <c r="C51" s="150"/>
      <c r="D51" s="39" t="s">
        <v>55</v>
      </c>
      <c r="E51" s="141"/>
      <c r="F51" s="141"/>
      <c r="G51" s="163" t="s">
        <v>1225</v>
      </c>
      <c r="H51" s="164" t="s">
        <v>1226</v>
      </c>
      <c r="I51" s="141"/>
      <c r="J51" s="141"/>
      <c r="K51" s="141"/>
      <c r="L51" s="141"/>
      <c r="M51" s="142">
        <v>0.03113425925925926</v>
      </c>
      <c r="N51" s="142">
        <v>0.03228009259259259</v>
      </c>
      <c r="O51" s="141"/>
      <c r="P51" s="152">
        <v>43030.0</v>
      </c>
      <c r="Q51" s="141"/>
      <c r="R51" s="139" t="s">
        <v>61</v>
      </c>
      <c r="S51" s="139" t="s">
        <v>61</v>
      </c>
      <c r="T51" s="139" t="s">
        <v>61</v>
      </c>
      <c r="U51" s="141"/>
      <c r="V51" s="141"/>
      <c r="W51" s="81" t="s">
        <v>62</v>
      </c>
      <c r="X51" s="141"/>
      <c r="Y51" s="141"/>
      <c r="Z51" s="141"/>
      <c r="AA51" s="141"/>
      <c r="AB51" s="141"/>
      <c r="AC51" s="141"/>
      <c r="AD51" s="141"/>
      <c r="AE51" s="141"/>
      <c r="AF51" s="141"/>
      <c r="AG51" s="141"/>
      <c r="AH51" s="141"/>
      <c r="AI51" s="141"/>
      <c r="AJ51" s="141"/>
      <c r="AK51" s="141"/>
    </row>
    <row r="52">
      <c r="A52" s="140">
        <v>106.13</v>
      </c>
      <c r="B52" s="157" t="s">
        <v>619</v>
      </c>
      <c r="C52" s="150"/>
      <c r="D52" s="39" t="s">
        <v>55</v>
      </c>
      <c r="E52" s="141"/>
      <c r="F52" s="141"/>
      <c r="G52" s="163" t="s">
        <v>1229</v>
      </c>
      <c r="H52" s="164" t="s">
        <v>1230</v>
      </c>
      <c r="I52" s="141"/>
      <c r="J52" s="141"/>
      <c r="K52" s="141"/>
      <c r="L52" s="141"/>
      <c r="M52" s="142">
        <v>0.03238425925925926</v>
      </c>
      <c r="N52" s="142">
        <v>0.03320601851851852</v>
      </c>
      <c r="O52" s="141"/>
      <c r="P52" s="152">
        <v>43030.0</v>
      </c>
      <c r="Q52" s="141"/>
      <c r="R52" s="139" t="s">
        <v>61</v>
      </c>
      <c r="S52" s="139" t="s">
        <v>61</v>
      </c>
      <c r="T52" s="139" t="s">
        <v>61</v>
      </c>
      <c r="U52" s="141"/>
      <c r="V52" s="141"/>
      <c r="W52" s="81" t="s">
        <v>62</v>
      </c>
      <c r="X52" s="141"/>
      <c r="Y52" s="141"/>
      <c r="Z52" s="141"/>
      <c r="AA52" s="141"/>
      <c r="AB52" s="141"/>
      <c r="AC52" s="141"/>
      <c r="AD52" s="141"/>
      <c r="AE52" s="141"/>
      <c r="AF52" s="141"/>
      <c r="AG52" s="141"/>
      <c r="AH52" s="141"/>
      <c r="AI52" s="141"/>
      <c r="AJ52" s="141"/>
      <c r="AK52" s="141"/>
    </row>
    <row r="53">
      <c r="A53" s="112">
        <v>106.14</v>
      </c>
      <c r="B53" s="157" t="s">
        <v>619</v>
      </c>
      <c r="C53" s="150"/>
      <c r="D53" s="39" t="s">
        <v>55</v>
      </c>
      <c r="E53" s="113"/>
      <c r="F53" s="113"/>
      <c r="G53" s="163" t="s">
        <v>1231</v>
      </c>
      <c r="H53" s="164" t="s">
        <v>1232</v>
      </c>
      <c r="I53" s="113"/>
      <c r="J53" s="113"/>
      <c r="K53" s="113"/>
      <c r="L53" s="113"/>
      <c r="M53" s="147">
        <v>0.033229166666666664</v>
      </c>
      <c r="N53" s="147">
        <v>0.03709490740740741</v>
      </c>
      <c r="O53" s="113"/>
      <c r="P53" s="152">
        <v>43030.0</v>
      </c>
      <c r="Q53" s="132"/>
      <c r="R53" s="139" t="s">
        <v>61</v>
      </c>
      <c r="S53" s="139" t="s">
        <v>61</v>
      </c>
      <c r="T53" s="139" t="s">
        <v>61</v>
      </c>
      <c r="U53" s="150"/>
      <c r="V53" s="151"/>
      <c r="W53" s="81" t="s">
        <v>62</v>
      </c>
      <c r="X53" s="119"/>
      <c r="Y53" s="113"/>
      <c r="Z53" s="113"/>
      <c r="AA53" s="141"/>
      <c r="AB53" s="141"/>
      <c r="AC53" s="141"/>
      <c r="AD53" s="141"/>
      <c r="AE53" s="141"/>
      <c r="AF53" s="141"/>
      <c r="AG53" s="141"/>
      <c r="AH53" s="141"/>
      <c r="AI53" s="141"/>
      <c r="AJ53" s="141"/>
      <c r="AK53" s="141"/>
    </row>
    <row r="54">
      <c r="A54" s="112">
        <v>106.15</v>
      </c>
      <c r="B54" s="157" t="s">
        <v>619</v>
      </c>
      <c r="C54" s="150"/>
      <c r="D54" s="39" t="s">
        <v>55</v>
      </c>
      <c r="E54" s="113"/>
      <c r="F54" s="113"/>
      <c r="G54" s="163" t="s">
        <v>1233</v>
      </c>
      <c r="H54" s="164" t="s">
        <v>1234</v>
      </c>
      <c r="I54" s="113"/>
      <c r="J54" s="113"/>
      <c r="K54" s="113"/>
      <c r="L54" s="113"/>
      <c r="M54" s="147">
        <v>0.03710648148148148</v>
      </c>
      <c r="N54" s="147">
        <v>0.04037037037037037</v>
      </c>
      <c r="O54" s="113"/>
      <c r="P54" s="152">
        <v>43030.0</v>
      </c>
      <c r="Q54" s="132"/>
      <c r="R54" s="139" t="s">
        <v>61</v>
      </c>
      <c r="S54" s="139" t="s">
        <v>61</v>
      </c>
      <c r="T54" s="139" t="s">
        <v>61</v>
      </c>
      <c r="U54" s="150"/>
      <c r="V54" s="151"/>
      <c r="W54" s="81" t="s">
        <v>62</v>
      </c>
      <c r="X54" s="119"/>
      <c r="Y54" s="113"/>
      <c r="Z54" s="113"/>
      <c r="AA54" s="141"/>
      <c r="AB54" s="141"/>
      <c r="AC54" s="141"/>
      <c r="AD54" s="141"/>
      <c r="AE54" s="141"/>
      <c r="AF54" s="141"/>
      <c r="AG54" s="141"/>
      <c r="AH54" s="141"/>
      <c r="AI54" s="141"/>
      <c r="AJ54" s="141"/>
      <c r="AK54" s="141"/>
    </row>
    <row r="55">
      <c r="A55" s="112">
        <v>106.16</v>
      </c>
      <c r="B55" s="157" t="s">
        <v>619</v>
      </c>
      <c r="C55" s="150"/>
      <c r="D55" s="39" t="s">
        <v>55</v>
      </c>
      <c r="E55" s="113"/>
      <c r="F55" s="113"/>
      <c r="G55" s="163" t="s">
        <v>1236</v>
      </c>
      <c r="H55" s="164" t="s">
        <v>1238</v>
      </c>
      <c r="I55" s="113"/>
      <c r="J55" s="113"/>
      <c r="K55" s="113"/>
      <c r="L55" s="113"/>
      <c r="M55" s="147">
        <v>0.042881944444444445</v>
      </c>
      <c r="N55" s="147">
        <v>0.04488425925925926</v>
      </c>
      <c r="O55" s="113"/>
      <c r="P55" s="152">
        <v>43030.0</v>
      </c>
      <c r="Q55" s="132"/>
      <c r="R55" s="139" t="s">
        <v>61</v>
      </c>
      <c r="S55" s="139" t="s">
        <v>61</v>
      </c>
      <c r="T55" s="139" t="s">
        <v>61</v>
      </c>
      <c r="U55" s="150"/>
      <c r="V55" s="151"/>
      <c r="W55" s="81" t="s">
        <v>62</v>
      </c>
      <c r="X55" s="119"/>
      <c r="Y55" s="113"/>
      <c r="Z55" s="113"/>
      <c r="AA55" s="141"/>
      <c r="AB55" s="141"/>
      <c r="AC55" s="141"/>
      <c r="AD55" s="141"/>
      <c r="AE55" s="141"/>
      <c r="AF55" s="141"/>
      <c r="AG55" s="141"/>
      <c r="AH55" s="141"/>
      <c r="AI55" s="141"/>
      <c r="AJ55" s="141"/>
      <c r="AK55" s="141"/>
    </row>
    <row r="56">
      <c r="A56" s="112">
        <v>106.17</v>
      </c>
      <c r="B56" s="157" t="s">
        <v>619</v>
      </c>
      <c r="C56" s="150"/>
      <c r="D56" s="39" t="s">
        <v>55</v>
      </c>
      <c r="E56" s="113"/>
      <c r="F56" s="113"/>
      <c r="G56" s="163" t="s">
        <v>1239</v>
      </c>
      <c r="H56" s="164" t="s">
        <v>1240</v>
      </c>
      <c r="I56" s="113"/>
      <c r="J56" s="113"/>
      <c r="K56" s="113"/>
      <c r="L56" s="113"/>
      <c r="M56" s="147">
        <v>0.05238425925925926</v>
      </c>
      <c r="N56" s="147">
        <v>0.05440972222222222</v>
      </c>
      <c r="O56" s="113"/>
      <c r="P56" s="152">
        <v>43030.0</v>
      </c>
      <c r="Q56" s="132"/>
      <c r="R56" s="139" t="s">
        <v>61</v>
      </c>
      <c r="S56" s="139" t="s">
        <v>61</v>
      </c>
      <c r="T56" s="139" t="s">
        <v>61</v>
      </c>
      <c r="U56" s="150"/>
      <c r="V56" s="151"/>
      <c r="W56" s="81" t="s">
        <v>62</v>
      </c>
      <c r="X56" s="119"/>
      <c r="Y56" s="113"/>
      <c r="Z56" s="113"/>
      <c r="AA56" s="141"/>
      <c r="AB56" s="141"/>
      <c r="AC56" s="141"/>
      <c r="AD56" s="141"/>
      <c r="AE56" s="141"/>
      <c r="AF56" s="141"/>
      <c r="AG56" s="141"/>
      <c r="AH56" s="141"/>
      <c r="AI56" s="141"/>
      <c r="AJ56" s="141"/>
      <c r="AK56" s="141"/>
    </row>
    <row r="57">
      <c r="A57" s="112">
        <v>106.18</v>
      </c>
      <c r="B57" s="157" t="s">
        <v>619</v>
      </c>
      <c r="C57" s="150"/>
      <c r="D57" s="39" t="s">
        <v>55</v>
      </c>
      <c r="E57" s="113"/>
      <c r="F57" s="113"/>
      <c r="G57" s="113"/>
      <c r="H57" s="113"/>
      <c r="I57" s="113"/>
      <c r="J57" s="113"/>
      <c r="K57" s="113"/>
      <c r="L57" s="113"/>
      <c r="M57" s="113"/>
      <c r="N57" s="113"/>
      <c r="O57" s="113"/>
      <c r="P57" s="152"/>
      <c r="Q57" s="132"/>
      <c r="R57" s="165"/>
      <c r="S57" s="165"/>
      <c r="T57" s="165"/>
      <c r="U57" s="150"/>
      <c r="V57" s="151"/>
      <c r="W57" s="166"/>
      <c r="X57" s="119"/>
      <c r="Y57" s="113"/>
      <c r="Z57" s="113"/>
      <c r="AA57" s="141"/>
      <c r="AB57" s="141"/>
      <c r="AC57" s="141"/>
      <c r="AD57" s="141"/>
      <c r="AE57" s="141"/>
      <c r="AF57" s="141"/>
      <c r="AG57" s="141"/>
      <c r="AH57" s="141"/>
      <c r="AI57" s="141"/>
      <c r="AJ57" s="141"/>
      <c r="AK57" s="141"/>
    </row>
    <row r="58">
      <c r="A58" s="38">
        <v>108.0</v>
      </c>
      <c r="B58" s="63" t="s">
        <v>619</v>
      </c>
      <c r="C58" s="51"/>
      <c r="D58" s="38"/>
      <c r="E58" s="38" t="s">
        <v>624</v>
      </c>
      <c r="F58" s="41" t="s">
        <v>625</v>
      </c>
      <c r="G58" s="43"/>
      <c r="H58" s="45"/>
      <c r="I58" s="38"/>
      <c r="J58" s="38">
        <f>2.6*1000</f>
        <v>2600</v>
      </c>
      <c r="K58" s="46">
        <v>0.05289351851851851</v>
      </c>
      <c r="L58" s="47" t="s">
        <v>211</v>
      </c>
      <c r="M58" s="38"/>
      <c r="N58" s="38"/>
      <c r="O58" s="38"/>
      <c r="P58" s="38"/>
      <c r="Q58" s="12" t="str">
        <f t="shared" ref="Q58:Q63" si="4">HYPERLINK(IF(INT(A58)-A58=0,"",REPLACE(INDIRECT("MasterList!e"&amp;INT(A58)+1),25,8,"embed/")&amp;"?start="&amp;HOUR(M58)*3600+MINUTE(M58)*60+SECOND(M58)&amp;"&amp;end="&amp;HOUR(N58)*3600+MINUTE(N58)*60+SECOND(N58)&amp;"&amp;autoplay=1"))</f>
        <v/>
      </c>
      <c r="R58" s="42"/>
      <c r="S58" s="42"/>
      <c r="T58" s="42"/>
      <c r="U58" s="51"/>
      <c r="V58" s="52"/>
      <c r="W58" s="55"/>
      <c r="X58" s="57"/>
      <c r="Y58" s="106"/>
      <c r="Z58" s="106"/>
      <c r="AA58" s="106"/>
      <c r="AB58" s="106"/>
    </row>
    <row r="59">
      <c r="A59" s="38">
        <v>245.0</v>
      </c>
      <c r="B59" s="63" t="s">
        <v>619</v>
      </c>
      <c r="C59" s="51"/>
      <c r="D59" s="38"/>
      <c r="E59" s="38" t="s">
        <v>999</v>
      </c>
      <c r="F59" s="41" t="s">
        <v>1000</v>
      </c>
      <c r="G59" s="43"/>
      <c r="H59" s="45"/>
      <c r="I59" s="38"/>
      <c r="J59" s="38">
        <f>11*1000</f>
        <v>11000</v>
      </c>
      <c r="K59" s="46">
        <v>0.03332175925925926</v>
      </c>
      <c r="L59" s="47" t="s">
        <v>912</v>
      </c>
      <c r="M59" s="38"/>
      <c r="N59" s="38"/>
      <c r="O59" s="38"/>
      <c r="P59" s="38"/>
      <c r="Q59" s="12" t="str">
        <f t="shared" si="4"/>
        <v/>
      </c>
      <c r="R59" s="42"/>
      <c r="S59" s="42"/>
      <c r="T59" s="42"/>
      <c r="U59" s="51"/>
      <c r="V59" s="52"/>
      <c r="W59" s="55"/>
      <c r="X59" s="57"/>
      <c r="Y59" s="106"/>
      <c r="Z59" s="106"/>
      <c r="AA59" s="106"/>
      <c r="AB59" s="106"/>
    </row>
    <row r="60">
      <c r="A60" s="38">
        <v>335.0</v>
      </c>
      <c r="B60" s="63" t="s">
        <v>619</v>
      </c>
      <c r="C60" s="51"/>
      <c r="D60" s="38"/>
      <c r="E60" s="38" t="s">
        <v>1245</v>
      </c>
      <c r="F60" s="41" t="s">
        <v>1246</v>
      </c>
      <c r="G60" s="43"/>
      <c r="H60" s="45"/>
      <c r="I60" s="38"/>
      <c r="J60" s="38">
        <f>8.8*1000</f>
        <v>8800</v>
      </c>
      <c r="K60" s="46">
        <v>0.039328703703703706</v>
      </c>
      <c r="L60" s="47" t="s">
        <v>1048</v>
      </c>
      <c r="M60" s="38"/>
      <c r="N60" s="38"/>
      <c r="O60" s="38"/>
      <c r="P60" s="38"/>
      <c r="Q60" s="12" t="str">
        <f t="shared" si="4"/>
        <v/>
      </c>
      <c r="R60" s="42"/>
      <c r="S60" s="42"/>
      <c r="T60" s="42"/>
      <c r="U60" s="51"/>
      <c r="V60" s="52"/>
      <c r="W60" s="55"/>
      <c r="X60" s="57"/>
      <c r="Y60" s="106"/>
      <c r="Z60" s="106"/>
      <c r="AA60" s="106"/>
      <c r="AB60" s="106"/>
    </row>
    <row r="61">
      <c r="A61" s="38">
        <v>435.0</v>
      </c>
      <c r="B61" s="63" t="s">
        <v>619</v>
      </c>
      <c r="C61" s="51"/>
      <c r="D61" s="38"/>
      <c r="E61" s="38" t="s">
        <v>1249</v>
      </c>
      <c r="F61" s="41" t="s">
        <v>1250</v>
      </c>
      <c r="G61" s="43"/>
      <c r="H61" s="45"/>
      <c r="I61" s="38"/>
      <c r="J61" s="38">
        <f>2.4*1000</f>
        <v>2400</v>
      </c>
      <c r="K61" s="46">
        <v>0.013310185185185187</v>
      </c>
      <c r="L61" s="47" t="s">
        <v>1048</v>
      </c>
      <c r="M61" s="38"/>
      <c r="N61" s="38"/>
      <c r="O61" s="38"/>
      <c r="P61" s="38"/>
      <c r="Q61" s="12" t="str">
        <f t="shared" si="4"/>
        <v/>
      </c>
      <c r="R61" s="42"/>
      <c r="S61" s="42"/>
      <c r="T61" s="42"/>
      <c r="U61" s="51"/>
      <c r="V61" s="52"/>
      <c r="W61" s="55"/>
      <c r="X61" s="57"/>
      <c r="Y61" s="106"/>
      <c r="Z61" s="106"/>
      <c r="AA61" s="106"/>
      <c r="AB61" s="106"/>
    </row>
    <row r="62">
      <c r="A62" s="38">
        <v>556.0</v>
      </c>
      <c r="B62" s="63" t="s">
        <v>619</v>
      </c>
      <c r="C62" s="51"/>
      <c r="D62" s="38"/>
      <c r="E62" s="38" t="s">
        <v>1253</v>
      </c>
      <c r="F62" s="41" t="s">
        <v>1254</v>
      </c>
      <c r="G62" s="43"/>
      <c r="H62" s="45"/>
      <c r="I62" s="38"/>
      <c r="J62" s="38">
        <f>3.7*1000</f>
        <v>3700</v>
      </c>
      <c r="K62" s="46">
        <v>0.06787037037037037</v>
      </c>
      <c r="L62" s="47" t="s">
        <v>1255</v>
      </c>
      <c r="M62" s="38"/>
      <c r="N62" s="38"/>
      <c r="O62" s="38"/>
      <c r="P62" s="38"/>
      <c r="Q62" s="12" t="str">
        <f t="shared" si="4"/>
        <v/>
      </c>
      <c r="R62" s="42"/>
      <c r="S62" s="42"/>
      <c r="T62" s="42"/>
      <c r="U62" s="51"/>
      <c r="V62" s="52"/>
      <c r="W62" s="55"/>
      <c r="X62" s="57"/>
      <c r="Y62" s="106"/>
      <c r="Z62" s="106"/>
      <c r="AA62" s="106"/>
      <c r="AB62" s="106"/>
    </row>
    <row r="63">
      <c r="A63" s="38">
        <v>624.0</v>
      </c>
      <c r="B63" s="63" t="s">
        <v>619</v>
      </c>
      <c r="C63" s="51"/>
      <c r="D63" s="38"/>
      <c r="E63" s="38" t="s">
        <v>1256</v>
      </c>
      <c r="F63" s="41" t="s">
        <v>1257</v>
      </c>
      <c r="G63" s="43"/>
      <c r="H63" s="45"/>
      <c r="I63" s="38"/>
      <c r="J63" s="38">
        <f>8.5*1000</f>
        <v>8500</v>
      </c>
      <c r="K63" s="46">
        <v>0.05704861111111111</v>
      </c>
      <c r="L63" s="47" t="s">
        <v>1260</v>
      </c>
      <c r="M63" s="38"/>
      <c r="N63" s="38"/>
      <c r="O63" s="38"/>
      <c r="P63" s="38"/>
      <c r="Q63" s="12" t="str">
        <f t="shared" si="4"/>
        <v/>
      </c>
      <c r="R63" s="42"/>
      <c r="S63" s="42"/>
      <c r="T63" s="42"/>
      <c r="U63" s="51"/>
      <c r="V63" s="52"/>
      <c r="W63" s="55"/>
      <c r="X63" s="57"/>
      <c r="Y63" s="106"/>
      <c r="Z63" s="106"/>
      <c r="AA63" s="106"/>
      <c r="AB63" s="106"/>
    </row>
    <row r="64">
      <c r="A64" s="113"/>
      <c r="B64" s="113"/>
      <c r="C64" s="113"/>
      <c r="D64" s="113"/>
      <c r="E64" s="113"/>
      <c r="F64" s="113"/>
      <c r="G64" s="113"/>
      <c r="H64" s="113"/>
      <c r="I64" s="113"/>
      <c r="J64" s="113"/>
      <c r="K64" s="113"/>
      <c r="L64" s="113"/>
      <c r="M64" s="113"/>
      <c r="N64" s="113"/>
      <c r="O64" s="113"/>
      <c r="P64" s="113"/>
      <c r="Q64" s="132"/>
      <c r="R64" s="165"/>
      <c r="S64" s="165"/>
      <c r="T64" s="165"/>
      <c r="U64" s="150"/>
      <c r="V64" s="151"/>
      <c r="W64" s="166"/>
      <c r="X64" s="119"/>
      <c r="Y64" s="113"/>
      <c r="Z64" s="113"/>
    </row>
    <row r="65">
      <c r="A65" s="113"/>
      <c r="B65" s="113"/>
      <c r="C65" s="113"/>
      <c r="D65" s="113"/>
      <c r="E65" s="113"/>
      <c r="F65" s="113"/>
      <c r="G65" s="113"/>
      <c r="H65" s="113"/>
      <c r="I65" s="113"/>
      <c r="J65" s="113"/>
      <c r="K65" s="113"/>
      <c r="L65" s="113"/>
      <c r="M65" s="113"/>
      <c r="N65" s="113"/>
      <c r="O65" s="113"/>
      <c r="P65" s="113"/>
      <c r="Q65" s="132"/>
      <c r="R65" s="165"/>
      <c r="S65" s="165"/>
      <c r="T65" s="165"/>
      <c r="U65" s="150"/>
      <c r="V65" s="151"/>
      <c r="W65" s="166"/>
      <c r="X65" s="119"/>
      <c r="Y65" s="113"/>
      <c r="Z65" s="113"/>
    </row>
    <row r="66">
      <c r="A66" s="113"/>
      <c r="B66" s="113"/>
      <c r="C66" s="113"/>
      <c r="D66" s="113"/>
      <c r="E66" s="113"/>
      <c r="F66" s="113"/>
      <c r="G66" s="113"/>
      <c r="H66" s="113"/>
      <c r="I66" s="113"/>
      <c r="J66" s="113"/>
      <c r="K66" s="113"/>
      <c r="L66" s="113"/>
      <c r="M66" s="113"/>
      <c r="N66" s="113"/>
      <c r="O66" s="113"/>
      <c r="P66" s="113"/>
      <c r="Q66" s="132"/>
      <c r="R66" s="165"/>
      <c r="S66" s="165"/>
      <c r="T66" s="165"/>
      <c r="U66" s="150"/>
      <c r="V66" s="151"/>
      <c r="W66" s="166"/>
      <c r="X66" s="119"/>
      <c r="Y66" s="113"/>
      <c r="Z66" s="113"/>
    </row>
    <row r="67">
      <c r="A67" s="113"/>
      <c r="B67" s="113"/>
      <c r="C67" s="113"/>
      <c r="D67" s="113"/>
      <c r="E67" s="113"/>
      <c r="F67" s="113"/>
      <c r="G67" s="113"/>
      <c r="H67" s="113"/>
      <c r="I67" s="113"/>
      <c r="J67" s="113"/>
      <c r="K67" s="113"/>
      <c r="L67" s="113"/>
      <c r="M67" s="113"/>
      <c r="N67" s="113"/>
      <c r="O67" s="113"/>
      <c r="P67" s="113"/>
      <c r="Q67" s="132"/>
      <c r="R67" s="165"/>
      <c r="S67" s="165"/>
      <c r="T67" s="165"/>
      <c r="U67" s="150"/>
      <c r="V67" s="151"/>
      <c r="W67" s="166"/>
      <c r="X67" s="119"/>
      <c r="Y67" s="113"/>
      <c r="Z67" s="113"/>
    </row>
    <row r="68">
      <c r="A68" s="113"/>
      <c r="B68" s="113"/>
      <c r="C68" s="113"/>
      <c r="D68" s="113"/>
      <c r="E68" s="113"/>
      <c r="F68" s="113"/>
      <c r="G68" s="113"/>
      <c r="H68" s="113"/>
      <c r="I68" s="113"/>
      <c r="J68" s="113"/>
      <c r="K68" s="113"/>
      <c r="L68" s="113"/>
      <c r="M68" s="113"/>
      <c r="N68" s="113"/>
      <c r="O68" s="113"/>
      <c r="P68" s="113"/>
      <c r="Q68" s="132"/>
      <c r="R68" s="165"/>
      <c r="S68" s="165"/>
      <c r="T68" s="165"/>
      <c r="U68" s="150"/>
      <c r="V68" s="151"/>
      <c r="W68" s="166"/>
      <c r="X68" s="119"/>
      <c r="Y68" s="113"/>
      <c r="Z68" s="113"/>
    </row>
    <row r="69">
      <c r="A69" s="113"/>
      <c r="B69" s="113"/>
      <c r="C69" s="113"/>
      <c r="D69" s="113"/>
      <c r="E69" s="113"/>
      <c r="F69" s="113"/>
      <c r="G69" s="113"/>
      <c r="H69" s="113"/>
      <c r="I69" s="113"/>
      <c r="J69" s="113"/>
      <c r="K69" s="113"/>
      <c r="L69" s="113"/>
      <c r="M69" s="113"/>
      <c r="N69" s="113"/>
      <c r="O69" s="113"/>
      <c r="P69" s="113"/>
      <c r="Q69" s="132"/>
      <c r="R69" s="165"/>
      <c r="S69" s="165"/>
      <c r="T69" s="165"/>
      <c r="U69" s="150"/>
      <c r="V69" s="151"/>
      <c r="W69" s="166"/>
      <c r="X69" s="119"/>
      <c r="Y69" s="113"/>
      <c r="Z69" s="113"/>
    </row>
    <row r="70">
      <c r="A70" s="113"/>
      <c r="B70" s="113"/>
      <c r="C70" s="113"/>
      <c r="D70" s="113"/>
      <c r="E70" s="113"/>
      <c r="F70" s="113"/>
      <c r="G70" s="113"/>
      <c r="H70" s="113"/>
      <c r="I70" s="113"/>
      <c r="J70" s="113"/>
      <c r="K70" s="113"/>
      <c r="L70" s="113"/>
      <c r="M70" s="113"/>
      <c r="N70" s="113"/>
      <c r="O70" s="113"/>
      <c r="P70" s="113"/>
      <c r="Q70" s="132"/>
      <c r="R70" s="165"/>
      <c r="S70" s="165"/>
      <c r="T70" s="165"/>
      <c r="U70" s="150"/>
      <c r="V70" s="151"/>
      <c r="W70" s="166"/>
      <c r="X70" s="119"/>
      <c r="Y70" s="113"/>
      <c r="Z70" s="113"/>
    </row>
    <row r="71">
      <c r="A71" s="113"/>
      <c r="B71" s="113"/>
      <c r="C71" s="113"/>
      <c r="D71" s="113"/>
      <c r="E71" s="113"/>
      <c r="F71" s="113"/>
      <c r="G71" s="113"/>
      <c r="H71" s="113"/>
      <c r="I71" s="113"/>
      <c r="J71" s="113"/>
      <c r="K71" s="113"/>
      <c r="L71" s="113"/>
      <c r="M71" s="113"/>
      <c r="N71" s="113"/>
      <c r="O71" s="113"/>
      <c r="P71" s="113"/>
      <c r="Q71" s="132"/>
      <c r="R71" s="165"/>
      <c r="S71" s="165"/>
      <c r="T71" s="165"/>
      <c r="U71" s="150"/>
      <c r="V71" s="151"/>
      <c r="W71" s="166"/>
      <c r="X71" s="119"/>
      <c r="Y71" s="113"/>
      <c r="Z71" s="113"/>
    </row>
    <row r="72">
      <c r="A72" s="113"/>
      <c r="B72" s="113"/>
      <c r="C72" s="113"/>
      <c r="D72" s="113"/>
      <c r="E72" s="113"/>
      <c r="F72" s="113"/>
      <c r="G72" s="113"/>
      <c r="H72" s="113"/>
      <c r="I72" s="113"/>
      <c r="J72" s="113"/>
      <c r="K72" s="113"/>
      <c r="L72" s="113"/>
      <c r="M72" s="113"/>
      <c r="N72" s="113"/>
      <c r="O72" s="113"/>
      <c r="P72" s="113"/>
      <c r="Q72" s="132"/>
      <c r="R72" s="165"/>
      <c r="S72" s="165"/>
      <c r="T72" s="165"/>
      <c r="U72" s="150"/>
      <c r="V72" s="151"/>
      <c r="W72" s="166"/>
      <c r="X72" s="119"/>
      <c r="Y72" s="113"/>
      <c r="Z72" s="113"/>
    </row>
    <row r="73">
      <c r="A73" s="113"/>
      <c r="B73" s="113"/>
      <c r="C73" s="113"/>
      <c r="D73" s="113"/>
      <c r="E73" s="113"/>
      <c r="F73" s="113"/>
      <c r="G73" s="113"/>
      <c r="H73" s="113"/>
      <c r="I73" s="113"/>
      <c r="J73" s="113"/>
      <c r="K73" s="113"/>
      <c r="L73" s="113"/>
      <c r="M73" s="113"/>
      <c r="N73" s="113"/>
      <c r="O73" s="113"/>
      <c r="P73" s="113"/>
      <c r="Q73" s="132"/>
      <c r="R73" s="165"/>
      <c r="S73" s="165"/>
      <c r="T73" s="165"/>
      <c r="U73" s="150"/>
      <c r="V73" s="151"/>
      <c r="W73" s="166"/>
      <c r="X73" s="119"/>
      <c r="Y73" s="113"/>
      <c r="Z73" s="113"/>
    </row>
    <row r="74">
      <c r="A74" s="113"/>
      <c r="B74" s="113"/>
      <c r="C74" s="113"/>
      <c r="D74" s="113"/>
      <c r="E74" s="113"/>
      <c r="F74" s="113"/>
      <c r="G74" s="113"/>
      <c r="H74" s="113"/>
      <c r="I74" s="113"/>
      <c r="J74" s="113"/>
      <c r="K74" s="113"/>
      <c r="L74" s="113"/>
      <c r="M74" s="113"/>
      <c r="N74" s="113"/>
      <c r="O74" s="113"/>
      <c r="P74" s="113"/>
      <c r="Q74" s="132"/>
      <c r="R74" s="165"/>
      <c r="S74" s="165"/>
      <c r="T74" s="165"/>
      <c r="U74" s="150"/>
      <c r="V74" s="151"/>
      <c r="W74" s="166"/>
      <c r="X74" s="119"/>
      <c r="Y74" s="113"/>
      <c r="Z74" s="113"/>
    </row>
    <row r="75">
      <c r="A75" s="113"/>
      <c r="B75" s="113"/>
      <c r="C75" s="113"/>
      <c r="D75" s="113"/>
      <c r="E75" s="113"/>
      <c r="F75" s="113"/>
      <c r="G75" s="113"/>
      <c r="H75" s="113"/>
      <c r="I75" s="113"/>
      <c r="J75" s="113"/>
      <c r="K75" s="113"/>
      <c r="L75" s="113"/>
      <c r="M75" s="113"/>
      <c r="N75" s="113"/>
      <c r="O75" s="113"/>
      <c r="P75" s="113"/>
      <c r="Q75" s="132"/>
      <c r="R75" s="165"/>
      <c r="S75" s="165"/>
      <c r="T75" s="165"/>
      <c r="U75" s="150"/>
      <c r="V75" s="151"/>
      <c r="W75" s="166"/>
      <c r="X75" s="119"/>
      <c r="Y75" s="113"/>
      <c r="Z75" s="113"/>
    </row>
    <row r="76">
      <c r="A76" s="113"/>
      <c r="B76" s="113"/>
      <c r="C76" s="113"/>
      <c r="D76" s="113"/>
      <c r="E76" s="113"/>
      <c r="F76" s="113"/>
      <c r="G76" s="113"/>
      <c r="H76" s="113"/>
      <c r="I76" s="113"/>
      <c r="J76" s="113"/>
      <c r="K76" s="113"/>
      <c r="L76" s="113"/>
      <c r="M76" s="113"/>
      <c r="N76" s="113"/>
      <c r="O76" s="113"/>
      <c r="P76" s="113"/>
      <c r="Q76" s="132"/>
      <c r="R76" s="165"/>
      <c r="S76" s="165"/>
      <c r="T76" s="165"/>
      <c r="U76" s="150"/>
      <c r="V76" s="151"/>
      <c r="W76" s="166"/>
      <c r="X76" s="119"/>
      <c r="Y76" s="113"/>
      <c r="Z76" s="113"/>
    </row>
    <row r="77">
      <c r="A77" s="113"/>
      <c r="B77" s="113"/>
      <c r="C77" s="113"/>
      <c r="D77" s="113"/>
      <c r="E77" s="113"/>
      <c r="F77" s="113"/>
      <c r="G77" s="113"/>
      <c r="H77" s="113"/>
      <c r="I77" s="113"/>
      <c r="J77" s="113"/>
      <c r="K77" s="113"/>
      <c r="L77" s="113"/>
      <c r="M77" s="113"/>
      <c r="N77" s="113"/>
      <c r="O77" s="113"/>
      <c r="P77" s="113"/>
      <c r="Q77" s="132"/>
      <c r="R77" s="165"/>
      <c r="S77" s="165"/>
      <c r="T77" s="165"/>
      <c r="U77" s="150"/>
      <c r="V77" s="151"/>
      <c r="W77" s="166"/>
      <c r="X77" s="119"/>
      <c r="Y77" s="113"/>
      <c r="Z77" s="113"/>
    </row>
    <row r="78">
      <c r="A78" s="113"/>
      <c r="B78" s="113"/>
      <c r="C78" s="113"/>
      <c r="D78" s="113"/>
      <c r="E78" s="113"/>
      <c r="F78" s="113"/>
      <c r="G78" s="113"/>
      <c r="H78" s="113"/>
      <c r="I78" s="113"/>
      <c r="J78" s="113"/>
      <c r="K78" s="113"/>
      <c r="L78" s="113"/>
      <c r="M78" s="113"/>
      <c r="N78" s="113"/>
      <c r="O78" s="113"/>
      <c r="P78" s="113"/>
      <c r="Q78" s="132"/>
      <c r="R78" s="165"/>
      <c r="S78" s="165"/>
      <c r="T78" s="165"/>
      <c r="U78" s="150"/>
      <c r="V78" s="151"/>
      <c r="W78" s="166"/>
      <c r="X78" s="119"/>
      <c r="Y78" s="113"/>
      <c r="Z78" s="113"/>
    </row>
    <row r="79">
      <c r="A79" s="113"/>
      <c r="B79" s="113"/>
      <c r="C79" s="113"/>
      <c r="D79" s="113"/>
      <c r="E79" s="113"/>
      <c r="F79" s="113"/>
      <c r="G79" s="113"/>
      <c r="H79" s="113"/>
      <c r="I79" s="113"/>
      <c r="J79" s="113"/>
      <c r="K79" s="113"/>
      <c r="L79" s="113"/>
      <c r="M79" s="113"/>
      <c r="N79" s="113"/>
      <c r="O79" s="113"/>
      <c r="P79" s="113"/>
      <c r="Q79" s="132"/>
      <c r="R79" s="165"/>
      <c r="S79" s="165"/>
      <c r="T79" s="165"/>
      <c r="U79" s="150"/>
      <c r="V79" s="151"/>
      <c r="W79" s="166"/>
      <c r="X79" s="119"/>
      <c r="Y79" s="113"/>
      <c r="Z79" s="113"/>
    </row>
    <row r="80">
      <c r="A80" s="113"/>
      <c r="B80" s="113"/>
      <c r="C80" s="113"/>
      <c r="D80" s="113"/>
      <c r="E80" s="113"/>
      <c r="F80" s="113"/>
      <c r="G80" s="113"/>
      <c r="H80" s="113"/>
      <c r="I80" s="113"/>
      <c r="J80" s="113"/>
      <c r="K80" s="113"/>
      <c r="L80" s="113"/>
      <c r="M80" s="113"/>
      <c r="N80" s="113"/>
      <c r="O80" s="113"/>
      <c r="P80" s="113"/>
      <c r="Q80" s="132"/>
      <c r="R80" s="165"/>
      <c r="S80" s="165"/>
      <c r="T80" s="165"/>
      <c r="U80" s="150"/>
      <c r="V80" s="151"/>
      <c r="W80" s="166"/>
      <c r="X80" s="119"/>
      <c r="Y80" s="113"/>
      <c r="Z80" s="113"/>
    </row>
    <row r="81">
      <c r="A81" s="113"/>
      <c r="B81" s="113"/>
      <c r="C81" s="113"/>
      <c r="D81" s="113"/>
      <c r="E81" s="113"/>
      <c r="F81" s="113"/>
      <c r="G81" s="113"/>
      <c r="H81" s="113"/>
      <c r="I81" s="113"/>
      <c r="J81" s="113"/>
      <c r="K81" s="113"/>
      <c r="L81" s="113"/>
      <c r="M81" s="113"/>
      <c r="N81" s="113"/>
      <c r="O81" s="113"/>
      <c r="P81" s="113"/>
      <c r="Q81" s="132"/>
      <c r="R81" s="165"/>
      <c r="S81" s="165"/>
      <c r="T81" s="165"/>
      <c r="U81" s="150"/>
      <c r="V81" s="151"/>
      <c r="W81" s="166"/>
      <c r="X81" s="119"/>
      <c r="Y81" s="113"/>
      <c r="Z81" s="113"/>
    </row>
    <row r="82">
      <c r="A82" s="113"/>
      <c r="B82" s="113"/>
      <c r="C82" s="113"/>
      <c r="D82" s="113"/>
      <c r="E82" s="113"/>
      <c r="F82" s="113"/>
      <c r="G82" s="113"/>
      <c r="H82" s="113"/>
      <c r="I82" s="113"/>
      <c r="J82" s="113"/>
      <c r="K82" s="113"/>
      <c r="L82" s="113"/>
      <c r="M82" s="113"/>
      <c r="N82" s="113"/>
      <c r="O82" s="113"/>
      <c r="P82" s="113"/>
      <c r="Q82" s="132"/>
      <c r="R82" s="165"/>
      <c r="S82" s="165"/>
      <c r="T82" s="165"/>
      <c r="U82" s="150"/>
      <c r="V82" s="151"/>
      <c r="W82" s="166"/>
      <c r="X82" s="119"/>
      <c r="Y82" s="113"/>
      <c r="Z82" s="113"/>
    </row>
    <row r="83">
      <c r="A83" s="113"/>
      <c r="B83" s="113"/>
      <c r="C83" s="113"/>
      <c r="D83" s="113"/>
      <c r="E83" s="113"/>
      <c r="F83" s="113"/>
      <c r="G83" s="113"/>
      <c r="H83" s="113"/>
      <c r="I83" s="113"/>
      <c r="J83" s="113"/>
      <c r="K83" s="113"/>
      <c r="L83" s="113"/>
      <c r="M83" s="113"/>
      <c r="N83" s="113"/>
      <c r="O83" s="113"/>
      <c r="P83" s="113"/>
      <c r="Q83" s="132"/>
      <c r="R83" s="165"/>
      <c r="S83" s="165"/>
      <c r="T83" s="165"/>
      <c r="U83" s="150"/>
      <c r="V83" s="151"/>
      <c r="W83" s="166"/>
      <c r="X83" s="119"/>
      <c r="Y83" s="113"/>
      <c r="Z83" s="113"/>
    </row>
    <row r="84">
      <c r="A84" s="113"/>
      <c r="B84" s="113"/>
      <c r="C84" s="113"/>
      <c r="D84" s="113"/>
      <c r="E84" s="113"/>
      <c r="F84" s="113"/>
      <c r="G84" s="113"/>
      <c r="H84" s="113"/>
      <c r="I84" s="113"/>
      <c r="J84" s="113"/>
      <c r="K84" s="113"/>
      <c r="L84" s="113"/>
      <c r="M84" s="113"/>
      <c r="N84" s="113"/>
      <c r="O84" s="113"/>
      <c r="P84" s="113"/>
      <c r="Q84" s="132"/>
      <c r="R84" s="165"/>
      <c r="S84" s="165"/>
      <c r="T84" s="165"/>
      <c r="U84" s="150"/>
      <c r="V84" s="151"/>
      <c r="W84" s="166"/>
      <c r="X84" s="119"/>
      <c r="Y84" s="113"/>
      <c r="Z84" s="113"/>
    </row>
    <row r="85">
      <c r="A85" s="113"/>
      <c r="B85" s="113"/>
      <c r="C85" s="113"/>
      <c r="D85" s="113"/>
      <c r="E85" s="113"/>
      <c r="F85" s="113"/>
      <c r="G85" s="113"/>
      <c r="H85" s="113"/>
      <c r="I85" s="113"/>
      <c r="J85" s="113"/>
      <c r="K85" s="113"/>
      <c r="L85" s="113"/>
      <c r="M85" s="113"/>
      <c r="N85" s="113"/>
      <c r="O85" s="113"/>
      <c r="P85" s="113"/>
      <c r="Q85" s="132"/>
      <c r="R85" s="165"/>
      <c r="S85" s="165"/>
      <c r="T85" s="165"/>
      <c r="U85" s="150"/>
      <c r="V85" s="151"/>
      <c r="W85" s="166"/>
      <c r="X85" s="119"/>
      <c r="Y85" s="113"/>
      <c r="Z85" s="113"/>
    </row>
    <row r="86">
      <c r="A86" s="113"/>
      <c r="B86" s="113"/>
      <c r="C86" s="113"/>
      <c r="D86" s="113"/>
      <c r="E86" s="113"/>
      <c r="F86" s="113"/>
      <c r="G86" s="113"/>
      <c r="H86" s="113"/>
      <c r="I86" s="113"/>
      <c r="J86" s="113"/>
      <c r="K86" s="113"/>
      <c r="L86" s="113"/>
      <c r="M86" s="113"/>
      <c r="N86" s="113"/>
      <c r="O86" s="113"/>
      <c r="P86" s="113"/>
      <c r="Q86" s="132"/>
      <c r="R86" s="165"/>
      <c r="S86" s="165"/>
      <c r="T86" s="165"/>
      <c r="U86" s="150"/>
      <c r="V86" s="151"/>
      <c r="W86" s="166"/>
      <c r="X86" s="119"/>
      <c r="Y86" s="113"/>
      <c r="Z86" s="113"/>
    </row>
    <row r="87">
      <c r="A87" s="113"/>
      <c r="B87" s="113"/>
      <c r="C87" s="113"/>
      <c r="D87" s="113"/>
      <c r="E87" s="113"/>
      <c r="F87" s="113"/>
      <c r="G87" s="113"/>
      <c r="H87" s="113"/>
      <c r="I87" s="113"/>
      <c r="J87" s="113"/>
      <c r="K87" s="113"/>
      <c r="L87" s="113"/>
      <c r="M87" s="113"/>
      <c r="N87" s="113"/>
      <c r="O87" s="113"/>
      <c r="P87" s="113"/>
      <c r="Q87" s="132"/>
      <c r="R87" s="165"/>
      <c r="S87" s="165"/>
      <c r="T87" s="165"/>
      <c r="U87" s="150"/>
      <c r="V87" s="151"/>
      <c r="W87" s="166"/>
      <c r="X87" s="119"/>
      <c r="Y87" s="113"/>
      <c r="Z87" s="113"/>
    </row>
    <row r="88">
      <c r="A88" s="113"/>
      <c r="B88" s="113"/>
      <c r="C88" s="113"/>
      <c r="D88" s="113"/>
      <c r="E88" s="113"/>
      <c r="F88" s="113"/>
      <c r="G88" s="113"/>
      <c r="H88" s="113"/>
      <c r="I88" s="113"/>
      <c r="J88" s="113"/>
      <c r="K88" s="113"/>
      <c r="L88" s="113"/>
      <c r="M88" s="113"/>
      <c r="N88" s="113"/>
      <c r="O88" s="113"/>
      <c r="P88" s="113"/>
      <c r="Q88" s="132"/>
      <c r="R88" s="165"/>
      <c r="S88" s="165"/>
      <c r="T88" s="165"/>
      <c r="U88" s="150"/>
      <c r="V88" s="151"/>
      <c r="W88" s="166"/>
      <c r="X88" s="119"/>
      <c r="Y88" s="113"/>
      <c r="Z88" s="113"/>
    </row>
    <row r="89">
      <c r="A89" s="113"/>
      <c r="B89" s="113"/>
      <c r="C89" s="113"/>
      <c r="D89" s="113"/>
      <c r="E89" s="113"/>
      <c r="F89" s="113"/>
      <c r="G89" s="113"/>
      <c r="H89" s="113"/>
      <c r="I89" s="113"/>
      <c r="J89" s="113"/>
      <c r="K89" s="113"/>
      <c r="L89" s="113"/>
      <c r="M89" s="113"/>
      <c r="N89" s="113"/>
      <c r="O89" s="113"/>
      <c r="P89" s="113"/>
      <c r="Q89" s="132"/>
      <c r="R89" s="165"/>
      <c r="S89" s="165"/>
      <c r="T89" s="165"/>
      <c r="U89" s="150"/>
      <c r="V89" s="151"/>
      <c r="W89" s="166"/>
      <c r="X89" s="119"/>
      <c r="Y89" s="113"/>
      <c r="Z89" s="113"/>
    </row>
    <row r="90">
      <c r="A90" s="113"/>
      <c r="B90" s="113"/>
      <c r="C90" s="113"/>
      <c r="D90" s="113"/>
      <c r="E90" s="113"/>
      <c r="F90" s="113"/>
      <c r="G90" s="113"/>
      <c r="H90" s="113"/>
      <c r="I90" s="113"/>
      <c r="J90" s="113"/>
      <c r="K90" s="113"/>
      <c r="L90" s="113"/>
      <c r="M90" s="113"/>
      <c r="N90" s="113"/>
      <c r="O90" s="113"/>
      <c r="P90" s="113"/>
      <c r="Q90" s="132"/>
      <c r="R90" s="165"/>
      <c r="S90" s="165"/>
      <c r="T90" s="165"/>
      <c r="U90" s="150"/>
      <c r="V90" s="151"/>
      <c r="W90" s="166"/>
      <c r="X90" s="119"/>
      <c r="Y90" s="113"/>
      <c r="Z90" s="113"/>
    </row>
    <row r="91">
      <c r="A91" s="113"/>
      <c r="B91" s="113"/>
      <c r="C91" s="113"/>
      <c r="D91" s="113"/>
      <c r="E91" s="113"/>
      <c r="F91" s="113"/>
      <c r="G91" s="113"/>
      <c r="H91" s="113"/>
      <c r="I91" s="113"/>
      <c r="J91" s="113"/>
      <c r="K91" s="113"/>
      <c r="L91" s="113"/>
      <c r="M91" s="113"/>
      <c r="N91" s="113"/>
      <c r="O91" s="113"/>
      <c r="P91" s="113"/>
      <c r="Q91" s="132"/>
      <c r="R91" s="165"/>
      <c r="S91" s="165"/>
      <c r="T91" s="165"/>
      <c r="U91" s="150"/>
      <c r="V91" s="151"/>
      <c r="W91" s="166"/>
      <c r="X91" s="119"/>
      <c r="Y91" s="113"/>
      <c r="Z91" s="113"/>
    </row>
    <row r="92">
      <c r="A92" s="113"/>
      <c r="B92" s="113"/>
      <c r="C92" s="113"/>
      <c r="D92" s="113"/>
      <c r="E92" s="113"/>
      <c r="F92" s="113"/>
      <c r="G92" s="113"/>
      <c r="H92" s="113"/>
      <c r="I92" s="113"/>
      <c r="J92" s="113"/>
      <c r="K92" s="113"/>
      <c r="L92" s="113"/>
      <c r="M92" s="113"/>
      <c r="N92" s="113"/>
      <c r="O92" s="113"/>
      <c r="P92" s="113"/>
      <c r="Q92" s="132"/>
      <c r="R92" s="165"/>
      <c r="S92" s="165"/>
      <c r="T92" s="165"/>
      <c r="U92" s="150"/>
      <c r="V92" s="151"/>
      <c r="W92" s="166"/>
      <c r="X92" s="119"/>
      <c r="Y92" s="113"/>
      <c r="Z92" s="113"/>
    </row>
    <row r="93">
      <c r="A93" s="113"/>
      <c r="B93" s="113"/>
      <c r="C93" s="113"/>
      <c r="D93" s="113"/>
      <c r="E93" s="113"/>
      <c r="F93" s="113"/>
      <c r="G93" s="113"/>
      <c r="H93" s="113"/>
      <c r="I93" s="113"/>
      <c r="J93" s="113"/>
      <c r="K93" s="113"/>
      <c r="L93" s="113"/>
      <c r="M93" s="113"/>
      <c r="N93" s="113"/>
      <c r="O93" s="113"/>
      <c r="P93" s="113"/>
      <c r="Q93" s="132"/>
      <c r="R93" s="165"/>
      <c r="S93" s="165"/>
      <c r="T93" s="165"/>
      <c r="U93" s="150"/>
      <c r="V93" s="151"/>
      <c r="W93" s="166"/>
      <c r="X93" s="119"/>
      <c r="Y93" s="113"/>
      <c r="Z93" s="113"/>
    </row>
    <row r="94">
      <c r="A94" s="113"/>
      <c r="B94" s="113"/>
      <c r="C94" s="113"/>
      <c r="D94" s="113"/>
      <c r="E94" s="113"/>
      <c r="F94" s="113"/>
      <c r="G94" s="113"/>
      <c r="H94" s="113"/>
      <c r="I94" s="113"/>
      <c r="J94" s="113"/>
      <c r="K94" s="113"/>
      <c r="L94" s="113"/>
      <c r="M94" s="113"/>
      <c r="N94" s="113"/>
      <c r="O94" s="113"/>
      <c r="P94" s="113"/>
      <c r="Q94" s="132"/>
      <c r="R94" s="165"/>
      <c r="S94" s="165"/>
      <c r="T94" s="165"/>
      <c r="U94" s="150"/>
      <c r="V94" s="151"/>
      <c r="W94" s="166"/>
      <c r="X94" s="119"/>
      <c r="Y94" s="113"/>
      <c r="Z94" s="113"/>
    </row>
    <row r="95">
      <c r="A95" s="113"/>
      <c r="B95" s="113"/>
      <c r="C95" s="113"/>
      <c r="D95" s="113"/>
      <c r="E95" s="113"/>
      <c r="F95" s="113"/>
      <c r="G95" s="113"/>
      <c r="H95" s="113"/>
      <c r="I95" s="113"/>
      <c r="J95" s="113"/>
      <c r="K95" s="113"/>
      <c r="L95" s="113"/>
      <c r="M95" s="113"/>
      <c r="N95" s="113"/>
      <c r="O95" s="113"/>
      <c r="P95" s="113"/>
      <c r="Q95" s="132"/>
      <c r="R95" s="165"/>
      <c r="S95" s="165"/>
      <c r="T95" s="165"/>
      <c r="U95" s="150"/>
      <c r="V95" s="151"/>
      <c r="W95" s="166"/>
      <c r="X95" s="119"/>
      <c r="Y95" s="113"/>
      <c r="Z95" s="113"/>
    </row>
    <row r="96">
      <c r="A96" s="113"/>
      <c r="B96" s="113"/>
      <c r="C96" s="113"/>
      <c r="D96" s="113"/>
      <c r="E96" s="113"/>
      <c r="F96" s="113"/>
      <c r="G96" s="113"/>
      <c r="H96" s="113"/>
      <c r="I96" s="113"/>
      <c r="J96" s="113"/>
      <c r="K96" s="113"/>
      <c r="L96" s="113"/>
      <c r="M96" s="113"/>
      <c r="N96" s="113"/>
      <c r="O96" s="113"/>
      <c r="P96" s="113"/>
      <c r="Q96" s="132"/>
      <c r="R96" s="165"/>
      <c r="S96" s="165"/>
      <c r="T96" s="165"/>
      <c r="U96" s="150"/>
      <c r="V96" s="151"/>
      <c r="W96" s="166"/>
      <c r="X96" s="119"/>
      <c r="Y96" s="113"/>
      <c r="Z96" s="113"/>
    </row>
    <row r="97">
      <c r="A97" s="113"/>
      <c r="B97" s="113"/>
      <c r="C97" s="113"/>
      <c r="D97" s="113"/>
      <c r="E97" s="113"/>
      <c r="F97" s="113"/>
      <c r="G97" s="113"/>
      <c r="H97" s="113"/>
      <c r="I97" s="113"/>
      <c r="J97" s="113"/>
      <c r="K97" s="113"/>
      <c r="L97" s="113"/>
      <c r="M97" s="113"/>
      <c r="N97" s="113"/>
      <c r="O97" s="113"/>
      <c r="P97" s="113"/>
      <c r="Q97" s="132"/>
      <c r="R97" s="165"/>
      <c r="S97" s="165"/>
      <c r="T97" s="165"/>
      <c r="U97" s="150"/>
      <c r="V97" s="151"/>
      <c r="W97" s="166"/>
      <c r="X97" s="119"/>
      <c r="Y97" s="113"/>
      <c r="Z97" s="113"/>
    </row>
    <row r="98">
      <c r="A98" s="113"/>
      <c r="B98" s="113"/>
      <c r="C98" s="113"/>
      <c r="D98" s="113"/>
      <c r="E98" s="113"/>
      <c r="F98" s="113"/>
      <c r="G98" s="113"/>
      <c r="H98" s="113"/>
      <c r="I98" s="113"/>
      <c r="J98" s="113"/>
      <c r="K98" s="113"/>
      <c r="L98" s="113"/>
      <c r="M98" s="113"/>
      <c r="N98" s="113"/>
      <c r="O98" s="113"/>
      <c r="P98" s="113"/>
      <c r="Q98" s="132"/>
      <c r="R98" s="165"/>
      <c r="S98" s="165"/>
      <c r="T98" s="165"/>
      <c r="U98" s="150"/>
      <c r="V98" s="151"/>
      <c r="W98" s="166"/>
      <c r="X98" s="119"/>
      <c r="Y98" s="113"/>
      <c r="Z98" s="113"/>
    </row>
  </sheetData>
  <dataValidations>
    <dataValidation type="list" allowBlank="1" sqref="B59">
      <formula1>Fields!$D$2:$D$12</formula1>
    </dataValidation>
    <dataValidation type="list" allowBlank="1" sqref="D59">
      <formula1>Fields!$A$2:$A$8</formula1>
    </dataValidation>
    <dataValidation type="list" allowBlank="1" sqref="C32">
      <formula1>Fields!$F$2:$F$8</formula1>
    </dataValidation>
    <dataValidation type="list" allowBlank="1" sqref="D2:D12 D14:D38 D57 D60:D63">
      <formula1>Fields!$A$2:$A$8</formula1>
    </dataValidation>
    <dataValidation type="list" allowBlank="1" sqref="C34">
      <formula1>Fields!$F$2:$F$8</formula1>
    </dataValidation>
    <dataValidation type="list" allowBlank="1" sqref="B13 B39 B58">
      <formula1>Fields!$D$2:$D$12</formula1>
    </dataValidation>
    <dataValidation type="list" allowBlank="1" sqref="B31">
      <formula1>Fields!$D$2:$D$12</formula1>
    </dataValidation>
    <dataValidation type="list" allowBlank="1" sqref="C33">
      <formula1>Fields!$F$2:$F$8</formula1>
    </dataValidation>
    <dataValidation type="list" allowBlank="1" sqref="B46:B57">
      <formula1>Fields!$D$2:$D$12</formula1>
    </dataValidation>
    <dataValidation type="list" allowBlank="1" sqref="D13 D39:D56 D58">
      <formula1>Fields!$A$2:$A$8</formula1>
    </dataValidation>
    <dataValidation type="list" allowBlank="1" sqref="C2:C12 C14:C23 C29:C30 C35:C63">
      <formula1>Fields!$F$2:$F$8</formula1>
    </dataValidation>
    <dataValidation type="list" allowBlank="1" sqref="B34:B38 B40:B45">
      <formula1>Fields!$D$2:$D$12</formula1>
    </dataValidation>
    <dataValidation type="list" allowBlank="1" sqref="C13 C24 C26:C27">
      <formula1>Fields!$F$2:$F$8</formula1>
    </dataValidation>
    <dataValidation type="list" allowBlank="1" sqref="C25 C28">
      <formula1>Fields!$F$2:$F$8</formula1>
    </dataValidation>
    <dataValidation type="list" allowBlank="1" sqref="C31">
      <formula1>Fields!$F$2:$F$8</formula1>
    </dataValidation>
    <dataValidation type="list" allowBlank="1" sqref="B2:B12 B14:B30 B32:B33 B60:B63">
      <formula1>Fields!$D$2:$D$12</formula1>
    </dataValidation>
  </dataValidations>
  <hyperlinks>
    <hyperlink r:id="rId2" ref="F2"/>
    <hyperlink r:id="rId3" ref="F3"/>
    <hyperlink r:id="rId4" ref="F13"/>
    <hyperlink r:id="rId5" ref="F34"/>
    <hyperlink r:id="rId6" ref="F39"/>
    <hyperlink r:id="rId7" ref="F58"/>
    <hyperlink r:id="rId8" ref="F59"/>
    <hyperlink r:id="rId9" ref="F60"/>
    <hyperlink r:id="rId10" ref="F61"/>
    <hyperlink r:id="rId11" ref="F62"/>
    <hyperlink r:id="rId12" ref="F63"/>
  </hyperlinks>
  <drawing r:id="rId13"/>
  <legacyDrawing r:id="rId14"/>
  <tableParts count="1">
    <tablePart r:id="rId1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2.63" defaultRowHeight="15.0"/>
  <cols>
    <col customWidth="1" min="1" max="1" width="5.13"/>
    <col customWidth="1" min="2" max="2" width="6.25"/>
    <col customWidth="1" min="3" max="3" width="5.5"/>
    <col customWidth="1" min="4" max="4" width="11.25"/>
    <col customWidth="1" min="5" max="5" width="3.13"/>
    <col customWidth="1" min="6" max="6" width="61.13"/>
    <col customWidth="1" min="7" max="7" width="24.88"/>
    <col customWidth="1" min="8" max="8" width="30.0"/>
    <col customWidth="1" min="9" max="10" width="7.38"/>
    <col customWidth="1" min="11" max="11" width="6.5"/>
    <col customWidth="1" min="12" max="12" width="8.5"/>
    <col customWidth="1" min="13" max="14" width="6.5"/>
    <col customWidth="1" min="15" max="16" width="7.38"/>
    <col customWidth="1" min="17" max="17" width="18.25"/>
    <col customWidth="1" min="18" max="18" width="5.75"/>
    <col customWidth="1" min="19" max="19" width="5.63"/>
    <col customWidth="1" min="20" max="20" width="6.63"/>
    <col customWidth="1" min="21" max="21" width="6.88"/>
    <col customWidth="1" min="22" max="22" width="7.75"/>
    <col customWidth="1" min="23" max="23" width="6.63"/>
    <col customWidth="1" min="24" max="24" width="7.63"/>
    <col customWidth="1" min="25" max="26" width="42.88"/>
    <col customWidth="1" min="27" max="37" width="11.0"/>
  </cols>
  <sheetData>
    <row r="1" ht="45.0" customHeight="1">
      <c r="A1" s="1" t="s">
        <v>0</v>
      </c>
      <c r="B1" s="6" t="str">
        <f>HYPERLINK("#rangeid=2086300674","Content Owner")</f>
        <v>Content Owner</v>
      </c>
      <c r="C1" s="9" t="str">
        <f>HYPERLINK("#rangeid=632369931","Video Owner")</f>
        <v>Video Owner</v>
      </c>
      <c r="D1" s="11" t="s">
        <v>4</v>
      </c>
      <c r="E1" s="12" t="s">
        <v>5</v>
      </c>
      <c r="F1" s="13" t="s">
        <v>6</v>
      </c>
      <c r="G1" s="1" t="s">
        <v>7</v>
      </c>
      <c r="H1" s="21" t="str">
        <f>HYPERLINK("#rangeid=906849400","Description")</f>
        <v>Description</v>
      </c>
      <c r="I1" s="17" t="s">
        <v>11</v>
      </c>
      <c r="J1" s="1" t="s">
        <v>15</v>
      </c>
      <c r="K1" s="19" t="s">
        <v>16</v>
      </c>
      <c r="L1" s="1" t="s">
        <v>22</v>
      </c>
      <c r="M1" s="1" t="s">
        <v>23</v>
      </c>
      <c r="N1" s="1" t="s">
        <v>25</v>
      </c>
      <c r="O1" s="1" t="s">
        <v>26</v>
      </c>
      <c r="P1" s="1" t="s">
        <v>27</v>
      </c>
      <c r="Q1" s="1" t="s">
        <v>28</v>
      </c>
      <c r="R1" s="23" t="s">
        <v>29</v>
      </c>
      <c r="S1" s="23" t="s">
        <v>31</v>
      </c>
      <c r="T1" s="23" t="s">
        <v>32</v>
      </c>
      <c r="U1" s="26" t="s">
        <v>33</v>
      </c>
      <c r="V1" s="29" t="s">
        <v>35</v>
      </c>
      <c r="W1" s="31" t="str">
        <f>HYPERLINK("#rangeid=120001109","Replay")</f>
        <v>Replay</v>
      </c>
      <c r="X1" s="33" t="s">
        <v>38</v>
      </c>
      <c r="Y1" s="34" t="s">
        <v>39</v>
      </c>
      <c r="Z1" s="36" t="s">
        <v>40</v>
      </c>
      <c r="AA1" s="37"/>
      <c r="AB1" s="37"/>
      <c r="AC1" s="37"/>
      <c r="AD1" s="37"/>
      <c r="AE1" s="37"/>
      <c r="AF1" s="37"/>
      <c r="AG1" s="37"/>
      <c r="AH1" s="37"/>
      <c r="AI1" s="37"/>
      <c r="AJ1" s="37"/>
      <c r="AK1" s="37"/>
    </row>
    <row r="2">
      <c r="A2" s="38">
        <v>17.0</v>
      </c>
      <c r="B2" s="63" t="s">
        <v>142</v>
      </c>
      <c r="C2" s="44"/>
      <c r="D2" s="39"/>
      <c r="E2" s="38" t="s">
        <v>146</v>
      </c>
      <c r="F2" s="41" t="s">
        <v>148</v>
      </c>
      <c r="G2" s="43"/>
      <c r="H2" s="45"/>
      <c r="I2" s="38"/>
      <c r="J2" s="38">
        <f>343</f>
        <v>343</v>
      </c>
      <c r="K2" s="46">
        <v>0.002743055555555556</v>
      </c>
      <c r="L2" s="47" t="s">
        <v>60</v>
      </c>
      <c r="M2" s="38"/>
      <c r="N2" s="38"/>
      <c r="O2" s="38"/>
      <c r="P2" s="49"/>
      <c r="Q2" s="12" t="str">
        <f t="shared" ref="Q2:Q111" si="1">HYPERLINK(IF(INT(A2)-A2=0,"",REPLACE(INDIRECT("MasterList!e"&amp;INT(A2)+1),25,8,"embed/")&amp;"?start="&amp;HOUR(M2)*3600+MINUTE(M2)*60+SECOND(M2)&amp;"&amp;end="&amp;HOUR(N2)*3600+MINUTE(N2)*60+SECOND(N2)&amp;"&amp;autoplay=1"))</f>
        <v/>
      </c>
      <c r="R2" s="42"/>
      <c r="S2" s="42"/>
      <c r="T2" s="42"/>
      <c r="U2" s="51"/>
      <c r="V2" s="52"/>
      <c r="W2" s="55"/>
      <c r="X2" s="57"/>
      <c r="Y2" s="38"/>
      <c r="Z2" s="38"/>
      <c r="AA2" s="38"/>
      <c r="AB2" s="38"/>
    </row>
    <row r="3">
      <c r="A3" s="38">
        <v>19.0</v>
      </c>
      <c r="B3" s="63" t="s">
        <v>142</v>
      </c>
      <c r="C3" s="44"/>
      <c r="D3" s="39"/>
      <c r="E3" s="38" t="s">
        <v>156</v>
      </c>
      <c r="F3" s="41" t="s">
        <v>157</v>
      </c>
      <c r="G3" s="43"/>
      <c r="H3" s="45"/>
      <c r="I3" s="38"/>
      <c r="J3" s="38">
        <f>378</f>
        <v>378</v>
      </c>
      <c r="K3" s="46">
        <v>0.0011226851851851851</v>
      </c>
      <c r="L3" s="47" t="s">
        <v>60</v>
      </c>
      <c r="M3" s="38"/>
      <c r="N3" s="38"/>
      <c r="O3" s="38"/>
      <c r="P3" s="49"/>
      <c r="Q3" s="12" t="str">
        <f t="shared" si="1"/>
        <v/>
      </c>
      <c r="R3" s="42"/>
      <c r="S3" s="42"/>
      <c r="T3" s="42"/>
      <c r="U3" s="51"/>
      <c r="V3" s="52"/>
      <c r="W3" s="55"/>
      <c r="X3" s="57"/>
      <c r="Y3" s="38"/>
      <c r="Z3" s="38"/>
      <c r="AA3" s="38"/>
      <c r="AB3" s="38"/>
    </row>
    <row r="4">
      <c r="A4" s="38">
        <v>30.0</v>
      </c>
      <c r="B4" s="63" t="s">
        <v>142</v>
      </c>
      <c r="C4" s="51"/>
      <c r="D4" s="38"/>
      <c r="E4" s="38" t="s">
        <v>224</v>
      </c>
      <c r="F4" s="41" t="s">
        <v>225</v>
      </c>
      <c r="G4" s="62"/>
      <c r="H4" s="45"/>
      <c r="I4" s="38"/>
      <c r="J4" s="38">
        <f>6.9*1000</f>
        <v>6900</v>
      </c>
      <c r="K4" s="46">
        <v>0.005208333333333333</v>
      </c>
      <c r="L4" s="47" t="s">
        <v>60</v>
      </c>
      <c r="M4" s="60"/>
      <c r="N4" s="60"/>
      <c r="O4" s="38"/>
      <c r="P4" s="38"/>
      <c r="Q4" s="12" t="str">
        <f t="shared" si="1"/>
        <v/>
      </c>
      <c r="R4" s="42"/>
      <c r="S4" s="42"/>
      <c r="T4" s="42"/>
      <c r="U4" s="51"/>
      <c r="V4" s="52"/>
      <c r="W4" s="55"/>
      <c r="X4" s="57"/>
      <c r="Y4" s="38"/>
      <c r="Z4" s="38"/>
      <c r="AA4" s="38"/>
      <c r="AB4" s="38"/>
    </row>
    <row r="5">
      <c r="A5" s="38">
        <v>32.0</v>
      </c>
      <c r="B5" s="63" t="s">
        <v>142</v>
      </c>
      <c r="C5" s="51"/>
      <c r="D5" s="38"/>
      <c r="E5" s="38" t="s">
        <v>232</v>
      </c>
      <c r="F5" s="41" t="s">
        <v>233</v>
      </c>
      <c r="G5" s="43"/>
      <c r="H5" s="45"/>
      <c r="I5" s="38"/>
      <c r="J5" s="38">
        <f>282</f>
        <v>282</v>
      </c>
      <c r="K5" s="46">
        <v>0.0012037037037037038</v>
      </c>
      <c r="L5" s="47" t="s">
        <v>60</v>
      </c>
      <c r="M5" s="60"/>
      <c r="N5" s="60"/>
      <c r="O5" s="38"/>
      <c r="P5" s="38"/>
      <c r="Q5" s="12" t="str">
        <f t="shared" si="1"/>
        <v/>
      </c>
      <c r="R5" s="42"/>
      <c r="S5" s="42"/>
      <c r="T5" s="42"/>
      <c r="U5" s="51"/>
      <c r="V5" s="52"/>
      <c r="W5" s="55"/>
      <c r="X5" s="57"/>
      <c r="Y5" s="38"/>
      <c r="Z5" s="38"/>
      <c r="AA5" s="38"/>
      <c r="AB5" s="38"/>
    </row>
    <row r="6">
      <c r="A6" s="38">
        <v>54.0</v>
      </c>
      <c r="B6" s="63" t="s">
        <v>142</v>
      </c>
      <c r="C6" s="51"/>
      <c r="D6" s="38"/>
      <c r="E6" s="38" t="s">
        <v>364</v>
      </c>
      <c r="F6" s="41" t="s">
        <v>366</v>
      </c>
      <c r="G6" s="43"/>
      <c r="H6" s="45"/>
      <c r="I6" s="38"/>
      <c r="J6" s="38">
        <f>1.3*1000</f>
        <v>1300</v>
      </c>
      <c r="K6" s="46">
        <v>0.009317129629629628</v>
      </c>
      <c r="L6" s="47" t="s">
        <v>60</v>
      </c>
      <c r="M6" s="60"/>
      <c r="N6" s="60"/>
      <c r="O6" s="38"/>
      <c r="P6" s="38"/>
      <c r="Q6" s="12" t="str">
        <f t="shared" si="1"/>
        <v/>
      </c>
      <c r="R6" s="42"/>
      <c r="S6" s="42"/>
      <c r="T6" s="42"/>
      <c r="U6" s="51"/>
      <c r="V6" s="52"/>
      <c r="W6" s="55"/>
      <c r="X6" s="57"/>
      <c r="Y6" s="38"/>
      <c r="Z6" s="38"/>
      <c r="AA6" s="38"/>
      <c r="AB6" s="38"/>
    </row>
    <row r="7">
      <c r="A7" s="38">
        <v>55.0</v>
      </c>
      <c r="B7" s="63" t="s">
        <v>142</v>
      </c>
      <c r="C7" s="51"/>
      <c r="D7" s="38"/>
      <c r="E7" s="38" t="s">
        <v>369</v>
      </c>
      <c r="F7" s="41" t="s">
        <v>370</v>
      </c>
      <c r="G7" s="43"/>
      <c r="H7" s="45"/>
      <c r="I7" s="38"/>
      <c r="J7" s="38">
        <f>959</f>
        <v>959</v>
      </c>
      <c r="K7" s="46">
        <v>0.009074074074074073</v>
      </c>
      <c r="L7" s="47" t="s">
        <v>60</v>
      </c>
      <c r="M7" s="60"/>
      <c r="N7" s="60"/>
      <c r="O7" s="38"/>
      <c r="P7" s="38"/>
      <c r="Q7" s="12" t="str">
        <f t="shared" si="1"/>
        <v/>
      </c>
      <c r="R7" s="42"/>
      <c r="S7" s="42"/>
      <c r="T7" s="42"/>
      <c r="U7" s="51"/>
      <c r="V7" s="52"/>
      <c r="W7" s="55"/>
      <c r="X7" s="57"/>
      <c r="Y7" s="38"/>
      <c r="Z7" s="38"/>
      <c r="AA7" s="38"/>
      <c r="AB7" s="38"/>
    </row>
    <row r="8">
      <c r="A8" s="38">
        <v>56.0</v>
      </c>
      <c r="B8" s="63" t="s">
        <v>142</v>
      </c>
      <c r="C8" s="51"/>
      <c r="D8" s="38"/>
      <c r="E8" s="38" t="s">
        <v>375</v>
      </c>
      <c r="F8" s="41" t="s">
        <v>376</v>
      </c>
      <c r="G8" s="43"/>
      <c r="H8" s="45"/>
      <c r="I8" s="38"/>
      <c r="J8" s="38">
        <f>1.1*1000</f>
        <v>1100</v>
      </c>
      <c r="K8" s="46">
        <v>0.005185185185185185</v>
      </c>
      <c r="L8" s="47" t="s">
        <v>60</v>
      </c>
      <c r="M8" s="60"/>
      <c r="N8" s="60"/>
      <c r="O8" s="38"/>
      <c r="P8" s="38"/>
      <c r="Q8" s="12" t="str">
        <f t="shared" si="1"/>
        <v/>
      </c>
      <c r="R8" s="42"/>
      <c r="S8" s="42"/>
      <c r="T8" s="42"/>
      <c r="U8" s="51"/>
      <c r="V8" s="52"/>
      <c r="W8" s="55"/>
      <c r="X8" s="57"/>
      <c r="Y8" s="38"/>
      <c r="Z8" s="38"/>
      <c r="AA8" s="38"/>
      <c r="AB8" s="38"/>
    </row>
    <row r="9">
      <c r="A9" s="38">
        <v>57.0</v>
      </c>
      <c r="B9" s="63" t="s">
        <v>142</v>
      </c>
      <c r="C9" s="51"/>
      <c r="D9" s="38"/>
      <c r="E9" s="38" t="s">
        <v>378</v>
      </c>
      <c r="F9" s="41" t="s">
        <v>379</v>
      </c>
      <c r="G9" s="43"/>
      <c r="H9" s="45"/>
      <c r="I9" s="38"/>
      <c r="J9" s="38">
        <f>1*1000</f>
        <v>1000</v>
      </c>
      <c r="K9" s="46">
        <v>0.008599537037037036</v>
      </c>
      <c r="L9" s="47" t="s">
        <v>60</v>
      </c>
      <c r="M9" s="60"/>
      <c r="N9" s="60"/>
      <c r="O9" s="38"/>
      <c r="P9" s="38"/>
      <c r="Q9" s="12" t="str">
        <f t="shared" si="1"/>
        <v/>
      </c>
      <c r="R9" s="42"/>
      <c r="S9" s="42"/>
      <c r="T9" s="42"/>
      <c r="U9" s="51"/>
      <c r="V9" s="52"/>
      <c r="W9" s="55"/>
      <c r="X9" s="57"/>
      <c r="Y9" s="38"/>
      <c r="Z9" s="38"/>
      <c r="AA9" s="38"/>
      <c r="AB9" s="38"/>
    </row>
    <row r="10">
      <c r="A10" s="38">
        <v>58.0</v>
      </c>
      <c r="B10" s="63" t="s">
        <v>142</v>
      </c>
      <c r="C10" s="51"/>
      <c r="D10" s="38"/>
      <c r="E10" s="38" t="s">
        <v>383</v>
      </c>
      <c r="F10" s="41" t="s">
        <v>384</v>
      </c>
      <c r="G10" s="43"/>
      <c r="H10" s="45"/>
      <c r="I10" s="38"/>
      <c r="J10" s="38">
        <f>1.5*1000</f>
        <v>1500</v>
      </c>
      <c r="K10" s="46">
        <v>0.01</v>
      </c>
      <c r="L10" s="47" t="s">
        <v>60</v>
      </c>
      <c r="M10" s="60"/>
      <c r="N10" s="60"/>
      <c r="O10" s="38"/>
      <c r="P10" s="38"/>
      <c r="Q10" s="12" t="str">
        <f t="shared" si="1"/>
        <v/>
      </c>
      <c r="R10" s="42"/>
      <c r="S10" s="42"/>
      <c r="T10" s="42"/>
      <c r="U10" s="51"/>
      <c r="V10" s="52"/>
      <c r="W10" s="55"/>
      <c r="X10" s="57"/>
      <c r="Y10" s="38"/>
      <c r="Z10" s="38"/>
      <c r="AA10" s="38"/>
      <c r="AB10" s="38"/>
    </row>
    <row r="11">
      <c r="A11" s="38">
        <v>60.0</v>
      </c>
      <c r="B11" s="63" t="s">
        <v>142</v>
      </c>
      <c r="C11" s="51"/>
      <c r="D11" s="38"/>
      <c r="E11" s="38" t="s">
        <v>396</v>
      </c>
      <c r="F11" s="41" t="s">
        <v>397</v>
      </c>
      <c r="G11" s="43"/>
      <c r="H11" s="45"/>
      <c r="I11" s="38"/>
      <c r="J11" s="38">
        <f>2.3*1000</f>
        <v>2300</v>
      </c>
      <c r="K11" s="46">
        <v>0.005601851851851852</v>
      </c>
      <c r="L11" s="47" t="s">
        <v>211</v>
      </c>
      <c r="M11" s="38"/>
      <c r="N11" s="38"/>
      <c r="O11" s="38"/>
      <c r="P11" s="38"/>
      <c r="Q11" s="12" t="str">
        <f t="shared" si="1"/>
        <v/>
      </c>
      <c r="R11" s="42"/>
      <c r="S11" s="42"/>
      <c r="T11" s="42"/>
      <c r="U11" s="51"/>
      <c r="V11" s="52"/>
      <c r="W11" s="55"/>
      <c r="X11" s="57"/>
      <c r="Y11" s="38"/>
      <c r="Z11" s="38"/>
      <c r="AA11" s="38"/>
      <c r="AB11" s="38"/>
    </row>
    <row r="12">
      <c r="A12" s="38">
        <v>61.0</v>
      </c>
      <c r="B12" s="63" t="s">
        <v>142</v>
      </c>
      <c r="C12" s="51"/>
      <c r="D12" s="38"/>
      <c r="E12" s="38" t="s">
        <v>401</v>
      </c>
      <c r="F12" s="41" t="s">
        <v>402</v>
      </c>
      <c r="G12" s="43"/>
      <c r="H12" s="45"/>
      <c r="I12" s="38"/>
      <c r="J12" s="38">
        <f>709</f>
        <v>709</v>
      </c>
      <c r="K12" s="46">
        <v>0.002013888888888889</v>
      </c>
      <c r="L12" s="47" t="s">
        <v>211</v>
      </c>
      <c r="M12" s="38"/>
      <c r="N12" s="38"/>
      <c r="O12" s="38"/>
      <c r="P12" s="38"/>
      <c r="Q12" s="12" t="str">
        <f t="shared" si="1"/>
        <v/>
      </c>
      <c r="R12" s="42"/>
      <c r="S12" s="42"/>
      <c r="T12" s="42"/>
      <c r="U12" s="51"/>
      <c r="V12" s="52"/>
      <c r="W12" s="55"/>
      <c r="X12" s="57"/>
      <c r="Y12" s="38"/>
      <c r="Z12" s="38"/>
      <c r="AA12" s="38"/>
      <c r="AB12" s="38"/>
    </row>
    <row r="13">
      <c r="A13" s="38">
        <v>66.0</v>
      </c>
      <c r="B13" s="63" t="s">
        <v>142</v>
      </c>
      <c r="C13" s="51"/>
      <c r="D13" s="38"/>
      <c r="E13" s="38" t="s">
        <v>432</v>
      </c>
      <c r="F13" s="41" t="s">
        <v>434</v>
      </c>
      <c r="G13" s="43"/>
      <c r="H13" s="45"/>
      <c r="I13" s="38"/>
      <c r="J13" s="38">
        <f>2.9*1000</f>
        <v>2900</v>
      </c>
      <c r="K13" s="46">
        <v>0.027766203703703706</v>
      </c>
      <c r="L13" s="47" t="s">
        <v>211</v>
      </c>
      <c r="M13" s="38"/>
      <c r="N13" s="38"/>
      <c r="O13" s="38"/>
      <c r="P13" s="38"/>
      <c r="Q13" s="12" t="str">
        <f t="shared" si="1"/>
        <v/>
      </c>
      <c r="R13" s="42"/>
      <c r="S13" s="42"/>
      <c r="T13" s="42"/>
      <c r="U13" s="51"/>
      <c r="V13" s="52"/>
      <c r="W13" s="55"/>
      <c r="X13" s="57"/>
      <c r="Y13" s="38"/>
      <c r="Z13" s="38"/>
      <c r="AA13" s="38"/>
      <c r="AB13" s="38"/>
    </row>
    <row r="14">
      <c r="A14" s="38">
        <v>67.0</v>
      </c>
      <c r="B14" s="63" t="s">
        <v>142</v>
      </c>
      <c r="C14" s="51"/>
      <c r="D14" s="38"/>
      <c r="E14" s="38" t="s">
        <v>439</v>
      </c>
      <c r="F14" s="41" t="s">
        <v>440</v>
      </c>
      <c r="G14" s="43"/>
      <c r="H14" s="45"/>
      <c r="I14" s="38"/>
      <c r="J14" s="38">
        <f>575</f>
        <v>575</v>
      </c>
      <c r="K14" s="46">
        <v>0.0050347222222222225</v>
      </c>
      <c r="L14" s="47" t="s">
        <v>211</v>
      </c>
      <c r="M14" s="38"/>
      <c r="N14" s="38"/>
      <c r="O14" s="38"/>
      <c r="P14" s="38"/>
      <c r="Q14" s="12" t="str">
        <f t="shared" si="1"/>
        <v/>
      </c>
      <c r="R14" s="42"/>
      <c r="S14" s="42"/>
      <c r="T14" s="42"/>
      <c r="U14" s="51"/>
      <c r="V14" s="52"/>
      <c r="W14" s="55"/>
      <c r="X14" s="57"/>
      <c r="Y14" s="38"/>
      <c r="Z14" s="38"/>
      <c r="AA14" s="38"/>
      <c r="AB14" s="38"/>
    </row>
    <row r="15">
      <c r="A15" s="38">
        <v>271.0</v>
      </c>
      <c r="B15" s="63" t="s">
        <v>142</v>
      </c>
      <c r="C15" s="51"/>
      <c r="D15" s="39" t="s">
        <v>55</v>
      </c>
      <c r="E15" s="38" t="s">
        <v>1061</v>
      </c>
      <c r="F15" s="41" t="s">
        <v>1062</v>
      </c>
      <c r="G15" s="43"/>
      <c r="H15" s="45"/>
      <c r="I15" s="38"/>
      <c r="J15" s="38">
        <f>46*1000</f>
        <v>46000</v>
      </c>
      <c r="K15" s="46">
        <v>0.03361111111111111</v>
      </c>
      <c r="L15" s="47" t="s">
        <v>1011</v>
      </c>
      <c r="M15" s="38"/>
      <c r="N15" s="38"/>
      <c r="O15" s="38"/>
      <c r="P15" s="89">
        <v>43019.0</v>
      </c>
      <c r="Q15" s="12" t="str">
        <f t="shared" si="1"/>
        <v/>
      </c>
      <c r="R15" s="63" t="s">
        <v>61</v>
      </c>
      <c r="S15" s="63" t="s">
        <v>1314</v>
      </c>
      <c r="T15" s="63" t="s">
        <v>61</v>
      </c>
      <c r="U15" s="51"/>
      <c r="V15" s="52"/>
      <c r="W15" s="55"/>
      <c r="X15" s="57"/>
      <c r="Y15" s="106"/>
      <c r="Z15" s="106"/>
      <c r="AA15" s="106"/>
      <c r="AB15" s="106"/>
    </row>
    <row r="16">
      <c r="A16" s="39">
        <v>271.01</v>
      </c>
      <c r="B16" s="63" t="s">
        <v>142</v>
      </c>
      <c r="C16" s="51"/>
      <c r="D16" s="39" t="s">
        <v>55</v>
      </c>
      <c r="E16" s="38"/>
      <c r="F16" s="41"/>
      <c r="G16" s="62" t="s">
        <v>1316</v>
      </c>
      <c r="H16" s="58" t="s">
        <v>1317</v>
      </c>
      <c r="I16" s="38"/>
      <c r="J16" s="38"/>
      <c r="K16" s="46"/>
      <c r="L16" s="47"/>
      <c r="M16" s="105">
        <v>8.101851851851852E-5</v>
      </c>
      <c r="N16" s="105">
        <v>0.0019560185185185184</v>
      </c>
      <c r="O16" s="105">
        <v>0.001875</v>
      </c>
      <c r="P16" s="89">
        <v>43019.0</v>
      </c>
      <c r="Q16" s="61" t="str">
        <f t="shared" si="1"/>
        <v>https://www.youtube.com/embed/_OWY_haNDNI?start=7&amp;end=169&amp;autoplay=1</v>
      </c>
      <c r="R16" s="63" t="s">
        <v>61</v>
      </c>
      <c r="S16" s="63" t="s">
        <v>1314</v>
      </c>
      <c r="T16" s="63" t="s">
        <v>61</v>
      </c>
      <c r="U16" s="51"/>
      <c r="V16" s="52"/>
      <c r="W16" s="81" t="s">
        <v>62</v>
      </c>
      <c r="X16" s="57"/>
      <c r="Y16" s="106"/>
      <c r="Z16" s="106"/>
      <c r="AA16" s="106"/>
      <c r="AB16" s="106"/>
    </row>
    <row r="17">
      <c r="A17" s="39">
        <v>271.02</v>
      </c>
      <c r="B17" s="63" t="s">
        <v>142</v>
      </c>
      <c r="C17" s="51"/>
      <c r="D17" s="39" t="s">
        <v>55</v>
      </c>
      <c r="E17" s="38"/>
      <c r="F17" s="41"/>
      <c r="G17" s="62" t="s">
        <v>1320</v>
      </c>
      <c r="H17" s="58" t="s">
        <v>1321</v>
      </c>
      <c r="I17" s="38"/>
      <c r="J17" s="38"/>
      <c r="K17" s="46"/>
      <c r="L17" s="47"/>
      <c r="M17" s="105">
        <v>0.002025462962962963</v>
      </c>
      <c r="N17" s="105">
        <v>0.004849537037037037</v>
      </c>
      <c r="O17" s="105">
        <v>0.002824074074074074</v>
      </c>
      <c r="P17" s="89">
        <v>43020.0</v>
      </c>
      <c r="Q17" s="61" t="str">
        <f t="shared" si="1"/>
        <v>https://www.youtube.com/embed/_OWY_haNDNI?start=175&amp;end=419&amp;autoplay=1</v>
      </c>
      <c r="R17" s="63" t="s">
        <v>61</v>
      </c>
      <c r="S17" s="63" t="s">
        <v>1314</v>
      </c>
      <c r="T17" s="63" t="s">
        <v>61</v>
      </c>
      <c r="U17" s="51"/>
      <c r="V17" s="52"/>
      <c r="W17" s="81" t="s">
        <v>62</v>
      </c>
      <c r="X17" s="57"/>
      <c r="Y17" s="106"/>
      <c r="Z17" s="106"/>
      <c r="AA17" s="106"/>
      <c r="AB17" s="106"/>
    </row>
    <row r="18">
      <c r="A18" s="39">
        <v>271.03</v>
      </c>
      <c r="B18" s="63" t="s">
        <v>142</v>
      </c>
      <c r="C18" s="51"/>
      <c r="D18" s="39" t="s">
        <v>55</v>
      </c>
      <c r="E18" s="38"/>
      <c r="F18" s="41"/>
      <c r="G18" s="62" t="s">
        <v>1324</v>
      </c>
      <c r="H18" s="58" t="s">
        <v>1325</v>
      </c>
      <c r="I18" s="38"/>
      <c r="J18" s="38"/>
      <c r="K18" s="46"/>
      <c r="L18" s="47"/>
      <c r="M18" s="105">
        <v>0.004965277777777778</v>
      </c>
      <c r="N18" s="105">
        <v>0.0061574074074074074</v>
      </c>
      <c r="O18" s="105">
        <v>0.0011921296296296296</v>
      </c>
      <c r="P18" s="89">
        <v>43020.0</v>
      </c>
      <c r="Q18" s="61" t="str">
        <f t="shared" si="1"/>
        <v>https://www.youtube.com/embed/_OWY_haNDNI?start=429&amp;end=532&amp;autoplay=1</v>
      </c>
      <c r="R18" s="63" t="s">
        <v>61</v>
      </c>
      <c r="S18" s="63" t="s">
        <v>1314</v>
      </c>
      <c r="T18" s="63" t="s">
        <v>61</v>
      </c>
      <c r="U18" s="51"/>
      <c r="V18" s="52"/>
      <c r="W18" s="81" t="s">
        <v>62</v>
      </c>
      <c r="X18" s="57"/>
      <c r="Y18" s="106"/>
      <c r="Z18" s="106"/>
      <c r="AA18" s="106"/>
      <c r="AB18" s="106"/>
    </row>
    <row r="19">
      <c r="A19" s="39">
        <v>271.04</v>
      </c>
      <c r="B19" s="63" t="s">
        <v>142</v>
      </c>
      <c r="C19" s="51"/>
      <c r="D19" s="39" t="s">
        <v>55</v>
      </c>
      <c r="E19" s="38"/>
      <c r="F19" s="41"/>
      <c r="G19" s="62" t="s">
        <v>1328</v>
      </c>
      <c r="H19" s="58" t="s">
        <v>1329</v>
      </c>
      <c r="I19" s="38"/>
      <c r="J19" s="38"/>
      <c r="K19" s="46"/>
      <c r="L19" s="47"/>
      <c r="M19" s="105">
        <v>0.006168981481481482</v>
      </c>
      <c r="N19" s="105">
        <v>0.007523148148148148</v>
      </c>
      <c r="O19" s="105">
        <v>0.0013541666666666667</v>
      </c>
      <c r="P19" s="89">
        <v>43021.0</v>
      </c>
      <c r="Q19" s="61" t="str">
        <f t="shared" si="1"/>
        <v>https://www.youtube.com/embed/_OWY_haNDNI?start=533&amp;end=650&amp;autoplay=1</v>
      </c>
      <c r="R19" s="63" t="s">
        <v>61</v>
      </c>
      <c r="S19" s="63" t="s">
        <v>1314</v>
      </c>
      <c r="T19" s="63" t="s">
        <v>61</v>
      </c>
      <c r="U19" s="51"/>
      <c r="V19" s="52"/>
      <c r="W19" s="81" t="s">
        <v>62</v>
      </c>
      <c r="X19" s="57"/>
      <c r="Y19" s="106"/>
      <c r="Z19" s="106"/>
      <c r="AA19" s="106"/>
      <c r="AB19" s="106"/>
    </row>
    <row r="20">
      <c r="A20" s="39">
        <v>271.05</v>
      </c>
      <c r="B20" s="63" t="s">
        <v>142</v>
      </c>
      <c r="C20" s="51"/>
      <c r="D20" s="39" t="s">
        <v>55</v>
      </c>
      <c r="E20" s="38"/>
      <c r="F20" s="41"/>
      <c r="G20" s="62" t="s">
        <v>1333</v>
      </c>
      <c r="H20" s="58" t="s">
        <v>1335</v>
      </c>
      <c r="I20" s="38"/>
      <c r="J20" s="38"/>
      <c r="K20" s="46"/>
      <c r="L20" s="47"/>
      <c r="M20" s="105">
        <v>0.007523148148148148</v>
      </c>
      <c r="N20" s="105">
        <v>0.009675925925925926</v>
      </c>
      <c r="O20" s="105">
        <v>0.0021527777777777778</v>
      </c>
      <c r="P20" s="89">
        <v>43021.0</v>
      </c>
      <c r="Q20" s="61" t="str">
        <f t="shared" si="1"/>
        <v>https://www.youtube.com/embed/_OWY_haNDNI?start=650&amp;end=836&amp;autoplay=1</v>
      </c>
      <c r="R20" s="63" t="s">
        <v>61</v>
      </c>
      <c r="S20" s="63" t="s">
        <v>1314</v>
      </c>
      <c r="T20" s="63" t="s">
        <v>61</v>
      </c>
      <c r="U20" s="51"/>
      <c r="V20" s="52"/>
      <c r="W20" s="81" t="s">
        <v>62</v>
      </c>
      <c r="X20" s="57"/>
      <c r="Y20" s="106"/>
      <c r="Z20" s="106"/>
      <c r="AA20" s="106"/>
      <c r="AB20" s="106"/>
    </row>
    <row r="21">
      <c r="A21" s="39">
        <v>271.06</v>
      </c>
      <c r="B21" s="63" t="s">
        <v>142</v>
      </c>
      <c r="C21" s="51"/>
      <c r="D21" s="39" t="s">
        <v>55</v>
      </c>
      <c r="E21" s="38"/>
      <c r="F21" s="41"/>
      <c r="G21" s="62" t="s">
        <v>1337</v>
      </c>
      <c r="H21" s="58" t="s">
        <v>1339</v>
      </c>
      <c r="I21" s="38"/>
      <c r="J21" s="38"/>
      <c r="K21" s="46"/>
      <c r="L21" s="47"/>
      <c r="M21" s="105">
        <v>0.0096875</v>
      </c>
      <c r="N21" s="105">
        <v>0.012418981481481482</v>
      </c>
      <c r="O21" s="105">
        <v>0.0027314814814814814</v>
      </c>
      <c r="P21" s="89">
        <v>43025.0</v>
      </c>
      <c r="Q21" s="61" t="str">
        <f t="shared" si="1"/>
        <v>https://www.youtube.com/embed/_OWY_haNDNI?start=837&amp;end=1073&amp;autoplay=1</v>
      </c>
      <c r="R21" s="63" t="s">
        <v>61</v>
      </c>
      <c r="S21" s="63" t="s">
        <v>1314</v>
      </c>
      <c r="T21" s="63" t="s">
        <v>61</v>
      </c>
      <c r="U21" s="51"/>
      <c r="V21" s="52"/>
      <c r="W21" s="81" t="s">
        <v>62</v>
      </c>
      <c r="X21" s="57"/>
      <c r="Y21" s="106"/>
      <c r="Z21" s="106"/>
      <c r="AA21" s="106"/>
      <c r="AB21" s="106"/>
    </row>
    <row r="22">
      <c r="A22" s="39">
        <v>271.07</v>
      </c>
      <c r="B22" s="63" t="s">
        <v>142</v>
      </c>
      <c r="C22" s="51"/>
      <c r="D22" s="39" t="s">
        <v>55</v>
      </c>
      <c r="E22" s="38"/>
      <c r="F22" s="41"/>
      <c r="G22" s="62" t="s">
        <v>1342</v>
      </c>
      <c r="H22" s="58" t="s">
        <v>1343</v>
      </c>
      <c r="I22" s="38"/>
      <c r="J22" s="38"/>
      <c r="K22" s="46"/>
      <c r="L22" s="47"/>
      <c r="M22" s="105">
        <v>0.012430555555555556</v>
      </c>
      <c r="N22" s="105">
        <v>0.013472222222222222</v>
      </c>
      <c r="O22" s="105">
        <v>0.0010416666666666667</v>
      </c>
      <c r="P22" s="89">
        <v>43025.0</v>
      </c>
      <c r="Q22" s="61" t="str">
        <f t="shared" si="1"/>
        <v>https://www.youtube.com/embed/_OWY_haNDNI?start=1074&amp;end=1164&amp;autoplay=1</v>
      </c>
      <c r="R22" s="63" t="s">
        <v>61</v>
      </c>
      <c r="S22" s="63" t="s">
        <v>1314</v>
      </c>
      <c r="T22" s="63" t="s">
        <v>61</v>
      </c>
      <c r="U22" s="51"/>
      <c r="V22" s="52"/>
      <c r="W22" s="81" t="s">
        <v>62</v>
      </c>
      <c r="X22" s="57"/>
      <c r="Y22" s="106"/>
      <c r="Z22" s="106"/>
      <c r="AA22" s="106"/>
      <c r="AB22" s="106"/>
    </row>
    <row r="23">
      <c r="A23" s="39">
        <v>271.08</v>
      </c>
      <c r="B23" s="63" t="s">
        <v>142</v>
      </c>
      <c r="C23" s="51"/>
      <c r="D23" s="39" t="s">
        <v>55</v>
      </c>
      <c r="E23" s="38"/>
      <c r="F23" s="41"/>
      <c r="G23" s="62" t="s">
        <v>1345</v>
      </c>
      <c r="H23" s="58" t="s">
        <v>1347</v>
      </c>
      <c r="I23" s="38"/>
      <c r="J23" s="38"/>
      <c r="K23" s="46"/>
      <c r="L23" s="47"/>
      <c r="M23" s="105">
        <v>0.013472222222222222</v>
      </c>
      <c r="N23" s="105">
        <v>0.014918981481481481</v>
      </c>
      <c r="O23" s="105">
        <v>0.0014467592592592592</v>
      </c>
      <c r="P23" s="89">
        <v>43025.0</v>
      </c>
      <c r="Q23" s="61" t="str">
        <f t="shared" si="1"/>
        <v>https://www.youtube.com/embed/_OWY_haNDNI?start=1164&amp;end=1289&amp;autoplay=1</v>
      </c>
      <c r="R23" s="63" t="s">
        <v>61</v>
      </c>
      <c r="S23" s="63" t="s">
        <v>1314</v>
      </c>
      <c r="T23" s="63" t="s">
        <v>61</v>
      </c>
      <c r="U23" s="51"/>
      <c r="V23" s="52"/>
      <c r="W23" s="81" t="s">
        <v>62</v>
      </c>
      <c r="X23" s="57"/>
      <c r="Y23" s="106"/>
      <c r="Z23" s="106"/>
      <c r="AA23" s="106"/>
      <c r="AB23" s="106"/>
    </row>
    <row r="24">
      <c r="A24" s="39">
        <v>271.09</v>
      </c>
      <c r="B24" s="63" t="s">
        <v>142</v>
      </c>
      <c r="C24" s="51"/>
      <c r="D24" s="39" t="s">
        <v>55</v>
      </c>
      <c r="E24" s="38"/>
      <c r="F24" s="41"/>
      <c r="G24" s="62" t="s">
        <v>1350</v>
      </c>
      <c r="H24" s="58" t="s">
        <v>1351</v>
      </c>
      <c r="I24" s="38"/>
      <c r="J24" s="38"/>
      <c r="K24" s="46"/>
      <c r="L24" s="47"/>
      <c r="M24" s="105">
        <v>0.014918981481481481</v>
      </c>
      <c r="N24" s="105">
        <v>0.015868055555555555</v>
      </c>
      <c r="O24" s="105">
        <v>9.490740740740741E-4</v>
      </c>
      <c r="P24" s="89">
        <v>43025.0</v>
      </c>
      <c r="Q24" s="61" t="str">
        <f t="shared" si="1"/>
        <v>https://www.youtube.com/embed/_OWY_haNDNI?start=1289&amp;end=1371&amp;autoplay=1</v>
      </c>
      <c r="R24" s="63" t="s">
        <v>61</v>
      </c>
      <c r="S24" s="63" t="s">
        <v>1314</v>
      </c>
      <c r="T24" s="63" t="s">
        <v>61</v>
      </c>
      <c r="U24" s="51"/>
      <c r="V24" s="52"/>
      <c r="W24" s="81" t="s">
        <v>62</v>
      </c>
      <c r="X24" s="57"/>
      <c r="Y24" s="106"/>
      <c r="Z24" s="106"/>
      <c r="AA24" s="106"/>
      <c r="AB24" s="106"/>
    </row>
    <row r="25">
      <c r="A25" s="107">
        <v>271.1</v>
      </c>
      <c r="B25" s="63" t="s">
        <v>142</v>
      </c>
      <c r="C25" s="51"/>
      <c r="D25" s="39" t="s">
        <v>55</v>
      </c>
      <c r="E25" s="38"/>
      <c r="F25" s="41"/>
      <c r="G25" s="62" t="s">
        <v>1354</v>
      </c>
      <c r="H25" s="58" t="s">
        <v>1355</v>
      </c>
      <c r="I25" s="38"/>
      <c r="J25" s="38"/>
      <c r="K25" s="46"/>
      <c r="L25" s="47"/>
      <c r="M25" s="105">
        <v>0.01587962962962963</v>
      </c>
      <c r="N25" s="105">
        <v>0.01738425925925926</v>
      </c>
      <c r="O25" s="105">
        <v>0.0015046296296296296</v>
      </c>
      <c r="P25" s="89">
        <v>43025.0</v>
      </c>
      <c r="Q25" s="61" t="str">
        <f t="shared" si="1"/>
        <v>https://www.youtube.com/embed/_OWY_haNDNI?start=1372&amp;end=1502&amp;autoplay=1</v>
      </c>
      <c r="R25" s="63" t="s">
        <v>61</v>
      </c>
      <c r="S25" s="63" t="s">
        <v>1314</v>
      </c>
      <c r="T25" s="63" t="s">
        <v>61</v>
      </c>
      <c r="U25" s="51"/>
      <c r="V25" s="52"/>
      <c r="W25" s="81" t="s">
        <v>62</v>
      </c>
      <c r="X25" s="57"/>
      <c r="Y25" s="106"/>
      <c r="Z25" s="106"/>
      <c r="AA25" s="106"/>
      <c r="AB25" s="106"/>
    </row>
    <row r="26">
      <c r="A26" s="39">
        <v>271.11</v>
      </c>
      <c r="B26" s="63" t="s">
        <v>142</v>
      </c>
      <c r="C26" s="51"/>
      <c r="D26" s="39" t="s">
        <v>55</v>
      </c>
      <c r="E26" s="38"/>
      <c r="F26" s="41"/>
      <c r="G26" s="62" t="s">
        <v>1358</v>
      </c>
      <c r="H26" s="58" t="s">
        <v>1359</v>
      </c>
      <c r="I26" s="38"/>
      <c r="J26" s="38"/>
      <c r="K26" s="46"/>
      <c r="L26" s="47"/>
      <c r="M26" s="105">
        <v>0.01738425925925926</v>
      </c>
      <c r="N26" s="105">
        <v>0.018993055555555555</v>
      </c>
      <c r="O26" s="105">
        <v>0.0016087962962962963</v>
      </c>
      <c r="P26" s="89">
        <v>43025.0</v>
      </c>
      <c r="Q26" s="61" t="str">
        <f t="shared" si="1"/>
        <v>https://www.youtube.com/embed/_OWY_haNDNI?start=1502&amp;end=1641&amp;autoplay=1</v>
      </c>
      <c r="R26" s="63" t="s">
        <v>61</v>
      </c>
      <c r="S26" s="63" t="s">
        <v>1314</v>
      </c>
      <c r="T26" s="63" t="s">
        <v>61</v>
      </c>
      <c r="U26" s="51"/>
      <c r="V26" s="52"/>
      <c r="W26" s="81" t="s">
        <v>62</v>
      </c>
      <c r="X26" s="57"/>
      <c r="Y26" s="106"/>
      <c r="Z26" s="106"/>
      <c r="AA26" s="106"/>
      <c r="AB26" s="106"/>
    </row>
    <row r="27">
      <c r="A27" s="39">
        <v>271.12</v>
      </c>
      <c r="B27" s="63" t="s">
        <v>142</v>
      </c>
      <c r="C27" s="51"/>
      <c r="D27" s="39" t="s">
        <v>55</v>
      </c>
      <c r="E27" s="38"/>
      <c r="F27" s="41"/>
      <c r="G27" s="62" t="s">
        <v>1362</v>
      </c>
      <c r="H27" s="58" t="s">
        <v>1363</v>
      </c>
      <c r="I27" s="38"/>
      <c r="J27" s="38"/>
      <c r="K27" s="46"/>
      <c r="L27" s="47"/>
      <c r="M27" s="105">
        <v>0.019097222222222224</v>
      </c>
      <c r="N27" s="105">
        <v>0.02020833333333333</v>
      </c>
      <c r="O27" s="105">
        <v>0.0011111111111111111</v>
      </c>
      <c r="P27" s="89">
        <v>43025.0</v>
      </c>
      <c r="Q27" s="61" t="str">
        <f t="shared" si="1"/>
        <v>https://www.youtube.com/embed/_OWY_haNDNI?start=1650&amp;end=1746&amp;autoplay=1</v>
      </c>
      <c r="R27" s="63" t="s">
        <v>61</v>
      </c>
      <c r="S27" s="63" t="s">
        <v>1314</v>
      </c>
      <c r="T27" s="63" t="s">
        <v>61</v>
      </c>
      <c r="U27" s="51"/>
      <c r="V27" s="52"/>
      <c r="W27" s="81" t="s">
        <v>62</v>
      </c>
      <c r="X27" s="57"/>
      <c r="Y27" s="106"/>
      <c r="Z27" s="106"/>
      <c r="AA27" s="106"/>
      <c r="AB27" s="106"/>
    </row>
    <row r="28">
      <c r="A28" s="39">
        <v>271.13</v>
      </c>
      <c r="B28" s="63" t="s">
        <v>142</v>
      </c>
      <c r="C28" s="51"/>
      <c r="D28" s="39" t="s">
        <v>55</v>
      </c>
      <c r="E28" s="38"/>
      <c r="F28" s="41"/>
      <c r="G28" s="62" t="s">
        <v>1366</v>
      </c>
      <c r="H28" s="58" t="s">
        <v>1367</v>
      </c>
      <c r="I28" s="38"/>
      <c r="J28" s="38"/>
      <c r="K28" s="46"/>
      <c r="L28" s="47"/>
      <c r="M28" s="105">
        <v>0.020324074074074074</v>
      </c>
      <c r="N28" s="105">
        <v>0.024016203703703703</v>
      </c>
      <c r="O28" s="105">
        <v>0.00369212962962963</v>
      </c>
      <c r="P28" s="89">
        <v>43025.0</v>
      </c>
      <c r="Q28" s="61" t="str">
        <f t="shared" si="1"/>
        <v>https://www.youtube.com/embed/_OWY_haNDNI?start=1756&amp;end=2075&amp;autoplay=1</v>
      </c>
      <c r="R28" s="63" t="s">
        <v>61</v>
      </c>
      <c r="S28" s="63" t="s">
        <v>1314</v>
      </c>
      <c r="T28" s="63" t="s">
        <v>61</v>
      </c>
      <c r="U28" s="51"/>
      <c r="V28" s="52"/>
      <c r="W28" s="81" t="s">
        <v>62</v>
      </c>
      <c r="X28" s="57"/>
      <c r="Y28" s="106"/>
      <c r="Z28" s="106"/>
      <c r="AA28" s="106"/>
      <c r="AB28" s="106"/>
    </row>
    <row r="29">
      <c r="A29" s="39">
        <v>271.14</v>
      </c>
      <c r="B29" s="63" t="s">
        <v>142</v>
      </c>
      <c r="C29" s="51"/>
      <c r="D29" s="39" t="s">
        <v>55</v>
      </c>
      <c r="E29" s="38"/>
      <c r="F29" s="41"/>
      <c r="G29" s="62" t="s">
        <v>1370</v>
      </c>
      <c r="H29" s="58" t="s">
        <v>1371</v>
      </c>
      <c r="I29" s="38"/>
      <c r="J29" s="38"/>
      <c r="K29" s="46"/>
      <c r="L29" s="47"/>
      <c r="M29" s="105">
        <v>0.02409722222222222</v>
      </c>
      <c r="N29" s="105">
        <v>0.024872685185185185</v>
      </c>
      <c r="O29" s="105">
        <v>7.754629629629629E-4</v>
      </c>
      <c r="P29" s="89">
        <v>43025.0</v>
      </c>
      <c r="Q29" s="61" t="str">
        <f t="shared" si="1"/>
        <v>https://www.youtube.com/embed/_OWY_haNDNI?start=2082&amp;end=2149&amp;autoplay=1</v>
      </c>
      <c r="R29" s="63" t="s">
        <v>61</v>
      </c>
      <c r="S29" s="63" t="s">
        <v>1314</v>
      </c>
      <c r="T29" s="63" t="s">
        <v>61</v>
      </c>
      <c r="U29" s="51"/>
      <c r="V29" s="52"/>
      <c r="W29" s="81" t="s">
        <v>62</v>
      </c>
      <c r="X29" s="57"/>
      <c r="Y29" s="106"/>
      <c r="Z29" s="106"/>
      <c r="AA29" s="106"/>
      <c r="AB29" s="106"/>
    </row>
    <row r="30">
      <c r="A30" s="39">
        <v>271.15</v>
      </c>
      <c r="B30" s="63" t="s">
        <v>142</v>
      </c>
      <c r="C30" s="51"/>
      <c r="D30" s="39" t="s">
        <v>55</v>
      </c>
      <c r="E30" s="38"/>
      <c r="F30" s="41"/>
      <c r="G30" s="62" t="s">
        <v>1374</v>
      </c>
      <c r="H30" s="58" t="s">
        <v>1375</v>
      </c>
      <c r="I30" s="38"/>
      <c r="J30" s="38"/>
      <c r="K30" s="46"/>
      <c r="L30" s="47"/>
      <c r="M30" s="105">
        <v>0.02666666666666667</v>
      </c>
      <c r="N30" s="105">
        <v>0.02875</v>
      </c>
      <c r="O30" s="105">
        <v>0.0020833333333333333</v>
      </c>
      <c r="P30" s="89">
        <v>43025.0</v>
      </c>
      <c r="Q30" s="61" t="str">
        <f t="shared" si="1"/>
        <v>https://www.youtube.com/embed/_OWY_haNDNI?start=2304&amp;end=2484&amp;autoplay=1</v>
      </c>
      <c r="R30" s="63" t="s">
        <v>61</v>
      </c>
      <c r="S30" s="63" t="s">
        <v>1314</v>
      </c>
      <c r="T30" s="63" t="s">
        <v>61</v>
      </c>
      <c r="U30" s="51"/>
      <c r="V30" s="52"/>
      <c r="W30" s="81" t="s">
        <v>62</v>
      </c>
      <c r="X30" s="57"/>
      <c r="Y30" s="106"/>
      <c r="Z30" s="106"/>
      <c r="AA30" s="106"/>
      <c r="AB30" s="106"/>
    </row>
    <row r="31">
      <c r="A31" s="39">
        <v>271.16</v>
      </c>
      <c r="B31" s="63" t="s">
        <v>142</v>
      </c>
      <c r="C31" s="51"/>
      <c r="D31" s="39" t="s">
        <v>55</v>
      </c>
      <c r="E31" s="38"/>
      <c r="F31" s="41"/>
      <c r="G31" s="62" t="s">
        <v>1378</v>
      </c>
      <c r="H31" s="58" t="s">
        <v>1380</v>
      </c>
      <c r="I31" s="38"/>
      <c r="J31" s="38"/>
      <c r="K31" s="46"/>
      <c r="L31" s="47"/>
      <c r="M31" s="105">
        <v>0.028981481481481483</v>
      </c>
      <c r="N31" s="105">
        <v>0.030659722222222224</v>
      </c>
      <c r="O31" s="105">
        <v>0.0016782407407407408</v>
      </c>
      <c r="P31" s="89">
        <v>43025.0</v>
      </c>
      <c r="Q31" s="61" t="str">
        <f t="shared" si="1"/>
        <v>https://www.youtube.com/embed/_OWY_haNDNI?start=2504&amp;end=2649&amp;autoplay=1</v>
      </c>
      <c r="R31" s="63" t="s">
        <v>61</v>
      </c>
      <c r="S31" s="63" t="s">
        <v>1314</v>
      </c>
      <c r="T31" s="63" t="s">
        <v>61</v>
      </c>
      <c r="U31" s="51"/>
      <c r="V31" s="52"/>
      <c r="W31" s="81" t="s">
        <v>62</v>
      </c>
      <c r="X31" s="57"/>
      <c r="Y31" s="106"/>
      <c r="Z31" s="106"/>
      <c r="AA31" s="106"/>
      <c r="AB31" s="106"/>
    </row>
    <row r="32">
      <c r="A32" s="38">
        <v>273.0</v>
      </c>
      <c r="B32" s="63" t="s">
        <v>142</v>
      </c>
      <c r="C32" s="51"/>
      <c r="D32" s="39" t="s">
        <v>145</v>
      </c>
      <c r="E32" s="38" t="s">
        <v>1069</v>
      </c>
      <c r="F32" s="41" t="s">
        <v>1070</v>
      </c>
      <c r="G32" s="43"/>
      <c r="H32" s="45"/>
      <c r="I32" s="38"/>
      <c r="J32" s="38">
        <f>12*1000</f>
        <v>12000</v>
      </c>
      <c r="K32" s="46">
        <v>0.03005787037037037</v>
      </c>
      <c r="L32" s="47" t="s">
        <v>1011</v>
      </c>
      <c r="M32" s="48"/>
      <c r="N32" s="48"/>
      <c r="O32" s="48">
        <f>N32-M32</f>
        <v>0</v>
      </c>
      <c r="P32" s="38"/>
      <c r="Q32" s="12" t="str">
        <f t="shared" si="1"/>
        <v/>
      </c>
      <c r="R32" s="42"/>
      <c r="S32" s="42"/>
      <c r="T32" s="42"/>
      <c r="U32" s="51"/>
      <c r="V32" s="52"/>
      <c r="W32" s="55"/>
      <c r="X32" s="57"/>
      <c r="Y32" s="106"/>
      <c r="Z32" s="106"/>
      <c r="AA32" s="106"/>
      <c r="AB32" s="106"/>
    </row>
    <row r="33">
      <c r="A33" s="39">
        <v>273.01</v>
      </c>
      <c r="B33" s="63" t="s">
        <v>142</v>
      </c>
      <c r="C33" s="51"/>
      <c r="D33" s="38"/>
      <c r="E33" s="38"/>
      <c r="F33" s="41"/>
      <c r="G33" s="62" t="s">
        <v>1388</v>
      </c>
      <c r="H33" s="58" t="s">
        <v>1389</v>
      </c>
      <c r="I33" s="38"/>
      <c r="J33" s="38"/>
      <c r="K33" s="46"/>
      <c r="L33" s="47"/>
      <c r="M33" s="125">
        <v>0.0014351851851851852</v>
      </c>
      <c r="N33" s="125">
        <v>0.0027314814814814814</v>
      </c>
      <c r="O33" s="105">
        <v>0.0013194444444444445</v>
      </c>
      <c r="P33" s="89">
        <v>43029.0</v>
      </c>
      <c r="Q33" s="61" t="str">
        <f t="shared" si="1"/>
        <v>https://www.youtube.com/embed/NpqJHyWjh7A?start=124&amp;end=236&amp;autoplay=1</v>
      </c>
      <c r="R33" s="63" t="s">
        <v>61</v>
      </c>
      <c r="S33" s="63" t="s">
        <v>1314</v>
      </c>
      <c r="T33" s="63" t="s">
        <v>61</v>
      </c>
      <c r="U33" s="51"/>
      <c r="V33" s="52"/>
      <c r="W33" s="81" t="s">
        <v>62</v>
      </c>
      <c r="X33" s="69" t="s">
        <v>62</v>
      </c>
      <c r="Y33" s="134"/>
      <c r="Z33" s="134" t="s">
        <v>1390</v>
      </c>
      <c r="AA33" s="106"/>
      <c r="AB33" s="106"/>
    </row>
    <row r="34">
      <c r="A34" s="39">
        <v>273.02</v>
      </c>
      <c r="B34" s="63" t="s">
        <v>142</v>
      </c>
      <c r="C34" s="51"/>
      <c r="D34" s="38"/>
      <c r="E34" s="38"/>
      <c r="F34" s="41"/>
      <c r="G34" s="62" t="s">
        <v>1393</v>
      </c>
      <c r="H34" s="58" t="s">
        <v>1394</v>
      </c>
      <c r="I34" s="38"/>
      <c r="J34" s="38"/>
      <c r="K34" s="46"/>
      <c r="L34" s="47"/>
      <c r="M34" s="125">
        <v>0.002824074074074074</v>
      </c>
      <c r="N34" s="125"/>
      <c r="O34" s="105"/>
      <c r="P34" s="89"/>
      <c r="Q34" s="61" t="str">
        <f t="shared" si="1"/>
        <v>https://www.youtube.com/embed/NpqJHyWjh7A?start=244&amp;end=0&amp;autoplay=1</v>
      </c>
      <c r="R34" s="63"/>
      <c r="S34" s="63"/>
      <c r="T34" s="63"/>
      <c r="U34" s="51"/>
      <c r="V34" s="52"/>
      <c r="W34" s="81"/>
      <c r="X34" s="69"/>
      <c r="Y34" s="134"/>
      <c r="Z34" s="134"/>
      <c r="AA34" s="106"/>
      <c r="AB34" s="106"/>
    </row>
    <row r="35">
      <c r="A35" s="38">
        <v>274.0</v>
      </c>
      <c r="B35" s="63" t="s">
        <v>142</v>
      </c>
      <c r="C35" s="51"/>
      <c r="D35" s="38"/>
      <c r="E35" s="38" t="s">
        <v>1075</v>
      </c>
      <c r="F35" s="41" t="s">
        <v>1076</v>
      </c>
      <c r="G35" s="43"/>
      <c r="H35" s="45"/>
      <c r="I35" s="38"/>
      <c r="J35" s="38">
        <f>4.4*1000</f>
        <v>4400</v>
      </c>
      <c r="K35" s="46">
        <v>0.02090277777777778</v>
      </c>
      <c r="L35" s="47" t="s">
        <v>1011</v>
      </c>
      <c r="M35" s="38"/>
      <c r="N35" s="38"/>
      <c r="O35" s="38"/>
      <c r="P35" s="38"/>
      <c r="Q35" s="12" t="str">
        <f t="shared" si="1"/>
        <v/>
      </c>
      <c r="R35" s="42"/>
      <c r="S35" s="42"/>
      <c r="T35" s="42"/>
      <c r="U35" s="51"/>
      <c r="V35" s="52"/>
      <c r="W35" s="55"/>
      <c r="X35" s="57"/>
      <c r="Y35" s="106"/>
      <c r="Z35" s="106"/>
      <c r="AA35" s="106"/>
      <c r="AB35" s="106"/>
    </row>
    <row r="36">
      <c r="A36" s="38">
        <v>275.0</v>
      </c>
      <c r="B36" s="63" t="s">
        <v>142</v>
      </c>
      <c r="C36" s="51"/>
      <c r="D36" s="38"/>
      <c r="E36" s="38" t="s">
        <v>1082</v>
      </c>
      <c r="F36" s="41" t="s">
        <v>1083</v>
      </c>
      <c r="G36" s="43"/>
      <c r="H36" s="45"/>
      <c r="I36" s="38"/>
      <c r="J36" s="38">
        <f>4.5*1000</f>
        <v>4500</v>
      </c>
      <c r="K36" s="46">
        <v>0.022083333333333333</v>
      </c>
      <c r="L36" s="47" t="s">
        <v>1011</v>
      </c>
      <c r="M36" s="38"/>
      <c r="N36" s="38"/>
      <c r="O36" s="38"/>
      <c r="P36" s="38"/>
      <c r="Q36" s="12" t="str">
        <f t="shared" si="1"/>
        <v/>
      </c>
      <c r="R36" s="42"/>
      <c r="S36" s="42"/>
      <c r="T36" s="42"/>
      <c r="U36" s="51"/>
      <c r="V36" s="52"/>
      <c r="W36" s="55"/>
      <c r="X36" s="57"/>
      <c r="Y36" s="106"/>
      <c r="Z36" s="106"/>
      <c r="AA36" s="106"/>
      <c r="AB36" s="106"/>
    </row>
    <row r="37">
      <c r="A37" s="38">
        <v>276.0</v>
      </c>
      <c r="B37" s="63" t="s">
        <v>142</v>
      </c>
      <c r="C37" s="51"/>
      <c r="D37" s="38"/>
      <c r="E37" s="38" t="s">
        <v>1089</v>
      </c>
      <c r="F37" s="41" t="s">
        <v>1090</v>
      </c>
      <c r="G37" s="43"/>
      <c r="H37" s="45"/>
      <c r="I37" s="38"/>
      <c r="J37" s="38">
        <f>4.3*1000</f>
        <v>4300</v>
      </c>
      <c r="K37" s="46">
        <v>0.0052430555555555555</v>
      </c>
      <c r="L37" s="47" t="s">
        <v>1011</v>
      </c>
      <c r="M37" s="38"/>
      <c r="N37" s="38"/>
      <c r="O37" s="38"/>
      <c r="P37" s="38"/>
      <c r="Q37" s="12" t="str">
        <f t="shared" si="1"/>
        <v/>
      </c>
      <c r="R37" s="42"/>
      <c r="S37" s="42"/>
      <c r="T37" s="42"/>
      <c r="U37" s="51"/>
      <c r="V37" s="52"/>
      <c r="W37" s="55"/>
      <c r="X37" s="57"/>
      <c r="Y37" s="106"/>
      <c r="Z37" s="106"/>
      <c r="AA37" s="106"/>
      <c r="AB37" s="106"/>
    </row>
    <row r="38">
      <c r="A38" s="38">
        <v>481.0</v>
      </c>
      <c r="B38" s="63" t="s">
        <v>142</v>
      </c>
      <c r="C38" s="51"/>
      <c r="D38" s="38"/>
      <c r="E38" s="38" t="s">
        <v>1403</v>
      </c>
      <c r="F38" s="41" t="s">
        <v>1404</v>
      </c>
      <c r="G38" s="43"/>
      <c r="H38" s="45"/>
      <c r="I38" s="38"/>
      <c r="J38" s="38">
        <f>3.5*1000</f>
        <v>3500</v>
      </c>
      <c r="K38" s="46">
        <v>0.007488425925925926</v>
      </c>
      <c r="L38" s="47" t="s">
        <v>1048</v>
      </c>
      <c r="M38" s="38"/>
      <c r="N38" s="38"/>
      <c r="O38" s="38"/>
      <c r="P38" s="38"/>
      <c r="Q38" s="12" t="str">
        <f t="shared" si="1"/>
        <v/>
      </c>
      <c r="R38" s="42"/>
      <c r="S38" s="42"/>
      <c r="T38" s="42"/>
      <c r="U38" s="51"/>
      <c r="V38" s="52"/>
      <c r="W38" s="55"/>
      <c r="X38" s="57"/>
      <c r="Y38" s="106"/>
      <c r="Z38" s="106"/>
      <c r="AA38" s="106"/>
      <c r="AB38" s="106"/>
    </row>
    <row r="39">
      <c r="A39" s="38">
        <v>751.0</v>
      </c>
      <c r="B39" s="63" t="s">
        <v>142</v>
      </c>
      <c r="C39" s="51"/>
      <c r="D39" s="38"/>
      <c r="E39" s="38" t="s">
        <v>1407</v>
      </c>
      <c r="F39" s="41" t="s">
        <v>1408</v>
      </c>
      <c r="G39" s="43"/>
      <c r="H39" s="45"/>
      <c r="I39" s="38"/>
      <c r="J39" s="38">
        <f>6.7*1000</f>
        <v>6700</v>
      </c>
      <c r="K39" s="46">
        <v>0.08165509259259258</v>
      </c>
      <c r="L39" s="47" t="s">
        <v>1060</v>
      </c>
      <c r="M39" s="38"/>
      <c r="N39" s="38"/>
      <c r="O39" s="38"/>
      <c r="P39" s="38"/>
      <c r="Q39" s="12" t="str">
        <f t="shared" si="1"/>
        <v/>
      </c>
      <c r="R39" s="42"/>
      <c r="S39" s="42"/>
      <c r="T39" s="42"/>
      <c r="U39" s="51"/>
      <c r="V39" s="52"/>
      <c r="W39" s="55"/>
      <c r="X39" s="57"/>
      <c r="Y39" s="106"/>
      <c r="Z39" s="106"/>
      <c r="AA39" s="106"/>
      <c r="AB39" s="106"/>
    </row>
    <row r="40">
      <c r="A40" s="112"/>
      <c r="B40" s="113"/>
      <c r="C40" s="113"/>
      <c r="D40" s="113"/>
      <c r="E40" s="113"/>
      <c r="F40" s="113"/>
      <c r="G40" s="113"/>
      <c r="H40" s="113"/>
      <c r="I40" s="113"/>
      <c r="J40" s="113"/>
      <c r="K40" s="113"/>
      <c r="L40" s="113"/>
      <c r="M40" s="113"/>
      <c r="N40" s="113"/>
      <c r="O40" s="113"/>
      <c r="P40" s="113"/>
      <c r="Q40" s="12" t="str">
        <f t="shared" si="1"/>
        <v/>
      </c>
      <c r="R40" s="165"/>
      <c r="S40" s="165"/>
      <c r="T40" s="165"/>
      <c r="U40" s="150"/>
      <c r="V40" s="151"/>
      <c r="W40" s="166"/>
      <c r="X40" s="119"/>
      <c r="Y40" s="113"/>
      <c r="Z40" s="113"/>
    </row>
    <row r="41">
      <c r="A41" s="113"/>
      <c r="B41" s="113"/>
      <c r="C41" s="113"/>
      <c r="D41" s="113"/>
      <c r="E41" s="113"/>
      <c r="F41" s="113"/>
      <c r="G41" s="113"/>
      <c r="H41" s="113"/>
      <c r="I41" s="113"/>
      <c r="J41" s="113"/>
      <c r="K41" s="113"/>
      <c r="L41" s="113"/>
      <c r="M41" s="113"/>
      <c r="N41" s="113"/>
      <c r="O41" s="113"/>
      <c r="P41" s="113"/>
      <c r="Q41" s="12" t="str">
        <f t="shared" si="1"/>
        <v/>
      </c>
      <c r="R41" s="165"/>
      <c r="S41" s="165"/>
      <c r="T41" s="165"/>
      <c r="U41" s="150"/>
      <c r="V41" s="151"/>
      <c r="W41" s="166"/>
      <c r="X41" s="119"/>
      <c r="Y41" s="113"/>
      <c r="Z41" s="113"/>
    </row>
    <row r="42">
      <c r="A42" s="113"/>
      <c r="B42" s="113"/>
      <c r="C42" s="113"/>
      <c r="D42" s="113"/>
      <c r="E42" s="113"/>
      <c r="F42" s="113"/>
      <c r="G42" s="113"/>
      <c r="H42" s="113"/>
      <c r="I42" s="113"/>
      <c r="J42" s="113"/>
      <c r="K42" s="113"/>
      <c r="L42" s="113"/>
      <c r="M42" s="113"/>
      <c r="N42" s="113"/>
      <c r="O42" s="113"/>
      <c r="P42" s="113"/>
      <c r="Q42" s="12" t="str">
        <f t="shared" si="1"/>
        <v/>
      </c>
      <c r="R42" s="165"/>
      <c r="S42" s="165"/>
      <c r="T42" s="165"/>
      <c r="U42" s="150"/>
      <c r="V42" s="151"/>
      <c r="W42" s="166"/>
      <c r="X42" s="119"/>
      <c r="Y42" s="113"/>
      <c r="Z42" s="113"/>
    </row>
    <row r="43">
      <c r="A43" s="113"/>
      <c r="B43" s="113"/>
      <c r="C43" s="113"/>
      <c r="D43" s="113"/>
      <c r="E43" s="113"/>
      <c r="F43" s="113"/>
      <c r="G43" s="113"/>
      <c r="H43" s="113"/>
      <c r="I43" s="113"/>
      <c r="J43" s="113"/>
      <c r="K43" s="113"/>
      <c r="L43" s="113"/>
      <c r="M43" s="113"/>
      <c r="N43" s="113"/>
      <c r="O43" s="113"/>
      <c r="P43" s="113"/>
      <c r="Q43" s="12" t="str">
        <f t="shared" si="1"/>
        <v/>
      </c>
      <c r="R43" s="165"/>
      <c r="S43" s="165"/>
      <c r="T43" s="165"/>
      <c r="U43" s="150"/>
      <c r="V43" s="151"/>
      <c r="W43" s="166"/>
      <c r="X43" s="119"/>
      <c r="Y43" s="113"/>
      <c r="Z43" s="113"/>
    </row>
    <row r="44">
      <c r="A44" s="113"/>
      <c r="B44" s="113"/>
      <c r="C44" s="113"/>
      <c r="D44" s="113"/>
      <c r="E44" s="113"/>
      <c r="F44" s="113"/>
      <c r="G44" s="113"/>
      <c r="H44" s="113"/>
      <c r="I44" s="113"/>
      <c r="J44" s="113"/>
      <c r="K44" s="113"/>
      <c r="L44" s="113"/>
      <c r="M44" s="113"/>
      <c r="N44" s="113"/>
      <c r="O44" s="113"/>
      <c r="P44" s="113"/>
      <c r="Q44" s="12" t="str">
        <f t="shared" si="1"/>
        <v/>
      </c>
      <c r="R44" s="165"/>
      <c r="S44" s="165"/>
      <c r="T44" s="165"/>
      <c r="U44" s="150"/>
      <c r="V44" s="151"/>
      <c r="W44" s="166"/>
      <c r="X44" s="119"/>
      <c r="Y44" s="113"/>
      <c r="Z44" s="113"/>
    </row>
    <row r="45">
      <c r="A45" s="113"/>
      <c r="B45" s="113"/>
      <c r="C45" s="113"/>
      <c r="D45" s="113"/>
      <c r="E45" s="113"/>
      <c r="F45" s="113"/>
      <c r="G45" s="113"/>
      <c r="H45" s="113"/>
      <c r="I45" s="113"/>
      <c r="J45" s="113"/>
      <c r="K45" s="113"/>
      <c r="L45" s="113"/>
      <c r="M45" s="113"/>
      <c r="N45" s="113"/>
      <c r="O45" s="113"/>
      <c r="P45" s="113"/>
      <c r="Q45" s="12" t="str">
        <f t="shared" si="1"/>
        <v/>
      </c>
      <c r="R45" s="165"/>
      <c r="S45" s="165"/>
      <c r="T45" s="165"/>
      <c r="U45" s="150"/>
      <c r="V45" s="151"/>
      <c r="W45" s="166"/>
      <c r="X45" s="119"/>
      <c r="Y45" s="113"/>
      <c r="Z45" s="113"/>
    </row>
    <row r="46">
      <c r="A46" s="113"/>
      <c r="B46" s="113"/>
      <c r="C46" s="113"/>
      <c r="D46" s="113"/>
      <c r="E46" s="113"/>
      <c r="F46" s="113"/>
      <c r="G46" s="113"/>
      <c r="H46" s="113"/>
      <c r="I46" s="113"/>
      <c r="J46" s="113"/>
      <c r="K46" s="113"/>
      <c r="L46" s="113"/>
      <c r="M46" s="113"/>
      <c r="N46" s="113"/>
      <c r="O46" s="113"/>
      <c r="P46" s="113"/>
      <c r="Q46" s="12" t="str">
        <f t="shared" si="1"/>
        <v/>
      </c>
      <c r="R46" s="165"/>
      <c r="S46" s="165"/>
      <c r="T46" s="165"/>
      <c r="U46" s="150"/>
      <c r="V46" s="151"/>
      <c r="W46" s="166"/>
      <c r="X46" s="119"/>
      <c r="Y46" s="113"/>
      <c r="Z46" s="113"/>
    </row>
    <row r="47">
      <c r="A47" s="113"/>
      <c r="B47" s="113"/>
      <c r="C47" s="113"/>
      <c r="D47" s="113"/>
      <c r="E47" s="113"/>
      <c r="F47" s="113"/>
      <c r="G47" s="113"/>
      <c r="H47" s="113"/>
      <c r="I47" s="113"/>
      <c r="J47" s="113"/>
      <c r="K47" s="113"/>
      <c r="L47" s="113"/>
      <c r="M47" s="113"/>
      <c r="N47" s="113"/>
      <c r="O47" s="113"/>
      <c r="P47" s="113"/>
      <c r="Q47" s="12" t="str">
        <f t="shared" si="1"/>
        <v/>
      </c>
      <c r="R47" s="165"/>
      <c r="S47" s="165"/>
      <c r="T47" s="165"/>
      <c r="U47" s="150"/>
      <c r="V47" s="151"/>
      <c r="W47" s="166"/>
      <c r="X47" s="119"/>
      <c r="Y47" s="113"/>
      <c r="Z47" s="113"/>
    </row>
    <row r="48">
      <c r="A48" s="113"/>
      <c r="B48" s="113"/>
      <c r="C48" s="113"/>
      <c r="D48" s="113"/>
      <c r="E48" s="113"/>
      <c r="F48" s="113"/>
      <c r="G48" s="113"/>
      <c r="H48" s="113"/>
      <c r="I48" s="113"/>
      <c r="J48" s="113"/>
      <c r="K48" s="113"/>
      <c r="L48" s="113"/>
      <c r="M48" s="113"/>
      <c r="N48" s="113"/>
      <c r="O48" s="113"/>
      <c r="P48" s="113"/>
      <c r="Q48" s="12" t="str">
        <f t="shared" si="1"/>
        <v/>
      </c>
      <c r="R48" s="165"/>
      <c r="S48" s="165"/>
      <c r="T48" s="165"/>
      <c r="U48" s="150"/>
      <c r="V48" s="151"/>
      <c r="W48" s="166"/>
      <c r="X48" s="119"/>
      <c r="Y48" s="113"/>
      <c r="Z48" s="113"/>
    </row>
    <row r="49">
      <c r="A49" s="113"/>
      <c r="B49" s="113"/>
      <c r="C49" s="113"/>
      <c r="D49" s="113"/>
      <c r="E49" s="113"/>
      <c r="F49" s="113"/>
      <c r="G49" s="113"/>
      <c r="H49" s="113"/>
      <c r="I49" s="113"/>
      <c r="J49" s="113"/>
      <c r="K49" s="113"/>
      <c r="L49" s="113"/>
      <c r="M49" s="113"/>
      <c r="N49" s="113"/>
      <c r="O49" s="113"/>
      <c r="P49" s="113"/>
      <c r="Q49" s="12" t="str">
        <f t="shared" si="1"/>
        <v/>
      </c>
      <c r="R49" s="165"/>
      <c r="S49" s="165"/>
      <c r="T49" s="165"/>
      <c r="U49" s="150"/>
      <c r="V49" s="151"/>
      <c r="W49" s="166"/>
      <c r="X49" s="119"/>
      <c r="Y49" s="113"/>
      <c r="Z49" s="113"/>
    </row>
    <row r="50">
      <c r="A50" s="113"/>
      <c r="B50" s="113"/>
      <c r="C50" s="113"/>
      <c r="D50" s="113"/>
      <c r="E50" s="113"/>
      <c r="F50" s="113"/>
      <c r="G50" s="113"/>
      <c r="H50" s="113"/>
      <c r="I50" s="113"/>
      <c r="J50" s="113"/>
      <c r="K50" s="113"/>
      <c r="L50" s="113"/>
      <c r="M50" s="113"/>
      <c r="N50" s="113"/>
      <c r="O50" s="113"/>
      <c r="P50" s="113"/>
      <c r="Q50" s="12" t="str">
        <f t="shared" si="1"/>
        <v/>
      </c>
      <c r="R50" s="165"/>
      <c r="S50" s="165"/>
      <c r="T50" s="165"/>
      <c r="U50" s="150"/>
      <c r="V50" s="151"/>
      <c r="W50" s="166"/>
      <c r="X50" s="119"/>
      <c r="Y50" s="113"/>
      <c r="Z50" s="113"/>
    </row>
    <row r="51">
      <c r="A51" s="113"/>
      <c r="B51" s="113"/>
      <c r="C51" s="113"/>
      <c r="D51" s="113"/>
      <c r="E51" s="113"/>
      <c r="F51" s="113"/>
      <c r="G51" s="113"/>
      <c r="H51" s="113"/>
      <c r="I51" s="113"/>
      <c r="J51" s="113"/>
      <c r="K51" s="113"/>
      <c r="L51" s="113"/>
      <c r="M51" s="113"/>
      <c r="N51" s="113"/>
      <c r="O51" s="113"/>
      <c r="P51" s="113"/>
      <c r="Q51" s="12" t="str">
        <f t="shared" si="1"/>
        <v/>
      </c>
      <c r="R51" s="165"/>
      <c r="S51" s="165"/>
      <c r="T51" s="165"/>
      <c r="U51" s="150"/>
      <c r="V51" s="151"/>
      <c r="W51" s="166"/>
      <c r="X51" s="119"/>
      <c r="Y51" s="113"/>
      <c r="Z51" s="113"/>
    </row>
    <row r="52">
      <c r="A52" s="113"/>
      <c r="B52" s="113"/>
      <c r="C52" s="113"/>
      <c r="D52" s="113"/>
      <c r="E52" s="113"/>
      <c r="F52" s="113"/>
      <c r="G52" s="113"/>
      <c r="H52" s="113"/>
      <c r="I52" s="113"/>
      <c r="J52" s="113"/>
      <c r="K52" s="113"/>
      <c r="L52" s="113"/>
      <c r="M52" s="113"/>
      <c r="N52" s="113"/>
      <c r="O52" s="113"/>
      <c r="P52" s="113"/>
      <c r="Q52" s="12" t="str">
        <f t="shared" si="1"/>
        <v/>
      </c>
      <c r="R52" s="165"/>
      <c r="S52" s="165"/>
      <c r="T52" s="165"/>
      <c r="U52" s="150"/>
      <c r="V52" s="151"/>
      <c r="W52" s="166"/>
      <c r="X52" s="119"/>
      <c r="Y52" s="113"/>
      <c r="Z52" s="113"/>
    </row>
    <row r="53">
      <c r="A53" s="113"/>
      <c r="B53" s="113"/>
      <c r="C53" s="113"/>
      <c r="D53" s="113"/>
      <c r="E53" s="113"/>
      <c r="F53" s="113"/>
      <c r="G53" s="113"/>
      <c r="H53" s="113"/>
      <c r="I53" s="113"/>
      <c r="J53" s="113"/>
      <c r="K53" s="113"/>
      <c r="L53" s="113"/>
      <c r="M53" s="113"/>
      <c r="N53" s="113"/>
      <c r="O53" s="113"/>
      <c r="P53" s="113"/>
      <c r="Q53" s="12" t="str">
        <f t="shared" si="1"/>
        <v/>
      </c>
      <c r="R53" s="165"/>
      <c r="S53" s="165"/>
      <c r="T53" s="165"/>
      <c r="U53" s="150"/>
      <c r="V53" s="151"/>
      <c r="W53" s="166"/>
      <c r="X53" s="119"/>
      <c r="Y53" s="113"/>
      <c r="Z53" s="113"/>
    </row>
    <row r="54">
      <c r="A54" s="113"/>
      <c r="B54" s="113"/>
      <c r="C54" s="113"/>
      <c r="D54" s="113"/>
      <c r="E54" s="113"/>
      <c r="F54" s="113"/>
      <c r="G54" s="113"/>
      <c r="H54" s="113"/>
      <c r="I54" s="113"/>
      <c r="J54" s="113"/>
      <c r="K54" s="113"/>
      <c r="L54" s="113"/>
      <c r="M54" s="113"/>
      <c r="N54" s="113"/>
      <c r="O54" s="113"/>
      <c r="P54" s="113"/>
      <c r="Q54" s="12" t="str">
        <f t="shared" si="1"/>
        <v/>
      </c>
      <c r="R54" s="165"/>
      <c r="S54" s="165"/>
      <c r="T54" s="165"/>
      <c r="U54" s="150"/>
      <c r="V54" s="151"/>
      <c r="W54" s="166"/>
      <c r="X54" s="119"/>
      <c r="Y54" s="113"/>
      <c r="Z54" s="113"/>
    </row>
    <row r="55">
      <c r="A55" s="113"/>
      <c r="B55" s="113"/>
      <c r="C55" s="113"/>
      <c r="D55" s="113"/>
      <c r="E55" s="113"/>
      <c r="F55" s="113"/>
      <c r="G55" s="113"/>
      <c r="H55" s="113"/>
      <c r="I55" s="113"/>
      <c r="J55" s="113"/>
      <c r="K55" s="113"/>
      <c r="L55" s="113"/>
      <c r="M55" s="113"/>
      <c r="N55" s="113"/>
      <c r="O55" s="113"/>
      <c r="P55" s="113"/>
      <c r="Q55" s="12" t="str">
        <f t="shared" si="1"/>
        <v/>
      </c>
      <c r="R55" s="165"/>
      <c r="S55" s="165"/>
      <c r="T55" s="165"/>
      <c r="U55" s="150"/>
      <c r="V55" s="151"/>
      <c r="W55" s="166"/>
      <c r="X55" s="119"/>
      <c r="Y55" s="113"/>
      <c r="Z55" s="113"/>
    </row>
    <row r="56">
      <c r="A56" s="113"/>
      <c r="B56" s="113"/>
      <c r="C56" s="113"/>
      <c r="D56" s="113"/>
      <c r="E56" s="113"/>
      <c r="F56" s="113"/>
      <c r="G56" s="113"/>
      <c r="H56" s="113"/>
      <c r="I56" s="113"/>
      <c r="J56" s="113"/>
      <c r="K56" s="113"/>
      <c r="L56" s="113"/>
      <c r="M56" s="113"/>
      <c r="N56" s="113"/>
      <c r="O56" s="113"/>
      <c r="P56" s="113"/>
      <c r="Q56" s="12" t="str">
        <f t="shared" si="1"/>
        <v/>
      </c>
      <c r="R56" s="165"/>
      <c r="S56" s="165"/>
      <c r="T56" s="165"/>
      <c r="U56" s="150"/>
      <c r="V56" s="151"/>
      <c r="W56" s="166"/>
      <c r="X56" s="119"/>
      <c r="Y56" s="113"/>
      <c r="Z56" s="113"/>
    </row>
    <row r="57">
      <c r="A57" s="113"/>
      <c r="B57" s="113"/>
      <c r="C57" s="113"/>
      <c r="D57" s="113"/>
      <c r="E57" s="113"/>
      <c r="F57" s="113"/>
      <c r="G57" s="113"/>
      <c r="H57" s="113"/>
      <c r="I57" s="113"/>
      <c r="J57" s="113"/>
      <c r="K57" s="113"/>
      <c r="L57" s="113"/>
      <c r="M57" s="113"/>
      <c r="N57" s="113"/>
      <c r="O57" s="113"/>
      <c r="P57" s="113"/>
      <c r="Q57" s="12" t="str">
        <f t="shared" si="1"/>
        <v/>
      </c>
      <c r="R57" s="165"/>
      <c r="S57" s="165"/>
      <c r="T57" s="165"/>
      <c r="U57" s="150"/>
      <c r="V57" s="151"/>
      <c r="W57" s="166"/>
      <c r="X57" s="119"/>
      <c r="Y57" s="113"/>
      <c r="Z57" s="113"/>
    </row>
    <row r="58">
      <c r="A58" s="113"/>
      <c r="B58" s="113"/>
      <c r="C58" s="113"/>
      <c r="D58" s="113"/>
      <c r="E58" s="113"/>
      <c r="F58" s="113"/>
      <c r="G58" s="113"/>
      <c r="H58" s="113"/>
      <c r="I58" s="113"/>
      <c r="J58" s="113"/>
      <c r="K58" s="113"/>
      <c r="L58" s="113"/>
      <c r="M58" s="113"/>
      <c r="N58" s="113"/>
      <c r="O58" s="113"/>
      <c r="P58" s="113"/>
      <c r="Q58" s="12" t="str">
        <f t="shared" si="1"/>
        <v/>
      </c>
      <c r="R58" s="165"/>
      <c r="S58" s="165"/>
      <c r="T58" s="165"/>
      <c r="U58" s="150"/>
      <c r="V58" s="151"/>
      <c r="W58" s="166"/>
      <c r="X58" s="119"/>
      <c r="Y58" s="113"/>
      <c r="Z58" s="113"/>
    </row>
    <row r="59">
      <c r="A59" s="113"/>
      <c r="B59" s="113"/>
      <c r="C59" s="113"/>
      <c r="D59" s="113"/>
      <c r="E59" s="113"/>
      <c r="F59" s="113"/>
      <c r="G59" s="113"/>
      <c r="H59" s="113"/>
      <c r="I59" s="113"/>
      <c r="J59" s="113"/>
      <c r="K59" s="113"/>
      <c r="L59" s="113"/>
      <c r="M59" s="113"/>
      <c r="N59" s="113"/>
      <c r="O59" s="113"/>
      <c r="P59" s="113"/>
      <c r="Q59" s="12" t="str">
        <f t="shared" si="1"/>
        <v/>
      </c>
      <c r="R59" s="165"/>
      <c r="S59" s="165"/>
      <c r="T59" s="165"/>
      <c r="U59" s="150"/>
      <c r="V59" s="151"/>
      <c r="W59" s="166"/>
      <c r="X59" s="119"/>
      <c r="Y59" s="113"/>
      <c r="Z59" s="113"/>
    </row>
    <row r="60">
      <c r="A60" s="113"/>
      <c r="B60" s="113"/>
      <c r="C60" s="113"/>
      <c r="D60" s="113"/>
      <c r="E60" s="113"/>
      <c r="F60" s="113"/>
      <c r="G60" s="113"/>
      <c r="H60" s="113"/>
      <c r="I60" s="113"/>
      <c r="J60" s="113"/>
      <c r="K60" s="113"/>
      <c r="L60" s="113"/>
      <c r="M60" s="113"/>
      <c r="N60" s="113"/>
      <c r="O60" s="113"/>
      <c r="P60" s="113"/>
      <c r="Q60" s="12" t="str">
        <f t="shared" si="1"/>
        <v/>
      </c>
      <c r="R60" s="165"/>
      <c r="S60" s="165"/>
      <c r="T60" s="165"/>
      <c r="U60" s="150"/>
      <c r="V60" s="151"/>
      <c r="W60" s="166"/>
      <c r="X60" s="119"/>
      <c r="Y60" s="113"/>
      <c r="Z60" s="113"/>
    </row>
    <row r="61">
      <c r="A61" s="113"/>
      <c r="B61" s="113"/>
      <c r="C61" s="113"/>
      <c r="D61" s="113"/>
      <c r="E61" s="113"/>
      <c r="F61" s="113"/>
      <c r="G61" s="113"/>
      <c r="H61" s="113"/>
      <c r="I61" s="113"/>
      <c r="J61" s="113"/>
      <c r="K61" s="113"/>
      <c r="L61" s="113"/>
      <c r="M61" s="113"/>
      <c r="N61" s="113"/>
      <c r="O61" s="113"/>
      <c r="P61" s="113"/>
      <c r="Q61" s="12" t="str">
        <f t="shared" si="1"/>
        <v/>
      </c>
      <c r="R61" s="165"/>
      <c r="S61" s="165"/>
      <c r="T61" s="165"/>
      <c r="U61" s="150"/>
      <c r="V61" s="151"/>
      <c r="W61" s="166"/>
      <c r="X61" s="119"/>
      <c r="Y61" s="113"/>
      <c r="Z61" s="113"/>
    </row>
    <row r="62">
      <c r="A62" s="113"/>
      <c r="B62" s="113"/>
      <c r="C62" s="113"/>
      <c r="D62" s="113"/>
      <c r="E62" s="113"/>
      <c r="F62" s="113"/>
      <c r="G62" s="113"/>
      <c r="H62" s="113"/>
      <c r="I62" s="113"/>
      <c r="J62" s="113"/>
      <c r="K62" s="113"/>
      <c r="L62" s="113"/>
      <c r="M62" s="113"/>
      <c r="N62" s="113"/>
      <c r="O62" s="113"/>
      <c r="P62" s="113"/>
      <c r="Q62" s="12" t="str">
        <f t="shared" si="1"/>
        <v/>
      </c>
      <c r="R62" s="165"/>
      <c r="S62" s="165"/>
      <c r="T62" s="165"/>
      <c r="U62" s="150"/>
      <c r="V62" s="151"/>
      <c r="W62" s="166"/>
      <c r="X62" s="119"/>
      <c r="Y62" s="113"/>
      <c r="Z62" s="113"/>
    </row>
    <row r="63">
      <c r="A63" s="113"/>
      <c r="B63" s="113"/>
      <c r="C63" s="113"/>
      <c r="D63" s="113"/>
      <c r="E63" s="113"/>
      <c r="F63" s="113"/>
      <c r="G63" s="113"/>
      <c r="H63" s="113"/>
      <c r="I63" s="113"/>
      <c r="J63" s="113"/>
      <c r="K63" s="113"/>
      <c r="L63" s="113"/>
      <c r="M63" s="113"/>
      <c r="N63" s="113"/>
      <c r="O63" s="113"/>
      <c r="P63" s="113"/>
      <c r="Q63" s="12" t="str">
        <f t="shared" si="1"/>
        <v/>
      </c>
      <c r="R63" s="165"/>
      <c r="S63" s="165"/>
      <c r="T63" s="165"/>
      <c r="U63" s="150"/>
      <c r="V63" s="151"/>
      <c r="W63" s="166"/>
      <c r="X63" s="119"/>
      <c r="Y63" s="113"/>
      <c r="Z63" s="113"/>
    </row>
    <row r="64">
      <c r="A64" s="113"/>
      <c r="B64" s="113"/>
      <c r="C64" s="113"/>
      <c r="D64" s="113"/>
      <c r="E64" s="113"/>
      <c r="F64" s="113"/>
      <c r="G64" s="113"/>
      <c r="H64" s="113"/>
      <c r="I64" s="113"/>
      <c r="J64" s="113"/>
      <c r="K64" s="113"/>
      <c r="L64" s="113"/>
      <c r="M64" s="113"/>
      <c r="N64" s="113"/>
      <c r="O64" s="113"/>
      <c r="P64" s="113"/>
      <c r="Q64" s="12" t="str">
        <f t="shared" si="1"/>
        <v/>
      </c>
      <c r="R64" s="165"/>
      <c r="S64" s="165"/>
      <c r="T64" s="165"/>
      <c r="U64" s="150"/>
      <c r="V64" s="151"/>
      <c r="W64" s="166"/>
      <c r="X64" s="119"/>
      <c r="Y64" s="113"/>
      <c r="Z64" s="113"/>
    </row>
    <row r="65">
      <c r="A65" s="113"/>
      <c r="B65" s="113"/>
      <c r="C65" s="113"/>
      <c r="D65" s="113"/>
      <c r="E65" s="113"/>
      <c r="F65" s="113"/>
      <c r="G65" s="113"/>
      <c r="H65" s="113"/>
      <c r="I65" s="113"/>
      <c r="J65" s="113"/>
      <c r="K65" s="113"/>
      <c r="L65" s="113"/>
      <c r="M65" s="113"/>
      <c r="N65" s="113"/>
      <c r="O65" s="113"/>
      <c r="P65" s="113"/>
      <c r="Q65" s="12" t="str">
        <f t="shared" si="1"/>
        <v/>
      </c>
      <c r="R65" s="165"/>
      <c r="S65" s="165"/>
      <c r="T65" s="165"/>
      <c r="U65" s="150"/>
      <c r="V65" s="151"/>
      <c r="W65" s="166"/>
      <c r="X65" s="119"/>
      <c r="Y65" s="113"/>
      <c r="Z65" s="113"/>
    </row>
    <row r="66">
      <c r="A66" s="113"/>
      <c r="B66" s="113"/>
      <c r="C66" s="113"/>
      <c r="D66" s="113"/>
      <c r="E66" s="113"/>
      <c r="F66" s="113"/>
      <c r="G66" s="113"/>
      <c r="H66" s="113"/>
      <c r="I66" s="113"/>
      <c r="J66" s="113"/>
      <c r="K66" s="113"/>
      <c r="L66" s="113"/>
      <c r="M66" s="113"/>
      <c r="N66" s="113"/>
      <c r="O66" s="113"/>
      <c r="P66" s="113"/>
      <c r="Q66" s="12" t="str">
        <f t="shared" si="1"/>
        <v/>
      </c>
      <c r="R66" s="165"/>
      <c r="S66" s="165"/>
      <c r="T66" s="165"/>
      <c r="U66" s="150"/>
      <c r="V66" s="151"/>
      <c r="W66" s="166"/>
      <c r="X66" s="119"/>
      <c r="Y66" s="113"/>
      <c r="Z66" s="113"/>
    </row>
    <row r="67">
      <c r="A67" s="113"/>
      <c r="B67" s="113"/>
      <c r="C67" s="113"/>
      <c r="D67" s="113"/>
      <c r="E67" s="113"/>
      <c r="F67" s="113"/>
      <c r="G67" s="113"/>
      <c r="H67" s="113"/>
      <c r="I67" s="113"/>
      <c r="J67" s="113"/>
      <c r="K67" s="113"/>
      <c r="L67" s="113"/>
      <c r="M67" s="113"/>
      <c r="N67" s="113"/>
      <c r="O67" s="113"/>
      <c r="P67" s="113"/>
      <c r="Q67" s="12" t="str">
        <f t="shared" si="1"/>
        <v/>
      </c>
      <c r="R67" s="165"/>
      <c r="S67" s="165"/>
      <c r="T67" s="165"/>
      <c r="U67" s="150"/>
      <c r="V67" s="151"/>
      <c r="W67" s="166"/>
      <c r="X67" s="119"/>
      <c r="Y67" s="113"/>
      <c r="Z67" s="113"/>
    </row>
    <row r="68">
      <c r="A68" s="113"/>
      <c r="B68" s="113"/>
      <c r="C68" s="113"/>
      <c r="D68" s="113"/>
      <c r="E68" s="113"/>
      <c r="F68" s="113"/>
      <c r="G68" s="113"/>
      <c r="H68" s="113"/>
      <c r="I68" s="113"/>
      <c r="J68" s="113"/>
      <c r="K68" s="113"/>
      <c r="L68" s="113"/>
      <c r="M68" s="113"/>
      <c r="N68" s="113"/>
      <c r="O68" s="113"/>
      <c r="P68" s="113"/>
      <c r="Q68" s="12" t="str">
        <f t="shared" si="1"/>
        <v/>
      </c>
      <c r="R68" s="165"/>
      <c r="S68" s="165"/>
      <c r="T68" s="165"/>
      <c r="U68" s="150"/>
      <c r="V68" s="151"/>
      <c r="W68" s="166"/>
      <c r="X68" s="119"/>
      <c r="Y68" s="113"/>
      <c r="Z68" s="113"/>
    </row>
    <row r="69">
      <c r="A69" s="113"/>
      <c r="B69" s="113"/>
      <c r="C69" s="113"/>
      <c r="D69" s="113"/>
      <c r="E69" s="113"/>
      <c r="F69" s="113"/>
      <c r="G69" s="113"/>
      <c r="H69" s="113"/>
      <c r="I69" s="113"/>
      <c r="J69" s="113"/>
      <c r="K69" s="113"/>
      <c r="L69" s="113"/>
      <c r="M69" s="113"/>
      <c r="N69" s="113"/>
      <c r="O69" s="113"/>
      <c r="P69" s="113"/>
      <c r="Q69" s="12" t="str">
        <f t="shared" si="1"/>
        <v/>
      </c>
      <c r="R69" s="165"/>
      <c r="S69" s="165"/>
      <c r="T69" s="165"/>
      <c r="U69" s="150"/>
      <c r="V69" s="151"/>
      <c r="W69" s="166"/>
      <c r="X69" s="119"/>
      <c r="Y69" s="113"/>
      <c r="Z69" s="113"/>
    </row>
    <row r="70">
      <c r="A70" s="113"/>
      <c r="B70" s="113"/>
      <c r="C70" s="113"/>
      <c r="D70" s="113"/>
      <c r="E70" s="113"/>
      <c r="F70" s="113"/>
      <c r="G70" s="113"/>
      <c r="H70" s="113"/>
      <c r="I70" s="113"/>
      <c r="J70" s="113"/>
      <c r="K70" s="113"/>
      <c r="L70" s="113"/>
      <c r="M70" s="113"/>
      <c r="N70" s="113"/>
      <c r="O70" s="113"/>
      <c r="P70" s="113"/>
      <c r="Q70" s="12" t="str">
        <f t="shared" si="1"/>
        <v/>
      </c>
      <c r="R70" s="165"/>
      <c r="S70" s="165"/>
      <c r="T70" s="165"/>
      <c r="U70" s="150"/>
      <c r="V70" s="151"/>
      <c r="W70" s="166"/>
      <c r="X70" s="119"/>
      <c r="Y70" s="113"/>
      <c r="Z70" s="113"/>
    </row>
    <row r="71">
      <c r="A71" s="113"/>
      <c r="B71" s="113"/>
      <c r="C71" s="113"/>
      <c r="D71" s="113"/>
      <c r="E71" s="113"/>
      <c r="F71" s="113"/>
      <c r="G71" s="113"/>
      <c r="H71" s="113"/>
      <c r="I71" s="113"/>
      <c r="J71" s="113"/>
      <c r="K71" s="113"/>
      <c r="L71" s="113"/>
      <c r="M71" s="113"/>
      <c r="N71" s="113"/>
      <c r="O71" s="113"/>
      <c r="P71" s="113"/>
      <c r="Q71" s="12" t="str">
        <f t="shared" si="1"/>
        <v/>
      </c>
      <c r="R71" s="165"/>
      <c r="S71" s="165"/>
      <c r="T71" s="165"/>
      <c r="U71" s="150"/>
      <c r="V71" s="151"/>
      <c r="W71" s="166"/>
      <c r="X71" s="119"/>
      <c r="Y71" s="113"/>
      <c r="Z71" s="113"/>
    </row>
    <row r="72">
      <c r="A72" s="113"/>
      <c r="B72" s="113"/>
      <c r="C72" s="113"/>
      <c r="D72" s="113"/>
      <c r="E72" s="113"/>
      <c r="F72" s="113"/>
      <c r="G72" s="113"/>
      <c r="H72" s="113"/>
      <c r="I72" s="113"/>
      <c r="J72" s="113"/>
      <c r="K72" s="113"/>
      <c r="L72" s="113"/>
      <c r="M72" s="113"/>
      <c r="N72" s="113"/>
      <c r="O72" s="113"/>
      <c r="P72" s="113"/>
      <c r="Q72" s="12" t="str">
        <f t="shared" si="1"/>
        <v/>
      </c>
      <c r="R72" s="165"/>
      <c r="S72" s="165"/>
      <c r="T72" s="165"/>
      <c r="U72" s="150"/>
      <c r="V72" s="151"/>
      <c r="W72" s="166"/>
      <c r="X72" s="119"/>
      <c r="Y72" s="113"/>
      <c r="Z72" s="113"/>
    </row>
    <row r="73">
      <c r="A73" s="113"/>
      <c r="B73" s="113"/>
      <c r="C73" s="113"/>
      <c r="D73" s="113"/>
      <c r="E73" s="113"/>
      <c r="F73" s="113"/>
      <c r="G73" s="113"/>
      <c r="H73" s="113"/>
      <c r="I73" s="113"/>
      <c r="J73" s="113"/>
      <c r="K73" s="113"/>
      <c r="L73" s="113"/>
      <c r="M73" s="113"/>
      <c r="N73" s="113"/>
      <c r="O73" s="113"/>
      <c r="P73" s="113"/>
      <c r="Q73" s="12" t="str">
        <f t="shared" si="1"/>
        <v/>
      </c>
      <c r="R73" s="165"/>
      <c r="S73" s="165"/>
      <c r="T73" s="165"/>
      <c r="U73" s="150"/>
      <c r="V73" s="151"/>
      <c r="W73" s="166"/>
      <c r="X73" s="119"/>
      <c r="Y73" s="113"/>
      <c r="Z73" s="113"/>
    </row>
    <row r="74">
      <c r="A74" s="113"/>
      <c r="B74" s="113"/>
      <c r="C74" s="113"/>
      <c r="D74" s="113"/>
      <c r="E74" s="113"/>
      <c r="F74" s="113"/>
      <c r="G74" s="113"/>
      <c r="H74" s="113"/>
      <c r="I74" s="113"/>
      <c r="J74" s="113"/>
      <c r="K74" s="113"/>
      <c r="L74" s="113"/>
      <c r="M74" s="113"/>
      <c r="N74" s="113"/>
      <c r="O74" s="113"/>
      <c r="P74" s="113"/>
      <c r="Q74" s="12" t="str">
        <f t="shared" si="1"/>
        <v/>
      </c>
      <c r="R74" s="165"/>
      <c r="S74" s="165"/>
      <c r="T74" s="165"/>
      <c r="U74" s="150"/>
      <c r="V74" s="151"/>
      <c r="W74" s="166"/>
      <c r="X74" s="119"/>
      <c r="Y74" s="113"/>
      <c r="Z74" s="113"/>
    </row>
    <row r="75">
      <c r="A75" s="113"/>
      <c r="B75" s="113"/>
      <c r="C75" s="113"/>
      <c r="D75" s="113"/>
      <c r="E75" s="113"/>
      <c r="F75" s="113"/>
      <c r="G75" s="113"/>
      <c r="H75" s="113"/>
      <c r="I75" s="113"/>
      <c r="J75" s="113"/>
      <c r="K75" s="113"/>
      <c r="L75" s="113"/>
      <c r="M75" s="113"/>
      <c r="N75" s="113"/>
      <c r="O75" s="113"/>
      <c r="P75" s="113"/>
      <c r="Q75" s="12" t="str">
        <f t="shared" si="1"/>
        <v/>
      </c>
      <c r="R75" s="165"/>
      <c r="S75" s="165"/>
      <c r="T75" s="165"/>
      <c r="U75" s="150"/>
      <c r="V75" s="151"/>
      <c r="W75" s="166"/>
      <c r="X75" s="119"/>
      <c r="Y75" s="113"/>
      <c r="Z75" s="113"/>
    </row>
    <row r="76">
      <c r="A76" s="113"/>
      <c r="B76" s="113"/>
      <c r="C76" s="113"/>
      <c r="D76" s="113"/>
      <c r="E76" s="113"/>
      <c r="F76" s="113"/>
      <c r="G76" s="113"/>
      <c r="H76" s="113"/>
      <c r="I76" s="113"/>
      <c r="J76" s="113"/>
      <c r="K76" s="113"/>
      <c r="L76" s="113"/>
      <c r="M76" s="113"/>
      <c r="N76" s="113"/>
      <c r="O76" s="113"/>
      <c r="P76" s="113"/>
      <c r="Q76" s="12" t="str">
        <f t="shared" si="1"/>
        <v/>
      </c>
      <c r="R76" s="165"/>
      <c r="S76" s="165"/>
      <c r="T76" s="165"/>
      <c r="U76" s="150"/>
      <c r="V76" s="151"/>
      <c r="W76" s="166"/>
      <c r="X76" s="119"/>
      <c r="Y76" s="113"/>
      <c r="Z76" s="113"/>
    </row>
    <row r="77">
      <c r="A77" s="113"/>
      <c r="B77" s="113"/>
      <c r="C77" s="113"/>
      <c r="D77" s="113"/>
      <c r="E77" s="113"/>
      <c r="F77" s="113"/>
      <c r="G77" s="113"/>
      <c r="H77" s="113"/>
      <c r="I77" s="113"/>
      <c r="J77" s="113"/>
      <c r="K77" s="113"/>
      <c r="L77" s="113"/>
      <c r="M77" s="113"/>
      <c r="N77" s="113"/>
      <c r="O77" s="113"/>
      <c r="P77" s="113"/>
      <c r="Q77" s="12" t="str">
        <f t="shared" si="1"/>
        <v/>
      </c>
      <c r="R77" s="165"/>
      <c r="S77" s="165"/>
      <c r="T77" s="165"/>
      <c r="U77" s="150"/>
      <c r="V77" s="151"/>
      <c r="W77" s="166"/>
      <c r="X77" s="119"/>
      <c r="Y77" s="113"/>
      <c r="Z77" s="113"/>
    </row>
    <row r="78">
      <c r="A78" s="113"/>
      <c r="B78" s="113"/>
      <c r="C78" s="113"/>
      <c r="D78" s="113"/>
      <c r="E78" s="113"/>
      <c r="F78" s="113"/>
      <c r="G78" s="113"/>
      <c r="H78" s="113"/>
      <c r="I78" s="113"/>
      <c r="J78" s="113"/>
      <c r="K78" s="113"/>
      <c r="L78" s="113"/>
      <c r="M78" s="113"/>
      <c r="N78" s="113"/>
      <c r="O78" s="113"/>
      <c r="P78" s="113"/>
      <c r="Q78" s="12" t="str">
        <f t="shared" si="1"/>
        <v/>
      </c>
      <c r="R78" s="165"/>
      <c r="S78" s="165"/>
      <c r="T78" s="165"/>
      <c r="U78" s="150"/>
      <c r="V78" s="151"/>
      <c r="W78" s="166"/>
      <c r="X78" s="119"/>
      <c r="Y78" s="113"/>
      <c r="Z78" s="113"/>
    </row>
    <row r="79">
      <c r="A79" s="113"/>
      <c r="B79" s="113"/>
      <c r="C79" s="113"/>
      <c r="D79" s="113"/>
      <c r="E79" s="113"/>
      <c r="F79" s="113"/>
      <c r="G79" s="113"/>
      <c r="H79" s="113"/>
      <c r="I79" s="113"/>
      <c r="J79" s="113"/>
      <c r="K79" s="113"/>
      <c r="L79" s="113"/>
      <c r="M79" s="113"/>
      <c r="N79" s="113"/>
      <c r="O79" s="113"/>
      <c r="P79" s="113"/>
      <c r="Q79" s="12" t="str">
        <f t="shared" si="1"/>
        <v/>
      </c>
      <c r="R79" s="165"/>
      <c r="S79" s="165"/>
      <c r="T79" s="165"/>
      <c r="U79" s="150"/>
      <c r="V79" s="151"/>
      <c r="W79" s="166"/>
      <c r="X79" s="119"/>
      <c r="Y79" s="113"/>
      <c r="Z79" s="113"/>
    </row>
    <row r="80">
      <c r="A80" s="113"/>
      <c r="B80" s="113"/>
      <c r="C80" s="113"/>
      <c r="D80" s="113"/>
      <c r="E80" s="113"/>
      <c r="F80" s="113"/>
      <c r="G80" s="113"/>
      <c r="H80" s="113"/>
      <c r="I80" s="113"/>
      <c r="J80" s="113"/>
      <c r="K80" s="113"/>
      <c r="L80" s="113"/>
      <c r="M80" s="113"/>
      <c r="N80" s="113"/>
      <c r="O80" s="113"/>
      <c r="P80" s="113"/>
      <c r="Q80" s="12" t="str">
        <f t="shared" si="1"/>
        <v/>
      </c>
      <c r="R80" s="165"/>
      <c r="S80" s="165"/>
      <c r="T80" s="165"/>
      <c r="U80" s="150"/>
      <c r="V80" s="151"/>
      <c r="W80" s="166"/>
      <c r="X80" s="119"/>
      <c r="Y80" s="113"/>
      <c r="Z80" s="113"/>
    </row>
    <row r="81">
      <c r="A81" s="113"/>
      <c r="B81" s="113"/>
      <c r="C81" s="113"/>
      <c r="D81" s="113"/>
      <c r="E81" s="113"/>
      <c r="F81" s="113"/>
      <c r="G81" s="113"/>
      <c r="H81" s="113"/>
      <c r="I81" s="113"/>
      <c r="J81" s="113"/>
      <c r="K81" s="113"/>
      <c r="L81" s="113"/>
      <c r="M81" s="113"/>
      <c r="N81" s="113"/>
      <c r="O81" s="113"/>
      <c r="P81" s="113"/>
      <c r="Q81" s="12" t="str">
        <f t="shared" si="1"/>
        <v/>
      </c>
      <c r="R81" s="165"/>
      <c r="S81" s="165"/>
      <c r="T81" s="165"/>
      <c r="U81" s="150"/>
      <c r="V81" s="151"/>
      <c r="W81" s="166"/>
      <c r="X81" s="119"/>
      <c r="Y81" s="113"/>
      <c r="Z81" s="113"/>
    </row>
    <row r="82">
      <c r="A82" s="113"/>
      <c r="B82" s="113"/>
      <c r="C82" s="113"/>
      <c r="D82" s="113"/>
      <c r="E82" s="113"/>
      <c r="F82" s="113"/>
      <c r="G82" s="113"/>
      <c r="H82" s="113"/>
      <c r="I82" s="113"/>
      <c r="J82" s="113"/>
      <c r="K82" s="113"/>
      <c r="L82" s="113"/>
      <c r="M82" s="113"/>
      <c r="N82" s="113"/>
      <c r="O82" s="113"/>
      <c r="P82" s="113"/>
      <c r="Q82" s="12" t="str">
        <f t="shared" si="1"/>
        <v/>
      </c>
      <c r="R82" s="165"/>
      <c r="S82" s="165"/>
      <c r="T82" s="165"/>
      <c r="U82" s="150"/>
      <c r="V82" s="151"/>
      <c r="W82" s="166"/>
      <c r="X82" s="119"/>
      <c r="Y82" s="113"/>
      <c r="Z82" s="113"/>
    </row>
    <row r="83">
      <c r="A83" s="113"/>
      <c r="B83" s="113"/>
      <c r="C83" s="113"/>
      <c r="D83" s="113"/>
      <c r="E83" s="113"/>
      <c r="F83" s="113"/>
      <c r="G83" s="113"/>
      <c r="H83" s="113"/>
      <c r="I83" s="113"/>
      <c r="J83" s="113"/>
      <c r="K83" s="113"/>
      <c r="L83" s="113"/>
      <c r="M83" s="113"/>
      <c r="N83" s="113"/>
      <c r="O83" s="113"/>
      <c r="P83" s="113"/>
      <c r="Q83" s="12" t="str">
        <f t="shared" si="1"/>
        <v/>
      </c>
      <c r="R83" s="165"/>
      <c r="S83" s="165"/>
      <c r="T83" s="165"/>
      <c r="U83" s="150"/>
      <c r="V83" s="151"/>
      <c r="W83" s="166"/>
      <c r="X83" s="119"/>
      <c r="Y83" s="113"/>
      <c r="Z83" s="113"/>
    </row>
    <row r="84">
      <c r="A84" s="113"/>
      <c r="B84" s="113"/>
      <c r="C84" s="113"/>
      <c r="D84" s="113"/>
      <c r="E84" s="113"/>
      <c r="F84" s="113"/>
      <c r="G84" s="113"/>
      <c r="H84" s="113"/>
      <c r="I84" s="113"/>
      <c r="J84" s="113"/>
      <c r="K84" s="113"/>
      <c r="L84" s="113"/>
      <c r="M84" s="113"/>
      <c r="N84" s="113"/>
      <c r="O84" s="113"/>
      <c r="P84" s="113"/>
      <c r="Q84" s="12" t="str">
        <f t="shared" si="1"/>
        <v/>
      </c>
      <c r="R84" s="165"/>
      <c r="S84" s="165"/>
      <c r="T84" s="165"/>
      <c r="U84" s="150"/>
      <c r="V84" s="151"/>
      <c r="W84" s="166"/>
      <c r="X84" s="119"/>
      <c r="Y84" s="113"/>
      <c r="Z84" s="113"/>
    </row>
    <row r="85">
      <c r="A85" s="113"/>
      <c r="B85" s="113"/>
      <c r="C85" s="113"/>
      <c r="D85" s="113"/>
      <c r="E85" s="113"/>
      <c r="F85" s="113"/>
      <c r="G85" s="113"/>
      <c r="H85" s="113"/>
      <c r="I85" s="113"/>
      <c r="J85" s="113"/>
      <c r="K85" s="113"/>
      <c r="L85" s="113"/>
      <c r="M85" s="113"/>
      <c r="N85" s="113"/>
      <c r="O85" s="113"/>
      <c r="P85" s="113"/>
      <c r="Q85" s="12" t="str">
        <f t="shared" si="1"/>
        <v/>
      </c>
      <c r="R85" s="165"/>
      <c r="S85" s="165"/>
      <c r="T85" s="165"/>
      <c r="U85" s="150"/>
      <c r="V85" s="151"/>
      <c r="W85" s="166"/>
      <c r="X85" s="119"/>
      <c r="Y85" s="113"/>
      <c r="Z85" s="113"/>
    </row>
    <row r="86">
      <c r="A86" s="113"/>
      <c r="B86" s="113"/>
      <c r="C86" s="113"/>
      <c r="D86" s="113"/>
      <c r="E86" s="113"/>
      <c r="F86" s="113"/>
      <c r="G86" s="113"/>
      <c r="H86" s="113"/>
      <c r="I86" s="113"/>
      <c r="J86" s="113"/>
      <c r="K86" s="113"/>
      <c r="L86" s="113"/>
      <c r="M86" s="113"/>
      <c r="N86" s="113"/>
      <c r="O86" s="113"/>
      <c r="P86" s="113"/>
      <c r="Q86" s="12" t="str">
        <f t="shared" si="1"/>
        <v/>
      </c>
      <c r="R86" s="165"/>
      <c r="S86" s="165"/>
      <c r="T86" s="165"/>
      <c r="U86" s="150"/>
      <c r="V86" s="151"/>
      <c r="W86" s="166"/>
      <c r="X86" s="119"/>
      <c r="Y86" s="113"/>
      <c r="Z86" s="113"/>
    </row>
    <row r="87">
      <c r="A87" s="113"/>
      <c r="B87" s="113"/>
      <c r="C87" s="113"/>
      <c r="D87" s="113"/>
      <c r="E87" s="113"/>
      <c r="F87" s="113"/>
      <c r="G87" s="113"/>
      <c r="H87" s="113"/>
      <c r="I87" s="113"/>
      <c r="J87" s="113"/>
      <c r="K87" s="113"/>
      <c r="L87" s="113"/>
      <c r="M87" s="113"/>
      <c r="N87" s="113"/>
      <c r="O87" s="113"/>
      <c r="P87" s="113"/>
      <c r="Q87" s="12" t="str">
        <f t="shared" si="1"/>
        <v/>
      </c>
      <c r="R87" s="165"/>
      <c r="S87" s="165"/>
      <c r="T87" s="165"/>
      <c r="U87" s="150"/>
      <c r="V87" s="151"/>
      <c r="W87" s="166"/>
      <c r="X87" s="119"/>
      <c r="Y87" s="113"/>
      <c r="Z87" s="113"/>
    </row>
    <row r="88">
      <c r="A88" s="113"/>
      <c r="B88" s="113"/>
      <c r="C88" s="113"/>
      <c r="D88" s="113"/>
      <c r="E88" s="113"/>
      <c r="F88" s="113"/>
      <c r="G88" s="113"/>
      <c r="H88" s="113"/>
      <c r="I88" s="113"/>
      <c r="J88" s="113"/>
      <c r="K88" s="113"/>
      <c r="L88" s="113"/>
      <c r="M88" s="113"/>
      <c r="N88" s="113"/>
      <c r="O88" s="113"/>
      <c r="P88" s="113"/>
      <c r="Q88" s="12" t="str">
        <f t="shared" si="1"/>
        <v/>
      </c>
      <c r="R88" s="165"/>
      <c r="S88" s="165"/>
      <c r="T88" s="165"/>
      <c r="U88" s="150"/>
      <c r="V88" s="151"/>
      <c r="W88" s="166"/>
      <c r="X88" s="119"/>
      <c r="Y88" s="113"/>
      <c r="Z88" s="113"/>
    </row>
    <row r="89">
      <c r="A89" s="113"/>
      <c r="B89" s="113"/>
      <c r="C89" s="113"/>
      <c r="D89" s="113"/>
      <c r="E89" s="113"/>
      <c r="F89" s="113"/>
      <c r="G89" s="113"/>
      <c r="H89" s="113"/>
      <c r="I89" s="113"/>
      <c r="J89" s="113"/>
      <c r="K89" s="113"/>
      <c r="L89" s="113"/>
      <c r="M89" s="113"/>
      <c r="N89" s="113"/>
      <c r="O89" s="113"/>
      <c r="P89" s="113"/>
      <c r="Q89" s="12" t="str">
        <f t="shared" si="1"/>
        <v/>
      </c>
      <c r="R89" s="165"/>
      <c r="S89" s="165"/>
      <c r="T89" s="165"/>
      <c r="U89" s="150"/>
      <c r="V89" s="151"/>
      <c r="W89" s="166"/>
      <c r="X89" s="119"/>
      <c r="Y89" s="113"/>
      <c r="Z89" s="113"/>
    </row>
    <row r="90">
      <c r="A90" s="113"/>
      <c r="B90" s="113"/>
      <c r="C90" s="113"/>
      <c r="D90" s="113"/>
      <c r="E90" s="113"/>
      <c r="F90" s="113"/>
      <c r="G90" s="113"/>
      <c r="H90" s="113"/>
      <c r="I90" s="113"/>
      <c r="J90" s="113"/>
      <c r="K90" s="113"/>
      <c r="L90" s="113"/>
      <c r="M90" s="113"/>
      <c r="N90" s="113"/>
      <c r="O90" s="113"/>
      <c r="P90" s="113"/>
      <c r="Q90" s="12" t="str">
        <f t="shared" si="1"/>
        <v/>
      </c>
      <c r="R90" s="165"/>
      <c r="S90" s="165"/>
      <c r="T90" s="165"/>
      <c r="U90" s="150"/>
      <c r="V90" s="151"/>
      <c r="W90" s="166"/>
      <c r="X90" s="119"/>
      <c r="Y90" s="113"/>
      <c r="Z90" s="113"/>
    </row>
    <row r="91">
      <c r="A91" s="113"/>
      <c r="B91" s="113"/>
      <c r="C91" s="113"/>
      <c r="D91" s="113"/>
      <c r="E91" s="113"/>
      <c r="F91" s="113"/>
      <c r="G91" s="113"/>
      <c r="H91" s="113"/>
      <c r="I91" s="113"/>
      <c r="J91" s="113"/>
      <c r="K91" s="113"/>
      <c r="L91" s="113"/>
      <c r="M91" s="113"/>
      <c r="N91" s="113"/>
      <c r="O91" s="113"/>
      <c r="P91" s="113"/>
      <c r="Q91" s="12" t="str">
        <f t="shared" si="1"/>
        <v/>
      </c>
      <c r="R91" s="165"/>
      <c r="S91" s="165"/>
      <c r="T91" s="165"/>
      <c r="U91" s="150"/>
      <c r="V91" s="151"/>
      <c r="W91" s="166"/>
      <c r="X91" s="119"/>
      <c r="Y91" s="113"/>
      <c r="Z91" s="113"/>
    </row>
    <row r="92">
      <c r="A92" s="113"/>
      <c r="B92" s="113"/>
      <c r="C92" s="113"/>
      <c r="D92" s="113"/>
      <c r="E92" s="113"/>
      <c r="F92" s="113"/>
      <c r="G92" s="113"/>
      <c r="H92" s="113"/>
      <c r="I92" s="113"/>
      <c r="J92" s="113"/>
      <c r="K92" s="113"/>
      <c r="L92" s="113"/>
      <c r="M92" s="113"/>
      <c r="N92" s="113"/>
      <c r="O92" s="113"/>
      <c r="P92" s="113"/>
      <c r="Q92" s="12" t="str">
        <f t="shared" si="1"/>
        <v/>
      </c>
      <c r="R92" s="165"/>
      <c r="S92" s="165"/>
      <c r="T92" s="165"/>
      <c r="U92" s="150"/>
      <c r="V92" s="151"/>
      <c r="W92" s="166"/>
      <c r="X92" s="119"/>
      <c r="Y92" s="113"/>
      <c r="Z92" s="113"/>
    </row>
    <row r="93">
      <c r="A93" s="113"/>
      <c r="B93" s="113"/>
      <c r="C93" s="113"/>
      <c r="D93" s="113"/>
      <c r="E93" s="113"/>
      <c r="F93" s="113"/>
      <c r="G93" s="113"/>
      <c r="H93" s="113"/>
      <c r="I93" s="113"/>
      <c r="J93" s="113"/>
      <c r="K93" s="113"/>
      <c r="L93" s="113"/>
      <c r="M93" s="113"/>
      <c r="N93" s="113"/>
      <c r="O93" s="113"/>
      <c r="P93" s="113"/>
      <c r="Q93" s="12" t="str">
        <f t="shared" si="1"/>
        <v/>
      </c>
      <c r="R93" s="165"/>
      <c r="S93" s="165"/>
      <c r="T93" s="165"/>
      <c r="U93" s="150"/>
      <c r="V93" s="151"/>
      <c r="W93" s="166"/>
      <c r="X93" s="119"/>
      <c r="Y93" s="113"/>
      <c r="Z93" s="113"/>
    </row>
    <row r="94">
      <c r="A94" s="113"/>
      <c r="B94" s="113"/>
      <c r="C94" s="113"/>
      <c r="D94" s="113"/>
      <c r="E94" s="113"/>
      <c r="F94" s="113"/>
      <c r="G94" s="113"/>
      <c r="H94" s="113"/>
      <c r="I94" s="113"/>
      <c r="J94" s="113"/>
      <c r="K94" s="113"/>
      <c r="L94" s="113"/>
      <c r="M94" s="113"/>
      <c r="N94" s="113"/>
      <c r="O94" s="113"/>
      <c r="P94" s="113"/>
      <c r="Q94" s="12" t="str">
        <f t="shared" si="1"/>
        <v/>
      </c>
      <c r="R94" s="165"/>
      <c r="S94" s="165"/>
      <c r="T94" s="165"/>
      <c r="U94" s="150"/>
      <c r="V94" s="151"/>
      <c r="W94" s="166"/>
      <c r="X94" s="119"/>
      <c r="Y94" s="113"/>
      <c r="Z94" s="113"/>
    </row>
    <row r="95">
      <c r="A95" s="113"/>
      <c r="B95" s="113"/>
      <c r="C95" s="113"/>
      <c r="D95" s="113"/>
      <c r="E95" s="113"/>
      <c r="F95" s="113"/>
      <c r="G95" s="113"/>
      <c r="H95" s="113"/>
      <c r="I95" s="113"/>
      <c r="J95" s="113"/>
      <c r="K95" s="113"/>
      <c r="L95" s="113"/>
      <c r="M95" s="113"/>
      <c r="N95" s="113"/>
      <c r="O95" s="113"/>
      <c r="P95" s="113"/>
      <c r="Q95" s="12" t="str">
        <f t="shared" si="1"/>
        <v/>
      </c>
      <c r="R95" s="165"/>
      <c r="S95" s="165"/>
      <c r="T95" s="165"/>
      <c r="U95" s="150"/>
      <c r="V95" s="151"/>
      <c r="W95" s="166"/>
      <c r="X95" s="119"/>
      <c r="Y95" s="113"/>
      <c r="Z95" s="113"/>
    </row>
    <row r="96">
      <c r="A96" s="113"/>
      <c r="B96" s="113"/>
      <c r="C96" s="113"/>
      <c r="D96" s="113"/>
      <c r="E96" s="113"/>
      <c r="F96" s="113"/>
      <c r="G96" s="113"/>
      <c r="H96" s="113"/>
      <c r="I96" s="113"/>
      <c r="J96" s="113"/>
      <c r="K96" s="113"/>
      <c r="L96" s="113"/>
      <c r="M96" s="113"/>
      <c r="N96" s="113"/>
      <c r="O96" s="113"/>
      <c r="P96" s="113"/>
      <c r="Q96" s="12" t="str">
        <f t="shared" si="1"/>
        <v/>
      </c>
      <c r="R96" s="165"/>
      <c r="S96" s="165"/>
      <c r="T96" s="165"/>
      <c r="U96" s="150"/>
      <c r="V96" s="151"/>
      <c r="W96" s="166"/>
      <c r="X96" s="119"/>
      <c r="Y96" s="113"/>
      <c r="Z96" s="113"/>
    </row>
    <row r="97">
      <c r="A97" s="113"/>
      <c r="B97" s="113"/>
      <c r="C97" s="113"/>
      <c r="D97" s="113"/>
      <c r="E97" s="113"/>
      <c r="F97" s="113"/>
      <c r="G97" s="113"/>
      <c r="H97" s="113"/>
      <c r="I97" s="113"/>
      <c r="J97" s="113"/>
      <c r="K97" s="113"/>
      <c r="L97" s="113"/>
      <c r="M97" s="113"/>
      <c r="N97" s="113"/>
      <c r="O97" s="113"/>
      <c r="P97" s="113"/>
      <c r="Q97" s="12" t="str">
        <f t="shared" si="1"/>
        <v/>
      </c>
      <c r="R97" s="165"/>
      <c r="S97" s="165"/>
      <c r="T97" s="165"/>
      <c r="U97" s="150"/>
      <c r="V97" s="151"/>
      <c r="W97" s="166"/>
      <c r="X97" s="119"/>
      <c r="Y97" s="113"/>
      <c r="Z97" s="113"/>
    </row>
    <row r="98">
      <c r="A98" s="113"/>
      <c r="B98" s="113"/>
      <c r="C98" s="113"/>
      <c r="D98" s="113"/>
      <c r="E98" s="113"/>
      <c r="F98" s="113"/>
      <c r="G98" s="113"/>
      <c r="H98" s="113"/>
      <c r="I98" s="113"/>
      <c r="J98" s="113"/>
      <c r="K98" s="113"/>
      <c r="L98" s="113"/>
      <c r="M98" s="113"/>
      <c r="N98" s="113"/>
      <c r="O98" s="113"/>
      <c r="P98" s="113"/>
      <c r="Q98" s="12" t="str">
        <f t="shared" si="1"/>
        <v/>
      </c>
      <c r="R98" s="165"/>
      <c r="S98" s="165"/>
      <c r="T98" s="165"/>
      <c r="U98" s="150"/>
      <c r="V98" s="151"/>
      <c r="W98" s="166"/>
      <c r="X98" s="119"/>
      <c r="Y98" s="113"/>
      <c r="Z98" s="113"/>
    </row>
    <row r="99">
      <c r="A99" s="113"/>
      <c r="B99" s="113"/>
      <c r="C99" s="113"/>
      <c r="D99" s="113"/>
      <c r="E99" s="113"/>
      <c r="F99" s="113"/>
      <c r="G99" s="113"/>
      <c r="H99" s="113"/>
      <c r="I99" s="113"/>
      <c r="J99" s="113"/>
      <c r="K99" s="113"/>
      <c r="L99" s="113"/>
      <c r="M99" s="113"/>
      <c r="N99" s="113"/>
      <c r="O99" s="113"/>
      <c r="P99" s="113"/>
      <c r="Q99" s="12" t="str">
        <f t="shared" si="1"/>
        <v/>
      </c>
      <c r="R99" s="165"/>
      <c r="S99" s="165"/>
      <c r="T99" s="165"/>
      <c r="U99" s="150"/>
      <c r="V99" s="151"/>
      <c r="W99" s="166"/>
      <c r="X99" s="119"/>
      <c r="Y99" s="113"/>
      <c r="Z99" s="113"/>
    </row>
    <row r="100">
      <c r="A100" s="113"/>
      <c r="B100" s="113"/>
      <c r="C100" s="113"/>
      <c r="D100" s="113"/>
      <c r="E100" s="113"/>
      <c r="F100" s="113"/>
      <c r="G100" s="113"/>
      <c r="H100" s="113"/>
      <c r="I100" s="113"/>
      <c r="J100" s="113"/>
      <c r="K100" s="113"/>
      <c r="L100" s="113"/>
      <c r="M100" s="113"/>
      <c r="N100" s="113"/>
      <c r="O100" s="113"/>
      <c r="P100" s="113"/>
      <c r="Q100" s="12" t="str">
        <f t="shared" si="1"/>
        <v/>
      </c>
      <c r="R100" s="165"/>
      <c r="S100" s="165"/>
      <c r="T100" s="165"/>
      <c r="U100" s="150"/>
      <c r="V100" s="151"/>
      <c r="W100" s="166"/>
      <c r="X100" s="119"/>
      <c r="Y100" s="113"/>
      <c r="Z100" s="113"/>
    </row>
    <row r="101">
      <c r="A101" s="113"/>
      <c r="B101" s="113"/>
      <c r="C101" s="113"/>
      <c r="D101" s="113"/>
      <c r="E101" s="113"/>
      <c r="F101" s="113"/>
      <c r="G101" s="113"/>
      <c r="H101" s="113"/>
      <c r="I101" s="113"/>
      <c r="J101" s="113"/>
      <c r="K101" s="113"/>
      <c r="L101" s="113"/>
      <c r="M101" s="113"/>
      <c r="N101" s="113"/>
      <c r="O101" s="113"/>
      <c r="P101" s="113"/>
      <c r="Q101" s="12" t="str">
        <f t="shared" si="1"/>
        <v/>
      </c>
      <c r="R101" s="165"/>
      <c r="S101" s="165"/>
      <c r="T101" s="165"/>
      <c r="U101" s="150"/>
      <c r="V101" s="151"/>
      <c r="W101" s="166"/>
      <c r="X101" s="119"/>
      <c r="Y101" s="113"/>
      <c r="Z101" s="113"/>
    </row>
    <row r="102">
      <c r="A102" s="113"/>
      <c r="B102" s="113"/>
      <c r="C102" s="113"/>
      <c r="D102" s="113"/>
      <c r="E102" s="113"/>
      <c r="F102" s="113"/>
      <c r="G102" s="113"/>
      <c r="H102" s="113"/>
      <c r="I102" s="113"/>
      <c r="J102" s="113"/>
      <c r="K102" s="113"/>
      <c r="L102" s="113"/>
      <c r="M102" s="113"/>
      <c r="N102" s="113"/>
      <c r="O102" s="113"/>
      <c r="P102" s="113"/>
      <c r="Q102" s="12" t="str">
        <f t="shared" si="1"/>
        <v/>
      </c>
      <c r="R102" s="165"/>
      <c r="S102" s="165"/>
      <c r="T102" s="165"/>
      <c r="U102" s="150"/>
      <c r="V102" s="151"/>
      <c r="W102" s="166"/>
      <c r="X102" s="119"/>
      <c r="Y102" s="113"/>
      <c r="Z102" s="113"/>
    </row>
    <row r="103">
      <c r="A103" s="113"/>
      <c r="B103" s="113"/>
      <c r="C103" s="113"/>
      <c r="D103" s="113"/>
      <c r="E103" s="113"/>
      <c r="F103" s="113"/>
      <c r="G103" s="113"/>
      <c r="H103" s="113"/>
      <c r="I103" s="113"/>
      <c r="J103" s="113"/>
      <c r="K103" s="113"/>
      <c r="L103" s="113"/>
      <c r="M103" s="113"/>
      <c r="N103" s="113"/>
      <c r="O103" s="113"/>
      <c r="P103" s="113"/>
      <c r="Q103" s="12" t="str">
        <f t="shared" si="1"/>
        <v/>
      </c>
      <c r="R103" s="165"/>
      <c r="S103" s="165"/>
      <c r="T103" s="165"/>
      <c r="U103" s="150"/>
      <c r="V103" s="151"/>
      <c r="W103" s="166"/>
      <c r="X103" s="119"/>
      <c r="Y103" s="113"/>
      <c r="Z103" s="113"/>
    </row>
    <row r="104">
      <c r="A104" s="113"/>
      <c r="B104" s="113"/>
      <c r="C104" s="113"/>
      <c r="D104" s="113"/>
      <c r="E104" s="113"/>
      <c r="F104" s="113"/>
      <c r="G104" s="113"/>
      <c r="H104" s="113"/>
      <c r="I104" s="113"/>
      <c r="J104" s="113"/>
      <c r="K104" s="113"/>
      <c r="L104" s="113"/>
      <c r="M104" s="113"/>
      <c r="N104" s="113"/>
      <c r="O104" s="113"/>
      <c r="P104" s="113"/>
      <c r="Q104" s="12" t="str">
        <f t="shared" si="1"/>
        <v/>
      </c>
      <c r="R104" s="165"/>
      <c r="S104" s="165"/>
      <c r="T104" s="165"/>
      <c r="U104" s="150"/>
      <c r="V104" s="151"/>
      <c r="W104" s="166"/>
      <c r="X104" s="119"/>
      <c r="Y104" s="113"/>
      <c r="Z104" s="113"/>
    </row>
    <row r="105">
      <c r="A105" s="113"/>
      <c r="B105" s="113"/>
      <c r="C105" s="113"/>
      <c r="D105" s="113"/>
      <c r="E105" s="113"/>
      <c r="F105" s="113"/>
      <c r="G105" s="113"/>
      <c r="H105" s="113"/>
      <c r="I105" s="113"/>
      <c r="J105" s="113"/>
      <c r="K105" s="113"/>
      <c r="L105" s="113"/>
      <c r="M105" s="113"/>
      <c r="N105" s="113"/>
      <c r="O105" s="113"/>
      <c r="P105" s="113"/>
      <c r="Q105" s="12" t="str">
        <f t="shared" si="1"/>
        <v/>
      </c>
      <c r="R105" s="165"/>
      <c r="S105" s="165"/>
      <c r="T105" s="165"/>
      <c r="U105" s="150"/>
      <c r="V105" s="151"/>
      <c r="W105" s="166"/>
      <c r="X105" s="119"/>
      <c r="Y105" s="113"/>
      <c r="Z105" s="113"/>
    </row>
    <row r="106">
      <c r="A106" s="113"/>
      <c r="B106" s="113"/>
      <c r="C106" s="113"/>
      <c r="D106" s="113"/>
      <c r="E106" s="113"/>
      <c r="F106" s="113"/>
      <c r="G106" s="113"/>
      <c r="H106" s="113"/>
      <c r="I106" s="113"/>
      <c r="J106" s="113"/>
      <c r="K106" s="113"/>
      <c r="L106" s="113"/>
      <c r="M106" s="113"/>
      <c r="N106" s="113"/>
      <c r="O106" s="113"/>
      <c r="P106" s="113"/>
      <c r="Q106" s="12" t="str">
        <f t="shared" si="1"/>
        <v/>
      </c>
      <c r="R106" s="165"/>
      <c r="S106" s="165"/>
      <c r="T106" s="165"/>
      <c r="U106" s="150"/>
      <c r="V106" s="151"/>
      <c r="W106" s="166"/>
      <c r="X106" s="119"/>
      <c r="Y106" s="113"/>
      <c r="Z106" s="113"/>
    </row>
    <row r="107">
      <c r="A107" s="113"/>
      <c r="B107" s="113"/>
      <c r="C107" s="113"/>
      <c r="D107" s="113"/>
      <c r="E107" s="113"/>
      <c r="F107" s="113"/>
      <c r="G107" s="113"/>
      <c r="H107" s="113"/>
      <c r="I107" s="113"/>
      <c r="J107" s="113"/>
      <c r="K107" s="113"/>
      <c r="L107" s="113"/>
      <c r="M107" s="113"/>
      <c r="N107" s="113"/>
      <c r="O107" s="113"/>
      <c r="P107" s="113"/>
      <c r="Q107" s="12" t="str">
        <f t="shared" si="1"/>
        <v/>
      </c>
      <c r="R107" s="165"/>
      <c r="S107" s="165"/>
      <c r="T107" s="165"/>
      <c r="U107" s="150"/>
      <c r="V107" s="151"/>
      <c r="W107" s="166"/>
      <c r="X107" s="119"/>
      <c r="Y107" s="113"/>
      <c r="Z107" s="113"/>
    </row>
    <row r="108">
      <c r="A108" s="113"/>
      <c r="B108" s="113"/>
      <c r="C108" s="113"/>
      <c r="D108" s="113"/>
      <c r="E108" s="113"/>
      <c r="F108" s="113"/>
      <c r="G108" s="113"/>
      <c r="H108" s="113"/>
      <c r="I108" s="113"/>
      <c r="J108" s="113"/>
      <c r="K108" s="113"/>
      <c r="L108" s="113"/>
      <c r="M108" s="113"/>
      <c r="N108" s="113"/>
      <c r="O108" s="113"/>
      <c r="P108" s="113"/>
      <c r="Q108" s="12" t="str">
        <f t="shared" si="1"/>
        <v/>
      </c>
      <c r="R108" s="165"/>
      <c r="S108" s="165"/>
      <c r="T108" s="165"/>
      <c r="U108" s="150"/>
      <c r="V108" s="151"/>
      <c r="W108" s="166"/>
      <c r="X108" s="119"/>
      <c r="Y108" s="113"/>
      <c r="Z108" s="113"/>
    </row>
    <row r="109">
      <c r="A109" s="113"/>
      <c r="B109" s="113"/>
      <c r="C109" s="113"/>
      <c r="D109" s="113"/>
      <c r="E109" s="113"/>
      <c r="F109" s="113"/>
      <c r="G109" s="113"/>
      <c r="H109" s="113"/>
      <c r="I109" s="113"/>
      <c r="J109" s="113"/>
      <c r="K109" s="113"/>
      <c r="L109" s="113"/>
      <c r="M109" s="113"/>
      <c r="N109" s="113"/>
      <c r="O109" s="113"/>
      <c r="P109" s="113"/>
      <c r="Q109" s="12" t="str">
        <f t="shared" si="1"/>
        <v/>
      </c>
      <c r="R109" s="165"/>
      <c r="S109" s="165"/>
      <c r="T109" s="165"/>
      <c r="U109" s="150"/>
      <c r="V109" s="151"/>
      <c r="W109" s="166"/>
      <c r="X109" s="119"/>
      <c r="Y109" s="113"/>
      <c r="Z109" s="113"/>
    </row>
    <row r="110">
      <c r="A110" s="113"/>
      <c r="B110" s="113"/>
      <c r="C110" s="113"/>
      <c r="D110" s="113"/>
      <c r="E110" s="113"/>
      <c r="F110" s="113"/>
      <c r="G110" s="113"/>
      <c r="H110" s="113"/>
      <c r="I110" s="113"/>
      <c r="J110" s="113"/>
      <c r="K110" s="113"/>
      <c r="L110" s="113"/>
      <c r="M110" s="113"/>
      <c r="N110" s="113"/>
      <c r="O110" s="113"/>
      <c r="P110" s="113"/>
      <c r="Q110" s="12" t="str">
        <f t="shared" si="1"/>
        <v/>
      </c>
      <c r="R110" s="165"/>
      <c r="S110" s="165"/>
      <c r="T110" s="165"/>
      <c r="U110" s="150"/>
      <c r="V110" s="151"/>
      <c r="W110" s="166"/>
      <c r="X110" s="119"/>
      <c r="Y110" s="113"/>
      <c r="Z110" s="113"/>
    </row>
    <row r="111">
      <c r="A111" s="113"/>
      <c r="B111" s="113"/>
      <c r="C111" s="113"/>
      <c r="D111" s="113"/>
      <c r="E111" s="113"/>
      <c r="F111" s="113"/>
      <c r="G111" s="113"/>
      <c r="H111" s="113"/>
      <c r="I111" s="113"/>
      <c r="J111" s="113"/>
      <c r="K111" s="113"/>
      <c r="L111" s="113"/>
      <c r="M111" s="113"/>
      <c r="N111" s="113"/>
      <c r="O111" s="113"/>
      <c r="P111" s="113"/>
      <c r="Q111" s="12" t="str">
        <f t="shared" si="1"/>
        <v/>
      </c>
      <c r="R111" s="165"/>
      <c r="S111" s="165"/>
      <c r="T111" s="165"/>
      <c r="U111" s="150"/>
      <c r="V111" s="151"/>
      <c r="W111" s="166"/>
      <c r="X111" s="119"/>
      <c r="Y111" s="113"/>
      <c r="Z111" s="113"/>
    </row>
  </sheetData>
  <dataValidations>
    <dataValidation type="list" allowBlank="1" sqref="C2:C39">
      <formula1>Fields!$F$2:$F$8</formula1>
    </dataValidation>
    <dataValidation type="list" allowBlank="1" sqref="D2:D39">
      <formula1>Fields!$A$2:$A$8</formula1>
    </dataValidation>
    <dataValidation type="list" allowBlank="1" sqref="B2:B39">
      <formula1>Fields!$D$2:$D$12</formula1>
    </dataValidation>
  </dataValidations>
  <hyperlinks>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32"/>
    <hyperlink r:id="rId17" ref="F35"/>
    <hyperlink r:id="rId18" ref="F36"/>
    <hyperlink r:id="rId19" ref="F37"/>
    <hyperlink r:id="rId20" ref="F38"/>
    <hyperlink r:id="rId21" ref="F39"/>
  </hyperlinks>
  <drawing r:id="rId22"/>
  <legacyDrawing r:id="rId2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5.38"/>
    <col customWidth="1" min="2" max="2" width="5.63"/>
    <col customWidth="1" min="3" max="3" width="5.5"/>
    <col customWidth="1" min="4" max="4" width="10.38"/>
    <col customWidth="1" min="5" max="5" width="3.13"/>
    <col customWidth="1" min="6" max="6" width="43.5"/>
    <col customWidth="1" min="7" max="7" width="17.88"/>
    <col customWidth="1" min="8" max="8" width="12.5"/>
    <col customWidth="1" min="9" max="10" width="7.38"/>
    <col customWidth="1" min="11" max="11" width="6.5"/>
    <col customWidth="1" min="12" max="12" width="8.5"/>
    <col customWidth="1" min="13" max="13" width="7.38"/>
    <col customWidth="1" min="14" max="14" width="6.88"/>
    <col customWidth="1" min="15" max="16" width="7.38"/>
    <col customWidth="1" min="17" max="17" width="18.25"/>
    <col customWidth="1" min="18" max="18" width="5.75"/>
    <col customWidth="1" min="19" max="19" width="5.63"/>
    <col customWidth="1" min="20" max="21" width="6.63"/>
    <col customWidth="1" min="22" max="22" width="6.0"/>
    <col customWidth="1" min="23" max="23" width="6.63"/>
    <col customWidth="1" min="24" max="24" width="7.38"/>
    <col customWidth="1" min="25" max="25" width="21.63"/>
    <col customWidth="1" min="26" max="28" width="31.88"/>
  </cols>
  <sheetData>
    <row r="1" ht="45.0" customHeight="1">
      <c r="A1" s="1" t="s">
        <v>0</v>
      </c>
      <c r="B1" s="8" t="str">
        <f>HYPERLINK("#rangeid=2086300674","Content Owner")</f>
        <v>Content Owner</v>
      </c>
      <c r="C1" s="10" t="str">
        <f>HYPERLINK("#rangeid=632369931","Video Owner")</f>
        <v>Video Owner</v>
      </c>
      <c r="D1" s="11" t="s">
        <v>4</v>
      </c>
      <c r="E1" s="12" t="s">
        <v>5</v>
      </c>
      <c r="F1" s="13" t="s">
        <v>6</v>
      </c>
      <c r="G1" s="1" t="s">
        <v>7</v>
      </c>
      <c r="H1" s="15" t="s">
        <v>8</v>
      </c>
      <c r="I1" s="17" t="s">
        <v>11</v>
      </c>
      <c r="J1" s="1" t="s">
        <v>15</v>
      </c>
      <c r="K1" s="19" t="s">
        <v>16</v>
      </c>
      <c r="L1" s="1" t="s">
        <v>22</v>
      </c>
      <c r="M1" s="25" t="s">
        <v>23</v>
      </c>
      <c r="N1" s="25" t="s">
        <v>25</v>
      </c>
      <c r="O1" s="1" t="s">
        <v>26</v>
      </c>
      <c r="P1" s="1" t="s">
        <v>27</v>
      </c>
      <c r="Q1" s="1" t="s">
        <v>28</v>
      </c>
      <c r="R1" s="23" t="s">
        <v>29</v>
      </c>
      <c r="S1" s="23" t="s">
        <v>31</v>
      </c>
      <c r="T1" s="23" t="s">
        <v>32</v>
      </c>
      <c r="U1" s="26" t="s">
        <v>33</v>
      </c>
      <c r="V1" s="29" t="s">
        <v>35</v>
      </c>
      <c r="W1" s="31" t="str">
        <f>HYPERLINK("#rangeid=120001109","Replay")</f>
        <v>Replay</v>
      </c>
      <c r="X1" s="33" t="s">
        <v>38</v>
      </c>
      <c r="Y1" s="34" t="s">
        <v>39</v>
      </c>
      <c r="Z1" s="36" t="s">
        <v>40</v>
      </c>
      <c r="AA1" s="37"/>
      <c r="AB1" s="37"/>
    </row>
    <row r="2">
      <c r="A2" s="38">
        <v>63.0</v>
      </c>
      <c r="B2" s="63" t="s">
        <v>410</v>
      </c>
      <c r="C2" s="51"/>
      <c r="D2" s="39" t="s">
        <v>55</v>
      </c>
      <c r="E2" s="38" t="s">
        <v>412</v>
      </c>
      <c r="F2" s="41" t="s">
        <v>413</v>
      </c>
      <c r="G2" s="62" t="s">
        <v>1453</v>
      </c>
      <c r="H2" s="135" t="s">
        <v>1456</v>
      </c>
      <c r="I2" s="38"/>
      <c r="J2" s="38">
        <f>1.2*1000</f>
        <v>1200</v>
      </c>
      <c r="K2" s="46">
        <v>0.01144675925925926</v>
      </c>
      <c r="L2" s="47" t="s">
        <v>211</v>
      </c>
      <c r="M2" s="48"/>
      <c r="N2" s="48"/>
      <c r="O2" s="48">
        <f t="shared" ref="O2:O11" si="1">N2-M2</f>
        <v>0</v>
      </c>
      <c r="P2" s="89">
        <v>43022.0</v>
      </c>
      <c r="Q2" s="12" t="str">
        <f t="shared" ref="Q2:Q11" si="2">HYPERLINK(IF(INT(A2)-A2=0,"",REPLACE(INDIRECT("MasterList!e"&amp;INT(A2)+1),25,8,"embed/")&amp;"?start="&amp;HOUR(M2)*3600+MINUTE(M2)*60+SECOND(M2)&amp;"&amp;end="&amp;HOUR(N2)*3600+MINUTE(N2)*60+SECOND(N2)&amp;"&amp;autoplay=1"))</f>
        <v/>
      </c>
      <c r="R2" s="63" t="s">
        <v>61</v>
      </c>
      <c r="S2" s="63" t="s">
        <v>61</v>
      </c>
      <c r="T2" s="63" t="s">
        <v>61</v>
      </c>
      <c r="U2" s="51"/>
      <c r="V2" s="52"/>
      <c r="W2" s="55"/>
      <c r="X2" s="57"/>
      <c r="Y2" s="38"/>
      <c r="Z2" s="38"/>
      <c r="AA2" s="38"/>
      <c r="AB2" s="38"/>
    </row>
    <row r="3">
      <c r="A3" s="38">
        <v>64.0</v>
      </c>
      <c r="B3" s="63" t="s">
        <v>410</v>
      </c>
      <c r="C3" s="51"/>
      <c r="D3" s="39" t="s">
        <v>55</v>
      </c>
      <c r="E3" s="38" t="s">
        <v>421</v>
      </c>
      <c r="F3" s="41" t="s">
        <v>422</v>
      </c>
      <c r="G3" s="43"/>
      <c r="H3" s="45"/>
      <c r="I3" s="38"/>
      <c r="J3" s="38">
        <f>694</f>
        <v>694</v>
      </c>
      <c r="K3" s="46">
        <v>0.00912037037037037</v>
      </c>
      <c r="L3" s="47" t="s">
        <v>211</v>
      </c>
      <c r="M3" s="48"/>
      <c r="N3" s="48"/>
      <c r="O3" s="48">
        <f t="shared" si="1"/>
        <v>0</v>
      </c>
      <c r="P3" s="89">
        <v>43022.0</v>
      </c>
      <c r="Q3" s="12" t="str">
        <f t="shared" si="2"/>
        <v/>
      </c>
      <c r="R3" s="63" t="s">
        <v>61</v>
      </c>
      <c r="S3" s="63" t="s">
        <v>61</v>
      </c>
      <c r="T3" s="63" t="s">
        <v>61</v>
      </c>
      <c r="U3" s="51"/>
      <c r="V3" s="52"/>
      <c r="W3" s="55"/>
      <c r="X3" s="57"/>
      <c r="Y3" s="38"/>
      <c r="Z3" s="38"/>
      <c r="AA3" s="38"/>
      <c r="AB3" s="38"/>
    </row>
    <row r="4">
      <c r="A4" s="135">
        <v>64.01</v>
      </c>
      <c r="B4" s="63" t="s">
        <v>410</v>
      </c>
      <c r="C4" s="51"/>
      <c r="D4" s="39" t="s">
        <v>55</v>
      </c>
      <c r="G4" s="135" t="s">
        <v>1465</v>
      </c>
      <c r="H4" s="135" t="s">
        <v>1466</v>
      </c>
      <c r="I4" s="136"/>
      <c r="J4" s="136"/>
      <c r="K4" s="136"/>
      <c r="L4" s="136"/>
      <c r="M4" s="137">
        <v>0.004629629629629629</v>
      </c>
      <c r="N4" s="137">
        <v>0.0077083333333333335</v>
      </c>
      <c r="O4" s="124">
        <f t="shared" si="1"/>
        <v>0.003078703704</v>
      </c>
      <c r="P4" s="89">
        <v>43022.0</v>
      </c>
      <c r="Q4" s="61" t="str">
        <f t="shared" si="2"/>
        <v>https://www.youtube.com/embed/ytrFjytVgtk?start=400&amp;end=666&amp;autoplay=1</v>
      </c>
      <c r="R4" s="135" t="s">
        <v>61</v>
      </c>
      <c r="S4" s="135" t="s">
        <v>61</v>
      </c>
      <c r="T4" s="135" t="s">
        <v>61</v>
      </c>
      <c r="U4" s="135" t="s">
        <v>76</v>
      </c>
      <c r="V4" s="136"/>
      <c r="W4" s="135"/>
      <c r="X4" s="135"/>
    </row>
    <row r="5">
      <c r="A5" s="38">
        <v>65.0</v>
      </c>
      <c r="B5" s="63" t="s">
        <v>410</v>
      </c>
      <c r="C5" s="51"/>
      <c r="D5" s="39" t="s">
        <v>55</v>
      </c>
      <c r="E5" s="38" t="s">
        <v>426</v>
      </c>
      <c r="F5" s="41" t="s">
        <v>427</v>
      </c>
      <c r="G5" s="43"/>
      <c r="H5" s="45"/>
      <c r="I5" s="38"/>
      <c r="J5" s="38">
        <f>588</f>
        <v>588</v>
      </c>
      <c r="K5" s="46">
        <v>0.007199074074074074</v>
      </c>
      <c r="L5" s="47" t="s">
        <v>211</v>
      </c>
      <c r="M5" s="48"/>
      <c r="N5" s="48"/>
      <c r="O5" s="48">
        <f t="shared" si="1"/>
        <v>0</v>
      </c>
      <c r="P5" s="38"/>
      <c r="Q5" s="12" t="str">
        <f t="shared" si="2"/>
        <v/>
      </c>
      <c r="R5" s="42"/>
      <c r="S5" s="42"/>
      <c r="T5" s="42"/>
      <c r="U5" s="51"/>
      <c r="V5" s="52"/>
      <c r="W5" s="55"/>
      <c r="X5" s="57"/>
      <c r="Y5" s="38"/>
      <c r="Z5" s="38"/>
      <c r="AA5" s="38"/>
      <c r="AB5" s="38"/>
    </row>
    <row r="6">
      <c r="A6" s="135">
        <v>65.01</v>
      </c>
      <c r="B6" s="63" t="s">
        <v>410</v>
      </c>
      <c r="C6" s="51"/>
      <c r="D6" s="39" t="s">
        <v>55</v>
      </c>
      <c r="E6" s="38"/>
      <c r="F6" s="41"/>
      <c r="G6" s="62" t="s">
        <v>1471</v>
      </c>
      <c r="H6" s="45"/>
      <c r="I6" s="38"/>
      <c r="J6" s="38"/>
      <c r="K6" s="46"/>
      <c r="L6" s="47"/>
      <c r="M6" s="125">
        <v>1.1574074074074075E-4</v>
      </c>
      <c r="N6" s="125">
        <v>0.0028935185185185184</v>
      </c>
      <c r="O6" s="48">
        <f t="shared" si="1"/>
        <v>0.002777777778</v>
      </c>
      <c r="P6" s="89">
        <v>43023.0</v>
      </c>
      <c r="Q6" s="61" t="str">
        <f t="shared" si="2"/>
        <v>https://www.youtube.com/embed/28dLjjiriJA?start=10&amp;end=250&amp;autoplay=1</v>
      </c>
      <c r="R6" s="63" t="s">
        <v>61</v>
      </c>
      <c r="S6" s="63" t="s">
        <v>61</v>
      </c>
      <c r="T6" s="63" t="s">
        <v>61</v>
      </c>
      <c r="U6" s="51"/>
      <c r="V6" s="52"/>
      <c r="W6" s="55"/>
      <c r="X6" s="57"/>
      <c r="Y6" s="38"/>
      <c r="Z6" s="38"/>
    </row>
    <row r="7">
      <c r="A7" s="135">
        <v>65.02</v>
      </c>
      <c r="B7" s="63" t="s">
        <v>410</v>
      </c>
      <c r="C7" s="51"/>
      <c r="D7" s="39" t="s">
        <v>55</v>
      </c>
      <c r="E7" s="38"/>
      <c r="F7" s="41"/>
      <c r="G7" s="62" t="s">
        <v>1474</v>
      </c>
      <c r="H7" s="45"/>
      <c r="I7" s="38"/>
      <c r="J7" s="38"/>
      <c r="K7" s="46"/>
      <c r="L7" s="47"/>
      <c r="M7" s="125">
        <v>0.002916666666666667</v>
      </c>
      <c r="N7" s="125">
        <v>0.006712962962962963</v>
      </c>
      <c r="O7" s="48">
        <f t="shared" si="1"/>
        <v>0.003796296296</v>
      </c>
      <c r="P7" s="89">
        <v>43023.0</v>
      </c>
      <c r="Q7" s="61" t="str">
        <f t="shared" si="2"/>
        <v>https://www.youtube.com/embed/28dLjjiriJA?start=252&amp;end=580&amp;autoplay=1</v>
      </c>
      <c r="R7" s="63" t="s">
        <v>61</v>
      </c>
      <c r="S7" s="63" t="s">
        <v>61</v>
      </c>
      <c r="T7" s="63" t="s">
        <v>61</v>
      </c>
      <c r="U7" s="51"/>
      <c r="V7" s="52"/>
      <c r="W7" s="55"/>
      <c r="X7" s="57"/>
      <c r="Y7" s="38"/>
      <c r="Z7" s="38"/>
    </row>
    <row r="8">
      <c r="A8" s="38">
        <v>68.0</v>
      </c>
      <c r="B8" s="63" t="s">
        <v>410</v>
      </c>
      <c r="C8" s="51"/>
      <c r="D8" s="39" t="s">
        <v>55</v>
      </c>
      <c r="E8" s="38" t="s">
        <v>443</v>
      </c>
      <c r="F8" s="41" t="s">
        <v>444</v>
      </c>
      <c r="G8" s="62" t="s">
        <v>1477</v>
      </c>
      <c r="H8" s="58" t="s">
        <v>1478</v>
      </c>
      <c r="I8" s="38"/>
      <c r="J8" s="38">
        <f t="shared" ref="J8:J9" si="3">2.5*1000</f>
        <v>2500</v>
      </c>
      <c r="K8" s="46">
        <v>0.024166666666666666</v>
      </c>
      <c r="L8" s="47" t="s">
        <v>211</v>
      </c>
      <c r="M8" s="125">
        <v>3.125E-4</v>
      </c>
      <c r="N8" s="125">
        <v>0.02361111111111111</v>
      </c>
      <c r="O8" s="48">
        <f t="shared" si="1"/>
        <v>0.02329861111</v>
      </c>
      <c r="P8" s="82">
        <v>43029.0</v>
      </c>
      <c r="Q8" s="12" t="str">
        <f t="shared" si="2"/>
        <v/>
      </c>
      <c r="R8" s="63" t="s">
        <v>61</v>
      </c>
      <c r="S8" s="63" t="s">
        <v>61</v>
      </c>
      <c r="T8" s="63" t="s">
        <v>61</v>
      </c>
      <c r="U8" s="51"/>
      <c r="V8" s="52"/>
      <c r="W8" s="81" t="s">
        <v>62</v>
      </c>
      <c r="X8" s="57"/>
      <c r="Y8" s="38"/>
      <c r="Z8" s="38"/>
      <c r="AA8" s="38"/>
      <c r="AB8" s="38"/>
    </row>
    <row r="9">
      <c r="A9" s="38">
        <v>69.0</v>
      </c>
      <c r="B9" s="63" t="s">
        <v>410</v>
      </c>
      <c r="C9" s="51"/>
      <c r="D9" s="39" t="s">
        <v>145</v>
      </c>
      <c r="E9" s="38" t="s">
        <v>448</v>
      </c>
      <c r="F9" s="41" t="s">
        <v>449</v>
      </c>
      <c r="G9" s="43"/>
      <c r="H9" s="45"/>
      <c r="I9" s="38"/>
      <c r="J9" s="38">
        <f t="shared" si="3"/>
        <v>2500</v>
      </c>
      <c r="K9" s="46">
        <v>0.03542824074074074</v>
      </c>
      <c r="L9" s="47" t="s">
        <v>211</v>
      </c>
      <c r="M9" s="48"/>
      <c r="N9" s="48"/>
      <c r="O9" s="48">
        <f t="shared" si="1"/>
        <v>0</v>
      </c>
      <c r="P9" s="38"/>
      <c r="Q9" s="12" t="str">
        <f t="shared" si="2"/>
        <v/>
      </c>
      <c r="R9" s="42"/>
      <c r="S9" s="42"/>
      <c r="T9" s="42"/>
      <c r="U9" s="51"/>
      <c r="V9" s="52"/>
      <c r="W9" s="55"/>
      <c r="X9" s="57"/>
      <c r="Y9" s="38"/>
      <c r="Z9" s="38"/>
      <c r="AA9" s="38"/>
      <c r="AB9" s="38"/>
    </row>
    <row r="10">
      <c r="A10" s="39">
        <v>69.01</v>
      </c>
      <c r="B10" s="63" t="s">
        <v>410</v>
      </c>
      <c r="C10" s="51"/>
      <c r="D10" s="39" t="s">
        <v>145</v>
      </c>
      <c r="E10" s="38"/>
      <c r="F10" s="41"/>
      <c r="G10" s="62" t="s">
        <v>1483</v>
      </c>
      <c r="H10" s="58" t="s">
        <v>1478</v>
      </c>
      <c r="I10" s="38"/>
      <c r="J10" s="38"/>
      <c r="K10" s="46"/>
      <c r="L10" s="47"/>
      <c r="M10" s="125">
        <v>0.00931712962962963</v>
      </c>
      <c r="N10" s="125">
        <v>0.021354166666666667</v>
      </c>
      <c r="O10" s="48">
        <f t="shared" si="1"/>
        <v>0.01203703704</v>
      </c>
      <c r="P10" s="38"/>
      <c r="Q10" s="61" t="str">
        <f t="shared" si="2"/>
        <v>https://www.youtube.com/embed/M-zdPqtp9Kk?start=805&amp;end=1845&amp;autoplay=1</v>
      </c>
      <c r="R10" s="63" t="s">
        <v>61</v>
      </c>
      <c r="S10" s="63" t="s">
        <v>1486</v>
      </c>
      <c r="T10" s="63" t="s">
        <v>61</v>
      </c>
      <c r="U10" s="51"/>
      <c r="V10" s="52"/>
      <c r="W10" s="55"/>
      <c r="X10" s="69" t="s">
        <v>62</v>
      </c>
      <c r="Y10" s="38"/>
      <c r="Z10" s="38"/>
      <c r="AA10" s="38"/>
      <c r="AB10" s="38"/>
    </row>
    <row r="11">
      <c r="A11" s="39">
        <v>69.02</v>
      </c>
      <c r="B11" s="63" t="s">
        <v>410</v>
      </c>
      <c r="C11" s="51"/>
      <c r="D11" s="39" t="s">
        <v>145</v>
      </c>
      <c r="E11" s="38"/>
      <c r="F11" s="41"/>
      <c r="G11" s="62" t="s">
        <v>1487</v>
      </c>
      <c r="H11" s="58" t="s">
        <v>1488</v>
      </c>
      <c r="I11" s="38"/>
      <c r="J11" s="38"/>
      <c r="K11" s="46"/>
      <c r="L11" s="47"/>
      <c r="M11" s="125">
        <v>0.021354166666666667</v>
      </c>
      <c r="N11" s="125">
        <v>0.03611111111111111</v>
      </c>
      <c r="O11" s="48">
        <f t="shared" si="1"/>
        <v>0.01475694444</v>
      </c>
      <c r="P11" s="38"/>
      <c r="Q11" s="61" t="str">
        <f t="shared" si="2"/>
        <v>https://www.youtube.com/embed/M-zdPqtp9Kk?start=1845&amp;end=3120&amp;autoplay=1</v>
      </c>
      <c r="R11" s="63" t="s">
        <v>61</v>
      </c>
      <c r="S11" s="63" t="s">
        <v>1486</v>
      </c>
      <c r="T11" s="63" t="s">
        <v>61</v>
      </c>
      <c r="U11" s="51"/>
      <c r="V11" s="52"/>
      <c r="W11" s="55"/>
      <c r="X11" s="69" t="s">
        <v>62</v>
      </c>
      <c r="Y11" s="38"/>
      <c r="Z11" s="38"/>
      <c r="AA11" s="38"/>
      <c r="AB11" s="38"/>
    </row>
  </sheetData>
  <dataValidations>
    <dataValidation type="list" allowBlank="1" sqref="C2:C11">
      <formula1>Fields!$F$2:$F$8</formula1>
    </dataValidation>
    <dataValidation type="list" allowBlank="1" sqref="D2:D11">
      <formula1>Fields!$A$2:$A$8</formula1>
    </dataValidation>
    <dataValidation type="list" allowBlank="1" sqref="B2:B11">
      <formula1>Fields!$D$2:$D$12</formula1>
    </dataValidation>
  </dataValidations>
  <hyperlinks>
    <hyperlink r:id="rId2" ref="F2"/>
    <hyperlink r:id="rId3" ref="F3"/>
    <hyperlink r:id="rId4" ref="F5"/>
    <hyperlink r:id="rId5" ref="F8"/>
    <hyperlink r:id="rId6" ref="F9"/>
  </hyperlinks>
  <drawing r:id="rId7"/>
  <legacy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5.13"/>
    <col customWidth="1" min="2" max="2" width="6.25"/>
    <col customWidth="1" min="3" max="3" width="5.5"/>
    <col customWidth="1" min="4" max="4" width="11.25"/>
    <col customWidth="1" min="5" max="5" width="24.13"/>
    <col customWidth="1" min="6" max="6" width="54.13"/>
    <col customWidth="1" min="7" max="7" width="24.88"/>
    <col customWidth="1" min="8" max="8" width="12.5"/>
    <col customWidth="1" min="9" max="10" width="7.38"/>
    <col customWidth="1" min="11" max="11" width="6.5"/>
    <col customWidth="1" min="12" max="12" width="8.5"/>
    <col customWidth="1" min="13" max="14" width="6.5"/>
    <col customWidth="1" min="15" max="16" width="7.38"/>
    <col customWidth="1" min="17" max="17" width="18.25"/>
    <col customWidth="1" min="18" max="18" width="5.75"/>
    <col customWidth="1" min="19" max="19" width="5.63"/>
    <col customWidth="1" min="20" max="20" width="6.63"/>
    <col customWidth="1" min="21" max="21" width="6.88"/>
    <col customWidth="1" min="22" max="22" width="7.75"/>
    <col customWidth="1" min="23" max="23" width="6.63"/>
    <col customWidth="1" min="24" max="24" width="7.63"/>
    <col customWidth="1" min="25" max="26" width="42.88"/>
    <col customWidth="1" min="27" max="33" width="11.0"/>
  </cols>
  <sheetData>
    <row r="1" ht="45.0" customHeight="1">
      <c r="A1" s="1" t="s">
        <v>0</v>
      </c>
      <c r="B1" s="6" t="str">
        <f>HYPERLINK("#rangeid=2086300674","Content Owner")</f>
        <v>Content Owner</v>
      </c>
      <c r="C1" s="9" t="str">
        <f>HYPERLINK("#rangeid=632369931","Video Owner")</f>
        <v>Video Owner</v>
      </c>
      <c r="D1" s="11" t="s">
        <v>4</v>
      </c>
      <c r="E1" s="12" t="s">
        <v>5</v>
      </c>
      <c r="F1" s="13" t="s">
        <v>6</v>
      </c>
      <c r="G1" s="1" t="s">
        <v>7</v>
      </c>
      <c r="H1" s="21" t="str">
        <f>HYPERLINK("#rangeid=906849400","Description")</f>
        <v>Description</v>
      </c>
      <c r="I1" s="17" t="s">
        <v>11</v>
      </c>
      <c r="J1" s="1" t="s">
        <v>15</v>
      </c>
      <c r="K1" s="19" t="s">
        <v>16</v>
      </c>
      <c r="L1" s="1" t="s">
        <v>22</v>
      </c>
      <c r="M1" s="1" t="s">
        <v>23</v>
      </c>
      <c r="N1" s="1" t="s">
        <v>25</v>
      </c>
      <c r="O1" s="1" t="s">
        <v>26</v>
      </c>
      <c r="P1" s="1" t="s">
        <v>27</v>
      </c>
      <c r="Q1" s="1" t="s">
        <v>28</v>
      </c>
      <c r="R1" s="23" t="s">
        <v>29</v>
      </c>
      <c r="S1" s="23" t="s">
        <v>31</v>
      </c>
      <c r="T1" s="23" t="s">
        <v>32</v>
      </c>
      <c r="U1" s="26" t="s">
        <v>33</v>
      </c>
      <c r="V1" s="29" t="s">
        <v>35</v>
      </c>
      <c r="W1" s="31" t="str">
        <f>HYPERLINK("#rangeid=120001109","Replay")</f>
        <v>Replay</v>
      </c>
      <c r="X1" s="33" t="s">
        <v>38</v>
      </c>
      <c r="Y1" s="34" t="s">
        <v>39</v>
      </c>
      <c r="Z1" s="36" t="s">
        <v>40</v>
      </c>
      <c r="AA1" s="37"/>
      <c r="AB1" s="37"/>
      <c r="AC1" s="37"/>
      <c r="AD1" s="37"/>
      <c r="AE1" s="37"/>
      <c r="AF1" s="37"/>
      <c r="AG1" s="37"/>
    </row>
    <row r="2">
      <c r="A2" s="38"/>
      <c r="B2" s="63"/>
      <c r="C2" s="51"/>
      <c r="D2" s="39"/>
      <c r="E2" s="38"/>
      <c r="F2" s="41"/>
      <c r="G2" s="43"/>
      <c r="H2" s="45"/>
      <c r="I2" s="38"/>
      <c r="J2" s="38"/>
      <c r="K2" s="46"/>
      <c r="L2" s="47"/>
      <c r="M2" s="38"/>
      <c r="N2" s="38"/>
      <c r="O2" s="38"/>
      <c r="P2" s="89"/>
      <c r="Q2" s="12"/>
      <c r="R2" s="42"/>
      <c r="S2" s="42"/>
      <c r="T2" s="42"/>
      <c r="U2" s="51"/>
      <c r="V2" s="52"/>
      <c r="W2" s="55"/>
      <c r="X2" s="57"/>
      <c r="Y2" s="106"/>
      <c r="Z2" s="106"/>
      <c r="AA2" s="106"/>
      <c r="AB2" s="106"/>
    </row>
    <row r="3">
      <c r="A3" s="112"/>
      <c r="B3" s="167"/>
      <c r="C3" s="168"/>
      <c r="D3" s="82"/>
      <c r="E3" s="113"/>
      <c r="F3" s="112"/>
      <c r="G3" s="112"/>
      <c r="H3" s="112"/>
      <c r="I3" s="113"/>
      <c r="J3" s="113"/>
      <c r="K3" s="113"/>
      <c r="L3" s="113"/>
      <c r="M3" s="147"/>
      <c r="N3" s="147"/>
      <c r="O3" s="113"/>
      <c r="P3" s="113"/>
      <c r="Q3" s="12"/>
      <c r="R3" s="115"/>
      <c r="S3" s="115"/>
      <c r="T3" s="115"/>
      <c r="U3" s="116"/>
      <c r="V3" s="117"/>
      <c r="W3" s="118"/>
      <c r="X3" s="119"/>
      <c r="Y3" s="113"/>
      <c r="Z3" s="113"/>
    </row>
    <row r="4">
      <c r="A4" s="113"/>
      <c r="B4" s="113"/>
      <c r="C4" s="113"/>
      <c r="D4" s="113"/>
      <c r="E4" s="113"/>
      <c r="F4" s="113"/>
      <c r="G4" s="113"/>
      <c r="H4" s="113"/>
      <c r="I4" s="113"/>
      <c r="J4" s="113"/>
      <c r="K4" s="113"/>
      <c r="L4" s="113"/>
      <c r="M4" s="113"/>
      <c r="N4" s="113"/>
      <c r="O4" s="113"/>
      <c r="P4" s="113"/>
      <c r="Q4" s="132"/>
      <c r="R4" s="115"/>
      <c r="S4" s="115"/>
      <c r="T4" s="115"/>
      <c r="U4" s="116"/>
      <c r="V4" s="117"/>
      <c r="W4" s="118"/>
      <c r="X4" s="119"/>
      <c r="Y4" s="113"/>
      <c r="Z4" s="113"/>
    </row>
    <row r="5">
      <c r="A5" s="113"/>
      <c r="B5" s="113"/>
      <c r="C5" s="113"/>
      <c r="D5" s="113"/>
      <c r="E5" s="113"/>
      <c r="F5" s="113"/>
      <c r="G5" s="113"/>
      <c r="H5" s="113"/>
      <c r="I5" s="113"/>
      <c r="J5" s="113"/>
      <c r="K5" s="113"/>
      <c r="L5" s="113"/>
      <c r="M5" s="113"/>
      <c r="N5" s="113"/>
      <c r="O5" s="113"/>
      <c r="P5" s="113"/>
      <c r="Q5" s="132"/>
      <c r="R5" s="115"/>
      <c r="S5" s="115"/>
      <c r="T5" s="115"/>
      <c r="U5" s="116"/>
      <c r="V5" s="117"/>
      <c r="W5" s="118"/>
      <c r="X5" s="119"/>
      <c r="Y5" s="113"/>
      <c r="Z5" s="113"/>
    </row>
    <row r="6">
      <c r="A6" s="113"/>
      <c r="B6" s="113"/>
      <c r="C6" s="113"/>
      <c r="D6" s="113"/>
      <c r="E6" s="113"/>
      <c r="F6" s="113"/>
      <c r="G6" s="113"/>
      <c r="H6" s="113"/>
      <c r="I6" s="113"/>
      <c r="J6" s="113"/>
      <c r="K6" s="113"/>
      <c r="L6" s="113"/>
      <c r="M6" s="113"/>
      <c r="N6" s="113"/>
      <c r="O6" s="113"/>
      <c r="P6" s="113"/>
      <c r="Q6" s="132"/>
      <c r="R6" s="115"/>
      <c r="S6" s="115"/>
      <c r="T6" s="115"/>
      <c r="U6" s="116"/>
      <c r="V6" s="117"/>
      <c r="W6" s="118"/>
      <c r="X6" s="119"/>
      <c r="Y6" s="113"/>
      <c r="Z6" s="113"/>
    </row>
    <row r="7">
      <c r="A7" s="113"/>
      <c r="B7" s="113"/>
      <c r="C7" s="113"/>
      <c r="D7" s="113"/>
      <c r="E7" s="113"/>
      <c r="F7" s="113"/>
      <c r="G7" s="113"/>
      <c r="H7" s="113"/>
      <c r="I7" s="113"/>
      <c r="J7" s="113"/>
      <c r="K7" s="113"/>
      <c r="L7" s="113"/>
      <c r="M7" s="113"/>
      <c r="N7" s="113"/>
      <c r="O7" s="113"/>
      <c r="P7" s="113"/>
      <c r="Q7" s="132"/>
      <c r="R7" s="115"/>
      <c r="S7" s="115"/>
      <c r="T7" s="115"/>
      <c r="U7" s="116"/>
      <c r="V7" s="117"/>
      <c r="W7" s="118"/>
      <c r="X7" s="119"/>
      <c r="Y7" s="113"/>
      <c r="Z7" s="113"/>
    </row>
    <row r="8">
      <c r="A8" s="113"/>
      <c r="B8" s="113"/>
      <c r="C8" s="113"/>
      <c r="D8" s="113"/>
      <c r="E8" s="113"/>
      <c r="F8" s="113"/>
      <c r="G8" s="113"/>
      <c r="H8" s="113"/>
      <c r="I8" s="113"/>
      <c r="J8" s="113"/>
      <c r="K8" s="113"/>
      <c r="L8" s="113"/>
      <c r="M8" s="113"/>
      <c r="N8" s="113"/>
      <c r="O8" s="113"/>
      <c r="P8" s="113"/>
      <c r="Q8" s="132"/>
      <c r="R8" s="115"/>
      <c r="S8" s="115"/>
      <c r="T8" s="115"/>
      <c r="U8" s="116"/>
      <c r="V8" s="117"/>
      <c r="W8" s="118"/>
      <c r="X8" s="119"/>
      <c r="Y8" s="113"/>
      <c r="Z8" s="113"/>
    </row>
    <row r="9">
      <c r="A9" s="113"/>
      <c r="B9" s="113"/>
      <c r="C9" s="113"/>
      <c r="D9" s="113"/>
      <c r="E9" s="113"/>
      <c r="F9" s="113"/>
      <c r="G9" s="113"/>
      <c r="H9" s="113"/>
      <c r="I9" s="113"/>
      <c r="J9" s="113"/>
      <c r="K9" s="113"/>
      <c r="L9" s="113"/>
      <c r="M9" s="113"/>
      <c r="N9" s="113"/>
      <c r="O9" s="113"/>
      <c r="P9" s="113"/>
      <c r="Q9" s="132"/>
      <c r="R9" s="115"/>
      <c r="S9" s="115"/>
      <c r="T9" s="115"/>
      <c r="U9" s="116"/>
      <c r="V9" s="117"/>
      <c r="W9" s="118"/>
      <c r="X9" s="119"/>
      <c r="Y9" s="113"/>
      <c r="Z9" s="113"/>
    </row>
    <row r="10">
      <c r="A10" s="113"/>
      <c r="B10" s="113"/>
      <c r="C10" s="113"/>
      <c r="D10" s="113"/>
      <c r="E10" s="113"/>
      <c r="F10" s="113"/>
      <c r="G10" s="113"/>
      <c r="H10" s="113"/>
      <c r="I10" s="113"/>
      <c r="J10" s="113"/>
      <c r="K10" s="113"/>
      <c r="L10" s="113"/>
      <c r="M10" s="113"/>
      <c r="N10" s="113"/>
      <c r="O10" s="113"/>
      <c r="P10" s="113"/>
      <c r="Q10" s="132"/>
      <c r="R10" s="115"/>
      <c r="S10" s="115"/>
      <c r="T10" s="115"/>
      <c r="U10" s="116"/>
      <c r="V10" s="117"/>
      <c r="W10" s="118"/>
      <c r="X10" s="119"/>
      <c r="Y10" s="113"/>
      <c r="Z10" s="113"/>
    </row>
    <row r="11">
      <c r="A11" s="113"/>
      <c r="B11" s="113"/>
      <c r="C11" s="113"/>
      <c r="D11" s="113"/>
      <c r="E11" s="113"/>
      <c r="F11" s="113"/>
      <c r="G11" s="113"/>
      <c r="H11" s="113"/>
      <c r="I11" s="113"/>
      <c r="J11" s="113"/>
      <c r="K11" s="113"/>
      <c r="L11" s="113"/>
      <c r="M11" s="113"/>
      <c r="N11" s="113"/>
      <c r="O11" s="113"/>
      <c r="P11" s="113"/>
      <c r="Q11" s="132"/>
      <c r="R11" s="115"/>
      <c r="S11" s="115"/>
      <c r="T11" s="115"/>
      <c r="U11" s="116"/>
      <c r="V11" s="117"/>
      <c r="W11" s="118"/>
      <c r="X11" s="119"/>
      <c r="Y11" s="113"/>
      <c r="Z11" s="113"/>
    </row>
  </sheetData>
  <dataValidations>
    <dataValidation type="list" allowBlank="1" sqref="C2:C3">
      <formula1>Fields!$F$2:$F$8</formula1>
    </dataValidation>
    <dataValidation type="list" allowBlank="1" sqref="D2:D3">
      <formula1>Fields!$A$2:$A$8</formula1>
    </dataValidation>
    <dataValidation type="list" allowBlank="1" sqref="B2:B3">
      <formula1>Fields!$D$2:$D$12</formula1>
    </dataValidation>
  </dataValidations>
  <drawing r:id="rId2"/>
  <legacyDrawing r:id="rId3"/>
</worksheet>
</file>