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Hari\Downloads\"/>
    </mc:Choice>
  </mc:AlternateContent>
  <bookViews>
    <workbookView xWindow="0" yWindow="0" windowWidth="20490" windowHeight="7530" activeTab="3" xr2:uid="{00000000-000D-0000-FFFF-FFFF00000000}"/>
  </bookViews>
  <sheets>
    <sheet name="Charter" sheetId="1" r:id="rId1"/>
    <sheet name="Video-List&amp;Template" sheetId="3" r:id="rId2"/>
    <sheet name="Instructions" sheetId="4" r:id="rId3"/>
    <sheet name="Final" sheetId="5" r:id="rId4"/>
    <sheet name="HT" sheetId="6" r:id="rId5"/>
    <sheet name="JB" sheetId="7" r:id="rId6"/>
    <sheet name="RS" sheetId="8" r:id="rId7"/>
    <sheet name="Fields" sheetId="9" r:id="rId8"/>
  </sheets>
  <calcPr calcId="171027"/>
  <fileRecoveryPr autoRecover="0"/>
</workbook>
</file>

<file path=xl/calcChain.xml><?xml version="1.0" encoding="utf-8"?>
<calcChain xmlns="http://schemas.openxmlformats.org/spreadsheetml/2006/main">
  <c r="Q33" i="7" l="1"/>
  <c r="O33" i="7"/>
  <c r="Q32" i="7"/>
  <c r="O32" i="7"/>
  <c r="Q31" i="7"/>
  <c r="O31" i="7"/>
  <c r="Q30" i="7"/>
  <c r="O30" i="7"/>
  <c r="Q29" i="7"/>
  <c r="O29" i="7"/>
  <c r="J28" i="7"/>
  <c r="Q27" i="7"/>
  <c r="O27" i="7"/>
  <c r="Q26" i="7"/>
  <c r="O26" i="7"/>
  <c r="Q25" i="7"/>
  <c r="O25" i="7"/>
  <c r="Q24" i="7"/>
  <c r="O24" i="7"/>
  <c r="J23" i="7"/>
  <c r="J22" i="7"/>
  <c r="Q21" i="7"/>
  <c r="O21" i="7"/>
  <c r="Q20" i="7"/>
  <c r="O20" i="7"/>
  <c r="Q19" i="7"/>
  <c r="O19" i="7"/>
  <c r="Q18" i="7"/>
  <c r="O18" i="7"/>
  <c r="J17" i="7"/>
  <c r="Q16" i="7"/>
  <c r="O16" i="7"/>
  <c r="Q15" i="7"/>
  <c r="O15" i="7"/>
  <c r="Q14" i="7"/>
  <c r="O14" i="7"/>
  <c r="J13" i="7"/>
  <c r="Q12" i="7"/>
  <c r="O12" i="7"/>
  <c r="Q11" i="7"/>
  <c r="O11" i="7"/>
  <c r="Q10" i="7"/>
  <c r="O10" i="7"/>
  <c r="Q9" i="7"/>
  <c r="O9" i="7"/>
  <c r="Q8" i="7"/>
  <c r="O8" i="7"/>
  <c r="Q7" i="7"/>
  <c r="O7" i="7"/>
  <c r="J6" i="7"/>
  <c r="Q5" i="7"/>
  <c r="O5" i="7"/>
  <c r="Q4" i="7"/>
  <c r="O4" i="7"/>
  <c r="Q3" i="7"/>
  <c r="O3" i="7"/>
  <c r="J2" i="7"/>
  <c r="Q54" i="6"/>
  <c r="O54" i="6"/>
  <c r="Q53" i="6"/>
  <c r="O53" i="6"/>
  <c r="Q52" i="6"/>
  <c r="O52" i="6"/>
  <c r="Q51" i="6"/>
  <c r="O51" i="6"/>
  <c r="Q50" i="6"/>
  <c r="O50" i="6"/>
  <c r="Q49" i="6"/>
  <c r="O49" i="6"/>
  <c r="Q48" i="6"/>
  <c r="O48" i="6"/>
  <c r="Q47" i="6"/>
  <c r="O47" i="6"/>
  <c r="Q46" i="6"/>
  <c r="O46" i="6"/>
  <c r="Q45" i="6"/>
  <c r="O45" i="6"/>
  <c r="Q44" i="6"/>
  <c r="O44" i="6"/>
  <c r="J43" i="6"/>
  <c r="Q42" i="6"/>
  <c r="O42" i="6"/>
  <c r="Q41" i="6"/>
  <c r="O41" i="6"/>
  <c r="Q40" i="6"/>
  <c r="O40" i="6"/>
  <c r="Q39" i="6"/>
  <c r="O39" i="6"/>
  <c r="Q38" i="6"/>
  <c r="O38" i="6"/>
  <c r="Q37" i="6"/>
  <c r="O37" i="6"/>
  <c r="Q36" i="6"/>
  <c r="O36" i="6"/>
  <c r="J35" i="6"/>
  <c r="Q34" i="6"/>
  <c r="O34" i="6"/>
  <c r="Q33" i="6"/>
  <c r="O33" i="6"/>
  <c r="Q32" i="6"/>
  <c r="O32" i="6"/>
  <c r="Q31" i="6"/>
  <c r="O31" i="6"/>
  <c r="Q30" i="6"/>
  <c r="O30" i="6"/>
  <c r="Q29" i="6"/>
  <c r="O29" i="6"/>
  <c r="Q28" i="6"/>
  <c r="O28" i="6"/>
  <c r="Q27" i="6"/>
  <c r="O27" i="6"/>
  <c r="Q26" i="6"/>
  <c r="O26" i="6"/>
  <c r="Q25" i="6"/>
  <c r="O25" i="6"/>
  <c r="Q24" i="6"/>
  <c r="O24" i="6"/>
  <c r="Q23" i="6"/>
  <c r="O23" i="6"/>
  <c r="Q22" i="6"/>
  <c r="O22" i="6"/>
  <c r="Q21" i="6"/>
  <c r="O21" i="6"/>
  <c r="J20" i="6"/>
  <c r="J19" i="6"/>
  <c r="J18" i="6"/>
  <c r="J17" i="6"/>
  <c r="J16" i="6"/>
  <c r="J14" i="6"/>
  <c r="Q13" i="6"/>
  <c r="O13" i="6"/>
  <c r="J12" i="6"/>
  <c r="J11" i="6"/>
  <c r="Q10" i="6"/>
  <c r="O10" i="6"/>
  <c r="J9" i="6"/>
  <c r="J8" i="6"/>
  <c r="J7" i="6"/>
  <c r="J6" i="6"/>
  <c r="J5" i="6"/>
  <c r="J4" i="6"/>
  <c r="J3" i="6"/>
  <c r="J2" i="6"/>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Q134" i="5"/>
  <c r="O134" i="5"/>
  <c r="Q133" i="5"/>
  <c r="O133" i="5"/>
  <c r="Q132" i="5"/>
  <c r="O132" i="5"/>
  <c r="Q131" i="5"/>
  <c r="O131" i="5"/>
  <c r="Q130" i="5"/>
  <c r="O130" i="5"/>
  <c r="Q129" i="5"/>
  <c r="O129" i="5"/>
  <c r="Q128" i="5"/>
  <c r="O128" i="5"/>
  <c r="Q127" i="5"/>
  <c r="O127" i="5"/>
  <c r="Q126" i="5"/>
  <c r="O126" i="5"/>
  <c r="Q125" i="5"/>
  <c r="O125" i="5"/>
  <c r="Q124" i="5"/>
  <c r="O124" i="5"/>
  <c r="J123" i="5"/>
  <c r="J122" i="5"/>
  <c r="J121" i="5"/>
  <c r="J120" i="5"/>
  <c r="J119" i="5"/>
  <c r="J118" i="5"/>
  <c r="J117" i="5"/>
  <c r="J116" i="5"/>
  <c r="J115" i="5"/>
  <c r="J114" i="5"/>
  <c r="J113" i="5"/>
  <c r="J112" i="5"/>
  <c r="Q111" i="5"/>
  <c r="O111" i="5"/>
  <c r="Q110" i="5"/>
  <c r="O110" i="5"/>
  <c r="Q109" i="5"/>
  <c r="O109" i="5"/>
  <c r="Q108" i="5"/>
  <c r="O108" i="5"/>
  <c r="Q107" i="5"/>
  <c r="O107" i="5"/>
  <c r="Q106" i="5"/>
  <c r="O106" i="5"/>
  <c r="Q105" i="5"/>
  <c r="O105" i="5"/>
  <c r="J104" i="5"/>
  <c r="J103" i="5"/>
  <c r="J102" i="5"/>
  <c r="Q101" i="5"/>
  <c r="O101" i="5"/>
  <c r="Q100" i="5"/>
  <c r="O100" i="5"/>
  <c r="Q99" i="5"/>
  <c r="O99" i="5"/>
  <c r="Q98" i="5"/>
  <c r="O98" i="5"/>
  <c r="Q97" i="5"/>
  <c r="O97" i="5"/>
  <c r="Q96" i="5"/>
  <c r="O96" i="5"/>
  <c r="Q95" i="5"/>
  <c r="O95" i="5"/>
  <c r="Q94" i="5"/>
  <c r="O94" i="5"/>
  <c r="Q93" i="5"/>
  <c r="O93" i="5"/>
  <c r="Q92" i="5"/>
  <c r="O92" i="5"/>
  <c r="Q91" i="5"/>
  <c r="O91" i="5"/>
  <c r="Q90" i="5"/>
  <c r="O90" i="5"/>
  <c r="Q89" i="5"/>
  <c r="O89" i="5"/>
  <c r="Q88" i="5"/>
  <c r="O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Q57" i="5"/>
  <c r="O57" i="5"/>
  <c r="Q56" i="5"/>
  <c r="O56" i="5"/>
  <c r="Q55" i="5"/>
  <c r="O55" i="5"/>
  <c r="Q54" i="5"/>
  <c r="O54" i="5"/>
  <c r="Q53" i="5"/>
  <c r="O53" i="5"/>
  <c r="J52" i="5"/>
  <c r="Q51" i="5"/>
  <c r="O51" i="5"/>
  <c r="Q50" i="5"/>
  <c r="O50" i="5"/>
  <c r="Q49" i="5"/>
  <c r="O49" i="5"/>
  <c r="Q48" i="5"/>
  <c r="O48" i="5"/>
  <c r="J47" i="5"/>
  <c r="J46" i="5"/>
  <c r="Q45" i="5"/>
  <c r="O45" i="5"/>
  <c r="Q44" i="5"/>
  <c r="O44" i="5"/>
  <c r="Q43" i="5"/>
  <c r="O43" i="5"/>
  <c r="Q42" i="5"/>
  <c r="O42" i="5"/>
  <c r="J41" i="5"/>
  <c r="J40" i="5"/>
  <c r="J39" i="5"/>
  <c r="Q38" i="5"/>
  <c r="O38" i="5"/>
  <c r="Q37" i="5"/>
  <c r="O37" i="5"/>
  <c r="Q36" i="5"/>
  <c r="O36" i="5"/>
  <c r="J35" i="5"/>
  <c r="Q34" i="5"/>
  <c r="O34" i="5"/>
  <c r="Q33" i="5"/>
  <c r="O33" i="5"/>
  <c r="Q32" i="5"/>
  <c r="O32" i="5"/>
  <c r="Q31" i="5"/>
  <c r="O31" i="5"/>
  <c r="Q30" i="5"/>
  <c r="O30" i="5"/>
  <c r="Q29" i="5"/>
  <c r="O29" i="5"/>
  <c r="J28" i="5"/>
  <c r="J27" i="5"/>
  <c r="Q26" i="5"/>
  <c r="O26" i="5"/>
  <c r="Q25" i="5"/>
  <c r="O25" i="5"/>
  <c r="Q24" i="5"/>
  <c r="O24" i="5"/>
  <c r="J23" i="5"/>
  <c r="J22" i="5"/>
  <c r="J21" i="5"/>
  <c r="J20" i="5"/>
  <c r="J19" i="5"/>
  <c r="J18" i="5"/>
  <c r="J17" i="5"/>
  <c r="J16" i="5"/>
  <c r="J14" i="5"/>
  <c r="Q13" i="5"/>
  <c r="O13" i="5"/>
  <c r="J12" i="5"/>
  <c r="J11" i="5"/>
  <c r="Q10" i="5"/>
  <c r="O10" i="5"/>
  <c r="J9" i="5"/>
  <c r="J8" i="5"/>
  <c r="J7" i="5"/>
  <c r="J6" i="5"/>
  <c r="J5" i="5"/>
  <c r="J4" i="5"/>
  <c r="J3" i="5"/>
  <c r="J2" i="5"/>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2" i="3"/>
  <c r="J11" i="3"/>
  <c r="J10" i="3"/>
  <c r="J9" i="3"/>
  <c r="J8" i="3"/>
  <c r="J7" i="3"/>
  <c r="J6" i="3"/>
  <c r="J5" i="3"/>
  <c r="J4" i="3"/>
  <c r="J3" i="3"/>
  <c r="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1"/>
            <color rgb="FF000000"/>
            <rFont val="Calibri"/>
          </rPr>
          <t>Hari Thapliyal:
HT- Hari Thapliyal
JB- Jayanthi Badrinath
SP- Shalini Puthiyedam
RS- Rajshree KT</t>
        </r>
      </text>
    </comment>
    <comment ref="C1" authorId="0" shapeId="0" xr:uid="{00000000-0006-0000-0200-000008000000}">
      <text>
        <r>
          <rPr>
            <sz val="11"/>
            <color rgb="FF000000"/>
            <rFont val="Calibri"/>
          </rPr>
          <t>Done, WIP
	-Hari Thapliyal</t>
        </r>
      </text>
    </comment>
    <comment ref="I1" authorId="0" shapeId="0" xr:uid="{00000000-0006-0000-0200-000002000000}">
      <text>
        <r>
          <rPr>
            <sz val="11"/>
            <color rgb="FF000000"/>
            <rFont val="Calibri"/>
          </rPr>
          <t>Hari Thapliyal:
Wherever Descriptionis empty, it can be copied from Clip Title</t>
        </r>
      </text>
    </comment>
    <comment ref="S1" authorId="0" shapeId="0" xr:uid="{00000000-0006-0000-0200-000003000000}">
      <text>
        <r>
          <rPr>
            <sz val="11"/>
            <color rgb="FF000000"/>
            <rFont val="Calibri"/>
          </rPr>
          <t>Hari Thapliyal:
Very low, Low, Good</t>
        </r>
      </text>
    </comment>
    <comment ref="X1" authorId="0" shapeId="0" xr:uid="{00000000-0006-0000-0200-000004000000}">
      <text>
        <r>
          <rPr>
            <sz val="11"/>
            <color rgb="FF000000"/>
            <rFont val="Calibri"/>
          </rPr>
          <t>Hari Thapliyal:
When content is good but record quality is bad.</t>
        </r>
      </text>
    </comment>
    <comment ref="Y1" authorId="0" shapeId="0" xr:uid="{00000000-0006-0000-0200-000005000000}">
      <text>
        <r>
          <rPr>
            <sz val="11"/>
            <color rgb="FF000000"/>
            <rFont val="Calibri"/>
          </rPr>
          <t>Hari Thapliyal:
Good Quality, Less Viewed or Upload Long back can be replayed when new content cannot be created</t>
        </r>
      </text>
    </comment>
    <comment ref="AA1" authorId="0" shapeId="0" xr:uid="{00000000-0006-0000-0200-000006000000}">
      <text>
        <r>
          <rPr>
            <sz val="11"/>
            <color rgb="FF000000"/>
            <rFont val="Calibri"/>
          </rPr>
          <t>Hari Thapliyal:
1-Ignore
2-Use "as is" with new title &amp; description
3-Create new clip with raw footage</t>
        </r>
      </text>
    </comment>
    <comment ref="AB1" authorId="0" shapeId="0" xr:uid="{00000000-0006-0000-0200-000007000000}">
      <text>
        <r>
          <rPr>
            <sz val="11"/>
            <color rgb="FF000000"/>
            <rFont val="Calibri"/>
          </rPr>
          <t>Hari Thapliyal:
1-Done
2-Not possible
3-Done pls review</t>
        </r>
      </text>
    </comment>
  </commentList>
</comments>
</file>

<file path=xl/sharedStrings.xml><?xml version="1.0" encoding="utf-8"?>
<sst xmlns="http://schemas.openxmlformats.org/spreadsheetml/2006/main" count="8513" uniqueCount="2508">
  <si>
    <t>Project Name</t>
  </si>
  <si>
    <t>Develop Educational Video Clips of RM Video Work</t>
  </si>
  <si>
    <t>#</t>
  </si>
  <si>
    <t>Project Code</t>
  </si>
  <si>
    <t>DEVC-RMVW</t>
  </si>
  <si>
    <t>Project Manager</t>
  </si>
  <si>
    <t>Mr. Hari Thapliyal</t>
  </si>
  <si>
    <t>Project Sponsor</t>
  </si>
  <si>
    <t>Mr. Rajiv Malhotra</t>
  </si>
  <si>
    <t>Team Members</t>
  </si>
  <si>
    <t>Name</t>
  </si>
  <si>
    <t>Location</t>
  </si>
  <si>
    <t>Email</t>
  </si>
  <si>
    <t>Phone</t>
  </si>
  <si>
    <t>Project Skills</t>
  </si>
  <si>
    <t>HT- Hari Thapliyal</t>
  </si>
  <si>
    <t>Bangalore</t>
  </si>
  <si>
    <t>hari.prasad@vedavit-ps.com</t>
  </si>
  <si>
    <t>(+91) 9535999336</t>
  </si>
  <si>
    <t>Video clipping</t>
  </si>
  <si>
    <t>JB- Jayanthi Badrinath</t>
  </si>
  <si>
    <t>jayanthib@gmail.com</t>
  </si>
  <si>
    <t>(+91) 99452 43966​⁠​</t>
  </si>
  <si>
    <t>SP- Shalini Puthiyedam</t>
  </si>
  <si>
    <t>puthiyedam.shalini@gmail.com</t>
  </si>
  <si>
    <t>Owner</t>
  </si>
  <si>
    <t>Status</t>
  </si>
  <si>
    <t>(+91) 95661 07755</t>
  </si>
  <si>
    <t>RS- Rajshree KT</t>
  </si>
  <si>
    <t>Hydrabad</t>
  </si>
  <si>
    <t>Rajshree.kt@gmail.com</t>
  </si>
  <si>
    <t>(+91) 99592 09000</t>
  </si>
  <si>
    <t>BM-Bryan Maiorana</t>
  </si>
  <si>
    <t>bryanm.infinity@gmail.com</t>
  </si>
  <si>
    <t>(+1) (609) 475-2399</t>
  </si>
  <si>
    <t>Creating physical clip, video making</t>
  </si>
  <si>
    <t>Resource Required</t>
  </si>
  <si>
    <t>Social media marketing</t>
  </si>
  <si>
    <t>Objective</t>
  </si>
  <si>
    <t>To create a knowledge base (KB) of education videos from already existing YouTube videos of RM Channel</t>
  </si>
  <si>
    <t>Video URL</t>
  </si>
  <si>
    <t>Share these videos on RM Facebook &amp; RM Twitter account</t>
  </si>
  <si>
    <t>Good</t>
  </si>
  <si>
    <t>Bad</t>
  </si>
  <si>
    <t>Topic</t>
  </si>
  <si>
    <t>No</t>
  </si>
  <si>
    <t>Description</t>
  </si>
  <si>
    <t>High Level Plan</t>
  </si>
  <si>
    <t>Create a list of all the videos.</t>
  </si>
  <si>
    <t>Tot. Duration</t>
  </si>
  <si>
    <t>Assign these videos between team members to watch and extract knowledge. Knowledge may be in the QA or just an assertion in some video. We call this each knowledge unit a Topic</t>
  </si>
  <si>
    <t>Vies as on 10-Sep-17</t>
  </si>
  <si>
    <t>Mark the start and end time for each topic. This is called clip</t>
  </si>
  <si>
    <t>Establish a Topic heading and topic description for each clip</t>
  </si>
  <si>
    <t>If audio/video quality is not good but content is good then we need to mark the video as "Recreate" from raw video</t>
  </si>
  <si>
    <t>If audio/video quality is not good but content is good and AV cannot be improved from raw video then mark it to "Re-Record"</t>
  </si>
  <si>
    <t>If audio/video quality is good but content is not ok then mark the video as not suitable for knowledge base</t>
  </si>
  <si>
    <t>If audio/video quality is good, content is good but video size is long then clip the video into multiple clips</t>
  </si>
  <si>
    <t>if audio/video quality is good, content is good, video size is appropriate but Heading or Description is not appropriate then write new heading and description</t>
  </si>
  <si>
    <t>If content is good and audio/video cannot be improved then market the clip as logical clip</t>
  </si>
  <si>
    <t>If content is not good then Ignore working on this video and mark it as not suitable for Knowledge Base</t>
  </si>
  <si>
    <t>Each topic need to have a clearly defined topic heading for the SEO &amp; Knowledge repository purpose</t>
  </si>
  <si>
    <t>WIP</t>
  </si>
  <si>
    <t>Clip Title</t>
  </si>
  <si>
    <t>2-a If required create short videos/clips from them with proper title &amp; description - Bryan</t>
  </si>
  <si>
    <t>2-b else use existing videos with suitable title and description. - No Extra Work</t>
  </si>
  <si>
    <t>3-a Social media marketing of the clips/videos under above-identified title &amp; description - rm-facebook/rm-twitter handle. - ??</t>
  </si>
  <si>
    <t>Views as on 10-Sep-17</t>
  </si>
  <si>
    <t>Duration (315 Hours)</t>
  </si>
  <si>
    <t>3-b Social media marketing of the clips/videos under above-identified title &amp; description - Individual level - Anybody, our friends etc.</t>
  </si>
  <si>
    <t>Start Date</t>
  </si>
  <si>
    <t>Yes</t>
  </si>
  <si>
    <t>Re-record</t>
  </si>
  <si>
    <t>Drop</t>
  </si>
  <si>
    <t>Posted Date</t>
  </si>
  <si>
    <t xml:space="preserve">Start </t>
  </si>
  <si>
    <t>End</t>
  </si>
  <si>
    <t>Clip Duration</t>
  </si>
  <si>
    <t>Work Date</t>
  </si>
  <si>
    <t>Finish Date</t>
  </si>
  <si>
    <t>Clip URL</t>
  </si>
  <si>
    <t>Video Quality</t>
  </si>
  <si>
    <t>Audio Quality</t>
  </si>
  <si>
    <t>Content Quality</t>
  </si>
  <si>
    <t>Fit for New Channel?</t>
  </si>
  <si>
    <t>Logically Clipped</t>
  </si>
  <si>
    <t>Ready for New Channel</t>
  </si>
  <si>
    <t>Re-Record</t>
  </si>
  <si>
    <t>Re-Replay</t>
  </si>
  <si>
    <t>Remarks</t>
  </si>
  <si>
    <t>For Bryan</t>
  </si>
  <si>
    <t>For Hari</t>
  </si>
  <si>
    <t>HT</t>
  </si>
  <si>
    <t>https://www.youtube.com/watch?v=RD7JpM4UrUA</t>
  </si>
  <si>
    <t>"Breaking India" book launch - Swami Dayananda Saraswati - Part 1.wmv</t>
  </si>
  <si>
    <t>13:52</t>
  </si>
  <si>
    <t>7K</t>
  </si>
  <si>
    <t>Please work only with your sheets and do not temper with any other sheet.</t>
  </si>
  <si>
    <t>How to start the work on any video (All Team Members)</t>
  </si>
  <si>
    <t>Search video in Video-List&amp; Template sheet</t>
  </si>
  <si>
    <t>Copy entire row of that row into your sheet</t>
  </si>
  <si>
    <t>Do not modify ANY existing information of this copied row</t>
  </si>
  <si>
    <t>Create your own row under this if you want to create clip</t>
  </si>
  <si>
    <t>Enter time in hh:mm:ss format for example clip 0:3:40 to 0:5:20 mean 3 min 40 sec (start) to 5 min 20 sec (end)</t>
  </si>
  <si>
    <t>How to update the final sheet (by Hari)</t>
  </si>
  <si>
    <t>Once team member mention his/her logical video cliping work is done. After that Hari will copy that row of team-member into "Final" sheet</t>
  </si>
  <si>
    <t>Backup (by Hari)</t>
  </si>
  <si>
    <t>Everyday copy file with different date suffix.</t>
  </si>
  <si>
    <t>Offline Working</t>
  </si>
  <si>
    <t>Because of some reasons if you want to work offline then</t>
  </si>
  <si>
    <t>Download your copy on your machine</t>
  </si>
  <si>
    <t>Work only on your sheet.</t>
  </si>
  <si>
    <t>Copy and paste only those rows from local sheet to google sheet which you have worked/modified.</t>
  </si>
  <si>
    <t>6 years ago</t>
  </si>
  <si>
    <t>Raw Footage Available</t>
  </si>
  <si>
    <t>Final Status</t>
  </si>
  <si>
    <t>Market Logical Clip</t>
  </si>
  <si>
    <t>NR</t>
  </si>
  <si>
    <t>https://www.youtube.com/watch?v=jKuCWHsoXmQ</t>
  </si>
  <si>
    <t>Rajiv Malhotra's Book "Breaking India" Launch by Pujya Swami Dayananda Saraswati - Part 2</t>
  </si>
  <si>
    <t>14:49</t>
  </si>
  <si>
    <t>Swami Dayananda Saraswati Ji on the Theory of Invasion</t>
  </si>
  <si>
    <t>4K</t>
  </si>
  <si>
    <t>Swami Dayananda Saraswati Ji is talking about the book and huge efforts of Rajiv Malhotra in writing this book. He talks about how people madely talking about invasion theory and trying to create conflict in the Indian society. Also talks about Saraswati River.</t>
  </si>
  <si>
    <t>Done-Content</t>
  </si>
  <si>
    <t>https://www.youtube.com/watch?v=21ZKFBL-Yc0</t>
  </si>
  <si>
    <t>"Breaking India" book launch - Admiral Nayyar.wmv</t>
  </si>
  <si>
    <t>3:07</t>
  </si>
  <si>
    <t>Swami Dayananda Saraswati Ji on minority appeasement</t>
  </si>
  <si>
    <t>Majority feels prosecuted. Minority has previledges because of vote bank. Religion is transnational, so Hindus are minority in the world. Religious freedom leading to destruction of mind. Religious minority bluff has to be called. Dalit Samachart is invented recently. Destroying society in the name of religious freedom is not allowed.</t>
  </si>
  <si>
    <t>https://www.youtube.com/watch?v=FytdS2vMJfU</t>
  </si>
  <si>
    <t>Cho Ramaswamy - "Breaking India" Book Launch</t>
  </si>
  <si>
    <t>Admiral Nayyar on Tolerance &amp; Partition of India</t>
  </si>
  <si>
    <t>Admiral Nayyar says we are product and prisoner of our time. In the name of tolerance we cannot afford to have another partition of this country as it happened in 1947</t>
  </si>
  <si>
    <t>1:24</t>
  </si>
  <si>
    <t>10K</t>
  </si>
  <si>
    <t>Cho Ramaswamy on Secularism</t>
  </si>
  <si>
    <t>No Msg</t>
  </si>
  <si>
    <t>https://www.youtube.com/watch?v=7WsGnkGob7A</t>
  </si>
  <si>
    <t>"Breaking India" Launch Ritual</t>
  </si>
  <si>
    <t>0:35</t>
  </si>
  <si>
    <t>https://www.youtube.com/watch?v=WU456HIXN5U</t>
  </si>
  <si>
    <t>S. Ramachandran - "Breaking India" Book Launch</t>
  </si>
  <si>
    <t>5:45</t>
  </si>
  <si>
    <t>1.7K</t>
  </si>
  <si>
    <t>Msg in Tamil Language. I do not know title!</t>
  </si>
  <si>
    <t>Title required in English/Hindi</t>
  </si>
  <si>
    <t>https://www.youtube.com/watch?v=PcNDlU0LyJk</t>
  </si>
  <si>
    <t>S. Gurumurthy - Chennai Launch of "Breaking India"</t>
  </si>
  <si>
    <t>4:51</t>
  </si>
  <si>
    <t>5.1K</t>
  </si>
  <si>
    <t>S Gurumurthy on Dharma, Secularism, dravidian movement, tiruvallur and Christianity</t>
  </si>
  <si>
    <t>https://www.youtube.com/watch?v=mjFek0gF97s</t>
  </si>
  <si>
    <t>The Authors Discuss Breaking India</t>
  </si>
  <si>
    <t>14:56</t>
  </si>
  <si>
    <t>1.9K</t>
  </si>
  <si>
    <t xml:space="preserve">Aravindan Neelakandan &amp; Rajiv Malhotra on how "Breaking India" book was conceived. </t>
  </si>
  <si>
    <t>Three international nexuses 1- Bahabism vs Indian Islam, 2- China &amp; Maoism 3-Dalit &amp; Christianity are disucssed. Dravidian Christianity is also discussed. How can we be model of diversity is being discussed.</t>
  </si>
  <si>
    <t>Average</t>
  </si>
  <si>
    <t>Remove noise, if possible.</t>
  </si>
  <si>
    <t>Dravidian Christian Movement in Tamil Nadu</t>
  </si>
  <si>
    <t>https://www.youtube.com/watch?v=0_EJXPWJN4E</t>
  </si>
  <si>
    <t>"Breaking India" Panel #1</t>
  </si>
  <si>
    <t>5:00</t>
  </si>
  <si>
    <t>Some unnecessary music in background. Phone sound.</t>
  </si>
  <si>
    <t>Focus of "Breaking India" Book as per various well known readers</t>
  </si>
  <si>
    <t xml:space="preserve">Book touches social, cultural narrative. It is not political. </t>
  </si>
  <si>
    <t>Title required in English/Hindi for Tamil testimony. Must play again and again.</t>
  </si>
  <si>
    <t>https://www.youtube.com/watch?v=Kxuiy8OL30w</t>
  </si>
  <si>
    <t>"Breaking India" Panel #6</t>
  </si>
  <si>
    <t>4:22</t>
  </si>
  <si>
    <t>Impact of Saint Thomas on Tamil Classics</t>
  </si>
  <si>
    <t>Jesus, Vedic culture &amp; diversity</t>
  </si>
  <si>
    <t>If Jesus would have born in India</t>
  </si>
  <si>
    <t>https://www.youtube.com/watch?v=jMgGGixmfus</t>
  </si>
  <si>
    <t>"Breaking India" panel # 4</t>
  </si>
  <si>
    <t>3:29</t>
  </si>
  <si>
    <t>https://www.youtube.com/watch?v=2UnJMns3fjs</t>
  </si>
  <si>
    <t>Why "Breaking India" book critisizes Dravidian Movement?</t>
  </si>
  <si>
    <t>Dravdian movement is racial idea of social reforms and does not deliver justice to the all section of society.</t>
  </si>
  <si>
    <t>"Breaking India" panel #8</t>
  </si>
  <si>
    <t>3:12</t>
  </si>
  <si>
    <t>https://www.youtube.com/watch?v=KVDRl_wLqdM</t>
  </si>
  <si>
    <t>"Breaking India" panel #5</t>
  </si>
  <si>
    <t>5:05</t>
  </si>
  <si>
    <t>Tamil culture &amp; Vedic Sanskrit culture</t>
  </si>
  <si>
    <t>Digesting Hinduism into Dravidian Christianity</t>
  </si>
  <si>
    <t>1.5K</t>
  </si>
  <si>
    <t>Are dravidian black of India?</t>
  </si>
  <si>
    <t>How white vs black theory of racism being created in India.</t>
  </si>
  <si>
    <t>https://www.youtube.com/watch?v=Smd_3o5vtLo</t>
  </si>
  <si>
    <t>"Breaking India" Panel #2</t>
  </si>
  <si>
    <t>5:52</t>
  </si>
  <si>
    <t>Human right, conversion theory and Mahatma Gandhi</t>
  </si>
  <si>
    <t>https://www.youtube.com/watch?v=iBwpK4_JtEw</t>
  </si>
  <si>
    <t>"Breaking India" Panel #3</t>
  </si>
  <si>
    <t>3:51</t>
  </si>
  <si>
    <t xml:space="preserve">Conspiracy theory and "Breaking India" book </t>
  </si>
  <si>
    <t>https://www.youtube.com/watch?v=NCOKqHoIW7M</t>
  </si>
  <si>
    <t>"Breaking India" Panel #7</t>
  </si>
  <si>
    <t>8:14</t>
  </si>
  <si>
    <t>Contribution of St Thomas to Indian Christianity. Temple vs Churches.</t>
  </si>
  <si>
    <t>St Thomas came to Pakistan area not South of India. Even after 200 years of death of Jesus Kerala has only 8 families. In 1816 Kerala had 35000 christians and 55 churches, 19600 temples. In 1876 Temples reduced to 962 Churches &gt; 1000. During freedom fight kerala churches was praying for British Govt. Churches are opportunists. In order to convert Brahmins into christianity a paadri from Italy came and settled in Madurai, learned sanskrit, translated bible into sanskrit and started church prayers in sanskrit.</t>
  </si>
  <si>
    <t>Get name of Italian Paadri for description.</t>
  </si>
  <si>
    <t>https://www.youtube.com/watch?v=tkF_3Ixn02I</t>
  </si>
  <si>
    <t>https://www.youtube.com/watch?v=ByaheAphduQ</t>
  </si>
  <si>
    <t>Hindu Unity Day: Dallas August, 2011</t>
  </si>
  <si>
    <t>"Breaking India" Panel #9</t>
  </si>
  <si>
    <t>52:35:00</t>
  </si>
  <si>
    <t>3:57</t>
  </si>
  <si>
    <t>3.6K</t>
  </si>
  <si>
    <t>https://www.youtube.com/watch?v=0Y3z-QStbk8</t>
  </si>
  <si>
    <t>"Breaking India" panel #11</t>
  </si>
  <si>
    <t>3:33</t>
  </si>
  <si>
    <t>1K</t>
  </si>
  <si>
    <t>What Rajiv Malhotra is try to do?</t>
  </si>
  <si>
    <t>Analyse how Hindu Sampradya, Parampara, Family system, festivals are being viewed, misintepreted and appropriated by west</t>
  </si>
  <si>
    <t>https://www.youtube.com/watch?v=Wpkt3HpzBTs</t>
  </si>
  <si>
    <t>"Breaking India" panel #10</t>
  </si>
  <si>
    <t>1:37</t>
  </si>
  <si>
    <t>JB</t>
  </si>
  <si>
    <t>https://www.youtube.com/watch?v=_IcfDP-ezpo</t>
  </si>
  <si>
    <t>Princeton University: Talk by Rajiv Malhotra - Part 1</t>
  </si>
  <si>
    <t>What is Afro-Dalit project of missionaries in India?</t>
  </si>
  <si>
    <t>This project was the seed of writing book called "Breaking India"</t>
  </si>
  <si>
    <t>10:21</t>
  </si>
  <si>
    <t>8.5K</t>
  </si>
  <si>
    <t>How churches creating dominance in India?</t>
  </si>
  <si>
    <t>Churches buy huge land in remote part of India to create dominance</t>
  </si>
  <si>
    <t>https://www.youtube.com/watch?v=DMG2XD9_nTI</t>
  </si>
  <si>
    <t>Princeton University: Introduction by Vineet Chander</t>
  </si>
  <si>
    <t>1:53</t>
  </si>
  <si>
    <t>3.2K</t>
  </si>
  <si>
    <t>Churches and their human right arguments</t>
  </si>
  <si>
    <t>Churches using human right as a tool for conversion and spreading base</t>
  </si>
  <si>
    <t>https://www.youtube.com/watch?v=Uq2PJjcHiqI</t>
  </si>
  <si>
    <t>Princeton University: Talk by Rajiv Malhotra - Part 2</t>
  </si>
  <si>
    <t>13:23</t>
  </si>
  <si>
    <t>4.9K</t>
  </si>
  <si>
    <t>Nexus of Foreign NGOs and their role in BI</t>
  </si>
  <si>
    <t>Nexus of US Govt, Foundations and Churches from US</t>
  </si>
  <si>
    <t>What is US Commision on International Religious Freedom and their relation with US Political system</t>
  </si>
  <si>
    <t>https://www.youtube.com/watch?v=5LJPOCxc3E8</t>
  </si>
  <si>
    <t>Princeton University: Talk by Rajiv Malhotra - Part 3</t>
  </si>
  <si>
    <t>10:46</t>
  </si>
  <si>
    <t>People behind religious freedom project of US Commision</t>
  </si>
  <si>
    <t>https://www.youtube.com/watch?v=LdrmgXtd_rs</t>
  </si>
  <si>
    <t>Princeton University: Talk by Reverend Thompson - Part 1</t>
  </si>
  <si>
    <t>11:53</t>
  </si>
  <si>
    <t>2.4K</t>
  </si>
  <si>
    <t>Aryan theory, Dravidian theory, Dravidian Christianity, Appropriation of Mahabharata etc into Christian frameworks</t>
  </si>
  <si>
    <t>Who created Dravid Identify in India?</t>
  </si>
  <si>
    <t>https://www.youtube.com/watch?v=gbWoqwJKhbM</t>
  </si>
  <si>
    <t>Princeton University: Talk by Reverend Thompson - Part 2</t>
  </si>
  <si>
    <t>Human rights and its use for conversion</t>
  </si>
  <si>
    <t>13:51</t>
  </si>
  <si>
    <t>2.1K</t>
  </si>
  <si>
    <t>21st Century methods to divide to rule the India</t>
  </si>
  <si>
    <t>Aryan-Dravinian Divide -&gt; Dalit-non-Dalit Divide, Majority-minority divide =&gt; Hindu vs Dravid + Dalit divide in society</t>
  </si>
  <si>
    <t>https://www.youtube.com/watch?v=RdBz1kIwrqo</t>
  </si>
  <si>
    <t>Princeton University: Questions and Answers - Part 1</t>
  </si>
  <si>
    <t>Who is responsible for asaulting indian culture</t>
  </si>
  <si>
    <t xml:space="preserve">A book on Chritian Media in India by Pradip N Thomas </t>
  </si>
  <si>
    <t>10:47</t>
  </si>
  <si>
    <t>14K</t>
  </si>
  <si>
    <t>Left-Right unity in India</t>
  </si>
  <si>
    <t>https://www.youtube.com/watch?v=WsjxXfklatk</t>
  </si>
  <si>
    <t>Princeton University: Questions and Answers Unfortunate Incident</t>
  </si>
  <si>
    <t>Ambedkar's views on conversion</t>
  </si>
  <si>
    <t>4:40</t>
  </si>
  <si>
    <t>15K</t>
  </si>
  <si>
    <t>What is minority community?</t>
  </si>
  <si>
    <t>Nothing of value to record here</t>
  </si>
  <si>
    <t>https://www.youtube.com/watch?v=N0PD3TuLvoo</t>
  </si>
  <si>
    <t>Princeton University: Questions and Answers - Part 2</t>
  </si>
  <si>
    <t>11:37</t>
  </si>
  <si>
    <t>9.3K</t>
  </si>
  <si>
    <t>Human right in India vs China from the US lenses</t>
  </si>
  <si>
    <t>https://www.youtube.com/watch?v=C3_6Ub1GnfA</t>
  </si>
  <si>
    <t>Princeton University: Response by Rajiv Malhotra to Reverend Thompson</t>
  </si>
  <si>
    <t>Conversion to Christianity and the demonization of Hinduism, ancient Indian culture</t>
  </si>
  <si>
    <t>11:04</t>
  </si>
  <si>
    <t>35K</t>
  </si>
  <si>
    <t>In fighting of Hinduism, sufism and uniting Hindus strategy</t>
  </si>
  <si>
    <t>Principle of Karma, reincarnation, cosmic unity are non-negotiable. No-history is suprior, many path to the truth is the Hindu way. To unite Hindus we should compare how other traditions are different from Hindu tradition rather than how we are different within.</t>
  </si>
  <si>
    <t>https://www.youtube.com/watch?v=dp7l5qmLHJI</t>
  </si>
  <si>
    <t>Princeton University: Reactions After Event</t>
  </si>
  <si>
    <t>Improvement in conditions of Dalits is not connected to conversion</t>
  </si>
  <si>
    <t>7:30</t>
  </si>
  <si>
    <t>How west was unified by Hegal in 17th Century</t>
  </si>
  <si>
    <t>6.9K</t>
  </si>
  <si>
    <t>Hegal is orignator of western sense of unity. Hindus need this same concept for unity.</t>
  </si>
  <si>
    <t>Conversion does not solve casteism problem - the sub topic can be this too</t>
  </si>
  <si>
    <t>https://www.youtube.com/watch?v=elqL0Sr_sVU</t>
  </si>
  <si>
    <t>Nexus of foreign NGOs and their role in human rights</t>
  </si>
  <si>
    <t>Atlanta April 23rd, 2011: Introduction by Krishna Kirti Das, President, The Samprajyna Institute</t>
  </si>
  <si>
    <t>7:00</t>
  </si>
  <si>
    <t>https://www.youtube.com/watch?v=s3LVHHEe2vc</t>
  </si>
  <si>
    <t>Rajiv Malhotra: #2 Seminar in Houston, Book: Breaking India</t>
  </si>
  <si>
    <t>Christian media</t>
  </si>
  <si>
    <t>51:54:00</t>
  </si>
  <si>
    <t>6.1K</t>
  </si>
  <si>
    <t>https://www.youtube.com/watch?v=ryQMb29oX3s</t>
  </si>
  <si>
    <t>Is such a short clip ok?</t>
  </si>
  <si>
    <t>Atlanta April 23rd, 2011: Introduction by Dr. Basant K. Tariyal</t>
  </si>
  <si>
    <t>Defining who is a minority</t>
  </si>
  <si>
    <t>1:44</t>
  </si>
  <si>
    <t>5 years ago</t>
  </si>
  <si>
    <t>https://www.youtube.com/watch?v=BEz8X5SUwjY</t>
  </si>
  <si>
    <t>Atlanta April 23rd, 2011: Talk by Rajiv Malhotra - Part 1</t>
  </si>
  <si>
    <t>10:34</t>
  </si>
  <si>
    <t>3 Naxus against India</t>
  </si>
  <si>
    <t>https://www.youtube.com/watch?v=lzMEDrUFlpw</t>
  </si>
  <si>
    <t>Atlanta April 23rd, 2011: Talk by Rajiv Malhotra - Part 2</t>
  </si>
  <si>
    <t>11:00</t>
  </si>
  <si>
    <t>Christian controlled media and literature</t>
  </si>
  <si>
    <t>https://www.youtube.com/watch?v=qCG2vqnaUx4</t>
  </si>
  <si>
    <t>Atlanta April 23rd, 2011: Talk by Rajiv Malhotra - Part 3</t>
  </si>
  <si>
    <t>8:34</t>
  </si>
  <si>
    <t>https://www.youtube.com/watch?v=ycnvyB8pDEM</t>
  </si>
  <si>
    <t>Atlanta April 23rd, 2011: Questions and Answers - Part 1</t>
  </si>
  <si>
    <t>What is being Broken &amp; Why?</t>
  </si>
  <si>
    <t>Sense of continuity, Teertha, Secrad Geography, Collective Destinity, Symbols, abusing some tradition, psychological sense of unity, sense of identify are being broken.</t>
  </si>
  <si>
    <t>12:01</t>
  </si>
  <si>
    <t xml:space="preserve">Radicalization of Christianity in India </t>
  </si>
  <si>
    <t>https://www.youtube.com/watch?v=xANxZaCCD70</t>
  </si>
  <si>
    <t>Atlanta April 23rd, 2011: Questions and Answers - Part 2</t>
  </si>
  <si>
    <t>13:45</t>
  </si>
  <si>
    <t>Dravidian Aryan Artificial Theory</t>
  </si>
  <si>
    <t>Stage of development of Drvaidian theory. Linguistic separation-&gt; culture different-&gt; race different-&gt; religion -&gt; now Dravidian is not secular but Christian Dravdian.</t>
  </si>
  <si>
    <t>Role of US government, donors and NGOs in conversion</t>
  </si>
  <si>
    <t>https://www.youtube.com/watch?v=VeR7IhIkDk0</t>
  </si>
  <si>
    <t>Atlanta April 23rd, 2011: Conclusion by Gokul Kunnath</t>
  </si>
  <si>
    <t>4:50</t>
  </si>
  <si>
    <t>Objective of DFN (Dalit Freedom Network)</t>
  </si>
  <si>
    <t>Done</t>
  </si>
  <si>
    <t>https://www.youtube.com/watch?v=iS7CE9mrtI4</t>
  </si>
  <si>
    <t>God and Identity: Rajiv Malhotra &amp; Joshua Stanton #1</t>
  </si>
  <si>
    <t>9:28</t>
  </si>
  <si>
    <t>5.9K</t>
  </si>
  <si>
    <t>Work of Lutherian Church of Northen Europe in India</t>
  </si>
  <si>
    <t>US Govt Role as a Part of Nexus</t>
  </si>
  <si>
    <t>https://www.youtube.com/watch?v=THua8SMPtK4</t>
  </si>
  <si>
    <t>Brahman and Karma: Rajiv Malhotra &amp; Joshua Stanton #2</t>
  </si>
  <si>
    <t>4:36</t>
  </si>
  <si>
    <t>How Breaking India forces are studying India?</t>
  </si>
  <si>
    <t>Discussion on BI book in India</t>
  </si>
  <si>
    <t>https://www.youtube.com/watch?v=YFmL65VsWdk</t>
  </si>
  <si>
    <t>Rajiv Malhotra's Book "Being Different" Event with Swami Dayananda Saraswati</t>
  </si>
  <si>
    <t>1:00:53</t>
  </si>
  <si>
    <t>3K</t>
  </si>
  <si>
    <t>4.4K</t>
  </si>
  <si>
    <t>Low</t>
  </si>
  <si>
    <t>Yagya is not equal to sacrfice</t>
  </si>
  <si>
    <t>https://www.youtube.com/watch?v=6_9IYK6ZlyY</t>
  </si>
  <si>
    <t>Why Reincarnation: Rajiv Malhotra &amp; Joshua Stanton #3</t>
  </si>
  <si>
    <t>12:46</t>
  </si>
  <si>
    <t>3.3K</t>
  </si>
  <si>
    <t>Can also be called Systematic approach to changing human behaviour</t>
  </si>
  <si>
    <t>Does Christianity respect other religions?</t>
  </si>
  <si>
    <t>https://www.youtube.com/watch?v=LXrKKz7Mld8</t>
  </si>
  <si>
    <t>Limits &amp; Possibilities of Self: Rajiv Malhotra &amp; Joshua Stanton #4</t>
  </si>
  <si>
    <t>Christian powered violence against Hindus</t>
  </si>
  <si>
    <t>7:29</t>
  </si>
  <si>
    <t>https://www.youtube.com/watch?v=ufZ1BZcZzKI</t>
  </si>
  <si>
    <t>History &amp; Dharmic Traditions: Rajiv Malhotra &amp; Joshua Stanton #8</t>
  </si>
  <si>
    <t>Ok</t>
  </si>
  <si>
    <t>4:58</t>
  </si>
  <si>
    <t>Non Translatable Sanskrit Words</t>
  </si>
  <si>
    <t>Prophet is not Rishi, Energy in Shakti, Soul is not  Atman, Gym is not Yoga? Civilization and words for something which they have experienced. Prophet does not have experience of unity but rishi has. Prophet is non producable. Rishi potential is with everyone.</t>
  </si>
  <si>
    <t>https://www.youtube.com/watch?v=rNhQIKC2jPM</t>
  </si>
  <si>
    <t>Personal Motivations: Rajiv Malhotra &amp; Joshua Stanton #5</t>
  </si>
  <si>
    <t>7:40</t>
  </si>
  <si>
    <t>What is digestion of civilization?</t>
  </si>
  <si>
    <t>1.3K</t>
  </si>
  <si>
    <t>https://www.youtube.com/watch?v=FndfcBhZklU</t>
  </si>
  <si>
    <t>How to avoid digestion of civilization?</t>
  </si>
  <si>
    <t>Dharma &amp; Modern India: Rajiv Malhotra &amp; Joshua Stanton #9</t>
  </si>
  <si>
    <t>Karma, Reincarnation cannot be digested in Christianity.</t>
  </si>
  <si>
    <t>11:52</t>
  </si>
  <si>
    <t>Expectations from the church in India</t>
  </si>
  <si>
    <t>https://www.youtube.com/watch?v=20u8yHim1tM</t>
  </si>
  <si>
    <t>Educating the Next Generation: Rajiv Malhotra &amp; Joshua Stanton #11</t>
  </si>
  <si>
    <t>Why virgin birth so critical in Christianity?</t>
  </si>
  <si>
    <t>3:44</t>
  </si>
  <si>
    <t>Link between reservation, conversion and college admissions</t>
  </si>
  <si>
    <t>https://www.youtube.com/watch?v=K9s433rQloA</t>
  </si>
  <si>
    <t>Dharmic Framework for Dialogue: Rajiv Malhotra &amp; Joshua Stanton #10</t>
  </si>
  <si>
    <t>People born before Jesus and original sin.</t>
  </si>
  <si>
    <t>6:02</t>
  </si>
  <si>
    <t>Rev Thomas' responds to this question</t>
  </si>
  <si>
    <t>Why does Christinaity promote conversions?</t>
  </si>
  <si>
    <t>https://www.youtube.com/watch?v=QEUeYDEFtsE</t>
  </si>
  <si>
    <t>What is nicene creed?</t>
  </si>
  <si>
    <t>Language and Difference: Rajiv Malhotra &amp; Joshua Stanton #6</t>
  </si>
  <si>
    <t>4:45</t>
  </si>
  <si>
    <t>1.1K</t>
  </si>
  <si>
    <t>Methodology behind BI research</t>
  </si>
  <si>
    <t>What is history centrism?</t>
  </si>
  <si>
    <t>8:47 - 10:05 - Rev. Thomas's addition to RM's points - don’t think it is needed - your call</t>
  </si>
  <si>
    <t>https://www.youtube.com/watch?v=Yhp3rFuo5Cw</t>
  </si>
  <si>
    <t>History Centrism As the Problem: Rajiv Malhotra and Joshua Stanton #7</t>
  </si>
  <si>
    <t>12:53</t>
  </si>
  <si>
    <t>Status of Jesus in Islam</t>
  </si>
  <si>
    <t>Intergral Unity vs Synthetic Unity</t>
  </si>
  <si>
    <t>Sufism &amp; Islam and Ahmadiyya</t>
  </si>
  <si>
    <t>Unity consiousness is blasphamy</t>
  </si>
  <si>
    <t>https://www.youtube.com/watch?v=8qjQH_-WzyE</t>
  </si>
  <si>
    <t>Rajiv Malhotra California June 2011 - 1: Importance of Managing our Civilization Discourse</t>
  </si>
  <si>
    <t>14:47</t>
  </si>
  <si>
    <t>Conversion does not solve casteism problem</t>
  </si>
  <si>
    <t>https://www.youtube.com/watch?v=vHWsmGyjOk0</t>
  </si>
  <si>
    <t>Rajiv Malhotra California June 2011 - 2: Changing the Game through Non-Ignorable Interventions</t>
  </si>
  <si>
    <t>Buddhism in India</t>
  </si>
  <si>
    <t>8:46</t>
  </si>
  <si>
    <t>https://www.youtube.com/watch?v=-udb2VYB5uo</t>
  </si>
  <si>
    <t>Rajiv Malhotra California June 2011 - 3: Anti-India Nexuses</t>
  </si>
  <si>
    <t>14:24</t>
  </si>
  <si>
    <t>https://www.youtube.com/watch?v=f-MLHIb4dFU</t>
  </si>
  <si>
    <t>Rajiv Malhotra California: #4 Exploiting India's Minorities</t>
  </si>
  <si>
    <t>12:56</t>
  </si>
  <si>
    <t>https://www.youtube.com/watch?v=m3jwqSSyVkg</t>
  </si>
  <si>
    <t>Rajiv Malhotra California June 2011 - 5: Q &amp; A (Los Angeles) 1</t>
  </si>
  <si>
    <t>13:25</t>
  </si>
  <si>
    <t>https://www.youtube.com/watch?v=QWaXqmcxm94</t>
  </si>
  <si>
    <t>Rajiv Malhotra California June 2011 - 6: Q &amp; A (Los Angeles) 2</t>
  </si>
  <si>
    <t>13:04</t>
  </si>
  <si>
    <t>https://www.youtube.com/watch?v=JXjMYvGqqDE</t>
  </si>
  <si>
    <t>Rajiv Malhotra California June 2011 - 7: Q &amp; A (Los Angeles) 3</t>
  </si>
  <si>
    <t>7:28</t>
  </si>
  <si>
    <t>https://www.youtube.com/watch?v=TGgYE0Ui0co</t>
  </si>
  <si>
    <t>Rajiv Malhotra California June 2011 - 8: Q &amp; A (Bay Area) 4</t>
  </si>
  <si>
    <t>12:23</t>
  </si>
  <si>
    <t>https://www.youtube.com/watch?v=xtHzknvaS7s</t>
  </si>
  <si>
    <t>Rajiv Malhotra California June 2011 - 9: Q &amp; A (Bay Area) 5</t>
  </si>
  <si>
    <t>https://www.youtube.com/watch?v=sc4OOSLMiQQ</t>
  </si>
  <si>
    <t>Rajiv Malhotra: #1 Seminar in Houston, Book: Breaking India</t>
  </si>
  <si>
    <t>8:04</t>
  </si>
  <si>
    <t>2.3K</t>
  </si>
  <si>
    <t>https://www.youtube.com/watch?v=QZxRsM9xvK4</t>
  </si>
  <si>
    <t>Rajiv Malhotra: #3 Seminar in Houston, Book: Breaking India</t>
  </si>
  <si>
    <t>2:54</t>
  </si>
  <si>
    <t>https://www.youtube.com/watch?v=-3rtVbNkNNQ</t>
  </si>
  <si>
    <t>Rajiv Malhotra: #4 Seminar in Houston, Book: Breaking India</t>
  </si>
  <si>
    <t>16:29</t>
  </si>
  <si>
    <t>1.2K</t>
  </si>
  <si>
    <t>https://www.youtube.com/watch?v=ytrFjytVgtk</t>
  </si>
  <si>
    <t>Seminar in Houston, Book: Breaking India #5</t>
  </si>
  <si>
    <t>13:08</t>
  </si>
  <si>
    <t>https://www.youtube.com/watch?v=28dLjjiriJA</t>
  </si>
  <si>
    <t>Seminar in Houston, Book: Breaking India #6</t>
  </si>
  <si>
    <t>10:22</t>
  </si>
  <si>
    <t>https://www.youtube.com/watch?v=mhHQNrL_bkM</t>
  </si>
  <si>
    <t>Houston Seminar on Breaking India: September 11, 2011 - Audience Q &amp; A with Rajiv Malhotra Vid 7</t>
  </si>
  <si>
    <t>39:59:00</t>
  </si>
  <si>
    <t>2.9K</t>
  </si>
  <si>
    <t>https://www.youtube.com/watch?v=HZ6X5Xt1nS8</t>
  </si>
  <si>
    <t>Houston Seminar on Breaking India: September 11, 2011 - Jayakumar (Chief Organizer) Vid 8</t>
  </si>
  <si>
    <t>7:15</t>
  </si>
  <si>
    <t>https://www.youtube.com/watch?v=IAmXafhUmYc</t>
  </si>
  <si>
    <t>Introductory talk at Uberoi Foundation - Oct 1st, 2011</t>
  </si>
  <si>
    <t>34:48:00</t>
  </si>
  <si>
    <t>2.5K</t>
  </si>
  <si>
    <t>https://www.youtube.com/watch?v=M-zdPqtp9Kk</t>
  </si>
  <si>
    <t>Rajiv Malhotra at Univ. of Delhi, Psychology Department, presenting BEING DIFFERENT</t>
  </si>
  <si>
    <t>51:01:00</t>
  </si>
  <si>
    <t>https://www.youtube.com/watch?v=J5mYtIH7Pho</t>
  </si>
  <si>
    <t>HarperCollins launch of BEING DIFFERENT by Rajiv Malhotra - Part 1 - Preliminaries</t>
  </si>
  <si>
    <t>5:04</t>
  </si>
  <si>
    <t>https://www.youtube.com/watch?v=OpsoPcAUMbw</t>
  </si>
  <si>
    <t>HarperCollins launch of BEING DIFFERENT - Pt 2 Pavan Verma Indian Ambassador to Bhutan</t>
  </si>
  <si>
    <t>12:19</t>
  </si>
  <si>
    <t>https://www.youtube.com/watch?v=MlTxtaiX1xI</t>
  </si>
  <si>
    <t>HarperCollins launch of BEING DIFFERENT by Rajiv Malhotra Part 3 - Madhu Khanna, Prof of Religion</t>
  </si>
  <si>
    <t>15:43</t>
  </si>
  <si>
    <t>https://www.youtube.com/watch?v=4yz6ZL-TC94</t>
  </si>
  <si>
    <t>Mark Tully Discusses Rajiv Malhotra's Book BEING DIFFERENT</t>
  </si>
  <si>
    <t>1:36:42</t>
  </si>
  <si>
    <t>28K</t>
  </si>
  <si>
    <t>https://www.youtube.com/watch?v=29-xoooHPaw</t>
  </si>
  <si>
    <t>Being Different at YPO/WPO, Madras: Rajiv Malhotra's Talk</t>
  </si>
  <si>
    <t>1:10:21</t>
  </si>
  <si>
    <t>7.3K</t>
  </si>
  <si>
    <t>https://www.youtube.com/watch?v=y1fdkGgCt64</t>
  </si>
  <si>
    <t>IIT Madras: Rajiv Malhotra talk on "Being Different" Part 1</t>
  </si>
  <si>
    <t>35:40:00</t>
  </si>
  <si>
    <t>7.9K</t>
  </si>
  <si>
    <t>https://www.youtube.com/watch?v=FNqQxPkLmPI</t>
  </si>
  <si>
    <t>Being Different: IIT Madras Part 3 - Q&amp;A</t>
  </si>
  <si>
    <t>54:04:00</t>
  </si>
  <si>
    <t>11K</t>
  </si>
  <si>
    <t>https://www.youtube.com/watch?v=54lSHTtU68A</t>
  </si>
  <si>
    <t>Rajiv Malhotra's Opening Remarks- His Discussion with Prof Francis Clooney of Harvard: UMass 1</t>
  </si>
  <si>
    <t>34:45:00</t>
  </si>
  <si>
    <t>6.6K</t>
  </si>
  <si>
    <t>https://www.youtube.com/watch?v=uDANJcQm-So</t>
  </si>
  <si>
    <t>Response to BEING DIFFERENT by Prof Francis Clooney of Harvard: UMass 2</t>
  </si>
  <si>
    <t>46:51:00</t>
  </si>
  <si>
    <t>5.8K</t>
  </si>
  <si>
    <t>https://www.youtube.com/watch?v=aXm-YqwVmbs</t>
  </si>
  <si>
    <t>Rajiv Malhotra's Response to Francis Clooney on BEING DIFFERENT: UMass 3</t>
  </si>
  <si>
    <t>14:15</t>
  </si>
  <si>
    <t>4.5K</t>
  </si>
  <si>
    <t>https://www.youtube.com/watch?v=4eM5V0OXNNU</t>
  </si>
  <si>
    <t>Being Different —Rajiv &amp; Francis Clooney's Q&amp;A with Students of UMass: 4</t>
  </si>
  <si>
    <t>4:01</t>
  </si>
  <si>
    <t>2K</t>
  </si>
  <si>
    <t>https://www.youtube.com/watch?v=knJJGEYwaZw</t>
  </si>
  <si>
    <t>IIT Madras Part 2 - Comments on BEING DIFFERENT by Prof. Nellickappilly &amp; Prof. Venkatakrishnan</t>
  </si>
  <si>
    <t>17:06</t>
  </si>
  <si>
    <t>3.7K</t>
  </si>
  <si>
    <t>https://www.youtube.com/watch?v=3pxgnl2fHZg</t>
  </si>
  <si>
    <t>Part 2- Mata Amritanandamayi's Univ: Ann Berliner, Prof. CA State Univ. Comments on BEING DIFFERENT</t>
  </si>
  <si>
    <t>2:19</t>
  </si>
  <si>
    <t>https://www.youtube.com/watch?v=TEUt7CVuFbI</t>
  </si>
  <si>
    <t>Being Different: India's Challenge to Western Universalism_Full Talk</t>
  </si>
  <si>
    <t>1:00:42</t>
  </si>
  <si>
    <t>3.9K</t>
  </si>
  <si>
    <t>https://www.youtube.com/watch?v=z1wT-GurohQ</t>
  </si>
  <si>
    <t>IISc Video 2 - Comments by T.V. Mohandas Pai, Former Board member of Infosys</t>
  </si>
  <si>
    <t>10:13</t>
  </si>
  <si>
    <t>3.5K</t>
  </si>
  <si>
    <t>https://www.youtube.com/watch?v=f-XdG6v-RWk</t>
  </si>
  <si>
    <t>Rajiv Malhotra explains his Systems Model of History Centrism at IISc</t>
  </si>
  <si>
    <t>39:22:00</t>
  </si>
  <si>
    <t>7.4K</t>
  </si>
  <si>
    <t>https://www.youtube.com/watch?v=BcDC-Op1hJc</t>
  </si>
  <si>
    <t>IISc Video 3 - Comments by Roddam Narasimha, Scientist</t>
  </si>
  <si>
    <t>15:23</t>
  </si>
  <si>
    <t>https://www.youtube.com/watch?v=lXmhJr1LDyI</t>
  </si>
  <si>
    <t>IISc Video 4 - Q &amp; A</t>
  </si>
  <si>
    <t>26:00:00</t>
  </si>
  <si>
    <t>4.1K</t>
  </si>
  <si>
    <t>https://www.youtube.com/watch?v=Wrs0XEoFHAM</t>
  </si>
  <si>
    <t>Rajiv Malhotra's TV Interview with Prof. Thakur of Jawaharlal Nehru University</t>
  </si>
  <si>
    <t>57:59:00</t>
  </si>
  <si>
    <t>Replace this with video of better quality.</t>
  </si>
  <si>
    <t>https://www.youtube.com/watch?v=O0wEzvYOTJw</t>
  </si>
  <si>
    <t>Breaking India book by Rajiv Malhotra Bangalore_ Intro by TS Mohan #1</t>
  </si>
  <si>
    <t>https://www.youtube.com/watch?v=G3NpQQMh8jQ</t>
  </si>
  <si>
    <t>Breaking India book by Rajiv Malhotra: Talk by Dr Swamy Part 2</t>
  </si>
  <si>
    <t>34:40:00</t>
  </si>
  <si>
    <t>44K</t>
  </si>
  <si>
    <t>https://www.youtube.com/watch?v=VP5gPVW3XDM</t>
  </si>
  <si>
    <t>Being Different or Being Digested - Univ of Massachusetts</t>
  </si>
  <si>
    <t>37:27:00</t>
  </si>
  <si>
    <t>6.3K</t>
  </si>
  <si>
    <t>https://www.youtube.com/watch?v=0uPW7Jf9y7o</t>
  </si>
  <si>
    <t>Rajiv Malhotra's Talk at Kitab Khana, Mumbai's Premier Bookstore</t>
  </si>
  <si>
    <t>51:23:00</t>
  </si>
  <si>
    <t>https://www.youtube.com/watch?v=fjD9BVlmPoA</t>
  </si>
  <si>
    <t>Rajiv Malhotra's Keynote Address at Institute of Social &amp; Economical Change, Bangalore</t>
  </si>
  <si>
    <t>1:35:45</t>
  </si>
  <si>
    <t>https://www.youtube.com/watch?v=iGpYgqX-p8c</t>
  </si>
  <si>
    <t>Rajiv Malhotra at Somaiya Institutes, Mumbai - Part 1: Introduction (in Sanskrit &amp; English)</t>
  </si>
  <si>
    <t>8:30</t>
  </si>
  <si>
    <t>https://www.youtube.com/watch?v=schP-IZS5Sw</t>
  </si>
  <si>
    <t>Rajiv Malhotra at Somaiya Institute, Mumbai: #3 Hindi Q&amp;A</t>
  </si>
  <si>
    <t>16:47</t>
  </si>
  <si>
    <t>https://www.youtube.com/watch?v=gmu_fBglk-A</t>
  </si>
  <si>
    <t>Rajiv Malhotra at Somaiya Institutes, Mumbai - Part 4: English Q&amp;A</t>
  </si>
  <si>
    <t>30:22:00</t>
  </si>
  <si>
    <t>https://www.youtube.com/watch?v=-WPYCv8jdJc</t>
  </si>
  <si>
    <t>Rajiv Malhotra at Somaiya Institutes, Mumbai - Part 2: Lecture</t>
  </si>
  <si>
    <t>49:38:00</t>
  </si>
  <si>
    <t>https://www.youtube.com/watch?v=91dtNzk71IA</t>
  </si>
  <si>
    <t>Rajiv Malhotra Lecture at Young Presidents' Organization, Kolkata</t>
  </si>
  <si>
    <t>41:01:00</t>
  </si>
  <si>
    <t>1.4K</t>
  </si>
  <si>
    <t>https://www.youtube.com/watch?v=SrCfhdoTLfg</t>
  </si>
  <si>
    <t>Keynote at Spirituality &amp; Management Conference, IIM B</t>
  </si>
  <si>
    <t>35:46:00</t>
  </si>
  <si>
    <t>https://www.youtube.com/watch?v=nmbYnYYpa6g</t>
  </si>
  <si>
    <t>Talk at Bhabha Atomic Research Center, Mumbai: Rajiv Malhotra</t>
  </si>
  <si>
    <t>1:06:04</t>
  </si>
  <si>
    <t>22K</t>
  </si>
  <si>
    <t>https://www.youtube.com/watch?v=NPNImjeRrF8</t>
  </si>
  <si>
    <t>Rajiv Malhotra talk at Arsha Vidya</t>
  </si>
  <si>
    <t>17:16</t>
  </si>
  <si>
    <t>https://www.youtube.com/watch?v=8RSu4ymCgp4</t>
  </si>
  <si>
    <t>Rajiv Malhotra's Lecture on U-Turn Theory, Lady Sri Ram College, Delhi</t>
  </si>
  <si>
    <t>2:19:41</t>
  </si>
  <si>
    <t>https://www.youtube.com/watch?v=MOkWSa69NKA</t>
  </si>
  <si>
    <t>Tsunami: The Untold Story by Rajiv Malhotra, 2005</t>
  </si>
  <si>
    <t>33:53:00</t>
  </si>
  <si>
    <t>https://www.youtube.com/watch?v=k_PhmmAyLFg</t>
  </si>
  <si>
    <t>Rajiv Malhotra: Globalization &amp; World Peace, Asian Indian Chamber of Commerce, Nov 16 2008</t>
  </si>
  <si>
    <t>2:09:00</t>
  </si>
  <si>
    <t>https://www.youtube.com/watch?v=tUBrwCmKx8s</t>
  </si>
  <si>
    <t>Rajiv Malhotra's Where is India in the Eagle's Eye?</t>
  </si>
  <si>
    <t>1:19:02</t>
  </si>
  <si>
    <t>https://www.youtube.com/watch?v=Vf5BOYF0S3Y</t>
  </si>
  <si>
    <t>American Theory-Making on India: "Saving Indians from India" by Rajiv Malhotra 2005 at IIC Delhi</t>
  </si>
  <si>
    <t>2:01:38</t>
  </si>
  <si>
    <t>https://www.youtube.com/watch?v=WMf0Mau2TzE</t>
  </si>
  <si>
    <t>Where is India in the Encounter of Civilizations? by Rajiv Malhotra, 2009</t>
  </si>
  <si>
    <t>1:16:10</t>
  </si>
  <si>
    <t>2.6K</t>
  </si>
  <si>
    <t>https://www.youtube.com/watch?v=apOba1F4MT4</t>
  </si>
  <si>
    <t>Rajiv Malhotra's Lecture on Academic Colonization Delivered at Uberoi Foundation 2010</t>
  </si>
  <si>
    <t>45:49:00</t>
  </si>
  <si>
    <t>https://www.youtube.com/watch?v=CtiARMXwI0Q</t>
  </si>
  <si>
    <t>Rajiv Malhotra Invading the Sacred Book Launch Best of Mumbai &amp; Delhi July 1st &amp; 2nd, 2007</t>
  </si>
  <si>
    <t>2:33:46</t>
  </si>
  <si>
    <t>https://www.youtube.com/watch?v=61LvuBJ6Ojs</t>
  </si>
  <si>
    <t>Seminar on BEING DIFFERENT at Banaras Hindu University: Vid 1 - Introductions</t>
  </si>
  <si>
    <t>6:12</t>
  </si>
  <si>
    <t>https://www.youtube.com/watch?v=nQhpJFt2KG8</t>
  </si>
  <si>
    <t>Seminar on BEING DIFFERENT at BHU: Vid 3 - Indranath Chaudhuri, Ex-Director, Sahitya Academy</t>
  </si>
  <si>
    <t>37:32:00</t>
  </si>
  <si>
    <t>https://www.youtube.com/watch?v=myZqody8PTw</t>
  </si>
  <si>
    <t>Seminar on BEING DIFFERENT at Banaras Hindu University #2</t>
  </si>
  <si>
    <t>33:51:00</t>
  </si>
  <si>
    <t>https://www.youtube.com/watch?v=iFLc0n8RSAA</t>
  </si>
  <si>
    <t>Seminar on BEING DIFFERENT at Banaras Hindu University: Vid 5 - Bettina Baumer, Indologist, Varanasi</t>
  </si>
  <si>
    <t>16:43</t>
  </si>
  <si>
    <t>https://www.youtube.com/watch?v=eKtCOiQbVX0</t>
  </si>
  <si>
    <t>Seminar on BEING DIFFERENT at BHU: Vid 4 - Oscar Pujol, Director Institute Cervates, Delhi</t>
  </si>
  <si>
    <t>31:24:00</t>
  </si>
  <si>
    <t>https://www.youtube.com/watch?v=vnw9dW2QgYk</t>
  </si>
  <si>
    <t>Seminar on BEING DIFFERENT at Banaras Hindu University: Vid 6 - Kamal Datt Tripathi, IGNCA, Varanasi</t>
  </si>
  <si>
    <t>41:55:00</t>
  </si>
  <si>
    <t>https://www.youtube.com/watch?v=TxC_8Xllf-M</t>
  </si>
  <si>
    <t>Seminar on BEING DIFFERENT at Banaras Hindu University: 7 - Rajiv Malhotra</t>
  </si>
  <si>
    <t>19:12</t>
  </si>
  <si>
    <t>https://www.youtube.com/watch?v=nbZhVwfCRMU</t>
  </si>
  <si>
    <t>Seminar on BEING DIFFERENT at Banaras Hindu University: Vid 8 - Audience Q&amp;A, Comments</t>
  </si>
  <si>
    <t>18:07</t>
  </si>
  <si>
    <t>https://www.youtube.com/watch?v=rdyZwjy8Wko</t>
  </si>
  <si>
    <t>Manindra Thakur Event Jan 2012 Vid 3 - Debating Western Universalism, Digestion, &amp; U-Turns</t>
  </si>
  <si>
    <t>52:32:00</t>
  </si>
  <si>
    <t>https://www.youtube.com/watch?v=v6It_CJ27bg</t>
  </si>
  <si>
    <t>Manindra Thakur Event Jan 2012 Vid 4 - Book Project: Indian Approach to Social Sciences</t>
  </si>
  <si>
    <t>51:46:00</t>
  </si>
  <si>
    <t>https://www.youtube.com/watch?v=vSLKEwGRgbY</t>
  </si>
  <si>
    <t>Manindra Thakur Event Jan 2012 Vid 2 - Participants remarks on Decolonizing the Social Sciences</t>
  </si>
  <si>
    <t>54:08:00</t>
  </si>
  <si>
    <t>https://www.youtube.com/watch?v=67Y76FPHZ-g</t>
  </si>
  <si>
    <t>Rajiv Malhotra Lecture on Gandhi "US-India Relations at the Crossroads" UMASS Dartmouth Oct 8, 2009</t>
  </si>
  <si>
    <t>1:08:15</t>
  </si>
  <si>
    <t>https://www.youtube.com/watch?v=qDcBHNXLxdc</t>
  </si>
  <si>
    <t>Rajiv Malhotra Lecture on Gandhi "Using Gandhi's Lens Today" UMASS Dartmouth Oct 9, 2009</t>
  </si>
  <si>
    <t>1:08:25</t>
  </si>
  <si>
    <t>https://www.youtube.com/watch?v=BF7tCmPOjs4</t>
  </si>
  <si>
    <t>Manindra Thakur Event Jan 2012 Vid 1 - Introduction by Prof. Thakur (JNU) &amp; Rajiv Malhotra</t>
  </si>
  <si>
    <t>22:33</t>
  </si>
  <si>
    <t>https://www.youtube.com/watch?v=UrWQfScMALY</t>
  </si>
  <si>
    <t>Rajiv Malhotra Talk at Auroville Video 1 - Differences in Philosophy</t>
  </si>
  <si>
    <t>1:18:11</t>
  </si>
  <si>
    <t>https://www.youtube.com/watch?v=6LOxjxiZ3NQ</t>
  </si>
  <si>
    <t>Rajiv Malhotra at Auroville Video 2 - Q&amp;A with Audience</t>
  </si>
  <si>
    <t>37:48:00</t>
  </si>
  <si>
    <t>https://www.youtube.com/watch?v=08Xwx9vsy6w</t>
  </si>
  <si>
    <t>Rajiv Malhotra Keynote Address at JNU on: Science &amp; Indian Traditions</t>
  </si>
  <si>
    <t>41:15:00</t>
  </si>
  <si>
    <t>https://www.youtube.com/watch?v=JErwMUETzvU</t>
  </si>
  <si>
    <t>Pondy Event Vid 4 - Comments by five prominent scholars of Sri Aurobindo</t>
  </si>
  <si>
    <t>47:47:00</t>
  </si>
  <si>
    <t>https://www.youtube.com/watch?v=SS0UQNsxhus</t>
  </si>
  <si>
    <t>Rajiv Malhotra Debates a German U-Turner who returned to Christ from Sri Aurobindo</t>
  </si>
  <si>
    <t>16:44</t>
  </si>
  <si>
    <t>19K</t>
  </si>
  <si>
    <t>https://www.youtube.com/watch?v=g-xyM5pVESg</t>
  </si>
  <si>
    <t>Pondy Event Vid 1 - Introduction by Anand Reddy, SACAR</t>
  </si>
  <si>
    <t>5:44</t>
  </si>
  <si>
    <t>https://www.youtube.com/watch?v=vHGejHQUoio</t>
  </si>
  <si>
    <t>Pondy Event Vid 7 - Q&amp;A - New Western religions that are not history centric</t>
  </si>
  <si>
    <t>4:20</t>
  </si>
  <si>
    <t>https://www.youtube.com/watch?v=3f7b_ZE5B1Y</t>
  </si>
  <si>
    <t>Pondy Event Vid 8 - Q&amp;A - Relevance to Modern Youth</t>
  </si>
  <si>
    <t>https://www.youtube.com/watch?v=kQP4pUPNjqs</t>
  </si>
  <si>
    <t>Pondicherry Event Vid 2_Rajiv Malhotra's Talk Part 1 - U Turn Theory</t>
  </si>
  <si>
    <t>30:14:00</t>
  </si>
  <si>
    <t>https://www.youtube.com/watch?v=hWBzG7eVqVg</t>
  </si>
  <si>
    <t>Pondy Event Vid 3 - Rajiv Malhotra Talk Part 2: BEING DIFFERENT book</t>
  </si>
  <si>
    <t>56:51:00</t>
  </si>
  <si>
    <t>https://www.youtube.com/watch?v=7jIfpSOnmK8</t>
  </si>
  <si>
    <t>Pondy Event Vid 5 - Rajiv Malhotra's Response to the Expert Comments</t>
  </si>
  <si>
    <t>18:00</t>
  </si>
  <si>
    <t>https://www.youtube.com/watch?v=qd7yTtTb_Fc</t>
  </si>
  <si>
    <t>Pondy Event Vid 9 - Director's Concluding Remarks</t>
  </si>
  <si>
    <t>2:36</t>
  </si>
  <si>
    <t>https://www.youtube.com/watch?v=2WYZtS_LLog</t>
  </si>
  <si>
    <t>Indian Knowledge Systems: IIT Alumni Event, Washington DC #1</t>
  </si>
  <si>
    <t>45:44:00</t>
  </si>
  <si>
    <t>https://www.youtube.com/watch?v=agP31XI_FxA</t>
  </si>
  <si>
    <t>Chinmaya Mission Washington, DC Vid 1 - Introduction</t>
  </si>
  <si>
    <t>7:57</t>
  </si>
  <si>
    <t>https://www.youtube.com/watch?v=7ZD3D4mAoaE</t>
  </si>
  <si>
    <t>Indian Knowledge Systems Vid 2 - Rajiv Malhotra Q &amp; A</t>
  </si>
  <si>
    <t>53:24:00</t>
  </si>
  <si>
    <t>5.6K</t>
  </si>
  <si>
    <t>https://www.youtube.com/watch?v=ANSSQQ6ZauM</t>
  </si>
  <si>
    <t>Chinmaya Mission Washington, DC Vid 2 - Difference &amp; Related Issues</t>
  </si>
  <si>
    <t>48:25:00</t>
  </si>
  <si>
    <t>https://www.youtube.com/watch?v=OBViSvvLu-s</t>
  </si>
  <si>
    <t>Chinmaya Mission Washington, DC Vid 3 - Digestion: What, Why, How</t>
  </si>
  <si>
    <t>41:50:00</t>
  </si>
  <si>
    <t>https://www.youtube.com/watch?v=k54XQ5I1Nzo</t>
  </si>
  <si>
    <t>Chinmaya Mission Washington, DC Vid 4 - History Centrism &amp; Identity Issues</t>
  </si>
  <si>
    <t>30:49:00</t>
  </si>
  <si>
    <t>https://www.youtube.com/watch?v=vdwHHPZwNEo</t>
  </si>
  <si>
    <t>Chinmaya Mission Washington, DC Vid 5 - Integral Unity, Chaos, Self-Organization</t>
  </si>
  <si>
    <t>20:52</t>
  </si>
  <si>
    <t>https://www.youtube.com/watch?v=q1K9wPDzMjU</t>
  </si>
  <si>
    <t>Chinmaya Mission Washington, DC Vid 6 - Indian Contributions Define our Difference</t>
  </si>
  <si>
    <t>15:55</t>
  </si>
  <si>
    <t>https://www.youtube.com/watch?v=75OFJ9IX4tI</t>
  </si>
  <si>
    <t>Chinmaya Mission Washington, DC Vid 7 - Other Q &amp; A</t>
  </si>
  <si>
    <t>29:03:00</t>
  </si>
  <si>
    <t>https://www.youtube.com/watch?v=p6HgGSKj2m8</t>
  </si>
  <si>
    <t>Chinmaya Mission Washington, DC Vid 8 -Book Signing</t>
  </si>
  <si>
    <t>4:30</t>
  </si>
  <si>
    <t>https://www.youtube.com/watch?v=cKIAV15AZcI</t>
  </si>
  <si>
    <t>University of Toronto - Q&amp;A with Rajiv Malhotra</t>
  </si>
  <si>
    <t>36:18:00</t>
  </si>
  <si>
    <t>https://www.youtube.com/watch?v=sdhISUDYvX4</t>
  </si>
  <si>
    <t>Toronto Civic Center, March 17, 2012 - Q&amp;A</t>
  </si>
  <si>
    <t>52:42:00</t>
  </si>
  <si>
    <t>https://www.youtube.com/watch?v=T0iutxik1Eg</t>
  </si>
  <si>
    <t>Vedic Culture Center, March 18, 2012</t>
  </si>
  <si>
    <t>1:00:55</t>
  </si>
  <si>
    <t>https://www.youtube.com/watch?v=PjvzuUMMZs4</t>
  </si>
  <si>
    <t>U of Toronto - Talks</t>
  </si>
  <si>
    <t>1:00:40</t>
  </si>
  <si>
    <t>https://www.youtube.com/watch?v=HdBCunbR_jE</t>
  </si>
  <si>
    <t>Toronto Civic Center, March 17, 2012 - Lecture</t>
  </si>
  <si>
    <t>47:33:00</t>
  </si>
  <si>
    <t>https://www.youtube.com/watch?v=vKGL9b0x_K8</t>
  </si>
  <si>
    <t>U Ontario - Lecture March 19, 2012</t>
  </si>
  <si>
    <t>1:52:44</t>
  </si>
  <si>
    <t>https://www.youtube.com/watch?v=5K-nmVDwXW0</t>
  </si>
  <si>
    <t>U Ontario - Q and A, March 19, 2012</t>
  </si>
  <si>
    <t>32:45:00</t>
  </si>
  <si>
    <t>https://www.youtube.com/watch?v=R7mzbp-9vbk</t>
  </si>
  <si>
    <t>Hindi Mahaotsav May 12, 2012</t>
  </si>
  <si>
    <t>1:06:37</t>
  </si>
  <si>
    <t>https://www.youtube.com/watch?v=ucgD3lqwZX0</t>
  </si>
  <si>
    <t>Rajiv Malhotra on the Need of Academic Study of Hinduism at WAVES 2008 - Vid 1</t>
  </si>
  <si>
    <t>7:05</t>
  </si>
  <si>
    <t>https://www.youtube.com/watch?v=5bAuJCTjg8s</t>
  </si>
  <si>
    <t>Rajiv Malhotra on Challenges facing Hinduism in USA at WAVES 2008 - Vid 2</t>
  </si>
  <si>
    <t>3:18</t>
  </si>
  <si>
    <t>https://www.youtube.com/watch?v=d9KgrM48iGg</t>
  </si>
  <si>
    <t>Rajiv Malhotra on Challenges for Hindus in Academics at Waves 2008 - Vid 3</t>
  </si>
  <si>
    <t>2:30</t>
  </si>
  <si>
    <t>https://www.youtube.com/watch?v=4h6drLmYTr8</t>
  </si>
  <si>
    <t>Rajiv Malhotra on European race theory and conversion of Jatis into Castes at Waves 2008 - Vid 4</t>
  </si>
  <si>
    <t>3:26</t>
  </si>
  <si>
    <t>https://www.youtube.com/watch?v=2uOiM67vK6A</t>
  </si>
  <si>
    <t>Rajiv Malhotra on Creation of Dravidian Identity among Indians at Waves 2008 - Vid 5</t>
  </si>
  <si>
    <t>1:41</t>
  </si>
  <si>
    <t>https://www.youtube.com/watch?v=Y1SUVA0PU1o</t>
  </si>
  <si>
    <t>Rajiv Malhotra on Mapping of India onto European framework at Waves 2008 - Vid 6</t>
  </si>
  <si>
    <t>3:03</t>
  </si>
  <si>
    <t>https://www.youtube.com/watch?v=yaOVnZ7W-Qc</t>
  </si>
  <si>
    <t>Rajiv Malhotra on Colonial Institutional infrastructure in India at Waves 2008 - Vid 7</t>
  </si>
  <si>
    <t>2:06</t>
  </si>
  <si>
    <t>https://www.youtube.com/watch?v=hgdVPIrlSPU</t>
  </si>
  <si>
    <t>Rajiv Malhotra on British justification for colonizing India at Waves 2008 - Vid 8</t>
  </si>
  <si>
    <t>2:07</t>
  </si>
  <si>
    <t>https://www.youtube.com/watch?v=8iuVX1AkV_0</t>
  </si>
  <si>
    <t>Rajiv Malhotra on 'Good Cop Bad Cop' method and expansion of West in India at Waves 2008 - Vid 9</t>
  </si>
  <si>
    <t>8:12</t>
  </si>
  <si>
    <t>https://www.youtube.com/watch?v=wH8I0vSB-Os</t>
  </si>
  <si>
    <t>Rajiv Malhotra on Origin of Liberalism in India at Waves 2008 - Vid 10</t>
  </si>
  <si>
    <t>3:06</t>
  </si>
  <si>
    <t>https://www.youtube.com/watch?v=Um1LJAfSPoo</t>
  </si>
  <si>
    <t>Why Tibet is Important to People Everywhere: Rajiv Malhotra</t>
  </si>
  <si>
    <t>14:34</t>
  </si>
  <si>
    <t>2.7K</t>
  </si>
  <si>
    <t>https://www.youtube.com/watch?v=itgdRwuvtN0</t>
  </si>
  <si>
    <t>Chicago June 2nd 2012</t>
  </si>
  <si>
    <t>1:48:52</t>
  </si>
  <si>
    <t>4.7K</t>
  </si>
  <si>
    <t>https://www.youtube.com/watch?v=Z7B5IZZhoAI</t>
  </si>
  <si>
    <t>Q&amp;A at two Chicago temples, June 3, 2012</t>
  </si>
  <si>
    <t>2:14:27</t>
  </si>
  <si>
    <t>7.5K</t>
  </si>
  <si>
    <t>https://www.youtube.com/watch?v=UuJzHq-Ont4</t>
  </si>
  <si>
    <t>Lecture on BEING DIFFERENT, June 3, 2012</t>
  </si>
  <si>
    <t>1:16:16</t>
  </si>
  <si>
    <t>1.8K</t>
  </si>
  <si>
    <t>https://www.youtube.com/watch?v=fQxUVyFqzpA</t>
  </si>
  <si>
    <t>Introduction by head of Chinmaya Mission, Toronto May 2012</t>
  </si>
  <si>
    <t>4:04</t>
  </si>
  <si>
    <t>https://www.youtube.com/watch?v=wgud4Fi47XA</t>
  </si>
  <si>
    <t>Q&amp;A at Chinmaya Mission, Toronto, May 2012</t>
  </si>
  <si>
    <t>1:25:49</t>
  </si>
  <si>
    <t>https://www.youtube.com/watch?v=2Ew9deAuPwU</t>
  </si>
  <si>
    <t>Talk at Chinmaya Mission, Toronto, May 2012</t>
  </si>
  <si>
    <t>35:57:00</t>
  </si>
  <si>
    <t>https://www.youtube.com/watch?v=Au_HvuB2IQc</t>
  </si>
  <si>
    <t>Christianity Explained by Rajiv Malhotra</t>
  </si>
  <si>
    <t>1:20:19</t>
  </si>
  <si>
    <t>5.2K</t>
  </si>
  <si>
    <t>https://www.youtube.com/watch?v=t_J24YUQNK4</t>
  </si>
  <si>
    <t>Talk at Lakshmi Narayan Mandir, Toronto, May 25, 2012</t>
  </si>
  <si>
    <t>37:15:00</t>
  </si>
  <si>
    <t>https://www.youtube.com/watch?v=MfzPrOKKZVo</t>
  </si>
  <si>
    <t>Keynote address at 14th annual Indian heritage day, toronto, May 26, 2012</t>
  </si>
  <si>
    <t>25:34:00</t>
  </si>
  <si>
    <t>https://www.youtube.com/watch?v=57-MHC42i7g</t>
  </si>
  <si>
    <t>Toronto Public Discussions on Dharma Civilization, May 26 - 29, 2012</t>
  </si>
  <si>
    <t>2:00:12</t>
  </si>
  <si>
    <t>3.1K</t>
  </si>
  <si>
    <t>https://www.youtube.com/watch?v=pO9qCeA640E</t>
  </si>
  <si>
    <t>Lecture-Duscussion at Vidya Bharati Foundation of Canada, May 27, 2012</t>
  </si>
  <si>
    <t>1:28:05</t>
  </si>
  <si>
    <t>https://www.youtube.com/watch?v=17Jnr2hr0ro</t>
  </si>
  <si>
    <t>Swami Dayanand Saraswati introduces Rajiv Malhotra at The Hindu Dharma Acharya Sabha, 07 Nov 2012</t>
  </si>
  <si>
    <t>44:42:00</t>
  </si>
  <si>
    <t>4 years ago</t>
  </si>
  <si>
    <t>https://www.youtube.com/watch?v=cpZPvFvzNlc</t>
  </si>
  <si>
    <t>Rajiv Malhotra: Debating Identity with NRI Youths</t>
  </si>
  <si>
    <t>1:07:58</t>
  </si>
  <si>
    <t>https://www.youtube.com/watch?v=MBzty84VgRo</t>
  </si>
  <si>
    <t>Interview on Sudarshan TV, April 2013</t>
  </si>
  <si>
    <t>23:36</t>
  </si>
  <si>
    <t>https://www.youtube.com/watch?v=nCmJgIvSqfU</t>
  </si>
  <si>
    <t>Brand India &amp; Narayan Murthy: Rajiv Malhotra #1</t>
  </si>
  <si>
    <t>8.4K</t>
  </si>
  <si>
    <t>https://www.youtube.com/watch?v=qsCWK-TQVsk</t>
  </si>
  <si>
    <t>Are Indians Buying Back Their Knowledge From the West #5</t>
  </si>
  <si>
    <t>58:48:00</t>
  </si>
  <si>
    <t>12K</t>
  </si>
  <si>
    <t>https://www.youtube.com/watch?v=r5r1yU9O2ag</t>
  </si>
  <si>
    <t>Is Written Evidence Needed to Authenticate a Source #2</t>
  </si>
  <si>
    <t>9:34</t>
  </si>
  <si>
    <t>7.6K</t>
  </si>
  <si>
    <t>https://www.youtube.com/watch?v=MFVzVjuj90E</t>
  </si>
  <si>
    <t>Argument with a Social Scientist at IIT Bombay: Rajiv Malhotra #3</t>
  </si>
  <si>
    <t>22:58</t>
  </si>
  <si>
    <t>55K</t>
  </si>
  <si>
    <t>https://www.youtube.com/watch?v=Wu9WbgwxgjI</t>
  </si>
  <si>
    <t>How &amp; Why Rajiv Malhotra Got Involved In These Activities #4</t>
  </si>
  <si>
    <t>17:27</t>
  </si>
  <si>
    <t>6.8K</t>
  </si>
  <si>
    <t>https://www.youtube.com/watch?v=zqnotAbf-Cc</t>
  </si>
  <si>
    <t>Chaos, Decentralization, Self Organization - Pros &amp; Cons #10</t>
  </si>
  <si>
    <t>12:06</t>
  </si>
  <si>
    <t>https://www.youtube.com/watch?v=oeFU8Lk35BI</t>
  </si>
  <si>
    <t>U-Turns Caused By Our Neglect #6</t>
  </si>
  <si>
    <t>7:27</t>
  </si>
  <si>
    <t>https://www.youtube.com/watch?v=NfO_yqDrGWs</t>
  </si>
  <si>
    <t>Loss of Purva-paksha Tradition and Consequences #7</t>
  </si>
  <si>
    <t>8:17</t>
  </si>
  <si>
    <t>3.8K</t>
  </si>
  <si>
    <t>https://www.youtube.com/watch?v=uNPifASaoFM</t>
  </si>
  <si>
    <t>Social Sciences In Indian Colleges is Modelled On Western Social Constructs #9</t>
  </si>
  <si>
    <t>2:12</t>
  </si>
  <si>
    <t>https://www.youtube.com/watch?v=0-LZkVdXTnc</t>
  </si>
  <si>
    <t>Decolonization, Purvapaksha, Secularism, Indian Identity #8</t>
  </si>
  <si>
    <t>21:37</t>
  </si>
  <si>
    <t>4.6K</t>
  </si>
  <si>
    <t>https://www.youtube.com/watch?v=yIUwgFjMrg8</t>
  </si>
  <si>
    <t>Relevance of Indian Knowledge Systems: Rajiv Malhotra</t>
  </si>
  <si>
    <t>45:33:00</t>
  </si>
  <si>
    <t>https://www.youtube.com/watch?v=pAHRrR6eeDU</t>
  </si>
  <si>
    <t>History of Indian Science Technology, SIES Mgt School, Mumbai: Rajiv Malhotra</t>
  </si>
  <si>
    <t>58:49:00</t>
  </si>
  <si>
    <t>9.4K</t>
  </si>
  <si>
    <t>https://www.youtube.com/watch?v=EWnc9FdyP7s</t>
  </si>
  <si>
    <t>Commerce College 2013 1. Introduction</t>
  </si>
  <si>
    <t>1:57</t>
  </si>
  <si>
    <t>https://www.youtube.com/watch?v=LI3VwCn-0WI</t>
  </si>
  <si>
    <t>Commerce College . 13 3.Discussion: We Understand the Americans better than we Understand Ourselves</t>
  </si>
  <si>
    <t>14:17</t>
  </si>
  <si>
    <t>https://www.youtube.com/watch?v=yVdcSMOWtxM</t>
  </si>
  <si>
    <t>Commerce College 2013 2. - Lecture: My journey; the Indian crisis; Sensex economy and modern shudras</t>
  </si>
  <si>
    <t>36:36:00</t>
  </si>
  <si>
    <t>https://www.youtube.com/watch?v=Yf6-fJ-LcU8</t>
  </si>
  <si>
    <t>Commerce College 2013 4. Discussion: Assimilation and retaining Civilizational Distinctiveness</t>
  </si>
  <si>
    <t>6:50</t>
  </si>
  <si>
    <t>https://www.youtube.com/watch?v=L2rJctVLi3M</t>
  </si>
  <si>
    <t>Commerce College 2013 5. Discussion: What inspired me and the role of my sadhana</t>
  </si>
  <si>
    <t>4:25</t>
  </si>
  <si>
    <t>https://www.youtube.com/watch?v=wm8QHjKcDf8</t>
  </si>
  <si>
    <t>Commerce College 2013 6. Discussion: What should be goal of students - career or serve the culture</t>
  </si>
  <si>
    <t>2:42</t>
  </si>
  <si>
    <t>https://www.youtube.com/watch?v=U37L8EPVc5s</t>
  </si>
  <si>
    <t>Commerce College 2013 7. Role of Indian languages, control of global standards discourse, &amp; power</t>
  </si>
  <si>
    <t>12:42</t>
  </si>
  <si>
    <t>https://www.youtube.com/watch?v=ja-cxuo3ugc</t>
  </si>
  <si>
    <t>Commerce College 2013 8. Discussion: Causes of youth disconnect from deep knowledge of roots</t>
  </si>
  <si>
    <t>12:57</t>
  </si>
  <si>
    <t>https://www.youtube.com/watch?v=F95dqGlnggo</t>
  </si>
  <si>
    <t>Indian Qualities that are Special &amp; Exportable_Commerce College 2013 #9</t>
  </si>
  <si>
    <t>13:20</t>
  </si>
  <si>
    <t>https://www.youtube.com/watch?v=9IzjjqFO5c8</t>
  </si>
  <si>
    <t>Baba Ramdev's Ashram: A Welcome Hug &amp; Discussion on Reversing the Gaze #1</t>
  </si>
  <si>
    <t>3:48</t>
  </si>
  <si>
    <t>8.1K</t>
  </si>
  <si>
    <t>3 years ago</t>
  </si>
  <si>
    <t>https://www.youtube.com/watch?v=5YuNKvTZtdM</t>
  </si>
  <si>
    <t>Baba Ramdev's Ashram Vid 11: How to Name &amp; Position Hindi Edition of Breaking India</t>
  </si>
  <si>
    <t>3:55</t>
  </si>
  <si>
    <t>https://www.youtube.com/watch?v=XeCuvEX-tow</t>
  </si>
  <si>
    <t>Baba Ramdev's Ashram: Rajiv &amp; Baba Brainstorm #14</t>
  </si>
  <si>
    <t>3:17</t>
  </si>
  <si>
    <t>https://www.youtube.com/watch?v=182HueOxCaU</t>
  </si>
  <si>
    <t>Baba Ramdev Introduces Rajiv Malhotra to his Ashram Audience #2</t>
  </si>
  <si>
    <t>6:16</t>
  </si>
  <si>
    <t>https://www.youtube.com/watch?v=t63m6GCrKbw</t>
  </si>
  <si>
    <t>How Ayurveda Got Plagiarized by the Aveda Brand #5</t>
  </si>
  <si>
    <t>9:21</t>
  </si>
  <si>
    <t>https://www.youtube.com/watch?v=Dymxd9hAemA</t>
  </si>
  <si>
    <t>Rajiv Malhotra Exposes How Foreign Nexuses Operate in India #4</t>
  </si>
  <si>
    <t>13:16</t>
  </si>
  <si>
    <t>https://www.youtube.com/watch?v=RKYffxIB9EM</t>
  </si>
  <si>
    <t>Baba Ramdev's Ashram Vid 3: Rajiv &amp; Baba Ramdev Discuss Long Range Forces Breaking India</t>
  </si>
  <si>
    <t>10:25</t>
  </si>
  <si>
    <t>4.2K</t>
  </si>
  <si>
    <t>https://www.youtube.com/watch?v=gU4jkSa9phY</t>
  </si>
  <si>
    <t>Overview of Rajiv's Mission to Decolonize India Studies #6</t>
  </si>
  <si>
    <t>6:20</t>
  </si>
  <si>
    <t>https://www.youtube.com/watch?v=y-v-Ijc7W3Y</t>
  </si>
  <si>
    <t>Baba Ramdev's Ashram Vid 10: What inspired Rajiv to Research &amp; Write</t>
  </si>
  <si>
    <t>9:25</t>
  </si>
  <si>
    <t>2.8K</t>
  </si>
  <si>
    <t>https://www.youtube.com/watch?v=zVH1ZOi2_yk</t>
  </si>
  <si>
    <t>Baba Ramdev's Ashram Vid 12: Baba Ramdev's Comments on Rajiv's Talk &amp; Work</t>
  </si>
  <si>
    <t>4:38</t>
  </si>
  <si>
    <t>https://www.youtube.com/watch?v=F-ZzB9uBQNs</t>
  </si>
  <si>
    <t>Why People of India did not get Genocided like Native Americans: Rajiv Malhotra #9</t>
  </si>
  <si>
    <t>18:50</t>
  </si>
  <si>
    <t>8.7K</t>
  </si>
  <si>
    <t>https://www.youtube.com/watch?v=AOQPqjRx-0c</t>
  </si>
  <si>
    <t>Baba Ramdev's Ashram Vid 8: Indian Civilization Spread by Different Means than Others</t>
  </si>
  <si>
    <t>11:32</t>
  </si>
  <si>
    <t>https://www.youtube.com/watch?v=8ZJ9Ubv74Fc</t>
  </si>
  <si>
    <t>Why Rajiv Malhotra Endorses Baba Ramdev as President of India #7</t>
  </si>
  <si>
    <t>3:40</t>
  </si>
  <si>
    <t>https://www.youtube.com/watch?v=9ScY3DQ8lnM</t>
  </si>
  <si>
    <t>Rajiv Malhotra's Google Hangout for a Better India</t>
  </si>
  <si>
    <t>42:56:00</t>
  </si>
  <si>
    <t>https://www.youtube.com/watch?v=gKt4SG-pAmw</t>
  </si>
  <si>
    <t>Introduction by the Director of Vivekananda Int'l Foundation</t>
  </si>
  <si>
    <t>9:47</t>
  </si>
  <si>
    <t>https://www.youtube.com/watch?v=2p91-Fy5A6Q</t>
  </si>
  <si>
    <t>Arun Shourie quotes Indra's Net to clarify 'vasudhaiva kutumbakam'</t>
  </si>
  <si>
    <t>4:27</t>
  </si>
  <si>
    <t>https://www.youtube.com/watch?v=30958J1ez4k</t>
  </si>
  <si>
    <t>Conclusion and Book Signing</t>
  </si>
  <si>
    <t>3:56</t>
  </si>
  <si>
    <t>https://www.youtube.com/watch?v=nEEhdprZ-EE</t>
  </si>
  <si>
    <t>Arun Shourie's Lecture on Rajiv Malhotra's Book "Indra's Net"</t>
  </si>
  <si>
    <t>27:10:00</t>
  </si>
  <si>
    <t>https://www.youtube.com/watch?v=dXkhbNnOMy0</t>
  </si>
  <si>
    <t>Rajiv Malhotra's Lecture on Indra's Net</t>
  </si>
  <si>
    <t>36:49:00</t>
  </si>
  <si>
    <t>7.8K</t>
  </si>
  <si>
    <t>https://www.youtube.com/watch?v=YD-IKZbbHeU</t>
  </si>
  <si>
    <t>Public Meeting &amp; Talk on 'Indra's Net' in Bangalore, 19 Jan 2014: Opening Ceremonies</t>
  </si>
  <si>
    <t>17:42</t>
  </si>
  <si>
    <t>https://www.youtube.com/watch?v=mLEhBqCBBYE</t>
  </si>
  <si>
    <t>Public Meeting &amp; Talk on 'Indra's Net' Bangalore, 1/19/2014: Is Hinduism defined as a way of life?</t>
  </si>
  <si>
    <t>https://www.youtube.com/watch?v=cshbkDak_p0</t>
  </si>
  <si>
    <t>Public Meeting &amp; Talk on 'Indra's Net' Bangalore, 1/19/2014: Why is the book titled 'Indra's Net'?</t>
  </si>
  <si>
    <t>5:59</t>
  </si>
  <si>
    <t>https://www.youtube.com/watch?v=kmJLZRzZhUA</t>
  </si>
  <si>
    <t>Rajiv Malhotra Talk on new Book 'Indra's Net' Bengaluru: What should we do about media biases</t>
  </si>
  <si>
    <t>2:08</t>
  </si>
  <si>
    <t>https://www.youtube.com/watch?v=myyrtrylWQs</t>
  </si>
  <si>
    <t>Public Meeting &amp; Talk on "Indra's Net" Bangalore 1/19/14: Where do you see India in the year 2020?</t>
  </si>
  <si>
    <t>2:16</t>
  </si>
  <si>
    <t>https://www.youtube.com/watch?v=v6x52noLJOo</t>
  </si>
  <si>
    <t>Talk on 'Indra's Net': Clarification on Mutual Respect</t>
  </si>
  <si>
    <t>10:35</t>
  </si>
  <si>
    <t>https://www.youtube.com/watch?v=7zvf9bnLgs8</t>
  </si>
  <si>
    <t>What is wrong with Ford Foundation: Rajiv Malhotra</t>
  </si>
  <si>
    <t>https://www.youtube.com/watch?v=7RTlRYpr7o8</t>
  </si>
  <si>
    <t>Public Meeting &amp; Talk on 'Indra's Net' in Bangalore 1/19/14: Description of Rajiv's Bangalore trip</t>
  </si>
  <si>
    <t>6:23</t>
  </si>
  <si>
    <t>https://www.youtube.com/watch?v=Th1s8XrKhnk</t>
  </si>
  <si>
    <t>Public Meeting/Talk on 'Indra's Net' Bangalore 1/19/14: Release Kannada edition of Being Different</t>
  </si>
  <si>
    <t>https://www.youtube.com/watch?v=oYXPvuD_ejM</t>
  </si>
  <si>
    <t>Talk on his The Book 'Indra's Net' by Rajiv Malhotra in Bangalore</t>
  </si>
  <si>
    <t>49:33:00</t>
  </si>
  <si>
    <t>https://www.youtube.com/watch?v=Cs9JbmZ0poM</t>
  </si>
  <si>
    <t>'Indra's Net': Sri Sri Sri Nirmalanandanath Swamy's Address</t>
  </si>
  <si>
    <t>https://www.youtube.com/watch?v=xGvABG6vfLg</t>
  </si>
  <si>
    <t>Public Meeting/Talk Indra's Net, Bangalore 1/19/14: N Kumar-Justice of Karnataka High Court Address</t>
  </si>
  <si>
    <t>16:22</t>
  </si>
  <si>
    <t>https://www.youtube.com/watch?v=QfYz6BBYpWg</t>
  </si>
  <si>
    <t>Public Meeting &amp; Talk on 'Indra's Net' Bangalore 1/19/14: Conclusion of the event</t>
  </si>
  <si>
    <t>12:05</t>
  </si>
  <si>
    <t>https://www.youtube.com/watch?v=-rJtFWVJpjA</t>
  </si>
  <si>
    <t>Ramakrishna Mission's Institute of Culture, Kolkata: Relationship between spirituality &amp; science?</t>
  </si>
  <si>
    <t>6:06</t>
  </si>
  <si>
    <t>https://www.youtube.com/watch?v=iY88UCitwGY</t>
  </si>
  <si>
    <t>Ramakrishna Mission's Institute of Culture, Kolkata: Q&amp;A - Concerning the use of the word "Hindu"</t>
  </si>
  <si>
    <t>3:49</t>
  </si>
  <si>
    <t>https://www.youtube.com/watch?v=KBA7GLExw3o</t>
  </si>
  <si>
    <t>Ramakrishna Mission's Institute of Culture, Kolkata: Q&amp;A - Who composes a Grand Narrative?</t>
  </si>
  <si>
    <t>3:16</t>
  </si>
  <si>
    <t>https://www.youtube.com/watch?v=DoYL7K2djDY</t>
  </si>
  <si>
    <t>Is The Grand Narrative Divisive? How To Protect Our Openness?</t>
  </si>
  <si>
    <t>5:07</t>
  </si>
  <si>
    <t>https://www.youtube.com/watch?v=GajqTVRZzfE</t>
  </si>
  <si>
    <t>Ramakrishna Mission's Institute of Culture, Kolkata: Rajiv Malhotra's Lecture</t>
  </si>
  <si>
    <t>45:59:00</t>
  </si>
  <si>
    <t>https://www.youtube.com/watch?v=QPVDHJcsv5U</t>
  </si>
  <si>
    <t>Let's Protect Our Adhyatmic (Inner) Sciences From Quackery: Rajiv Malhotra</t>
  </si>
  <si>
    <t>3:47</t>
  </si>
  <si>
    <t>1.6K</t>
  </si>
  <si>
    <t>https://www.youtube.com/watch?v=pfw-rEK12IA</t>
  </si>
  <si>
    <t>IITK Indian Mind Sciences &amp; Their Importance Today:Loss of Liberal Arts &amp; Creativity in Indian Univ</t>
  </si>
  <si>
    <t>https://www.youtube.com/watch?v=4H5piNrmsCU</t>
  </si>
  <si>
    <t>IIT Kharagpur Indian Mind Sciences &amp; Their Importance Today: Rajiv's Guest Lecture</t>
  </si>
  <si>
    <t>31:14:00</t>
  </si>
  <si>
    <t>9.9K</t>
  </si>
  <si>
    <t>https://www.youtube.com/watch?v=bEc29vVNLOc</t>
  </si>
  <si>
    <t>IITK Indian Mind Sciences &amp; Their Importance Today: correct histories to pursue inner sciences</t>
  </si>
  <si>
    <t>1:55</t>
  </si>
  <si>
    <t>https://www.youtube.com/watch?v=7WA-8QBd5Tk</t>
  </si>
  <si>
    <t>IIT Kharagpur Indian Mind Sciences &amp; Their Importance Today: Inner Sciences &amp; Simple Living</t>
  </si>
  <si>
    <t>https://www.youtube.com/watch?v=3asYCknfoMo</t>
  </si>
  <si>
    <t>IITK Indian Mind Sciences &amp; Their Importance Today: Advance Indian Ed Beyond Supplying Tech Coolies</t>
  </si>
  <si>
    <t>4:02</t>
  </si>
  <si>
    <t>https://www.youtube.com/watch?v=4gAHt9ki2xY</t>
  </si>
  <si>
    <t>Dr. Deepika Kothari introduces her film at launch of 'History of Yoga' film, Mumbai 1/26/2014</t>
  </si>
  <si>
    <t>https://www.youtube.com/watch?v=TbQkh6axHEM</t>
  </si>
  <si>
    <t>Rajiv Malhotra Lecture as Chief Guest at launch of 'History of Yoga' film, Mumbai 1/26/2014</t>
  </si>
  <si>
    <t>47:59:00</t>
  </si>
  <si>
    <t>https://www.youtube.com/watch?v=1_8y5fSSOlE</t>
  </si>
  <si>
    <t>Rajiv Malhotra's Endorsement of the Film, "History of Yoga"</t>
  </si>
  <si>
    <t>5:13</t>
  </si>
  <si>
    <t>https://www.youtube.com/watch?v=jaw4U_s24zo</t>
  </si>
  <si>
    <t>Event Introduction - Indus University Release of Indra's Net Jan 29 2014</t>
  </si>
  <si>
    <t>2:32</t>
  </si>
  <si>
    <t>https://www.youtube.com/watch?v=R2XPp4eJXLk</t>
  </si>
  <si>
    <t>Indus University Release of The Book Indra's Net_Q&amp;A</t>
  </si>
  <si>
    <t>34:35:00</t>
  </si>
  <si>
    <t>6.2K</t>
  </si>
  <si>
    <t>https://www.youtube.com/watch?v=d9iObjKR5yI</t>
  </si>
  <si>
    <t>India's Grand Narrative &amp; Talk on The Book 'Indra's Net' at Indus Uniersity</t>
  </si>
  <si>
    <t>34:17:00</t>
  </si>
  <si>
    <t>https://www.youtube.com/watch?v=Ow3nJA8fhhQ</t>
  </si>
  <si>
    <t>Rajiv Malhotra in Conversation with Mohandas Pai - Bangalore Literary Festival</t>
  </si>
  <si>
    <t>57:15:00</t>
  </si>
  <si>
    <t>31K</t>
  </si>
  <si>
    <t>2 years ago</t>
  </si>
  <si>
    <t>https://www.youtube.com/watch?v=yr_-UHm07rM</t>
  </si>
  <si>
    <t>Rajiv Malhotra Panel Bangalore Literature Festival Sept, 2014</t>
  </si>
  <si>
    <t>1:45:29</t>
  </si>
  <si>
    <t>20K</t>
  </si>
  <si>
    <t>https://www.youtube.com/watch?v=JNg9hu1QURw</t>
  </si>
  <si>
    <t>Rajiv in conversation w/ Rajendra Pawar Chairman &amp; Harpal Singh Trustee, NIIT</t>
  </si>
  <si>
    <t>32:49:00</t>
  </si>
  <si>
    <t>https://www.youtube.com/watch?v=11Ben3IvDQ0</t>
  </si>
  <si>
    <t>Rajiv Malhotra's inaugural message at the launch of the ASIAN LENS initiative by NIIT University</t>
  </si>
  <si>
    <t>10:11</t>
  </si>
  <si>
    <t>https://www.youtube.com/watch?v=xjZO-uNelDI</t>
  </si>
  <si>
    <t>1. Introduction to Q&amp;A session in Washington DC</t>
  </si>
  <si>
    <t>7:17</t>
  </si>
  <si>
    <t>https://www.youtube.com/watch?v=6oKx_bFPSSA</t>
  </si>
  <si>
    <t>2. Rajiv describes the stages of his own journey over the past 20 years</t>
  </si>
  <si>
    <t>28:48:00</t>
  </si>
  <si>
    <t>https://www.youtube.com/watch?v=_Anq0CTYGt8</t>
  </si>
  <si>
    <t>3. Who is Rajiv's guru</t>
  </si>
  <si>
    <t>3:13</t>
  </si>
  <si>
    <t>https://www.youtube.com/watch?v=_xIbCmTtK8s</t>
  </si>
  <si>
    <t>4. What are the four books Rajiv has published thus far</t>
  </si>
  <si>
    <t>28:01:00</t>
  </si>
  <si>
    <t>https://www.youtube.com/watch?v=qGie_-i1j6o</t>
  </si>
  <si>
    <t>What is Neo Hinduism &amp; Why Our Opponents Want to Propagate it #5</t>
  </si>
  <si>
    <t>https://www.youtube.com/watch?v=VwTbkm1NN4Y</t>
  </si>
  <si>
    <t>Why is Namaz Practice in Islam Not 'Embodied' in the Dharma Sense #6</t>
  </si>
  <si>
    <t>12:45</t>
  </si>
  <si>
    <t>29K</t>
  </si>
  <si>
    <t>https://www.youtube.com/watch?v=WQObFfIG62Q</t>
  </si>
  <si>
    <t>7. Explain your goal of being non ignorable</t>
  </si>
  <si>
    <t>5:39</t>
  </si>
  <si>
    <t>https://www.youtube.com/watch?v=CouNRYMLDmY</t>
  </si>
  <si>
    <t>8. What are your issues with funding India related chairs in the West</t>
  </si>
  <si>
    <t>https://www.youtube.com/watch?v=ZWkU2WQv4mM</t>
  </si>
  <si>
    <t>9. How should we infiltrate the Western academy</t>
  </si>
  <si>
    <t>25:10:00</t>
  </si>
  <si>
    <t>5K</t>
  </si>
  <si>
    <t>https://www.youtube.com/watch?v=ziCW-l-SXRM</t>
  </si>
  <si>
    <t>What Should Hindus do to Compete Against Church Seminaries Producing Research #10</t>
  </si>
  <si>
    <t>2:49</t>
  </si>
  <si>
    <t>https://www.youtube.com/watch?v=mNRX-8C-RmY</t>
  </si>
  <si>
    <t>11. How to scale up Rajiv's work to become like a research seminary</t>
  </si>
  <si>
    <t>5:57</t>
  </si>
  <si>
    <t>https://www.youtube.com/watch?v=hH3jbt-s4aY</t>
  </si>
  <si>
    <t>Rajiv Malhotra in conversation with Aam Admi Party leaders just before election</t>
  </si>
  <si>
    <t>52:01:00</t>
  </si>
  <si>
    <t>https://www.youtube.com/watch?v=zyTsxv3NJzA</t>
  </si>
  <si>
    <t>Rajiv Malhotra: Chief Guest Manipal Univ_Intl Conf on Language &amp; Literature</t>
  </si>
  <si>
    <t>40:30:00</t>
  </si>
  <si>
    <t>https://www.youtube.com/watch?v=yYhGJH2NjBA</t>
  </si>
  <si>
    <t>Western Dichotomies towards Dharma - Rajiv Malhotra Lecture at India House, Houston Dec 13 2014</t>
  </si>
  <si>
    <t>47:40:00</t>
  </si>
  <si>
    <t>https://www.youtube.com/watch?v=R_G2Gd70LiY</t>
  </si>
  <si>
    <t>Hindu-Christian Debate Between Rajiv Malhotra &amp; Christian Eberhart</t>
  </si>
  <si>
    <t>1:25:24</t>
  </si>
  <si>
    <t>64K</t>
  </si>
  <si>
    <t>https://www.youtube.com/watch?v=k6dsew1B6SE</t>
  </si>
  <si>
    <t>Indian Americans &amp; Indian Grand Narrative - Rajiv Malhotra Lecture/Q&amp;A Woodlands Temple Dec 14 2014</t>
  </si>
  <si>
    <t>1:28:33</t>
  </si>
  <si>
    <t>6K</t>
  </si>
  <si>
    <t>https://www.youtube.com/watch?v=X4TDNzwe3s4</t>
  </si>
  <si>
    <t>John Dayal - Debating foreign funded NGOs with John Dayal and others</t>
  </si>
  <si>
    <t>27:12:00</t>
  </si>
  <si>
    <t>8.8K</t>
  </si>
  <si>
    <t>https://www.youtube.com/watch?v=_OWY_haNDNI</t>
  </si>
  <si>
    <t>Rajiv Malhotra: Debating Foreign Funded NGOs with John Dayal &amp; others</t>
  </si>
  <si>
    <t>48:24:00</t>
  </si>
  <si>
    <t>46K</t>
  </si>
  <si>
    <t>https://www.youtube.com/watch?v=s1VIjn0qPQg</t>
  </si>
  <si>
    <t>NDTV 'We the People' debate on Foreign NGOs moderated by Barkha Dutt</t>
  </si>
  <si>
    <t>47:57:00</t>
  </si>
  <si>
    <t>https://www.youtube.com/watch?v=NpqJHyWjh7A</t>
  </si>
  <si>
    <t>Rajiv Opening Remarks - JNU Roundtable on Decolonizing the Academy &amp; Debating breaking India forces</t>
  </si>
  <si>
    <t>43:17:00</t>
  </si>
  <si>
    <t>https://www.youtube.com/watch?v=m9xF54UZFuY</t>
  </si>
  <si>
    <t>Dr. Tribhuvan Singh - JNU Roundtable on Decolonizing the Academy &amp; Debating breaking India forces</t>
  </si>
  <si>
    <t>30:06:00</t>
  </si>
  <si>
    <t>https://www.youtube.com/watch?v=srr9jTynwdo</t>
  </si>
  <si>
    <t>Dr. Udit Raj Talk - JNU Roundtable on Decolonizing the Academy &amp; Debating Breaking India Forces</t>
  </si>
  <si>
    <t>31:48:00</t>
  </si>
  <si>
    <t>https://www.youtube.com/watch?v=w5KPpzfrQQY</t>
  </si>
  <si>
    <t>Prof Girish Nath Jha - JNU Roundtable on Decolonizing the Academy &amp; Debating Breaking India Forces</t>
  </si>
  <si>
    <t>7:33</t>
  </si>
  <si>
    <t>4.3K</t>
  </si>
  <si>
    <t>https://www.youtube.com/watch?v=AuVaei10Du0</t>
  </si>
  <si>
    <t>Concluding discussion turns into shouting match between students &amp; Udit Raj - JNU Roundtable</t>
  </si>
  <si>
    <t>34:24:00</t>
  </si>
  <si>
    <t>34K</t>
  </si>
  <si>
    <t>https://www.youtube.com/watch?v=1GLaXQ6Rgcg</t>
  </si>
  <si>
    <t>Rajiv Malhotra's Talk at Art of Living: Where is Dharma in the 21st Century</t>
  </si>
  <si>
    <t>1:17:44</t>
  </si>
  <si>
    <t>27K</t>
  </si>
  <si>
    <t>https://www.youtube.com/watch?v=FKg_FjS3qZw</t>
  </si>
  <si>
    <t>The Evolution of Yajna: Rajiv Malhotra at Maharishi University</t>
  </si>
  <si>
    <t>48:14:00</t>
  </si>
  <si>
    <t>https://www.youtube.com/watch?v=EHQ6eLHDs78</t>
  </si>
  <si>
    <t>Are Indians ignoring our civilization while the West appropriates it</t>
  </si>
  <si>
    <t>1:42:58</t>
  </si>
  <si>
    <t>7.2K</t>
  </si>
  <si>
    <t>https://www.youtube.com/watch?v=-cC-ErXYdnI</t>
  </si>
  <si>
    <t>Debate on 'Hinduism &amp; Indian Grand Narrative', Delhi Univ Psychology Dept</t>
  </si>
  <si>
    <t>2:19:10</t>
  </si>
  <si>
    <t>https://www.youtube.com/watch?v=dZCZp5udJeI</t>
  </si>
  <si>
    <t>Are Sanskrit Studies in the West becoming the New Orientalism?</t>
  </si>
  <si>
    <t>1:41:51</t>
  </si>
  <si>
    <t>https://www.youtube.com/watch?v=O5i1SD7KFkI</t>
  </si>
  <si>
    <t>Lecture on Dharma, Sanskrit &amp; Science, Goa, Feb 26, 2015</t>
  </si>
  <si>
    <t>2:00:29</t>
  </si>
  <si>
    <t>https://www.youtube.com/watch?v=Q3ZGmGasWfc</t>
  </si>
  <si>
    <t>Lecture 'Is our Sanskriti being distorted by the Americanization of Sanskrit Studies' at Sastra Univ</t>
  </si>
  <si>
    <t>1:48:54</t>
  </si>
  <si>
    <t>https://www.youtube.com/watch?v=JbxzX8kwig4</t>
  </si>
  <si>
    <t>World Sanskrit Congress 2015: Is Sanskrit Dead or Alive, Political or Sacred</t>
  </si>
  <si>
    <t>26:36:00</t>
  </si>
  <si>
    <t>6.7K</t>
  </si>
  <si>
    <t>https://www.youtube.com/watch?v=Uxcvh2BQu1g</t>
  </si>
  <si>
    <t>Rajiv Malhotra's The Battle of Sanskrit Launch, Samskrita Bharati, Bengaluru</t>
  </si>
  <si>
    <t>2:17:48</t>
  </si>
  <si>
    <t>1 year ago</t>
  </si>
  <si>
    <t>https://www.youtube.com/watch?v=0-Ishanuvj8</t>
  </si>
  <si>
    <t>The Importance of Swadeshi Indology: Rajiv Malhotra</t>
  </si>
  <si>
    <t>2:02:55</t>
  </si>
  <si>
    <t>https://www.youtube.com/watch?v=j84sUcOTBRM</t>
  </si>
  <si>
    <t>Reversing the Gaze (Purva-Paksha) on Western Indology, Karnataka Sanskrit University</t>
  </si>
  <si>
    <t>1:21:51</t>
  </si>
  <si>
    <t>https://www.youtube.com/watch?v=NQUbNykwFG4</t>
  </si>
  <si>
    <t>"Taking back our heritage: My message to India's youth" at IIT Madras</t>
  </si>
  <si>
    <t>1:47:49</t>
  </si>
  <si>
    <t>https://www.youtube.com/watch?v=zILqg37PouM</t>
  </si>
  <si>
    <t>Roddam Narasimha &amp; Mohandas Pai discuss "The Battle For Sanskrit" with Rajiv Malhotra</t>
  </si>
  <si>
    <t>1:57:06</t>
  </si>
  <si>
    <t>13K</t>
  </si>
  <si>
    <t>https://www.youtube.com/watch?v=fzzIeVO7-qk</t>
  </si>
  <si>
    <t>Rajiv Malhotra's Encounter With The Indian Left at Tata Institute of Social Sciences</t>
  </si>
  <si>
    <t>1:33:23</t>
  </si>
  <si>
    <t>51K</t>
  </si>
  <si>
    <t>https://www.youtube.com/watch?v=-fhrU0xoCgk</t>
  </si>
  <si>
    <t>In conversation with Madhu Kishwar: The Battle For Sanskrit</t>
  </si>
  <si>
    <t>1:11:33</t>
  </si>
  <si>
    <t>https://www.youtube.com/watch?v=OXYcMlprdL4</t>
  </si>
  <si>
    <t>"Geopolitics &amp; the study of Indian Civilization": A very large event at IIT Bombay</t>
  </si>
  <si>
    <t>1:35:38</t>
  </si>
  <si>
    <t>https://www.youtube.com/watch?v=yZ08CJsgurU</t>
  </si>
  <si>
    <t>Zee News_Rohit Sardana Interviews Rajiv Malhotra_Feb 2016</t>
  </si>
  <si>
    <t>17:17</t>
  </si>
  <si>
    <t>https://www.youtube.com/watch?v=c13ZN5rYckE</t>
  </si>
  <si>
    <t>Sri Sri Ravi Shankar Launches "The Battle For Sanskrit" in Art of Living Campus, Bangalore</t>
  </si>
  <si>
    <t>10:51</t>
  </si>
  <si>
    <t>https://www.youtube.com/watch?v=p3i_mI87a3E</t>
  </si>
  <si>
    <t>Chinmaya Mission, Amish Tripathi &amp; Rajiv Malhotra discuss "The Battle For Sanskrit"</t>
  </si>
  <si>
    <t>1:46:21</t>
  </si>
  <si>
    <t>https://www.youtube.com/watch?v=FrXBeS9Vj40</t>
  </si>
  <si>
    <t>Art of Living: "The Battle For Sanskrit" talk in Bangalore ashram</t>
  </si>
  <si>
    <t>1:39:00</t>
  </si>
  <si>
    <t>https://www.youtube.com/watch?v=kaJQx-nXg6M</t>
  </si>
  <si>
    <t>Rajiv Malhotra responds to questions at a Vedic Gurukulam, Bidadi</t>
  </si>
  <si>
    <t>31:05:00</t>
  </si>
  <si>
    <t>https://www.youtube.com/watch?v=fyMRRD_YeRI</t>
  </si>
  <si>
    <t>Ramakrishna Mission (Chennai) presents Rajiv Malhotra's talk/Q&amp;A on: Sacredness and Sanskrit</t>
  </si>
  <si>
    <t>1:37:26</t>
  </si>
  <si>
    <t>https://www.youtube.com/watch?v=OHn7cvWw5gE</t>
  </si>
  <si>
    <t>JNU: Rajiv Malhotra's New Book THE BATTLE FOR SANSKRIT_full video</t>
  </si>
  <si>
    <t>2:44:51</t>
  </si>
  <si>
    <t>https://www.youtube.com/watch?v=tBf6vZKjL9w</t>
  </si>
  <si>
    <t>Battle For Sanskrit: How Samskrita Bharati &amp; Rajiv Malhotra can collaborate</t>
  </si>
  <si>
    <t>2:17:38</t>
  </si>
  <si>
    <t>https://www.youtube.com/watch?v=tNKCTknE59M</t>
  </si>
  <si>
    <t>Rajiv Malhotra Darshan with Kanchi Shankaracharyas to Discuss Common Interests</t>
  </si>
  <si>
    <t>58:17:00</t>
  </si>
  <si>
    <t>https://www.youtube.com/watch?v=0DzUUFbFZHs</t>
  </si>
  <si>
    <t>"Removing the burqa from our minds": Rajiv Malhotra's lecture &amp; interaction in Bangalore</t>
  </si>
  <si>
    <t>2:23:59</t>
  </si>
  <si>
    <t>https://www.youtube.com/watch?v=59-D2X_vmlA</t>
  </si>
  <si>
    <t>Delhi University's distinguished panel discusses THE BATTLE FOR SANSKRIT</t>
  </si>
  <si>
    <t>2:05:04</t>
  </si>
  <si>
    <t>5.7K</t>
  </si>
  <si>
    <t>https://www.youtube.com/watch?v=NhDs3OPqMQ4</t>
  </si>
  <si>
    <t>Rajiv Malhotra interviewed by young California enterpreneur, Balaji Srinivasan</t>
  </si>
  <si>
    <t>2:32:17</t>
  </si>
  <si>
    <t>https://www.youtube.com/watch?v=7JNUG5Lyals</t>
  </si>
  <si>
    <t>Are Indian Intellectuals Free Thinkers or Colonized: Indus University, TBFS Launch</t>
  </si>
  <si>
    <t>1:18:00</t>
  </si>
  <si>
    <t>https://www.youtube.com/watch?v=T-iBVjoTxpY</t>
  </si>
  <si>
    <t>Kanchi Shankaracharya's devotees in USA discuss "The Battle For Sanskrit"</t>
  </si>
  <si>
    <t>1:49:14</t>
  </si>
  <si>
    <t>https://www.youtube.com/watch?v=2RlQdQoP4mE</t>
  </si>
  <si>
    <t>Will Indian Corporate Leaders Support Swadeshi Indology?</t>
  </si>
  <si>
    <t>1:29:42</t>
  </si>
  <si>
    <t>https://www.youtube.com/watch?v=9eSzra79z-I</t>
  </si>
  <si>
    <t>"The Battle For Sanskrit" discussed by Ramesh Pandey, VC of L.B.S. Rashtriya Sanskrit Vidyapeeth</t>
  </si>
  <si>
    <t>5:37</t>
  </si>
  <si>
    <t>https://www.youtube.com/watch?v=t5AEphve0P8</t>
  </si>
  <si>
    <t>Samskrita Bharati panel discussion in Delhi: "The Battle For Sanskrit"</t>
  </si>
  <si>
    <t>5:33</t>
  </si>
  <si>
    <t>https://www.youtube.com/watch?v=zm-fPGwlflY</t>
  </si>
  <si>
    <t>Prof P.N. Shastry, VC, Rashtriya Sanskrit Sansthan, discusses "The Battle For Sanskrit"</t>
  </si>
  <si>
    <t>7:01</t>
  </si>
  <si>
    <t>https://www.youtube.com/watch?v=Iimv8qJijTE</t>
  </si>
  <si>
    <t>Dr Kutumba Sastry, President, International Association of Sanskrit Studies</t>
  </si>
  <si>
    <t>12:36</t>
  </si>
  <si>
    <t>https://www.youtube.com/watch?v=kpktr2ml8m8</t>
  </si>
  <si>
    <t>Bibek Debroy on "The Battle for Sanskrit"</t>
  </si>
  <si>
    <t>16:06</t>
  </si>
  <si>
    <t>https://www.youtube.com/watch?v=jB9efRnouaI</t>
  </si>
  <si>
    <t>Rajiv Malhotra talk in Delhi Samskrita Bharati</t>
  </si>
  <si>
    <t>35:31:00</t>
  </si>
  <si>
    <t>https://www.youtube.com/watch?v=r2uhf3x6oH8</t>
  </si>
  <si>
    <t>Q&amp;A on The Battle For Sanskrit. Samskrita Bharati event in Delhi</t>
  </si>
  <si>
    <t>32:53:00</t>
  </si>
  <si>
    <t>https://www.youtube.com/watch?v=G-AjF_4Jc1I</t>
  </si>
  <si>
    <t>How to be an intellectual kshatriya, by Rajiv Malhotra</t>
  </si>
  <si>
    <t>30:10:00</t>
  </si>
  <si>
    <t>https://www.youtube.com/watch?v=hbcWYVaowqI</t>
  </si>
  <si>
    <t>Swami Harshananda (senior monk of RK Mission) blessings at Intellectual Kshatriya workshop</t>
  </si>
  <si>
    <t>16:42</t>
  </si>
  <si>
    <t>https://www.youtube.com/watch?v=olQlPZuEWLY</t>
  </si>
  <si>
    <t>Columbia University Talk "Hinduphobia in Academia": Rajiv Malhotra</t>
  </si>
  <si>
    <t>1:35:03</t>
  </si>
  <si>
    <t>70K</t>
  </si>
  <si>
    <t>https://www.youtube.com/watch?v=fwbLw9W9GC8</t>
  </si>
  <si>
    <t>Rajiv Malhotra at MIT: The Force Awakens</t>
  </si>
  <si>
    <t>2:13:19</t>
  </si>
  <si>
    <t>https://www.youtube.com/watch?v=XcIm7eWfJ_M</t>
  </si>
  <si>
    <t>NewsX: Dr Subramanian Swamy's Endorsement for Rajiv Malhotra</t>
  </si>
  <si>
    <t>https://www.youtube.com/watch?v=tD7VxQAIPLM</t>
  </si>
  <si>
    <t>Difference Between British Era Sepoys &amp; Today's Intellectual Sepoys</t>
  </si>
  <si>
    <t>2:28</t>
  </si>
  <si>
    <t>https://www.youtube.com/watch?v=RaNpNJVvWDI</t>
  </si>
  <si>
    <t>People like Devdutt Pattanaik Subvert Hinduism While Seeming to Help it</t>
  </si>
  <si>
    <t>https://www.youtube.com/watch?v=sdUuukDpj9s</t>
  </si>
  <si>
    <t>History-Centrism &amp; Dharma vis a vis Religion: Rajiv Malhotra</t>
  </si>
  <si>
    <t>13:39</t>
  </si>
  <si>
    <t>https://www.youtube.com/watch?v=jQ47l4DT1BY</t>
  </si>
  <si>
    <t>Rajiv Malhotra explains the difference between Intellectual Kshatriya and Emotional Kshatriya</t>
  </si>
  <si>
    <t>2:18</t>
  </si>
  <si>
    <t>https://www.youtube.com/watch?v=WkR5PD16sCg</t>
  </si>
  <si>
    <t>Rajiv explains how Hindu values of tapas get distorted by naive Hindus selling out to US pop culture</t>
  </si>
  <si>
    <t>https://www.youtube.com/watch?v=wXSD2PQznXI</t>
  </si>
  <si>
    <t>Rajiv Malhotra explains what it takes to become an Intellectual Kshatriya</t>
  </si>
  <si>
    <t>7:54</t>
  </si>
  <si>
    <t>https://www.youtube.com/watch?v=p4NkqPPh2fk</t>
  </si>
  <si>
    <t>Rajiv Malhotra explains common misunderstanding of Maya among Hindus</t>
  </si>
  <si>
    <t>7:18</t>
  </si>
  <si>
    <t>https://www.youtube.com/watch?v=7bZemcM70W0</t>
  </si>
  <si>
    <t>Rajiv Malhotra on 'Analysis of the Kurukshetra'. Interviewed by Vijaya Vishwanathan</t>
  </si>
  <si>
    <t>1:27:28</t>
  </si>
  <si>
    <t>16K</t>
  </si>
  <si>
    <t>https://www.youtube.com/watch?v=GpEk4HU0r2Y</t>
  </si>
  <si>
    <t>Wendy Doniger's Erotic Psychoanalysis Theory Has Not Been Countered: Rajiv Malhotra #1</t>
  </si>
  <si>
    <t>2:53</t>
  </si>
  <si>
    <t>https://www.youtube.com/watch?v=322EiuTqg7w</t>
  </si>
  <si>
    <t>When Devdutt Pattanaik Reduces Indian Itihas to Myth, it is Freud's Ideas he is propagating #2</t>
  </si>
  <si>
    <t>1:08</t>
  </si>
  <si>
    <t>https://www.youtube.com/watch?v=liKAbE7beNI</t>
  </si>
  <si>
    <t>Rajiv Malhotra &amp; Dr Swamy talk on Christian Missionaries Religion Conversion Tactics</t>
  </si>
  <si>
    <t>9:00</t>
  </si>
  <si>
    <t>https://www.youtube.com/watch?v=3eTjsY7w5kM</t>
  </si>
  <si>
    <t>4 Rajiv Malhotra: Dealing with Dharma transforms even the most rooted Abrahamic</t>
  </si>
  <si>
    <t>https://www.youtube.com/watch?v=afXofZLlzB4</t>
  </si>
  <si>
    <t>5 Are today's Pandavas sitting in the VIP lounge watching the action on the battlefield with binocu</t>
  </si>
  <si>
    <t>3:45</t>
  </si>
  <si>
    <t>https://www.youtube.com/watch?v=gtDa8NLyc74</t>
  </si>
  <si>
    <t>3 Rajiv Malhotra explains the five types of people in the kurukshetra and analysis of each</t>
  </si>
  <si>
    <t>11:15</t>
  </si>
  <si>
    <t>https://www.youtube.com/watch?v=zgOMSgegwGk</t>
  </si>
  <si>
    <t>"Where are the Pandavas?" Rajiv Malhotra interviewed by Vijaya Vishwanathan</t>
  </si>
  <si>
    <t>56:38:00</t>
  </si>
  <si>
    <t>https://www.youtube.com/watch?v=Xk3tQcQ1QcQ</t>
  </si>
  <si>
    <t>Rajiv Malhotra on NDTV's We the People_Debate on Foreign NGOs #1</t>
  </si>
  <si>
    <t>2.2K</t>
  </si>
  <si>
    <t>https://www.youtube.com/watch?v=MP4mGKSR2-0</t>
  </si>
  <si>
    <t>KUPPUSWAMI SASTRI RESEARCH INSTITUTE (KSRI), Chennai, hosts Distinguished Lecture by Rajiv Malhotra</t>
  </si>
  <si>
    <t>1:48:06</t>
  </si>
  <si>
    <t>https://www.youtube.com/watch?v=55sjF1l4Hu0</t>
  </si>
  <si>
    <t>Role of Hindu Temples: Rajiv Malhotra</t>
  </si>
  <si>
    <t>3:36</t>
  </si>
  <si>
    <t>https://www.youtube.com/watch?v=LkTTH9gGQwA</t>
  </si>
  <si>
    <t>Rajiv Malhotra Motivates JNU Students to Speak Up Against Biased Professors #16</t>
  </si>
  <si>
    <t>1:25</t>
  </si>
  <si>
    <t>https://www.youtube.com/watch?v=cuauchPBFCY</t>
  </si>
  <si>
    <t>N. Gopalaswami, former Chief Election Commissioner of India, and Rajiv Malhotra discuss TBFS</t>
  </si>
  <si>
    <t>1:41:43</t>
  </si>
  <si>
    <t>https://www.youtube.com/watch?v=oeJfmsvMRBs</t>
  </si>
  <si>
    <t>The Attack on Kumbh Mela - Rajiv Malhotra Series on "Facebook LIVE" Part 1</t>
  </si>
  <si>
    <t>17:56</t>
  </si>
  <si>
    <t>https://www.youtube.com/watch?v=vEdOCEkdY9Q</t>
  </si>
  <si>
    <t>Indian Comfort With What is Termed as Chaos: Rajiv Malhotra #1</t>
  </si>
  <si>
    <t>3:58</t>
  </si>
  <si>
    <t>https://www.youtube.com/watch?v=Cv8kec-TugY</t>
  </si>
  <si>
    <t>Islamic destruction of temples can't be compared to local rivalries causing destruction #17</t>
  </si>
  <si>
    <t>3:42</t>
  </si>
  <si>
    <t>https://www.youtube.com/watch?v=Uk3mD3cAFXg</t>
  </si>
  <si>
    <t>How YOU can help in the Kurukshetra &amp; Increase our Impact: Rajiv Malhotra</t>
  </si>
  <si>
    <t>2:33</t>
  </si>
  <si>
    <t>https://www.youtube.com/watch?v=spEEA-o1zlE</t>
  </si>
  <si>
    <t>Rajiv Malhotra Explains the History of Indian Science &amp; Technology Volumes</t>
  </si>
  <si>
    <t>1:54</t>
  </si>
  <si>
    <t>https://www.youtube.com/watch?v=7cA62ZHlWx0</t>
  </si>
  <si>
    <t>Rajiv Malhotra: When diversity is turned into vote bank, unity suffers #6</t>
  </si>
  <si>
    <t>1:22</t>
  </si>
  <si>
    <t>https://www.youtube.com/watch?v=M8Xez56Bg9c</t>
  </si>
  <si>
    <t>Smritis are not frozen, need to be changed according to time &amp; context: Rajiv Malhotra #7</t>
  </si>
  <si>
    <t>8:45</t>
  </si>
  <si>
    <t>https://www.youtube.com/watch?v=5U64D5B9-O0</t>
  </si>
  <si>
    <t>Rajiv Malhotra: #1 How Hindu Open Architecture is the Bedrock of Indian Identity</t>
  </si>
  <si>
    <t>5:16</t>
  </si>
  <si>
    <t>https://www.youtube.com/watch?v=fKsfq4rFzbA</t>
  </si>
  <si>
    <t>How Hindu Inferiority Complex Blocks Development of Indian Grand Narrative #2</t>
  </si>
  <si>
    <t>7:35</t>
  </si>
  <si>
    <t>https://www.youtube.com/watch?v=zKr-cYKprD8</t>
  </si>
  <si>
    <t>Rajiv Malhotra: Apathy, Ignorance, Laziness of Indians regarding their Civilization</t>
  </si>
  <si>
    <t>1:42</t>
  </si>
  <si>
    <t>https://www.youtube.com/watch?v=YHee5lF9yPc</t>
  </si>
  <si>
    <t>When Muslims &amp; Christians are More Equal than Hindus: Rajiv Malhotra #3</t>
  </si>
  <si>
    <t>4:14</t>
  </si>
  <si>
    <t>https://www.youtube.com/watch?v=8xbYHg11ROo</t>
  </si>
  <si>
    <t>Rajiv Malhotra: #4 Caste Based Reservations Act as Vote Bank</t>
  </si>
  <si>
    <t>4:56</t>
  </si>
  <si>
    <t>https://www.youtube.com/watch?v=yp1ZVELrxIA</t>
  </si>
  <si>
    <t>Rajiv Malhotra: #5 Funding Swadeshi Scholarship for Swadeshi Viewpoint</t>
  </si>
  <si>
    <t>0:24</t>
  </si>
  <si>
    <t>https://www.youtube.com/watch?v=JkoZriLo3fA</t>
  </si>
  <si>
    <t>If All Religions Are The Same Then Why Remain Hindu: Rajiv Malhotra</t>
  </si>
  <si>
    <t>3:46</t>
  </si>
  <si>
    <t>https://www.youtube.com/watch?v=hPD7CW4JiSA</t>
  </si>
  <si>
    <t>Rajiv Malhotra: Caste Cow Curry Joke in India #7</t>
  </si>
  <si>
    <t>4:16</t>
  </si>
  <si>
    <t>https://www.youtube.com/watch?v=wKE7d6nLsDM</t>
  </si>
  <si>
    <t>How Christianity Inc is the Largest MNC in the World: Rajiv Malhotra #1</t>
  </si>
  <si>
    <t>3:09</t>
  </si>
  <si>
    <t>https://www.youtube.com/watch?v=dlQfycnk550</t>
  </si>
  <si>
    <t>Christianity Needs Major Reform: Rajiv Malhotra #2</t>
  </si>
  <si>
    <t>6:18</t>
  </si>
  <si>
    <t>https://www.youtube.com/watch?v=dgXtHzSngX0</t>
  </si>
  <si>
    <t>The False "Aryan Dravidian" Divide is Part of Official Govt Discourse on India: Rajiv Malhotra</t>
  </si>
  <si>
    <t>0:27</t>
  </si>
  <si>
    <t>https://www.youtube.com/watch?v=Xml5nVm8bg0</t>
  </si>
  <si>
    <t>DIGESTION of Hindusim into Christianity: Rajiv Malhotra #7</t>
  </si>
  <si>
    <t>11 months ago</t>
  </si>
  <si>
    <t>https://www.youtube.com/watch?v=I6Nwopg3FIw</t>
  </si>
  <si>
    <t>Rajiv Malhotra: Sanskrit Protects Dharma From Digestion</t>
  </si>
  <si>
    <t>https://www.youtube.com/watch?v=QT3p6iGNrkU</t>
  </si>
  <si>
    <t>The Attack on Kumbh Mela - Rajiv Malhotra Series on "Facebook LIVE" Part 2</t>
  </si>
  <si>
    <t>20:02</t>
  </si>
  <si>
    <t>https://www.youtube.com/watch?v=DYtc95s7Kpc</t>
  </si>
  <si>
    <t>Response to Young Law Student &amp; Human Rights Activist #2</t>
  </si>
  <si>
    <t>24:20:00</t>
  </si>
  <si>
    <t>9.2K</t>
  </si>
  <si>
    <t>https://www.youtube.com/watch?v=Lg0JLlBHCgA</t>
  </si>
  <si>
    <t>Rajiv Malhotra responds: Why do we need others legitimacy if we are 1/6th of the world</t>
  </si>
  <si>
    <t>3:11</t>
  </si>
  <si>
    <t>https://www.youtube.com/watch?v=ZpdQsUkjwMc</t>
  </si>
  <si>
    <t>The Attack on Kumbh Mela - Rajiv Malhotra Series on "Facebook LIVE" Part 3</t>
  </si>
  <si>
    <t>32:34:00</t>
  </si>
  <si>
    <t>https://www.youtube.com/watch?v=xA9TKhOjY24</t>
  </si>
  <si>
    <t>Rajiv Malhotra Discusses the Idea of India &amp; Indian Identity</t>
  </si>
  <si>
    <t>4:07</t>
  </si>
  <si>
    <t>https://www.youtube.com/watch?v=w2e5eqI49cE</t>
  </si>
  <si>
    <t>Rajiv Malhotra: Difference Between Tolerance and Mutual Respect #4</t>
  </si>
  <si>
    <t>https://www.youtube.com/watch?v=qY5oQOirve4</t>
  </si>
  <si>
    <t>JNU student questions John Dayal and leaves him Dumbstruck!</t>
  </si>
  <si>
    <t>2:41</t>
  </si>
  <si>
    <t>https://www.youtube.com/watch?v=yMRw4TF7CAk</t>
  </si>
  <si>
    <t>Rajiv Malhotra's Rejoinder to Kancha Ilaiah's Breaking India Activities</t>
  </si>
  <si>
    <t>22:55</t>
  </si>
  <si>
    <t>https://www.youtube.com/watch?v=XCXsh2mfb3M</t>
  </si>
  <si>
    <t>Kumbh Mela 3.7: What should Indian Govt &amp; Leaders do to Save The Kumbh Mela</t>
  </si>
  <si>
    <t>5:35</t>
  </si>
  <si>
    <t>https://www.youtube.com/watch?v=sTYcLqa56Z4</t>
  </si>
  <si>
    <t>Kumbh Mela 3.1: Rajiv responds to Viewers Questions about Akhadas</t>
  </si>
  <si>
    <t>3:04</t>
  </si>
  <si>
    <t>https://www.youtube.com/watch?v=VxI-y4zU4YE</t>
  </si>
  <si>
    <t>Kumbh Mela 3.6: What can the Youth do to Save Kumbh Mela</t>
  </si>
  <si>
    <t>https://www.youtube.com/watch?v=kKbQvD24QPY</t>
  </si>
  <si>
    <t>Kumbh Mela 3.5: HRD Ministry should give a report on state of Indology</t>
  </si>
  <si>
    <t>2:20</t>
  </si>
  <si>
    <t>https://www.youtube.com/watch?v=A6j1KcojG0E</t>
  </si>
  <si>
    <t>Attack on Kumbh Mela 3.4: Rajiv Malhotra explains Ideological fight with Seculars</t>
  </si>
  <si>
    <t>https://www.youtube.com/watch?v=wzPkggokfLg</t>
  </si>
  <si>
    <t>Kumbh Mela 3.3: Is Any Legal Action Possible to Restrict Entry to the Kumbh Mela</t>
  </si>
  <si>
    <t>3:21</t>
  </si>
  <si>
    <t>https://www.youtube.com/watch?v=dJ9wpyiJSSI</t>
  </si>
  <si>
    <t>Kumbh Mela 3.2: Rajiv Malhotra responds — Do We Need Bad Cops</t>
  </si>
  <si>
    <t>1:16</t>
  </si>
  <si>
    <t>https://www.youtube.com/watch?v=0DBc4TKwgDc</t>
  </si>
  <si>
    <t>MSNBC: Rajiv Malhotra discusses "Who is Bobby Jindal, really" Feb 2013</t>
  </si>
  <si>
    <t>11:57</t>
  </si>
  <si>
    <t>https://www.youtube.com/watch?v=AjEKOFHh4yM</t>
  </si>
  <si>
    <t>Rajiv Malhotra on MSNBC: A Different Kind of Black-Brown Coalition</t>
  </si>
  <si>
    <t>9:44</t>
  </si>
  <si>
    <t>https://www.youtube.com/watch?v=FQmwAFcJSpw</t>
  </si>
  <si>
    <t>From William Jones to Pollock, Discourse on India Continues to be Dictated by the West_MIT 9</t>
  </si>
  <si>
    <t>3:39</t>
  </si>
  <si>
    <t>https://www.youtube.com/watch?v=Kg7UNGe9lik</t>
  </si>
  <si>
    <t>Theory of 'Aesthetization of Power' used by Sheldon Pollock_MIT 10</t>
  </si>
  <si>
    <t>7:44</t>
  </si>
  <si>
    <t>https://www.youtube.com/watch?v=_OTzuNIDOOA</t>
  </si>
  <si>
    <t>Currently, GOI funded Religion Studies might not be in Dharma's Interest_MIT 11</t>
  </si>
  <si>
    <t>https://www.youtube.com/watch?v=VJZ4LARPMJU&amp;t=79s</t>
  </si>
  <si>
    <t>How Germans Distorted Hindu Ideas Which Led to Nazism: Rajiv Malhotra #12</t>
  </si>
  <si>
    <t>7:09</t>
  </si>
  <si>
    <t>43K</t>
  </si>
  <si>
    <t>https://www.youtube.com/watch?v=V-N1KdB7QTg</t>
  </si>
  <si>
    <t>Fb LIVE 5: Kutumba Sastry, President Intl Asso Sanskrit Studies — Interviewed by Rajiv Malhotra</t>
  </si>
  <si>
    <t>16:50</t>
  </si>
  <si>
    <t>https://www.youtube.com/watch?v=4fTC0cZiBus</t>
  </si>
  <si>
    <t>Rajiv Malhotra talks about The Indus Saraswati Civilization</t>
  </si>
  <si>
    <t>https://www.youtube.com/watch?v=G1vj3YNYQYg</t>
  </si>
  <si>
    <t>Rajiv Malhotra MIT 7: The Sold Out Insiders</t>
  </si>
  <si>
    <t>2:55</t>
  </si>
  <si>
    <t>https://www.youtube.com/watch?v=Ly_KKukp01g</t>
  </si>
  <si>
    <t>Rajiv Malhotra: Control of our tradition has shifted into the hands of 'outsiders'.</t>
  </si>
  <si>
    <t>4:57</t>
  </si>
  <si>
    <t>https://www.youtube.com/watch?v=yB7P6V4_zUw</t>
  </si>
  <si>
    <t>Rajiv Malhotra in conversation with Indian industrialists: 'Who represents Hinduism?'</t>
  </si>
  <si>
    <t>4:17</t>
  </si>
  <si>
    <t>https://www.youtube.com/watch?v=xjoBDX3u1Ys</t>
  </si>
  <si>
    <t>Rajiv Malhotra MIT 3: Multiple 'Outsider' views on Hindusim &amp; Birth of American Indology</t>
  </si>
  <si>
    <t>4:52</t>
  </si>
  <si>
    <t>https://www.youtube.com/watch?v=hFK3wIxZt3g</t>
  </si>
  <si>
    <t>How India Should Manage US Think Tanks, Universities, Seminaries</t>
  </si>
  <si>
    <t>45:46:00</t>
  </si>
  <si>
    <t>https://www.youtube.com/watch?v=gL_j5YKKN38</t>
  </si>
  <si>
    <t>Rajiv Malhotra: Battling the Secularization of Indian Fine Arts</t>
  </si>
  <si>
    <t>https://www.youtube.com/watch?v=J2klGHwzFFo</t>
  </si>
  <si>
    <t>MIT 6: White Liberal American Woman Profile according to Marketing Co’s</t>
  </si>
  <si>
    <t>2:37</t>
  </si>
  <si>
    <t>https://www.youtube.com/watch?v=ebsBucPcYoU</t>
  </si>
  <si>
    <t>Rajiv Malhotra MIT 1: The Need for Insider Perspective on Hinduism</t>
  </si>
  <si>
    <t>2:39</t>
  </si>
  <si>
    <t>https://www.youtube.com/watch?v=orOA4dPxE98</t>
  </si>
  <si>
    <t>No one has attempted a Purvapaksha of Sheldon Pollock_MIT 2</t>
  </si>
  <si>
    <t>1:35</t>
  </si>
  <si>
    <t>https://www.youtube.com/watch?v=go47jpA5M1A</t>
  </si>
  <si>
    <t>How Hindus Have Lost The Ownership of Hinduism Studies #4</t>
  </si>
  <si>
    <t>8:21</t>
  </si>
  <si>
    <t>https://www.youtube.com/watch?v=dlfE6JbvIYI</t>
  </si>
  <si>
    <t>How China Hits Back at Western Critics: MIT #13</t>
  </si>
  <si>
    <t>4:03</t>
  </si>
  <si>
    <t>https://www.youtube.com/watch?v=1VZl4rtt2aU</t>
  </si>
  <si>
    <t>Ivy Leagues Control Indological Studies Research: Rajiv Malhotra</t>
  </si>
  <si>
    <t>1:07</t>
  </si>
  <si>
    <t>https://www.youtube.com/watch?v=cUULt5zHp0k</t>
  </si>
  <si>
    <t>Amazing Discoveries About Ancient India That Are Being Neglected: Rajiv Malhotra</t>
  </si>
  <si>
    <t>20:29</t>
  </si>
  <si>
    <t>9.5K</t>
  </si>
  <si>
    <t>https://www.youtube.com/watch?v=BNly0XIZX6c</t>
  </si>
  <si>
    <t>Biases of American Academia who study Hinduism_MIT 5</t>
  </si>
  <si>
    <t>3:37</t>
  </si>
  <si>
    <t>https://www.youtube.com/watch?v=C3knBzrgTTY</t>
  </si>
  <si>
    <t>Rajiv Malhotra MIT 8: Four types of Hindus who cannot help the cause of Hinduism</t>
  </si>
  <si>
    <t>https://www.youtube.com/watch?v=w1UAQGgnz4A</t>
  </si>
  <si>
    <t>Christianity Digested lot of Paganism #4</t>
  </si>
  <si>
    <t>2:13</t>
  </si>
  <si>
    <t>https://www.youtube.com/watch?v=1-5q-Da6EHQ</t>
  </si>
  <si>
    <t>Rajiv Malhotra: # 5 Original Sin of Adam Eve &amp; Why Virgin Birth is such a big deal</t>
  </si>
  <si>
    <t>https://www.youtube.com/watch?v=JcNaFHIozC4</t>
  </si>
  <si>
    <t>#1 Difference is the Truth: Swami Dayanand Saraswati Launches Rajiv's Book 'Being Different'</t>
  </si>
  <si>
    <t>1:58</t>
  </si>
  <si>
    <t>https://www.youtube.com/watch?v=3zpg3MGhmyI</t>
  </si>
  <si>
    <t>Rajiv Malhotra: # 2 Western Universalism Has Colonized Others</t>
  </si>
  <si>
    <t>https://www.youtube.com/watch?v=QrVLpFoGRb4</t>
  </si>
  <si>
    <t>Sanskrit Non-translatables, Being Different</t>
  </si>
  <si>
    <t>4:10</t>
  </si>
  <si>
    <t>https://www.youtube.com/watch?v=yCrftsxElf8</t>
  </si>
  <si>
    <t>Rajiv Malhotra: # 6 Ask any Christian Theologian What happens to The Nicene Creed</t>
  </si>
  <si>
    <t>3:10</t>
  </si>
  <si>
    <t>https://www.youtube.com/watch?v=c0qRokhkADI</t>
  </si>
  <si>
    <t>Rajiv Malhotra: Are Christianity &amp; Hinduism Same AND The Nature of Self in Both #7</t>
  </si>
  <si>
    <t>https://www.youtube.com/watch?v=AcHVZjv6cAs</t>
  </si>
  <si>
    <t>Purva-paksha of the West (Reversing the Gaze) not done by India: Rajiv Malhotra #8</t>
  </si>
  <si>
    <t>2:38</t>
  </si>
  <si>
    <t>https://www.youtube.com/watch?v=P1Eurn7tEJM</t>
  </si>
  <si>
    <t>History-Centrism of Christianity Makes Them Prisoners of History: Rajiv Malhotra #9</t>
  </si>
  <si>
    <t>https://www.youtube.com/watch?v=GDQ-FTObhak</t>
  </si>
  <si>
    <t>Integral Unity Vs Synthetic Unity #10</t>
  </si>
  <si>
    <t>https://www.youtube.com/watch?v=5P0vjP1Hdvs</t>
  </si>
  <si>
    <t>Is Jesus Christian: Q&amp;A with Rajiv Malhotra #13</t>
  </si>
  <si>
    <t>2:56</t>
  </si>
  <si>
    <t>https://www.youtube.com/watch?v=OAcu0ZHtcXc</t>
  </si>
  <si>
    <t>Buddhist's Nature of Reality is also Integral Unity #11</t>
  </si>
  <si>
    <t>1:06</t>
  </si>
  <si>
    <t>https://www.youtube.com/watch?v=F4X3ljkLFP8</t>
  </si>
  <si>
    <t>A Christian can be a True Advaitin Only if History-Centrism is Given up: Rajiv Malhotra #14</t>
  </si>
  <si>
    <t>https://www.youtube.com/watch?v=_VfaX30ncIU</t>
  </si>
  <si>
    <t>Swami Dayanand Saraswati Commends Rajiv Malhotra's Books #15</t>
  </si>
  <si>
    <t>https://www.youtube.com/watch?v=JDOBTQ94-S4</t>
  </si>
  <si>
    <t>Digested Cultures live in Museums #1</t>
  </si>
  <si>
    <t>https://www.youtube.com/watch?v=5tMCiwnQlXM</t>
  </si>
  <si>
    <t>Approach to Define The Dharma Point of View: Rajiv Malhotra #5</t>
  </si>
  <si>
    <t>https://www.youtube.com/watch?v=61VsCIaQhX4</t>
  </si>
  <si>
    <t>#2 Gurus Replacing Sanskrit Words with English Exposes the Tradition to Digestion</t>
  </si>
  <si>
    <t>https://www.youtube.com/watch?v=o4_iAmYXDzg</t>
  </si>
  <si>
    <t>How much of India do the Westerners Assimilate Before Making a U Turn #3</t>
  </si>
  <si>
    <t>https://www.youtube.com/watch?v=bF-3L4O8Nq8</t>
  </si>
  <si>
    <t>Our History is NOT a Myth —Q&amp;A Broadcast with Rajiv Malhotra</t>
  </si>
  <si>
    <t>27:05:00</t>
  </si>
  <si>
    <t>6.4K</t>
  </si>
  <si>
    <t>https://www.youtube.com/watch?v=5c75GXSIdlM</t>
  </si>
  <si>
    <t>#6 There is an Indian Universalism and Being Different is part of it.</t>
  </si>
  <si>
    <t>2:57</t>
  </si>
  <si>
    <t>https://www.youtube.com/watch?v=KXamV4OZjYs</t>
  </si>
  <si>
    <t>India is Often Mis-represented in USA by Our Colonized Mentality: Rajiv Malhotra #4</t>
  </si>
  <si>
    <t>2:15</t>
  </si>
  <si>
    <t>https://www.youtube.com/watch?v=rbrxzObExNc</t>
  </si>
  <si>
    <t>Ideas of Yoga clash with Christianity's Nicene Creed: Rajiv Malhotra</t>
  </si>
  <si>
    <t>0:31</t>
  </si>
  <si>
    <t>https://www.youtube.com/watch?v=G6rcMSQ1UVE</t>
  </si>
  <si>
    <t>Asking some very important questions about Sufism: Rajiv Malhotra #12</t>
  </si>
  <si>
    <t>5:30</t>
  </si>
  <si>
    <t>https://www.youtube.com/watch?v=mK5DuxKw-I8</t>
  </si>
  <si>
    <t>Everything is Ultimately a Distinct Expression of Brahman (Ultimate Reality) #2</t>
  </si>
  <si>
    <t>https://www.youtube.com/watch?v=zV5AbsAy5m4</t>
  </si>
  <si>
    <t>Rajiv Malhotra: Why Look for Legitimacy from The West #3</t>
  </si>
  <si>
    <t>0:39</t>
  </si>
  <si>
    <t>https://www.youtube.com/watch?v=dzUx3zUv_yw</t>
  </si>
  <si>
    <t>Rajiv Malhotra: India should invest a huge amount in preserving it's civilization #5</t>
  </si>
  <si>
    <t>https://www.youtube.com/watch?v=5iT09vIaZOU</t>
  </si>
  <si>
    <t>Hindu Gurus are Muddled Up in Understanding Christianity: Rajiv Malhotra #1</t>
  </si>
  <si>
    <t>1:17</t>
  </si>
  <si>
    <t>https://www.youtube.com/watch?v=inpmzGJn2LU</t>
  </si>
  <si>
    <t>Hindu Gurus Lost an Opportunity to Convert Western Yoga Students into Hindus #2</t>
  </si>
  <si>
    <t>https://www.youtube.com/watch?v=wXoImJcJYxQ</t>
  </si>
  <si>
    <t>Rajiv Malhotra: How Yoga's Advanced Effects Depend on One's Worldview &amp; Lifestyle #3</t>
  </si>
  <si>
    <t>3:27</t>
  </si>
  <si>
    <t>https://www.youtube.com/watch?v=aASsLwbe6kY</t>
  </si>
  <si>
    <t>Is chanting Om a part of Yoga: Rajiv Malhotra</t>
  </si>
  <si>
    <t>https://www.youtube.com/watch?v=bFIqLn3c85c</t>
  </si>
  <si>
    <t>Lets Create a "Global Yoga Franchise" with Lakhs of Teachers: Rajiv Malhotra #5</t>
  </si>
  <si>
    <t>1:52</t>
  </si>
  <si>
    <t>https://www.youtube.com/watch?v=PWZrF-TGsWo</t>
  </si>
  <si>
    <t>What Should be India's Strategy for Leveraging Yoga: Rajiv Malhotra #6</t>
  </si>
  <si>
    <t>6:19</t>
  </si>
  <si>
    <t>https://www.youtube.com/watch?v=S2ePhtW_O5A</t>
  </si>
  <si>
    <t>Rajiv Malhotra responds: What was the origin of Yoga #7</t>
  </si>
  <si>
    <t>4:55</t>
  </si>
  <si>
    <t>https://www.youtube.com/watch?v=6aJLKt2nXsg</t>
  </si>
  <si>
    <t>Rajiv Malhotra: Yoga is Much More Than Asanas Physical Aspect #8</t>
  </si>
  <si>
    <t>3:32</t>
  </si>
  <si>
    <t>https://www.youtube.com/watch?v=tRgTeYpgv8c</t>
  </si>
  <si>
    <t>Rajiv Malhotra: Yoga Practitioners Must Also Understand its Philosophy Properly #9</t>
  </si>
  <si>
    <t>https://www.youtube.com/watch?v=txsij6WXt8s</t>
  </si>
  <si>
    <t>Mutual Respect Between Hinduism &amp; Christianity is a One Way Street: Rajiv Malhotra</t>
  </si>
  <si>
    <t>4:06</t>
  </si>
  <si>
    <t>https://www.youtube.com/watch?v=AefxKKTqv5I</t>
  </si>
  <si>
    <t>International Yoga Day, Philadelphia</t>
  </si>
  <si>
    <t>19:10</t>
  </si>
  <si>
    <t>https://www.youtube.com/watch?v=7gTT37SeSUc</t>
  </si>
  <si>
    <t>Rajiv Malhotra: Inner Awakening program integrates advaita inside with action outside</t>
  </si>
  <si>
    <t>https://www.youtube.com/watch?v=o-395A-OrOQ</t>
  </si>
  <si>
    <t>Dharma gets Digested into "Products" of Western Universalism: Rajiv Malhotra #2</t>
  </si>
  <si>
    <t>6:36</t>
  </si>
  <si>
    <t>https://www.youtube.com/watch?v=qYA9DVNkOCA</t>
  </si>
  <si>
    <t>Rajiv Malhotra: #1 Adhyatma-Vidya as inner science</t>
  </si>
  <si>
    <t>3:00</t>
  </si>
  <si>
    <t>https://www.youtube.com/watch?v=-JT1qlD0wPQ</t>
  </si>
  <si>
    <t>Non-digestible Tension Points Between Dharmic &amp; Western Universal traditions</t>
  </si>
  <si>
    <t>2:50</t>
  </si>
  <si>
    <t>https://www.youtube.com/watch?v=kSNHRGhGt_Y</t>
  </si>
  <si>
    <t>Rajiv Malhotra: UTurn Stages of Appropriation #6</t>
  </si>
  <si>
    <t>5:14</t>
  </si>
  <si>
    <t>https://www.youtube.com/watch?v=adov37an6hU</t>
  </si>
  <si>
    <t>Rajiv Malhotra: #5 Westernized Indians Discomfort about Own Heritage</t>
  </si>
  <si>
    <t>1:45</t>
  </si>
  <si>
    <t>https://www.youtube.com/watch?v=glBt8I5y1b8</t>
  </si>
  <si>
    <t>Rajiv Malhotra: #4 Destructive Effect of Digestion</t>
  </si>
  <si>
    <t>https://www.youtube.com/watch?v=a_HGSrmF_8w</t>
  </si>
  <si>
    <t>Leftist Control of Mainstream Media is Biased: Rajiv Malhotra, BLR Lit Fest</t>
  </si>
  <si>
    <t>7:36</t>
  </si>
  <si>
    <t>https://www.youtube.com/watch?v=Kfqplhug-eA</t>
  </si>
  <si>
    <t>Rajiv Malhotra Intl Day of Yoga, Philadelphia: #1 Defining Yoga &amp; Relation to Dharma</t>
  </si>
  <si>
    <t>https://www.youtube.com/watch?v=AgRVHML48XM</t>
  </si>
  <si>
    <t>Rajiv Malhotra at Intl Day of Yoga, Philadelphia: #2 Should OM be removed from Yoga</t>
  </si>
  <si>
    <t>4:37</t>
  </si>
  <si>
    <t>https://www.youtube.com/watch?v=2Hmcjz_IH8I</t>
  </si>
  <si>
    <t>Rajiv Malhotra at Intl Day of Yoga, Philadelphia: #3 Scope of Yoga</t>
  </si>
  <si>
    <t>https://www.youtube.com/watch?v=xuKnWRKpLyM</t>
  </si>
  <si>
    <t>Rajiv Malhotra at Intl Day of Yoga, Philadelphia: #4 Is Yoga a religion or science</t>
  </si>
  <si>
    <t>6:04</t>
  </si>
  <si>
    <t>https://www.youtube.com/watch?v=2U1DVGO8vo4</t>
  </si>
  <si>
    <t>Rajiv Malhotra at Intl Day of Yoga, Philadelphia: #6 Yoga Asana for Schools</t>
  </si>
  <si>
    <t>https://www.youtube.com/watch?v=xhcu0nbcfy0</t>
  </si>
  <si>
    <t>Rajiv Malhotra: क्या हिन्दू धर्म और ईसाई रिलिजन समान हैं</t>
  </si>
  <si>
    <t>14:31</t>
  </si>
  <si>
    <t>https://www.youtube.com/watch?v=lJLoAHZxMWE</t>
  </si>
  <si>
    <t>Rajiv Malhotra fb LIVE 10: Keynote address at first ever 'Swadeshi Indology' Conference</t>
  </si>
  <si>
    <t>38:55:00</t>
  </si>
  <si>
    <t>https://www.youtube.com/watch?v=dSKwv3KOvN8</t>
  </si>
  <si>
    <t>Rajiv Malhotra at Intl Day of Yoga, Philadelphia: #7 Yoga philosophy is based on nature of Self</t>
  </si>
  <si>
    <t>3:24</t>
  </si>
  <si>
    <t>https://www.youtube.com/watch?v=t5tjD9qq-98</t>
  </si>
  <si>
    <t>Rajiv Malhotra at Intl Day of Yoga, Philadelphia: #8 Yoga solves many kinds of issues</t>
  </si>
  <si>
    <t>2:27</t>
  </si>
  <si>
    <t>https://www.youtube.com/watch?v=LEotomBnsQk</t>
  </si>
  <si>
    <t>Rajiv Malhotra: भारतीय स्वयं ज़िम्मेदारी लें, दूसरों पर न निर्भर हों</t>
  </si>
  <si>
    <t>10:41</t>
  </si>
  <si>
    <t>https://www.youtube.com/watch?v=tpUBWJjtzrA</t>
  </si>
  <si>
    <t>Rajiv Malhotra: BARC 2_True and verifiable history of Indian science &amp; technology</t>
  </si>
  <si>
    <t>2:24</t>
  </si>
  <si>
    <t>https://www.youtube.com/watch?v=Cuelsn9VyZQ</t>
  </si>
  <si>
    <t>Quackery &amp; Chauvinism Can Spoil the Reputation of Scientific Work. #1</t>
  </si>
  <si>
    <t>1:59</t>
  </si>
  <si>
    <t>https://www.youtube.com/watch?v=IQCY6tVgZ9s</t>
  </si>
  <si>
    <t>Rajiv Malhotra: BARC 3_Yoga claims there is an inner science Adhyatma Vidya that is verifiable</t>
  </si>
  <si>
    <t>https://www.youtube.com/watch?v=xVrbpqr1LEE</t>
  </si>
  <si>
    <t>Rajiv Malhotra at Intl Day of Yoga, Philadelphia: #5 योग का स्वामित्व किसके पास है</t>
  </si>
  <si>
    <t>5:36</t>
  </si>
  <si>
    <t>https://www.youtube.com/watch?v=kZVT_WU4Pm4</t>
  </si>
  <si>
    <t>Inaugural Address by Prof. V.N. Jha (First Swadeshi Indology Conference)</t>
  </si>
  <si>
    <t>49:27:00</t>
  </si>
  <si>
    <t>https://www.youtube.com/watch?v=5HrBZvxcPmY</t>
  </si>
  <si>
    <t>Swadeshi Indology Conference - Closing Comments by Rajiv Malhotra</t>
  </si>
  <si>
    <t>39:19:00</t>
  </si>
  <si>
    <t>https://www.youtube.com/watch?v=KdiEMEbTV1M</t>
  </si>
  <si>
    <t>Swadeshi Indology Conference: Prof Makarand Paranjape (JNU) on Ambedkarism and Islam</t>
  </si>
  <si>
    <t>https://www.youtube.com/watch?v=9Zummy0j6Ws</t>
  </si>
  <si>
    <t>Welcome Speech by Prof Kannan - First Swadeshi Indology Conference</t>
  </si>
  <si>
    <t>16:19</t>
  </si>
  <si>
    <t>https://www.youtube.com/watch?v=9VsQzAI5PLo</t>
  </si>
  <si>
    <t>First Swadeshi Indology Conference: Inauguration and Felicitation</t>
  </si>
  <si>
    <t>11:01</t>
  </si>
  <si>
    <t>https://www.youtube.com/watch?v=ZwiLQGKP--A</t>
  </si>
  <si>
    <t>Swadeshi Indology Conference - Vote of Thanks by Prof Jalihal</t>
  </si>
  <si>
    <t>6:49</t>
  </si>
  <si>
    <t>https://www.youtube.com/watch?v=fmVDyQnLFe4</t>
  </si>
  <si>
    <t>Rajiv: BARC 4_Adhyatma vidya is empirical inner science, different from external hard sciences</t>
  </si>
  <si>
    <t>https://www.youtube.com/watch?v=ohUG8LIy7Cs</t>
  </si>
  <si>
    <t>Rajiv Malhotra: BARC 5_Indian tradition ensures no conflict between science &amp; religion</t>
  </si>
  <si>
    <t>https://www.youtube.com/watch?v=WfJvOgXp9SM</t>
  </si>
  <si>
    <t>Rajiv Malhotra: BARC 6_ Colonizers left but the Indian mind is still colonized</t>
  </si>
  <si>
    <t>1:38</t>
  </si>
  <si>
    <t>https://www.youtube.com/watch?v=_vKbwIOfXy0</t>
  </si>
  <si>
    <t>Rajiv Malhotra: BARC 7_Indian ideas have been plagiarized &amp; appropriated by the West</t>
  </si>
  <si>
    <t>https://www.youtube.com/watch?v=NNu6sJz2cPI</t>
  </si>
  <si>
    <t>Rajiv Malhotra: BARC 8_ Swami Vivekananda influenced Nikola Tesla</t>
  </si>
  <si>
    <t>https://www.youtube.com/watch?v=Deab_JE4fv4</t>
  </si>
  <si>
    <t>Rajiv: BARC 9_ How Herb Benson and Stephen Laberge have appropriated ideas from Indian mind sciences</t>
  </si>
  <si>
    <t>2:10</t>
  </si>
  <si>
    <t>https://www.youtube.com/watch?v=GiNhw1WJNXc</t>
  </si>
  <si>
    <t>Rajiv Malhotra: BARC 10_Indian Philosophy is the only one compatible with Quantum Physics</t>
  </si>
  <si>
    <t>https://www.youtube.com/watch?v=NRep5rGd_FU</t>
  </si>
  <si>
    <t>Rajiv Malhotra: BARC 12_Why difference and diversity should be preserved</t>
  </si>
  <si>
    <t>1:01</t>
  </si>
  <si>
    <t>https://www.youtube.com/watch?v=gF2CbaL7t6g</t>
  </si>
  <si>
    <t>Rajiv Malhotra: Harvard Video Proves Their Infiltration of Kumbh Mela (with Hindi Subtitles)</t>
  </si>
  <si>
    <t>7:11</t>
  </si>
  <si>
    <t>https://www.youtube.com/watch?v=GB9g4sKWR0M</t>
  </si>
  <si>
    <t>Role of Organizations Like The Hindu American Foundation (HAF): Rajiv Malhotra #1</t>
  </si>
  <si>
    <t>12:08</t>
  </si>
  <si>
    <t>https://www.youtube.com/watch?v=AB0KeX_0T2I</t>
  </si>
  <si>
    <t>Rajiv Malhotra's Hard-hitting Response to False Charges of Plagiarism #2</t>
  </si>
  <si>
    <t>WIP-Content</t>
  </si>
  <si>
    <t>15:59</t>
  </si>
  <si>
    <t>WIP-Video</t>
  </si>
  <si>
    <t>Done-Video</t>
  </si>
  <si>
    <t>Uploaded in YT</t>
  </si>
  <si>
    <t>https://www.youtube.com/watch?v=VDqAX3plBww</t>
  </si>
  <si>
    <t>Rajiv Malhotra on Obama administration's effect on curtailing violence against Black people #3</t>
  </si>
  <si>
    <t>https://www.youtube.com/watch?v=Hqx5Pfe-4NI</t>
  </si>
  <si>
    <t>Indian Social Sciences Scholars are the New Elites: Rajiv Malhotra #4</t>
  </si>
  <si>
    <t>8:06</t>
  </si>
  <si>
    <t>https://www.youtube.com/watch?v=rAWCL2ENS90</t>
  </si>
  <si>
    <t>Rajiv Malhotra: Importance of Knowledge Percolating to the Lower Strata #5</t>
  </si>
  <si>
    <t>https://www.youtube.com/watch?v=47hxgUfQ8jo</t>
  </si>
  <si>
    <t>Ambedkar and The Origins of 'Left Wing' 'Right Wing' #6</t>
  </si>
  <si>
    <t>3:50</t>
  </si>
  <si>
    <t>https://www.youtube.com/watch?v=EMznloyYysU</t>
  </si>
  <si>
    <t>Harvard Video Proves Their Infiltration of Kumbh Mela: Rajiv Malhotra</t>
  </si>
  <si>
    <t>https://www.youtube.com/watch?v=Xsq9jAEpAY8</t>
  </si>
  <si>
    <t>Supreme Court Lawyer Monika Arora Explains Lawsuit Against Wendy Doniger’s Book</t>
  </si>
  <si>
    <t>12:18</t>
  </si>
  <si>
    <t>https://www.youtube.com/watch?v=-HWLO-7d98U</t>
  </si>
  <si>
    <t>Rajiv Malhotra on NewsX Channel: Hinduphobia, Breaking India forces &amp; Kashmir problem</t>
  </si>
  <si>
    <t>https://www.youtube.com/watch?v=xAx9rKxKjCk</t>
  </si>
  <si>
    <t>Rajiv Malhotra on Literarisation #7</t>
  </si>
  <si>
    <t>1:33</t>
  </si>
  <si>
    <t>https://www.youtube.com/watch?v=pIn71L7Kv9Q</t>
  </si>
  <si>
    <t>Rajiv Malhotra: The Invisible Fence Syndrome #9</t>
  </si>
  <si>
    <t>2:21</t>
  </si>
  <si>
    <t>https://www.youtube.com/watch?v=9oRLNbl-DxI</t>
  </si>
  <si>
    <t>Why the Hindu Community has Failed to Confront Hinduphobia #1</t>
  </si>
  <si>
    <t>https://www.youtube.com/watch?v=ZhuUYD3QvB8</t>
  </si>
  <si>
    <t>Rajiv Malhotra: The Need For Hindu Viewpoint in Mainstream Media #2</t>
  </si>
  <si>
    <t>https://www.youtube.com/watch?v=G2ke7Higm-Y</t>
  </si>
  <si>
    <t>Rajiv Malhotra's Encounter with a Hinduphobic Professor from Univ of Chicago #3</t>
  </si>
  <si>
    <t>10:26</t>
  </si>
  <si>
    <t>https://www.youtube.com/watch?v=FTdLV7hcCvI</t>
  </si>
  <si>
    <t>Removing Caste Discrimination in India: Rajiv Malhotra #4</t>
  </si>
  <si>
    <t>https://www.youtube.com/watch?v=FQ3dpY5j5y8</t>
  </si>
  <si>
    <t>Rajiv Malhotra: Why the Western Labels of 'Left' &amp; 'Right' Do Not Apply to Hinduism #5</t>
  </si>
  <si>
    <t>https://www.youtube.com/watch?v=iGqKIfGTc-s</t>
  </si>
  <si>
    <t>Rajiv Malhotra's Responds to Disruption by Hinduphobic Mob &amp; Condemns All Forms of Xenophobia #6</t>
  </si>
  <si>
    <t>4:39</t>
  </si>
  <si>
    <t>https://www.youtube.com/watch?v=ejkbEib1Otk</t>
  </si>
  <si>
    <t>Americanization of The Indian Elite: Rajiv Malhotra #8</t>
  </si>
  <si>
    <t>https://www.youtube.com/watch?v=4PxIlOKBbng</t>
  </si>
  <si>
    <t>Rajiv Malhotra: Impact of Aryan-Dravidian Theory in South India #1</t>
  </si>
  <si>
    <t>https://www.youtube.com/watch?v=9fu_xDvkBMk</t>
  </si>
  <si>
    <t>Rajiv Malhotra: The Promise &amp; the Concerns Around Computational Linguistics #2</t>
  </si>
  <si>
    <t>https://www.youtube.com/watch?v=s_eR4_6kip8</t>
  </si>
  <si>
    <t>An Analyst of the 'Industry of Indology", Rajiv Malhotra #3</t>
  </si>
  <si>
    <t>https://www.youtube.com/watch?v=C-AklzjB96w</t>
  </si>
  <si>
    <t>Rajiv Malhotra: Who Defines Sacred and How to Experience It #4</t>
  </si>
  <si>
    <t>3:52</t>
  </si>
  <si>
    <t>https://www.youtube.com/watch?v=CLCX0mlWjw0</t>
  </si>
  <si>
    <t>How the Britishers Created Caste-based Fault Lines in India #5</t>
  </si>
  <si>
    <t>7:56</t>
  </si>
  <si>
    <t>https://www.youtube.com/watch?v=5XqO9FCH3Xk</t>
  </si>
  <si>
    <t>Rajiv Malhotra: The Book 'Battle for Sanskrit' &amp; what happened to the Sringeri Mutt Project #6</t>
  </si>
  <si>
    <t>5:49</t>
  </si>
  <si>
    <t>https://www.youtube.com/watch?v=4xWwhXcAjhU</t>
  </si>
  <si>
    <t>Analysis of Pollock's "Death of Sanskrit" thesis - 2 paper presentations</t>
  </si>
  <si>
    <t>1:03:17</t>
  </si>
  <si>
    <t>https://www.youtube.com/watch?v=KStzrk3h76o</t>
  </si>
  <si>
    <t>Rajiv Malhotra's comments and Q&amp;A on "Death of Sanskrit" Thesis</t>
  </si>
  <si>
    <t>36:04:00</t>
  </si>
  <si>
    <t>https://www.youtube.com/watch?v=udY03G3fVJQ</t>
  </si>
  <si>
    <t>Rajiv Malhotra: I will do the Purvapaksha &amp; Traditional Scholars Should do Uttarpaksa #7</t>
  </si>
  <si>
    <t>2:00</t>
  </si>
  <si>
    <t>https://www.youtube.com/watch?v=1UT4aCq24wA</t>
  </si>
  <si>
    <t>Rajiv Malhotra: Lack of Rigor in Indian Academia &amp; the Removal of Sacred from Sanskrit #9</t>
  </si>
  <si>
    <t>https://www.youtube.com/watch?v=JkMKDP2BOlw&amp;t=169s</t>
  </si>
  <si>
    <t>Pollock’s Position on Sastras - Surya K</t>
  </si>
  <si>
    <t>34:30:00</t>
  </si>
  <si>
    <t>https://www.youtube.com/watch?v=a6bj2Qddmzk</t>
  </si>
  <si>
    <t>Critique of Pollock's Position on The Science of Sastras - 2 Paper Presentations</t>
  </si>
  <si>
    <t>54:21:00</t>
  </si>
  <si>
    <t>https://www.youtube.com/watch?v=qEJJIhs02cI</t>
  </si>
  <si>
    <t>Prof. Ramanujan's comments and Q&amp;A on the two papers on science of Sastra</t>
  </si>
  <si>
    <t>26:35:00</t>
  </si>
  <si>
    <t>https://www.youtube.com/watch?v=v2dy-2T9kRE</t>
  </si>
  <si>
    <t>Misrepresentations in Pollock’s Sastra paper - 2 Paper Presentations</t>
  </si>
  <si>
    <t>55:01:00</t>
  </si>
  <si>
    <t>https://www.youtube.com/watch?v=REfOblHmn6Q</t>
  </si>
  <si>
    <t>Comments on two papers on misrepresentations in Pollock’s Sastra paper: Prof. VN Jha</t>
  </si>
  <si>
    <t>16:39</t>
  </si>
  <si>
    <t>https://www.youtube.com/watch?v=8Fyp5gw_HGc&amp;t=19s</t>
  </si>
  <si>
    <t>Rajiv Malhotra and others in discussion on Pollock's position on Sastras</t>
  </si>
  <si>
    <t>35:03:00</t>
  </si>
  <si>
    <t>https://www.youtube.com/watch?v=xl6nyKVDNCQ</t>
  </si>
  <si>
    <t>Rajiv Malhotra fb LIVE 11: Strategy of Infinity Foundation India &amp; How it will Transform India</t>
  </si>
  <si>
    <t>18:59</t>
  </si>
  <si>
    <t>https://www.youtube.com/watch?v=ll-fhgVbj1I</t>
  </si>
  <si>
    <t>Rajiv Malhotra: Importance of Sacredness in Indian Civilization #8</t>
  </si>
  <si>
    <t>9:24</t>
  </si>
  <si>
    <t>https://www.youtube.com/watch?v=1uNyxmccf1U</t>
  </si>
  <si>
    <t>Rajiv Malhotra's Unique Position to Critique Western Indology #1</t>
  </si>
  <si>
    <t>https://www.youtube.com/watch?v=NMCXHN1fW9k</t>
  </si>
  <si>
    <t>Rajiv Malhotra: What is Our Response to Murty Classical Library 500 Volume Project #3</t>
  </si>
  <si>
    <t>https://www.youtube.com/watch?v=NeCQOUox8zc</t>
  </si>
  <si>
    <t>Making Sanskrit Mainstream: Rajiv Malhotra's Vision #4</t>
  </si>
  <si>
    <t>2:04</t>
  </si>
  <si>
    <t>https://www.youtube.com/watch?v=3vhgcNKVRgY</t>
  </si>
  <si>
    <t>Rajiv Malhotra: How Devdutt Pattanaik is Facilitating Digestion by Turning Our Itihas into Myth #5</t>
  </si>
  <si>
    <t>https://www.youtube.com/watch?v=gPdm-EF13GU</t>
  </si>
  <si>
    <t>Prof Girish Nath Jha &amp; Rajiv Malhotra on the Decline of Sanskrit During Colonial Times #6</t>
  </si>
  <si>
    <t>https://www.youtube.com/watch?v=wYCmU0vaKvc</t>
  </si>
  <si>
    <t>Loss of Purvapaksha Tradition Led to The Decline of Indian Civilization #7</t>
  </si>
  <si>
    <t>https://www.youtube.com/watch?v=wu_ONpNjikY</t>
  </si>
  <si>
    <t>If Dravidianism can be debunked, AIT will become irrelevant by Rajiv Malhotra #8</t>
  </si>
  <si>
    <t>https://www.youtube.com/watch?v=6ufhk6JL8x8</t>
  </si>
  <si>
    <t>BFS Book Cover, "Sir William Jones &amp; The Pandits" #2</t>
  </si>
  <si>
    <t>1:56</t>
  </si>
  <si>
    <t>https://www.youtube.com/watch?v=S9RImbEoWYA</t>
  </si>
  <si>
    <t>Rajiv Malhotra Argues for Continually Updating the Purvapaksha Tradition #9</t>
  </si>
  <si>
    <t>https://www.youtube.com/watch?v=D7yIybTWmmU</t>
  </si>
  <si>
    <t>Prof Upender Rao: Evidence of Sanskrit Being Part of Popular Culture #11</t>
  </si>
  <si>
    <t>5:08</t>
  </si>
  <si>
    <t>https://www.youtube.com/watch?v=EfHkupTL5wU</t>
  </si>
  <si>
    <t>Prof Girish Jha Describes Research Applying Traditional Sanskrit Knowledge in Modern Science #12</t>
  </si>
  <si>
    <t>4:31</t>
  </si>
  <si>
    <t>https://www.youtube.com/watch?v=4pkD8CkJiIQ</t>
  </si>
  <si>
    <t>Negative Impact of Indian Billionaires Funding Western Universities #13</t>
  </si>
  <si>
    <t>4:59</t>
  </si>
  <si>
    <t>https://www.youtube.com/watch?v=uTyoGVNa7FA</t>
  </si>
  <si>
    <t>'Sanskritizing English' By Introducing Non-translatable words #14</t>
  </si>
  <si>
    <t>1:02</t>
  </si>
  <si>
    <t>https://www.youtube.com/watch?v=xkyySDtO5HU</t>
  </si>
  <si>
    <t>Prof Koenraad Elst &amp; Prof Girish Jha on the alleged North &amp; South Language Divide in India #15</t>
  </si>
  <si>
    <t>https://www.youtube.com/watch?v=VkyOIj4SQu4</t>
  </si>
  <si>
    <t>Rajiv Malhotra on the origin of Sanskrit and Vedas #10</t>
  </si>
  <si>
    <t>https://www.youtube.com/watch?v=GCo89ggyUKw</t>
  </si>
  <si>
    <t>Critiquing Pollock’s out of context reading of the Ramayana - 2 Paper Presentations</t>
  </si>
  <si>
    <t>45:48:00</t>
  </si>
  <si>
    <t>4.8K</t>
  </si>
  <si>
    <t>https://www.youtube.com/watch?v=vOOkxcKaZEo</t>
  </si>
  <si>
    <t>Pollock’s out of context reading of the Ramayana - Comments and Q&amp;A on the papers</t>
  </si>
  <si>
    <t>28:25:00</t>
  </si>
  <si>
    <t>https://www.youtube.com/watch?v=aRzq_l_Rmcc</t>
  </si>
  <si>
    <t>Comments on the two papers - Nityananda Misra</t>
  </si>
  <si>
    <t>7:26</t>
  </si>
  <si>
    <t>https://www.youtube.com/watch?v=iZ6Xk9YCaaY</t>
  </si>
  <si>
    <t>A Purvapaksha of Deep Orientalism - Ashay Naik</t>
  </si>
  <si>
    <t>24:35:00</t>
  </si>
  <si>
    <t>https://www.youtube.com/watch?v=ozdJ_kTaZcc</t>
  </si>
  <si>
    <t>History of Indology and Nazi ideology - Prof. K. Gopinath</t>
  </si>
  <si>
    <t>22:59</t>
  </si>
  <si>
    <t>https://www.youtube.com/watch?v=Q7TqlnXF3cA</t>
  </si>
  <si>
    <t>Sheldon Pollock's Idea of a Nazi Indology - Dr. Koenraad Elst</t>
  </si>
  <si>
    <t>25:58:00</t>
  </si>
  <si>
    <t>https://www.youtube.com/watch?v=_nyKGkDh6WM</t>
  </si>
  <si>
    <t>Theme- Sanskrit was Responsible for Holocaust- Comments and Q&amp;A</t>
  </si>
  <si>
    <t>https://www.youtube.com/watch?v=log0y9fRklc</t>
  </si>
  <si>
    <t>How to Interpret the US Presidential Elections 2016 in terms of the Myth of American Exceptionalism</t>
  </si>
  <si>
    <t>26:10:00</t>
  </si>
  <si>
    <t>https://www.youtube.com/watch?v=74BW9K7eGtY&amp;t=21s</t>
  </si>
  <si>
    <t>The New MOHENJO DARO Movie, What is True &amp; False About Its Depictions of History</t>
  </si>
  <si>
    <t>29:56:00</t>
  </si>
  <si>
    <t>25K</t>
  </si>
  <si>
    <t>https://www.youtube.com/watch?v=gzOZ5Lo3n9Y</t>
  </si>
  <si>
    <t>JNU Sociology Professors are Effectively Studying "The White Man's Grandmother" #10</t>
  </si>
  <si>
    <t>3:19</t>
  </si>
  <si>
    <t>https://www.youtube.com/watch?v=2yRygpW0RYY</t>
  </si>
  <si>
    <t>On Pollockism- Purvapaksha on Pollock's Methodologies: Sati Shankar</t>
  </si>
  <si>
    <t>29:09:00</t>
  </si>
  <si>
    <t>https://www.youtube.com/watch?v=Y3j3g76ggFE</t>
  </si>
  <si>
    <t>On Pollockism paper_Comments and Q and A</t>
  </si>
  <si>
    <t>29:32:00</t>
  </si>
  <si>
    <t>https://www.youtube.com/watch?v=bMOOUhzJreA</t>
  </si>
  <si>
    <t>"Sanskrit is dead and its okay" - Naresh Cuntoor</t>
  </si>
  <si>
    <t>33:02:00</t>
  </si>
  <si>
    <t>https://www.youtube.com/watch?v=WzACbsbv3Mc</t>
  </si>
  <si>
    <t>Vedic Knowledge, Science &amp; Pollockian Indology - Prof. Ravi Gomatam</t>
  </si>
  <si>
    <t>40:18:00</t>
  </si>
  <si>
    <t>https://www.youtube.com/watch?v=0W0XxcsCH_0</t>
  </si>
  <si>
    <t>Dr. Koenraad Elst's Comments on Indic Viewpoints to Refute Pollock's positions</t>
  </si>
  <si>
    <t>https://www.youtube.com/watch?v=a30EnICYBUA</t>
  </si>
  <si>
    <t>Panel Discussion on Murty Classical Library - Part 1</t>
  </si>
  <si>
    <t>31:02:00</t>
  </si>
  <si>
    <t>https://www.youtube.com/watch?v=Wr_CIMPuH3I</t>
  </si>
  <si>
    <t>Panel Discussion on Murty Classical Library - Part 2</t>
  </si>
  <si>
    <t>30:43:00</t>
  </si>
  <si>
    <t>https://www.youtube.com/watch?v=w1panKQ58dU</t>
  </si>
  <si>
    <t>New TV Serial on Aryan/Dravidian Conflict is Incorrect &amp; Politically Dangerous</t>
  </si>
  <si>
    <t>12:10</t>
  </si>
  <si>
    <t>https://www.youtube.com/watch?v=N20dY0-9Nio</t>
  </si>
  <si>
    <t>Sense Philology - TM Narendran</t>
  </si>
  <si>
    <t>50:04:00</t>
  </si>
  <si>
    <t>https://www.youtube.com/watch?v=mxQpJeckKaU</t>
  </si>
  <si>
    <t>Orientalist &amp; Post Colonial Basis of Indology - Ravi Joshi</t>
  </si>
  <si>
    <t>https://www.youtube.com/watch?v=3dgPn1KOovw</t>
  </si>
  <si>
    <t>Recent Political Attacks in Hawaii Against Hinduism —Christianity's Violent Conquest of Pagans #15</t>
  </si>
  <si>
    <t>14:44</t>
  </si>
  <si>
    <t>https://www.youtube.com/watch?v=Aivw6qVhabo</t>
  </si>
  <si>
    <t>Contrast the Attitude of Abrahamic Religions &amp; Sanatan Dharma Towards Peace #3</t>
  </si>
  <si>
    <t>https://www.youtube.com/watch?v=av1BWeMbl1Q</t>
  </si>
  <si>
    <t>Rajiv Malhotra Discusses Strategy for Kumbh Mela with Head of Akhada Parishad</t>
  </si>
  <si>
    <t>19:34</t>
  </si>
  <si>
    <t>https://www.youtube.com/watch?v=dLQSHM_T-jI</t>
  </si>
  <si>
    <t>Hindu Dharma Shastras Accused of Human Rights Violation Against Women &amp; Dalits #4</t>
  </si>
  <si>
    <t>8:28</t>
  </si>
  <si>
    <t>https://www.youtube.com/watch?v=joPLKP546hk</t>
  </si>
  <si>
    <t>Are The Vedic Texts Not Powerful Enough To Convince Anybody Who Reads it: Rajiv Malhotra #6</t>
  </si>
  <si>
    <t>5:41</t>
  </si>
  <si>
    <t>https://www.youtube.com/watch?v=0ol6BUtHZu8</t>
  </si>
  <si>
    <t>Do Our sacred Scriptures Praise War &amp; Violence: Rajiv Malhotra #8</t>
  </si>
  <si>
    <t>https://www.youtube.com/watch?v=N1wkN3CKqHY</t>
  </si>
  <si>
    <t>Rajiv Malhotra Interviews Yogi Amrit Desai - Part 1</t>
  </si>
  <si>
    <t>20:16</t>
  </si>
  <si>
    <t>https://www.youtube.com/watch?v=Zr29r9gnq6A</t>
  </si>
  <si>
    <t>Rajiv Malhotra &amp; Dr Subramanian Swamy in a Vibrant LIVE Broadcast on Strategic Issues #16</t>
  </si>
  <si>
    <t>57:05:00</t>
  </si>
  <si>
    <t>62K</t>
  </si>
  <si>
    <t>https://www.youtube.com/watch?v=eVhJjqlSE8s</t>
  </si>
  <si>
    <t>How to Counter Devdutt Pattanaik's Absurd Interpretations of Hinduism: Rajiv Malhotra #5</t>
  </si>
  <si>
    <t>2:47</t>
  </si>
  <si>
    <t>https://www.youtube.com/watch?v=R6bvpvI1_uY</t>
  </si>
  <si>
    <t>Yogi Amrit Desai's Hatha Yoga is Integrated Into Ashtanga Yoga: Rajiv Part 2</t>
  </si>
  <si>
    <t>27:08:00</t>
  </si>
  <si>
    <t>https://www.youtube.com/watch?v=WtWOT6Hj2vM</t>
  </si>
  <si>
    <t>Controversies on Yoga's Appropriation &amp; Mis-appropriation by Westerners: Yogi Amrit Desai Part 3</t>
  </si>
  <si>
    <t>34:43:00</t>
  </si>
  <si>
    <t>https://www.youtube.com/watch?v=3dYP3FhD3Po</t>
  </si>
  <si>
    <t>How Yoga Helps Americans Solve Problems Like Addiction: Rajiv Interviews Yogi Amrit Desai Part 4</t>
  </si>
  <si>
    <t>16:27</t>
  </si>
  <si>
    <t>https://www.youtube.com/watch?v=FgVpxhtCQdA</t>
  </si>
  <si>
    <t>Rajiv Malhotra with Yogi Amrit Desai: FULL Interview</t>
  </si>
  <si>
    <t>1:37:44</t>
  </si>
  <si>
    <t>https://www.youtube.com/watch?v=07rLdtPRbEE</t>
  </si>
  <si>
    <t>In Conversation with Swami Nithyananda: July 2016</t>
  </si>
  <si>
    <t>1:00:02</t>
  </si>
  <si>
    <t>https://www.youtube.com/watch?v=n0Ekb7yhf18</t>
  </si>
  <si>
    <t>Can Living Guru be Replaced by Technology? Rajiv's Dialogue with Yogi Amrit Desai - Part 5</t>
  </si>
  <si>
    <t>https://www.youtube.com/watch?v=Pe53dUS_mHE</t>
  </si>
  <si>
    <t>Society Must Be Detoxed By Force &amp; Intervention. Rajiv's Dialogue with Yogi Amrit Desai - Part 6</t>
  </si>
  <si>
    <t>9:16</t>
  </si>
  <si>
    <t>https://www.youtube.com/watch?v=fZLoHeGF4XI</t>
  </si>
  <si>
    <t>Q&amp;A Rajiv Malhotra at Chinmaya Mission, DC</t>
  </si>
  <si>
    <t>1:03:22</t>
  </si>
  <si>
    <t>https://www.youtube.com/watch?v=NaCx35vC5wg</t>
  </si>
  <si>
    <t>JNU Plenary 2016: Assimilation of Tradition &amp; Modernity, Talk by Rajiv Malhotra</t>
  </si>
  <si>
    <t>16:04</t>
  </si>
  <si>
    <t>https://www.youtube.com/watch?v=8M2LUwJGwHw</t>
  </si>
  <si>
    <t>Rajiv Malhotra Addresses Common Misconceptions Regarding Various Darshanas in Sanatan Dharma #1</t>
  </si>
  <si>
    <t>24:32:00</t>
  </si>
  <si>
    <t>https://www.youtube.com/watch?v=4VaCcFKHkSY</t>
  </si>
  <si>
    <t>Q&amp;A Hinduism vs Pagan Religions; Caste Divides; Open Architecture of Dharmic Traditions #2</t>
  </si>
  <si>
    <t>https://www.youtube.com/watch?v=udkwSpjJnGk</t>
  </si>
  <si>
    <t>Rajiv Malhotra's Call To Action For Correcting The Discourse On Hinduism &amp; Hindu Organizations. #3</t>
  </si>
  <si>
    <t>10:07</t>
  </si>
  <si>
    <t>https://www.youtube.com/watch?v=Z8Wd8i754cU</t>
  </si>
  <si>
    <t>Misappropriation of Ancient Indian Ideas by The West; Value of Sanskrit; Aryan Dravidian Divide #4</t>
  </si>
  <si>
    <t>14:11</t>
  </si>
  <si>
    <t>https://www.youtube.com/watch?v=tlCqUXsDwDc</t>
  </si>
  <si>
    <t>Western Collective Ego Remains Even After Individual Ego Is Surrendered: Rajiv with Amrit Desai #7</t>
  </si>
  <si>
    <t>https://www.youtube.com/watch?v=aEAK6N982oQ</t>
  </si>
  <si>
    <t>Deception &amp; Multigenerational Inculturation Strategy of the Church to Convert Hindus</t>
  </si>
  <si>
    <t>5:03</t>
  </si>
  <si>
    <t>https://www.youtube.com/watch?v=aBwX_u__31I</t>
  </si>
  <si>
    <t>History &amp; Contributions of the Jiva Goswami Tradition: Dialogue with Dr Satyanarayana Dasa #1</t>
  </si>
  <si>
    <t>1:05:02</t>
  </si>
  <si>
    <t>https://www.youtube.com/watch?v=i24adZlRCZk</t>
  </si>
  <si>
    <t>Can Dharmic &amp; Abrahamic Traditions be Reconciled? Rajiv in Dialogue with Dr Satyanarayana Dasa #2</t>
  </si>
  <si>
    <t>22:36</t>
  </si>
  <si>
    <t>3.4K</t>
  </si>
  <si>
    <t>https://www.youtube.com/watch?v=KYhdz2LiDLA</t>
  </si>
  <si>
    <t>American Myth Undergoing Latest Crisis, Needs Dharmic Missionaries. Rajiv with Yogi Amrit Desai #8</t>
  </si>
  <si>
    <t>24:07:00</t>
  </si>
  <si>
    <t>https://www.youtube.com/watch?v=BKG8mWyOvuw</t>
  </si>
  <si>
    <t>Indian Spiritual Traditions Demand Discipline, Rigor &amp; Integrity: Dr Satyanarayana Dasa #3</t>
  </si>
  <si>
    <t>49:28:00</t>
  </si>
  <si>
    <t>https://www.youtube.com/watch?v=bGDeGR7DrFw</t>
  </si>
  <si>
    <t>How Gurus Must Prevent Collective U-Turns of Western Students. Rajiv's Dialogue with Yogi Amrit #9</t>
  </si>
  <si>
    <t>9:19</t>
  </si>
  <si>
    <t>https://www.youtube.com/watch?v=BsEY7XJTv70</t>
  </si>
  <si>
    <t>Provocative Speculation: Are Many Hindus Unfit for Hinduism? Rajiv with Dr Satyanarayana Dasa #4</t>
  </si>
  <si>
    <t>https://www.youtube.com/watch?v=Kfvmj7QyAfQ</t>
  </si>
  <si>
    <t>In Conversation with Francois Gautier</t>
  </si>
  <si>
    <t>40:59:00</t>
  </si>
  <si>
    <t>10 months ago</t>
  </si>
  <si>
    <t>https://www.youtube.com/watch?v=C6XbkLOcyVs</t>
  </si>
  <si>
    <t>Dharma and Well-being, New Jersey 2016</t>
  </si>
  <si>
    <t>19:08</t>
  </si>
  <si>
    <t>https://www.youtube.com/watch?v=ANDhhofT1w0</t>
  </si>
  <si>
    <t>Keynote at DCF Fundraiser in Los Angeles, 2016</t>
  </si>
  <si>
    <t>31:33:00</t>
  </si>
  <si>
    <t>https://www.youtube.com/watch?v=qiir-ZWT6yI</t>
  </si>
  <si>
    <t>What are the chances that Liberal Muslims will call for a Reformation of Islam: Rajiv Malhotra</t>
  </si>
  <si>
    <t>https://www.youtube.com/watch?v=wEalKzas5Ig</t>
  </si>
  <si>
    <t>FACEBOOK HQ: Vedic Consciousness &amp; it's Relation to Modern Technology</t>
  </si>
  <si>
    <t>6.5K</t>
  </si>
  <si>
    <t>https://www.youtube.com/watch?v=6PUBS8MXVzc</t>
  </si>
  <si>
    <t>Academic Hinduphobia Book Launch, by Dr Subramanian Swamy</t>
  </si>
  <si>
    <t>1:05:26</t>
  </si>
  <si>
    <t>https://www.youtube.com/watch?v=HmKETjjGv0E</t>
  </si>
  <si>
    <t>Hinduphobia of The Indian Left is a Combination of Many Factors: Rajiv Malhotra #5</t>
  </si>
  <si>
    <t>https://www.youtube.com/watch?v=vTz9mFEgYQU</t>
  </si>
  <si>
    <t>Can We Use Guna System To Classify Western Indologists: Rajiv Malhotra #2</t>
  </si>
  <si>
    <t>5:34</t>
  </si>
  <si>
    <t>https://www.youtube.com/watch?v=B1KtIwSP4_U</t>
  </si>
  <si>
    <t>Intellectual &amp; Emotional Kshatriyas, Both Can Help Dharma &amp; India: Rajiv Malhotra #6</t>
  </si>
  <si>
    <t>https://www.youtube.com/watch?v=nUfn2eRsHgo</t>
  </si>
  <si>
    <t>Western Study of Sanskrit Misstates Our Sanskriti &amp; Conceals Facts: Rajiv Malhotra #7</t>
  </si>
  <si>
    <t>https://www.youtube.com/watch?v=sGXLoCpynsU</t>
  </si>
  <si>
    <t>Insiders Vs Outsiders — Who should have ‘Adhikara’ as Experts on Sanskrit: Rajiv Malhotra #3</t>
  </si>
  <si>
    <t>https://www.youtube.com/watch?v=Nattb-ZPK4g</t>
  </si>
  <si>
    <t>I am trying to Provoke the 'Insiders' to Protect our Sanskriti: Rajiv Malhotra #4</t>
  </si>
  <si>
    <t>https://www.youtube.com/watch?v=EfQbirNpLM8</t>
  </si>
  <si>
    <t>Murty Classical Library Translations Not Reviewed by Traditional Sanskrit Scholars' Panel #1</t>
  </si>
  <si>
    <t>https://www.youtube.com/watch?v=zNgyoAjVDhk</t>
  </si>
  <si>
    <t>Don't Be Deceived by Western Culture which is Celebrated by Media: Rajiv Malhotra #8</t>
  </si>
  <si>
    <t>https://www.youtube.com/watch?v=6WJO3QlTEpg</t>
  </si>
  <si>
    <t>Lack of Support for Rigorous Indology Research Such as that by Shrikant Talageri: Rajiv Malhotra #9</t>
  </si>
  <si>
    <t>4:12</t>
  </si>
  <si>
    <t>https://www.youtube.com/watch?v=9qgkONu6nbk</t>
  </si>
  <si>
    <t>Knowing Hindu History: Rajiv Malhotra FULL Lecture, Duke University USA</t>
  </si>
  <si>
    <t>1:39:25</t>
  </si>
  <si>
    <t>https://www.youtube.com/watch?v=k8zAYJDE01E</t>
  </si>
  <si>
    <t>Genocide &amp; Slavery Were Foundations of the so called 'Modernity Era' of Europe &amp; USA #10</t>
  </si>
  <si>
    <t>5:28</t>
  </si>
  <si>
    <t>https://www.youtube.com/watch?v=Qh0tc43apsI</t>
  </si>
  <si>
    <t>Hindu Contributions in the Cognitive Sciences: Rajiv at Duke University #1</t>
  </si>
  <si>
    <t>5:21</t>
  </si>
  <si>
    <t>9 months ago</t>
  </si>
  <si>
    <t>https://www.youtube.com/watch?v=B3K5KRgT0oE</t>
  </si>
  <si>
    <t>Sanskrit is Foundation of Linguistics &amp; Computation: Rajiv at Duke University #2</t>
  </si>
  <si>
    <t>4:00</t>
  </si>
  <si>
    <t>https://www.youtube.com/watch?v=MqvZxu1TaSQ</t>
  </si>
  <si>
    <t>Digestion and the Doctrine of Christian Discovery #3</t>
  </si>
  <si>
    <t>5:22</t>
  </si>
  <si>
    <t>https://www.youtube.com/watch?v=SmB_GUlrfzk</t>
  </si>
  <si>
    <t>Hindu Society was Not Otherworldly; India has been an Important Part of World History #4</t>
  </si>
  <si>
    <t>15:41</t>
  </si>
  <si>
    <t>https://www.youtube.com/watch?v=YtD-Ro9OJRQ</t>
  </si>
  <si>
    <t>In Conversation with Sri Sri Ravi Shankar</t>
  </si>
  <si>
    <t>18:38</t>
  </si>
  <si>
    <t>https://www.youtube.com/watch?v=m1RnPcyk_e0</t>
  </si>
  <si>
    <t>In Conversation with Dr. Nagaswamy, Eminent Archaeologist &amp; Scholar #23</t>
  </si>
  <si>
    <t>43:03:00</t>
  </si>
  <si>
    <t>https://www.youtube.com/watch?v=MFeGLeUGf6Q</t>
  </si>
  <si>
    <t>Current State of De-colonizing is Incomplete - Lokmanthan 2016, Bhopal</t>
  </si>
  <si>
    <t>24:59:00</t>
  </si>
  <si>
    <t>https://www.youtube.com/watch?v=ZkrWcJXqbGA</t>
  </si>
  <si>
    <t>Historical Evidence: Hindu Tradition Is Progressive, Not Regressive #6</t>
  </si>
  <si>
    <t>7:06</t>
  </si>
  <si>
    <t>https://www.youtube.com/watch?v=ZoDHsv06lNI</t>
  </si>
  <si>
    <t>Sanskrit &amp; Sanskriti Are Being Secularized and their History Being Falsified #11</t>
  </si>
  <si>
    <t>5:43</t>
  </si>
  <si>
    <t>https://www.youtube.com/watch?v=j53ZVDx4pYc</t>
  </si>
  <si>
    <t>In Medieval Times Arabs Embraced Indian Science &amp; Spread it to Europe #5</t>
  </si>
  <si>
    <t>https://www.youtube.com/watch?v=ZI3BJk08OWI</t>
  </si>
  <si>
    <t>Spanish Queen was a "Venture Capitalist" who Funded Columbus to Find a New Sea Route to India #7</t>
  </si>
  <si>
    <t>2:34</t>
  </si>
  <si>
    <t>https://www.youtube.com/watch?v=84agoVdaycE</t>
  </si>
  <si>
    <t>Why Digestion Is the Greatest Threat to Hinduism: Rajiv at Duke University #8</t>
  </si>
  <si>
    <t>8:08</t>
  </si>
  <si>
    <t>https://www.youtube.com/watch?v=sLe31yV0Fb4</t>
  </si>
  <si>
    <t>Is There Any Practical Utility of Sanskrit? #1</t>
  </si>
  <si>
    <t>2:51</t>
  </si>
  <si>
    <t>https://www.youtube.com/watch?v=0gtyqapBB3A</t>
  </si>
  <si>
    <t>Reviving the Vedic Learning Methods in Children: Rajiv Malhotra #3</t>
  </si>
  <si>
    <t>5:40</t>
  </si>
  <si>
    <t>https://www.youtube.com/watch?v=EKyX0QsZVJc</t>
  </si>
  <si>
    <t>Vernacular Languages in India Played a Hyphenated Role Along Side With Sanskrit #4</t>
  </si>
  <si>
    <t>https://www.youtube.com/watch?v=DrTFGS7SoCg</t>
  </si>
  <si>
    <t>Sufism is a "Soft" Conversion to Islam: Rajiv Malhotra #5</t>
  </si>
  <si>
    <t>https://www.youtube.com/watch?v=J2Z6w1bXfYc</t>
  </si>
  <si>
    <t>The Fight Is With Charvakas 2.0, Not with Buddhism or Other Dharmic Traditions #6</t>
  </si>
  <si>
    <t>https://www.youtube.com/watch?v=1jVMegap8Ws</t>
  </si>
  <si>
    <t>Samskrita Bharati Teaches Sanskrit by Immersion, Not by Grammar: Rajiv Malhotra #8</t>
  </si>
  <si>
    <t>2:52</t>
  </si>
  <si>
    <t>https://www.youtube.com/watch?v=4W3kmjNG_K8</t>
  </si>
  <si>
    <t>In Conversation With General GD Bakshi</t>
  </si>
  <si>
    <t>56:01:00</t>
  </si>
  <si>
    <t>32K</t>
  </si>
  <si>
    <t>https://www.youtube.com/watch?v=8usGAaPq-WY</t>
  </si>
  <si>
    <t>Response to a Young Post Modernist by Rajiv Malhotra</t>
  </si>
  <si>
    <t>https://www.youtube.com/watch?v=RfiT3REVHxQ</t>
  </si>
  <si>
    <t>Influences of Vedic Tradition on Accelerated Educational Systems like Montessori and Waldorf #9</t>
  </si>
  <si>
    <t>https://www.youtube.com/watch?v=r0tSX3M-7oM&amp;t=41s</t>
  </si>
  <si>
    <t>Times LitFest Delhi: How Will India Deal with President Trump</t>
  </si>
  <si>
    <t>1:02:49</t>
  </si>
  <si>
    <t>8.2K</t>
  </si>
  <si>
    <t>https://www.youtube.com/watch?v=9hi4MG3BU0Y</t>
  </si>
  <si>
    <t>Deep Malaise Of Aspirational Whiteness in India: Rajiv at Duke Univ #10</t>
  </si>
  <si>
    <t>4:44</t>
  </si>
  <si>
    <t>https://www.youtube.com/watch?v=uiJHx80DJcw</t>
  </si>
  <si>
    <t>What is Hindutva: Rajiv at Duke University #11</t>
  </si>
  <si>
    <t>5:01</t>
  </si>
  <si>
    <t>https://www.youtube.com/watch?v=XWeFa6jUiPw</t>
  </si>
  <si>
    <t>Talk on Swadeshi Indology at IGNCA, New Delhi</t>
  </si>
  <si>
    <t>1:12:04</t>
  </si>
  <si>
    <t>https://www.youtube.com/watch?v=Y5sHrOViVq0</t>
  </si>
  <si>
    <t>In Conversation with Dr. Sonal Mansingh</t>
  </si>
  <si>
    <t>55:54:00</t>
  </si>
  <si>
    <t>8.9K</t>
  </si>
  <si>
    <t>8 months ago</t>
  </si>
  <si>
    <t>https://www.youtube.com/watch?v=SNAHZpRl3go</t>
  </si>
  <si>
    <t>A Discussion with Nithyananda: on God vs. Sadashiva, Why Wear Gold, Attacks against Hinduism &amp; More</t>
  </si>
  <si>
    <t>2:50:51</t>
  </si>
  <si>
    <t>72K</t>
  </si>
  <si>
    <t>https://www.youtube.com/watch?v=kDDNkLWPpUc</t>
  </si>
  <si>
    <t>Dialogue with Prof R Vaidyanathan, IIM Bangalore - Caste System</t>
  </si>
  <si>
    <t>47:06:00</t>
  </si>
  <si>
    <t>https://www.youtube.com/watch?v=Vrv16kSoTLQ</t>
  </si>
  <si>
    <t>Aagamas are As Central to Hinduism As Vedas #1</t>
  </si>
  <si>
    <t>5:27</t>
  </si>
  <si>
    <t>https://www.youtube.com/watch?v=1k_PbRxkEqo</t>
  </si>
  <si>
    <t>Acārya Abhinavagupta Initiated Adi Shankaracharya Into Aagamas #2</t>
  </si>
  <si>
    <t>0:54</t>
  </si>
  <si>
    <t>https://www.youtube.com/watch?v=JZ7LHVZfMwM</t>
  </si>
  <si>
    <t>Are Neo Vedantins Justified in Demeaning Rituals #3</t>
  </si>
  <si>
    <t>https://www.youtube.com/watch?v=-pTe3fDFF7U</t>
  </si>
  <si>
    <t>Aagamas Not Separate Set of Scriptures but Part of Vedas, Correct Nomenclature is "Vedaagamas" #4</t>
  </si>
  <si>
    <t>https://www.youtube.com/watch?v=HzuZ57Y3-VQ</t>
  </si>
  <si>
    <t>Atma Pramana Alone Does Not Confer the Adhikara to Impart Teachings of Sanatana Hindu Dharma #5</t>
  </si>
  <si>
    <t>7:39</t>
  </si>
  <si>
    <t>https://www.youtube.com/watch?v=b96t52xbmO8</t>
  </si>
  <si>
    <t>Dialogue with Dr. HR Nagendra, President VYASA, Bangalore</t>
  </si>
  <si>
    <t>1:22:09</t>
  </si>
  <si>
    <t>https://www.youtube.com/watch?v=6M1Mp5tvk-E</t>
  </si>
  <si>
    <t>Translating Hindu Itihasa to "Myth" Demeans &amp; Undermines Hindu Culture #6</t>
  </si>
  <si>
    <t>1:12</t>
  </si>
  <si>
    <t>https://www.youtube.com/watch?v=LAZPY_rTJLU</t>
  </si>
  <si>
    <t>Bangalore Literature Festival 2016 - India Reclaiming Our Civilization's Heritage</t>
  </si>
  <si>
    <t>1:00:47</t>
  </si>
  <si>
    <t>7.1K</t>
  </si>
  <si>
    <t>https://www.youtube.com/watch?v=13shkRG4RMc</t>
  </si>
  <si>
    <t>The Tree of Yoga is Rooted in Sanatana Hindu Dharma #7</t>
  </si>
  <si>
    <t>1:51</t>
  </si>
  <si>
    <t>https://www.youtube.com/watch?v=lnII4AH2rHw</t>
  </si>
  <si>
    <t>Why Outsiders Like Pollock &amp; Doniger DO NOT Have Adhikara To Translate Hindu Shastra #8</t>
  </si>
  <si>
    <t>3:02</t>
  </si>
  <si>
    <t>https://www.youtube.com/watch?v=az7GJp1YAXw</t>
  </si>
  <si>
    <t>Swami Nithyananda's Vision of a Theme Park Which Will Be a 'Living Presentation' of Vedic Culture #9</t>
  </si>
  <si>
    <t>https://www.youtube.com/watch?v=_zmgXM40afU</t>
  </si>
  <si>
    <t>Angkor Wat Was Built As a Mandala For The Whole Hindu Civilization #10</t>
  </si>
  <si>
    <t>https://www.youtube.com/watch?v=IS6hRiM7WuU</t>
  </si>
  <si>
    <t>Banning of Puja &amp; Rituals Shows ASI's Disregard for Sacredness In Indian Culture #11</t>
  </si>
  <si>
    <t>https://www.youtube.com/watch?v=-c4KLljIDeo</t>
  </si>
  <si>
    <t>Flaws in the Chronology of Western Indologists #12</t>
  </si>
  <si>
    <t>2:01</t>
  </si>
  <si>
    <t>https://www.youtube.com/watch?v=6KN0GnYv6xQ</t>
  </si>
  <si>
    <t>Lack of Shastra Vidya Contributed to the Decline of Pagan Civilizations #13</t>
  </si>
  <si>
    <t>https://www.youtube.com/watch?v=GP0JLpTLOWU</t>
  </si>
  <si>
    <t>Distinction Between a Living Guru and a Deity #14</t>
  </si>
  <si>
    <t>1:39</t>
  </si>
  <si>
    <t>https://www.youtube.com/watch?v=OdRuRzl5pwg</t>
  </si>
  <si>
    <t>Existence of Shiv Avatar Hanuman in Vaishnav Text of Ramayana is Not a Paradox #15</t>
  </si>
  <si>
    <t>https://www.youtube.com/watch?v=ImpfhngYCCA</t>
  </si>
  <si>
    <t>In Conversation with Shri Chamu Krishna Shastry</t>
  </si>
  <si>
    <t>32:29:00</t>
  </si>
  <si>
    <t>https://www.youtube.com/watch?v=p08RUDejFXs</t>
  </si>
  <si>
    <t>God Particle, Shaktinipat (Quantum Entanglement), Divinity in Matter #17</t>
  </si>
  <si>
    <t>https://www.youtube.com/watch?v=NpCmOPhka6g</t>
  </si>
  <si>
    <t>Difference Between the Spiritual Process of Siddhis and Shaktis #18</t>
  </si>
  <si>
    <t>https://www.youtube.com/watch?v=Iz3TO-dXkSI</t>
  </si>
  <si>
    <t>Journalists are the Furthest Away from Truth and Spirituality #19</t>
  </si>
  <si>
    <t>0:46</t>
  </si>
  <si>
    <t>https://www.youtube.com/watch?v=5Qbkf3waru8</t>
  </si>
  <si>
    <t>Shaktinipat is Beyond the Physics of Space and Time #20</t>
  </si>
  <si>
    <t>https://www.youtube.com/watch?v=0cvq3rbQ7Dw</t>
  </si>
  <si>
    <t>Can Machines Transmit Shakti? #21</t>
  </si>
  <si>
    <t>https://www.youtube.com/watch?v=69M5XJQEYX4</t>
  </si>
  <si>
    <t>"I am Spiritual But Not Religious", Makes NO Sense if a Hindu Says This #22</t>
  </si>
  <si>
    <t>https://www.youtube.com/watch?v=Yb0AWtlb8-g</t>
  </si>
  <si>
    <t>Donations to a Hindu Temple Should Legally be Owned by the Deity ResidingThere. #23</t>
  </si>
  <si>
    <t>https://www.youtube.com/watch?v=1Gop0_4D5pE</t>
  </si>
  <si>
    <t>Swami Nityananda on the "Collective Evolution" Theory of Sri Aurobindo #26</t>
  </si>
  <si>
    <t>1:46</t>
  </si>
  <si>
    <t>https://www.youtube.com/watch?v=-pDxEjRprYM</t>
  </si>
  <si>
    <t>Bionic Humans &amp; Evolution of Consciousness #25</t>
  </si>
  <si>
    <t>https://www.youtube.com/watch?v=1P_XO3xfTCs</t>
  </si>
  <si>
    <t>A Hindu Perspective on the Ethics of GMO, Human Organs Farming, and The Karmic Imprint #24</t>
  </si>
  <si>
    <t>6:07</t>
  </si>
  <si>
    <t>https://www.youtube.com/watch?v=Voaw-uef3Tw</t>
  </si>
  <si>
    <t>Hindu Perspective on Mercy Killing/Euthanasia #16</t>
  </si>
  <si>
    <t>https://www.youtube.com/watch?v=F2WG7neA31s</t>
  </si>
  <si>
    <t>Rajiv's Open Challenge to Neuro-Scientists— "Rishis Do Exist" #27</t>
  </si>
  <si>
    <t>https://www.youtube.com/watch?v=n5lHU4Qyfbk</t>
  </si>
  <si>
    <t>Do Miracle Healings Given by Yogis Hack the Karma Cycle #28</t>
  </si>
  <si>
    <t>https://www.youtube.com/watch?v=mcxquOK_mY8</t>
  </si>
  <si>
    <t>Breaking India: The Strategic Ploy Against Hinduism by Churches, Academics and More</t>
  </si>
  <si>
    <t>2:46</t>
  </si>
  <si>
    <t>https://www.youtube.com/watch?v=9FgUTz996bs</t>
  </si>
  <si>
    <t>Continuing the Guru Parampara: Swami Nithyananda Shares His Mission of Gratitude and Integrity #30</t>
  </si>
  <si>
    <t>1:10</t>
  </si>
  <si>
    <t>https://www.youtube.com/watch?v=DVcN5QXGA_w</t>
  </si>
  <si>
    <t>Be the Heir to Your Own Fortune: Can Billionaires Bank on Financial Security in the Next Life? #29</t>
  </si>
  <si>
    <t>5:55</t>
  </si>
  <si>
    <t>https://www.youtube.com/watch?v=_D2sWZSHDqg&amp;t=834s</t>
  </si>
  <si>
    <t>Interview with a Neo-Jewish Pseudo-Hindu on Hinduized Judaism, Tantric Kabbala, &amp; More</t>
  </si>
  <si>
    <t>2:12:33</t>
  </si>
  <si>
    <t>https://www.youtube.com/watch?v=7-JbRtATwHQ</t>
  </si>
  <si>
    <t>Being Different: Decolonizing Ourselves by Reversing the Indian Gaze Back at the West</t>
  </si>
  <si>
    <t>https://www.youtube.com/watch?v=N6IDjOR1OY0</t>
  </si>
  <si>
    <t>Indra's Net: Exposing the Western Academics who Attack Hinduism and Challenging their Claims</t>
  </si>
  <si>
    <t>7 months ago</t>
  </si>
  <si>
    <t>https://www.youtube.com/watch?v=mScbp58xwJE</t>
  </si>
  <si>
    <t>Hindu Gurus Accepting Max Mullerian Translations is the Biggest Disadvantage Done to Hinduism #31</t>
  </si>
  <si>
    <t>https://www.youtube.com/watch?v=eQBirhrwc3E</t>
  </si>
  <si>
    <t>Taking the Experience then Dropping the Guru: Why a Jewish Seeker Came &amp; then Left Hinduism</t>
  </si>
  <si>
    <t>18:36</t>
  </si>
  <si>
    <t>https://www.youtube.com/watch?v=qzXGb7RIXmc</t>
  </si>
  <si>
    <t>Why does Swamiji wear so much Gold Jewellery? The reason Gold became precious. #32</t>
  </si>
  <si>
    <t>5:46</t>
  </si>
  <si>
    <t>https://www.youtube.com/watch?v=JjtvU2xQpaQ</t>
  </si>
  <si>
    <t>The Battle for Sanskrit: Setting the Record Straight on our Ancient but Living Language</t>
  </si>
  <si>
    <t>https://www.youtube.com/watch?v=C6sAuCIhIzA</t>
  </si>
  <si>
    <t>Two Kinds of Divine Power, Siddhis and Shaktis, are NOT Occult, Paranormal or Superstition 34</t>
  </si>
  <si>
    <t>https://www.youtube.com/watch?v=strZVEaixcs</t>
  </si>
  <si>
    <t>Book on Major Gurus, Lost Parampara, Shiva's Trishul Denigrated as Symbol of The Devil #33</t>
  </si>
  <si>
    <t>11:34</t>
  </si>
  <si>
    <t>https://www.youtube.com/watch?v=Ih4StVOa0Qs</t>
  </si>
  <si>
    <t>Indian Anti-Superstition Laws are Anti-Hindu &amp; Are Based on Western Idea of Superstition #35</t>
  </si>
  <si>
    <t>https://www.youtube.com/watch?v=LIl0C87tzGE</t>
  </si>
  <si>
    <t>Vajpayee Govt Took the Unfortunate Decision of Converting Ma Ganga Into a Lake #36</t>
  </si>
  <si>
    <t>2:48</t>
  </si>
  <si>
    <t>https://www.youtube.com/watch?v=sZGlmV--sG4</t>
  </si>
  <si>
    <t>Rajiv Malhotra's Talk at S-Vyasa University, Bengaluru</t>
  </si>
  <si>
    <t>1:01:57</t>
  </si>
  <si>
    <t>https://www.youtube.com/watch?v=MAt3aD51sUM</t>
  </si>
  <si>
    <t>Ram Leela is a Living Representation of "The Hindu Grand Narrative". # 37</t>
  </si>
  <si>
    <t>https://www.youtube.com/watch?v=EXkq2inhXiw</t>
  </si>
  <si>
    <t>Criticism on Interviewing Swami Nityananda, Rajiv Responds #38</t>
  </si>
  <si>
    <t>3:28</t>
  </si>
  <si>
    <t>https://www.youtube.com/watch?v=XfaMChybaCc</t>
  </si>
  <si>
    <t>Academic Hinduphobia: Challenging Media and Western Academics who Blatantly Abuse Hinduism</t>
  </si>
  <si>
    <t>https://www.youtube.com/watch?v=D559dD7btfo</t>
  </si>
  <si>
    <t>All Civilizations, Traditions, Paths Are NOT The Same #1</t>
  </si>
  <si>
    <t>10:00</t>
  </si>
  <si>
    <t>https://www.youtube.com/watch?v=rt5w2HzSWc0</t>
  </si>
  <si>
    <t>Lecture on "Diplomacy and Brand India" - Foreign Service Institute, New Delhi</t>
  </si>
  <si>
    <t>1:21:16</t>
  </si>
  <si>
    <t>6 months ago</t>
  </si>
  <si>
    <t>https://www.youtube.com/watch?v=kvEIBfEnwXM</t>
  </si>
  <si>
    <t>Swadeshi Indology Conference 2 — Inaugural Session</t>
  </si>
  <si>
    <t>1:30:48</t>
  </si>
  <si>
    <t>https://www.youtube.com/watch?v=lkDfIrZy2VY</t>
  </si>
  <si>
    <t>Swadeshi Indology Conference 2 — Closing Session</t>
  </si>
  <si>
    <t>1:26:16</t>
  </si>
  <si>
    <t>https://www.youtube.com/watch?v=vB9JqlUiYUk</t>
  </si>
  <si>
    <t>Hindu Students Council &amp; Rajiv Malhotra Discuss CNN's Latest Hinduphobia</t>
  </si>
  <si>
    <t>35:45:00</t>
  </si>
  <si>
    <t>https://www.youtube.com/watch?v=vzoIHUTieE0</t>
  </si>
  <si>
    <t>"Idea of Bharatiya Exceptionalism" — Idea of Bharat International Conference</t>
  </si>
  <si>
    <t>41:08:00</t>
  </si>
  <si>
    <t>5 months ago</t>
  </si>
  <si>
    <t>https://www.youtube.com/watch?v=eKSuEJqn2NI</t>
  </si>
  <si>
    <t>Jewish-Hindu Difference on Nature of Reincarnation #2</t>
  </si>
  <si>
    <t>5:42</t>
  </si>
  <si>
    <t>https://www.youtube.com/watch?v=1UnsEQPK3PQ</t>
  </si>
  <si>
    <t>Global Perceptions of Indian Heritage - SI Conference 2- Inaugural Session</t>
  </si>
  <si>
    <t>1:30:50</t>
  </si>
  <si>
    <t>https://www.youtube.com/watch?v=bD-uUsBgY-w</t>
  </si>
  <si>
    <t>Global Perceptions of Indian Heritage - SI Conference 2- Closing Session</t>
  </si>
  <si>
    <t>1:34:00</t>
  </si>
  <si>
    <t>https://www.youtube.com/watch?v=Lrh5zQHEIk4</t>
  </si>
  <si>
    <t>Monograph 1: Pollock's Three Dimensional Philology</t>
  </si>
  <si>
    <t>54:18:00</t>
  </si>
  <si>
    <t>https://www.youtube.com/watch?v=edQr4IJQuEg</t>
  </si>
  <si>
    <t>Monograph 2: Politics of Sanskrit Studies</t>
  </si>
  <si>
    <t>39:23:00</t>
  </si>
  <si>
    <t>https://www.youtube.com/watch?v=RJSsEA6fpJE</t>
  </si>
  <si>
    <t>Purva Paksa of Pollock's use of Chronology - Megh K &amp; Manogna S</t>
  </si>
  <si>
    <t>41:11:00</t>
  </si>
  <si>
    <t>https://www.youtube.com/watch?v=BlNY-1vmqvA</t>
  </si>
  <si>
    <t>Critique of &amp; Rebuttal to Pollock's Dating for Epics - Nilesh Oak</t>
  </si>
  <si>
    <t>32:40:00</t>
  </si>
  <si>
    <t>https://www.youtube.com/watch?v=_CKZQa18hcY</t>
  </si>
  <si>
    <t>Mimamsa Critique of Pollock's History Theory - Dr S. Tilak</t>
  </si>
  <si>
    <t>41:36:00</t>
  </si>
  <si>
    <t>https://www.youtube.com/watch?v=iwaHs0-q9l8</t>
  </si>
  <si>
    <t>The Science of Meaning - Sudarshan Therani</t>
  </si>
  <si>
    <t>37:49:00</t>
  </si>
  <si>
    <t>https://www.youtube.com/watch?v=lkO1JaN7BoQ</t>
  </si>
  <si>
    <t>Gaṇita Śāstra &amp; Western Mathematics - S Mukhopadhayay</t>
  </si>
  <si>
    <t>22:04</t>
  </si>
  <si>
    <t>https://www.youtube.com/watch?v=vaRCmUwpmNk</t>
  </si>
  <si>
    <t>Are Sanskrit Grammar &amp; Royal Power Related - Sowmya K</t>
  </si>
  <si>
    <t>28:12:00</t>
  </si>
  <si>
    <t>5.4K</t>
  </si>
  <si>
    <t>https://www.youtube.com/watch?v=qY_yQIrKwRk</t>
  </si>
  <si>
    <t>Examination of Pollock's "Project SKSEC" - Manjushree Hegde</t>
  </si>
  <si>
    <t>23:31</t>
  </si>
  <si>
    <t>https://www.youtube.com/watch?v=4ZkNnR--tMY</t>
  </si>
  <si>
    <t>A Computational Theory for Rasa - Prof K Gopinath</t>
  </si>
  <si>
    <t>31:36:00</t>
  </si>
  <si>
    <t>https://www.youtube.com/watch?v=Fb11XAvWeyE</t>
  </si>
  <si>
    <t>Pollock's Influence on Contemporary Discourse- Discussion between Sonal Mansingh and Rajiv Malhotra</t>
  </si>
  <si>
    <t>8:49</t>
  </si>
  <si>
    <t>https://www.youtube.com/watch?v=xAicQnL_abA</t>
  </si>
  <si>
    <t>Why Traditional Scholars Should Take Pollock Seriously - Rajiv Malhotra Explains</t>
  </si>
  <si>
    <t>11:23</t>
  </si>
  <si>
    <t>https://www.youtube.com/watch?v=kcbL1wC9PEg</t>
  </si>
  <si>
    <t>Sheldon Pollock's Prashastis For His Funding Sources</t>
  </si>
  <si>
    <t>4:29</t>
  </si>
  <si>
    <t>https://www.youtube.com/watch?v=qqDl6coS7wg</t>
  </si>
  <si>
    <t>Rajiv Malhotra Darshan with Puri Shankaracharya to discuss common interests</t>
  </si>
  <si>
    <t>46:14:00</t>
  </si>
  <si>
    <t>9.1K</t>
  </si>
  <si>
    <t>https://www.youtube.com/watch?v=0RYS6V76lRQ</t>
  </si>
  <si>
    <t>Decolonizing the Indian Civil Services: Rajiv Malhotra</t>
  </si>
  <si>
    <t>1:04:12</t>
  </si>
  <si>
    <t>24K</t>
  </si>
  <si>
    <t>https://www.youtube.com/watch?v=gtJ9OzJIB_c</t>
  </si>
  <si>
    <t>R Nagaswamy's Plenary Talk at Swadeshi Indology Conf 2</t>
  </si>
  <si>
    <t>40:24:00</t>
  </si>
  <si>
    <t>https://www.youtube.com/watch?v=7AYmPqY5iF4</t>
  </si>
  <si>
    <t>Lets Debate the Politics of Social Sciences</t>
  </si>
  <si>
    <t>21:13</t>
  </si>
  <si>
    <t>5.3K</t>
  </si>
  <si>
    <t>https://www.youtube.com/watch?v=4iGdwJ3nQcs&amp;t=38s</t>
  </si>
  <si>
    <t>Kashmir Violence and the Legal Hounding of Madhu Kishwar</t>
  </si>
  <si>
    <t>48:06:00</t>
  </si>
  <si>
    <t>18K</t>
  </si>
  <si>
    <t>4 months ago</t>
  </si>
  <si>
    <t>https://www.youtube.com/watch?v=OI3nL5YCIO8</t>
  </si>
  <si>
    <t>Princeton University's Parth Parihar Interviews Rajiv Malhotra</t>
  </si>
  <si>
    <t>1:00:59</t>
  </si>
  <si>
    <t>https://www.youtube.com/watch?v=_xxJKDZyRuE</t>
  </si>
  <si>
    <t>Keynote Speech by Rajiv Malhotra: "Hindu Contributions to Humanity"</t>
  </si>
  <si>
    <t>31:39:00</t>
  </si>
  <si>
    <t>https://www.youtube.com/watch?v=vhlPSbFlxPI</t>
  </si>
  <si>
    <t>Rajiv Malhotra Invites Hindus To Send Queries About Hinduism</t>
  </si>
  <si>
    <t>https://www.youtube.com/watch?v=vmOlaD1O5rg</t>
  </si>
  <si>
    <t>Did the "Art of Living" Event Destroy The Yamuna, as Alleged?</t>
  </si>
  <si>
    <t>55:25:00</t>
  </si>
  <si>
    <t>https://www.youtube.com/watch?v=WzgR7yTQNzY</t>
  </si>
  <si>
    <t>In Conversation with Meenakshi Jain</t>
  </si>
  <si>
    <t>50:51:00</t>
  </si>
  <si>
    <t>https://www.youtube.com/watch?v=SNpVBfgzPmo</t>
  </si>
  <si>
    <t>Discussing the Digestion of Yoga with a White Hindu</t>
  </si>
  <si>
    <t>40:15:00</t>
  </si>
  <si>
    <t>https://www.youtube.com/watch?v=MC9pK4dCHAs</t>
  </si>
  <si>
    <t>Natyasastra to Bollywood: Rasa, an eternal experience - Charu Uppal</t>
  </si>
  <si>
    <t>22:54</t>
  </si>
  <si>
    <t>3 months ago</t>
  </si>
  <si>
    <t>https://www.youtube.com/watch?v=g8GW7DlPr4g</t>
  </si>
  <si>
    <t>The Science of the Sacred - Sudarshan Therani</t>
  </si>
  <si>
    <t>43:15:00</t>
  </si>
  <si>
    <t>https://www.youtube.com/watch?v=lQph5joRdU8</t>
  </si>
  <si>
    <t>Sheldon Pollock &amp; Desacralization of Sanskrit - Megh K and Manogna S</t>
  </si>
  <si>
    <t>https://www.youtube.com/watch?v=DMReaVWJGFE</t>
  </si>
  <si>
    <t>Pollock's views on Rasa: A Critique - Karthik S Joshi</t>
  </si>
  <si>
    <t>19:44</t>
  </si>
  <si>
    <t>https://www.youtube.com/watch?v=Zused4CGMw4</t>
  </si>
  <si>
    <t>Sanskrit is not dead - Satyanarayana Dasa</t>
  </si>
  <si>
    <t>https://www.youtube.com/watch?v=KCUZ6hBgxc0</t>
  </si>
  <si>
    <t>Pollock's "From Rasa Seen to Rasa Heard": A Critique - Sreejit Datta</t>
  </si>
  <si>
    <t>15:16</t>
  </si>
  <si>
    <t>https://www.youtube.com/watch?v=k0FNC9LuJoo&amp;t=4s</t>
  </si>
  <si>
    <t>The Buddha Versus Sheldon Pollock — Dr. Koenraad Elst</t>
  </si>
  <si>
    <t>34:38:00</t>
  </si>
  <si>
    <t>https://www.youtube.com/watch?v=DBYSIkWsAOI</t>
  </si>
  <si>
    <t>Remarks From Chair: Session on Misc Themes - Shashi Tiwari</t>
  </si>
  <si>
    <t>https://www.youtube.com/watch?v=VKbVHIgKbbo</t>
  </si>
  <si>
    <t>Remarks From Chair: Session on Sastra &amp; Misc Theme — Dr. Aravinda Rao</t>
  </si>
  <si>
    <t>7:12</t>
  </si>
  <si>
    <t>https://www.youtube.com/watch?v=uaTb9-4kT2Y</t>
  </si>
  <si>
    <t>Hinduism and Buddhism: Convergent or Divergent - Rajath V</t>
  </si>
  <si>
    <t>29:16:00</t>
  </si>
  <si>
    <t>https://www.youtube.com/watch?v=wKoUB00RmE0</t>
  </si>
  <si>
    <t>The Science &amp; Nescience of Mimamsa - Sudarshan Therani</t>
  </si>
  <si>
    <t>27:57:00</t>
  </si>
  <si>
    <t>https://www.youtube.com/watch?v=sI2xSENomQY</t>
  </si>
  <si>
    <t>Pollock's 'Irresponsible' Vs Valmiki's 'Plausible' Ramayana - Animesh Aaryan</t>
  </si>
  <si>
    <t>18:09</t>
  </si>
  <si>
    <t>https://www.youtube.com/watch?v=Ts09Fp7M53k</t>
  </si>
  <si>
    <t>The divine nature of the Vedas - Alok Mishra</t>
  </si>
  <si>
    <t>21:57</t>
  </si>
  <si>
    <t>https://www.youtube.com/watch?v=inDcB8LwlqI</t>
  </si>
  <si>
    <t>Sastra of Science &amp; Science of Sastras - Madhu &amp; Sudarshan Therani</t>
  </si>
  <si>
    <t>27:15:00</t>
  </si>
  <si>
    <t>https://www.youtube.com/watch?v=1wYg5d-4aVg</t>
  </si>
  <si>
    <t>Rejoinder to Rasa Reader: An Insider View - Sharda Narayanan</t>
  </si>
  <si>
    <t>https://www.youtube.com/watch?v=oLCI7vQ7WFk</t>
  </si>
  <si>
    <t>Remarks From Chair: Session on Rasa - Dr Pappu Venugopala Rao</t>
  </si>
  <si>
    <t>27:44:00</t>
  </si>
  <si>
    <t>https://www.youtube.com/watch?v=Owv0FewW5Bo</t>
  </si>
  <si>
    <t>Commonalities in Hindu &amp; Buddhist Meta Framework - Ravi Joshi</t>
  </si>
  <si>
    <t>20:41</t>
  </si>
  <si>
    <t>https://www.youtube.com/watch?v=3ytmTvor21A</t>
  </si>
  <si>
    <t>Impressions of Swadeshi Indology Conference 2 - Dr. Sonal Mansingh</t>
  </si>
  <si>
    <t>https://www.youtube.com/watch?v=tPgOVeqnOcc</t>
  </si>
  <si>
    <t>Remarks from chair - Session 2 on Rasa - Prof. K Gopinath</t>
  </si>
  <si>
    <t>8:23</t>
  </si>
  <si>
    <t>https://www.youtube.com/watch?v=sEg8fP2ckhI</t>
  </si>
  <si>
    <t>Plenary Session 3: Dr. Pappu Venugopala Rao</t>
  </si>
  <si>
    <t>34:15:00</t>
  </si>
  <si>
    <t>https://www.youtube.com/watch?v=tmCFtpj6IZc</t>
  </si>
  <si>
    <t>Plenary Session 2 - Dr Meenakshi Jain</t>
  </si>
  <si>
    <t>36:44:00</t>
  </si>
  <si>
    <t>https://www.youtube.com/watch?v=Ul-faWS75vA</t>
  </si>
  <si>
    <t>Pollock’s Hypothesis on “Othering” is unscientific - Murali KV</t>
  </si>
  <si>
    <t>23:55</t>
  </si>
  <si>
    <t>https://www.youtube.com/watch?v=rP79c8rd-jE</t>
  </si>
  <si>
    <t>Upanishads and Buddha's Teachings - Sunil M V</t>
  </si>
  <si>
    <t>19:27</t>
  </si>
  <si>
    <t>https://www.youtube.com/watch?v=4ej2lqB-kjM</t>
  </si>
  <si>
    <t>Pollock's Desacralisation of the Indian Rasa Tradition - Ashay Naik</t>
  </si>
  <si>
    <t>31:53:00</t>
  </si>
  <si>
    <t>https://www.youtube.com/watch?v=OmWUkxANoEk</t>
  </si>
  <si>
    <t>Mimamsa and the Problem of History in Traditional India - Ananth Sethuraman</t>
  </si>
  <si>
    <t>36:59:00</t>
  </si>
  <si>
    <t>https://www.youtube.com/watch?v=5IYA6g6rNW0</t>
  </si>
  <si>
    <t>Rasa one step below Brahman - Dr. R Ganesh</t>
  </si>
  <si>
    <t>28:24:00</t>
  </si>
  <si>
    <t>https://www.youtube.com/watch?v=zEXu5K5eyCY</t>
  </si>
  <si>
    <t>Rasa theory - Dr. Nagaswamy</t>
  </si>
  <si>
    <t>48:48:00</t>
  </si>
  <si>
    <t>https://www.youtube.com/watch?v=s9g49kgd9ao</t>
  </si>
  <si>
    <t>Change and growth of Rasa Theory - Naresh Cuntoor</t>
  </si>
  <si>
    <t>33:46:00</t>
  </si>
  <si>
    <t>https://www.youtube.com/watch?v=7IXp156RgtQ</t>
  </si>
  <si>
    <t>Mimamsa and Ahistoricism - Prof. K S Kannan</t>
  </si>
  <si>
    <t>43:08:00</t>
  </si>
  <si>
    <t>https://www.youtube.com/watch?v=1CJb6PuWDqk</t>
  </si>
  <si>
    <t>Remarks From Chair - Session on Chronology and Buddhism_Dr Nagaswamy</t>
  </si>
  <si>
    <t>18:33</t>
  </si>
  <si>
    <t>https://www.youtube.com/watch?v=3Pat7agSMJU&amp;t=22s</t>
  </si>
  <si>
    <t>Brahmanism, Buddhism and Mimamsa - Sharda Narayanan</t>
  </si>
  <si>
    <t>27:14:00</t>
  </si>
  <si>
    <t>5.5K</t>
  </si>
  <si>
    <t>https://www.youtube.com/watch?v=lyiuoR-2E6I</t>
  </si>
  <si>
    <t>Examining Pollock's "Sanskrit Cosmopolis" - Arvind Prasad</t>
  </si>
  <si>
    <t>34:23:00</t>
  </si>
  <si>
    <t>https://www.youtube.com/watch?v=h4ZgKKlmUl0&amp;t=481s</t>
  </si>
  <si>
    <t>Conflict Between Buddhism &amp; Hinduism - Dr. R Nagaswamy</t>
  </si>
  <si>
    <t>25:24:00</t>
  </si>
  <si>
    <t>https://www.youtube.com/watch?v=8gCMYZ-alVw</t>
  </si>
  <si>
    <t>Pollock's Philology: Mixing Ramayana and Political Imagination - Ishani Dutta</t>
  </si>
  <si>
    <t>17:36</t>
  </si>
  <si>
    <t>https://www.youtube.com/watch?v=aPfBxS4huSc</t>
  </si>
  <si>
    <t>Remarks from Chair - Session on Mimamsa &amp; some Misc topics - Dr. Koenraad Elst</t>
  </si>
  <si>
    <t>https://www.youtube.com/watch?v=HQK8u4lh7y0</t>
  </si>
  <si>
    <t>Remarks from chair - Session on Philology - Dr. Korada Subrahmanyam</t>
  </si>
  <si>
    <t>7:37</t>
  </si>
  <si>
    <t>https://www.youtube.com/watch?v=qIQN0DtO2Z8</t>
  </si>
  <si>
    <t>Remarks from chair - Session on Buddhism - Dr. Amarjiva Lochan</t>
  </si>
  <si>
    <t>7:42</t>
  </si>
  <si>
    <t>https://www.youtube.com/watch?v=ZErxsCxSQsA</t>
  </si>
  <si>
    <t>Pollock's "Death of Sanskrit" - An Analysis - Jayaraman Mahadevan</t>
  </si>
  <si>
    <t>32:51:00</t>
  </si>
  <si>
    <t>https://www.youtube.com/watch?v=ZyApm_PJ-W8&amp;t=65s</t>
  </si>
  <si>
    <t>India’s (Unacknowledged) Contributions to Mind Sciences: Rajiv Malhotra</t>
  </si>
  <si>
    <t>56:56:00</t>
  </si>
  <si>
    <t>https://www.youtube.com/watch?v=VFJFvcNogFU</t>
  </si>
  <si>
    <t>Rajiv Malhotra in Conversation with Brooke Boon, Founder of ‘Holy Yoga’</t>
  </si>
  <si>
    <t>1:44:09</t>
  </si>
  <si>
    <t>https://www.youtube.com/watch?v=JlEmX46IYNY</t>
  </si>
  <si>
    <t>1:41:33</t>
  </si>
  <si>
    <t>https://www.youtube.com/watch?v=SPD35eCSgDk</t>
  </si>
  <si>
    <t>In Conversation with Vivek Agnihotri, A Patriotic Filmmaker</t>
  </si>
  <si>
    <t>1:04:02</t>
  </si>
  <si>
    <t>https://www.youtube.com/watch?v=sy6xQyjX7qg</t>
  </si>
  <si>
    <t>Discussion with Suzin Green, a Kali Worshipper &amp; Yoga-based Life Coach</t>
  </si>
  <si>
    <t>1:05:29</t>
  </si>
  <si>
    <t>https://www.youtube.com/watch?v=xCLLCYBg7Zc</t>
  </si>
  <si>
    <t>Dr Subramanian Swamy In Conversation with Rajiv Malhotra</t>
  </si>
  <si>
    <t>1:01:25</t>
  </si>
  <si>
    <t>114K</t>
  </si>
  <si>
    <t>2 months ago</t>
  </si>
  <si>
    <t>https://www.youtube.com/watch?v=s4vjcCAXvVI</t>
  </si>
  <si>
    <t>Discussion with General GD Bakshi: "Bold Proposals on India's Security Dilemmas"</t>
  </si>
  <si>
    <t>1:00:36</t>
  </si>
  <si>
    <t>https://www.youtube.com/watch?v=wfQX8QWcWgI</t>
  </si>
  <si>
    <t>Swami Vigyananand (Chairman of World Hindu Foundation) In Conversation with Rajiv Malhotra</t>
  </si>
  <si>
    <t>56:58:00</t>
  </si>
  <si>
    <t>17K</t>
  </si>
  <si>
    <t>https://www.youtube.com/watch?v=c50rfZlrNXU</t>
  </si>
  <si>
    <t>Prof R. Vaidyanathan &amp; Rajiv Malhotra on the Global and Local Economic Mess</t>
  </si>
  <si>
    <t>1:05:28</t>
  </si>
  <si>
    <t>https://www.youtube.com/watch?v=Bx9ffGtMMxo</t>
  </si>
  <si>
    <t>Meet the Real Hero Behind Demonetization</t>
  </si>
  <si>
    <t>46:53:00</t>
  </si>
  <si>
    <t>https://www.youtube.com/watch?v=DL5cLBZou3I</t>
  </si>
  <si>
    <t>Sushil Pandit, Well-Known Kashmir Activist In Conversation with Rajiv Malhotra</t>
  </si>
  <si>
    <t>48:04:00</t>
  </si>
  <si>
    <t>1 month ago</t>
  </si>
  <si>
    <t>https://www.youtube.com/watch?v=dHQ-HMVdPyE</t>
  </si>
  <si>
    <t>Swami Nirmalanandanatha, Head of Sri Adichunchanagiri Muth, Discusses with Rajiv Malhotra</t>
  </si>
  <si>
    <t>1:01:09</t>
  </si>
  <si>
    <t>https://www.youtube.com/watch?v=GtSbmTRia5Y</t>
  </si>
  <si>
    <t>Rajiv Malhotra with Prof Mohan on "Breaking India" on Tharanga</t>
  </si>
  <si>
    <t>1:57:35</t>
  </si>
  <si>
    <t>https://www.youtube.com/watch?v=dvcJI5yAd6M&amp;t=122s</t>
  </si>
  <si>
    <t>Persecution of Hindu Gurus Who Challenge Hinduphobia</t>
  </si>
  <si>
    <t>38:48:00</t>
  </si>
  <si>
    <t>39K</t>
  </si>
  <si>
    <t>https://www.youtube.com/watch?v=ahKeSqFT0Nk</t>
  </si>
  <si>
    <t>Interfaith Marriages in USA. Discussion with Researcher</t>
  </si>
  <si>
    <t>1:02:10</t>
  </si>
  <si>
    <t>https://www.youtube.com/watch?v=JB_lc00AWIE</t>
  </si>
  <si>
    <t>V. Ramachandran, the Noted Neuroscientist, In Conversation with Rajiv Malhotra</t>
  </si>
  <si>
    <t>1:13:55</t>
  </si>
  <si>
    <t>3 weeks ago</t>
  </si>
  <si>
    <t>https://www.youtube.com/watch?v=9jjsiAFVdXc</t>
  </si>
  <si>
    <t>"Is Templeton Foundation Digesting Vedanta into Christianity?"</t>
  </si>
  <si>
    <t>1:37:57</t>
  </si>
  <si>
    <t>2 weeks ago</t>
  </si>
  <si>
    <t>https://www.youtube.com/watch?v=9QSUsKZfoQA&amp;t=156s</t>
  </si>
  <si>
    <t>Head of India's Top Sanskrit Research Center in Conversation with Rajiv Malhotra</t>
  </si>
  <si>
    <t>1 week ago</t>
  </si>
  <si>
    <t>https://www.youtube.com/watch?v=79r5KYH0nBI</t>
  </si>
  <si>
    <t>Aditi Banerjee Recollects How We Started Responding </t>
  </si>
  <si>
    <t>1:13:24</t>
  </si>
  <si>
    <t>6 days ago</t>
  </si>
  <si>
    <t>Good Quality, Less Viewed or Upload Long back can be replayed when new content cannot be created</t>
  </si>
  <si>
    <t>AV Quality</t>
  </si>
  <si>
    <t>Content Owner</t>
  </si>
  <si>
    <t>Wherever Descriptionis empty, it can be copied from Clip Title</t>
  </si>
  <si>
    <t>Content Editor</t>
  </si>
  <si>
    <t>RS</t>
  </si>
  <si>
    <t>Title required in English/Hindi for Tamil testimony. Must play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</si>
</sst>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4">
    <font>
      <sz val="11"/>
      <color rgb="FF000000"/>
      <name val="Calibri"/>
    </font>
    <font>
      <b/>
      <sz val="10"/>
      <name val="Arial"/>
    </font>
    <font>
      <sz val="10"/>
      <name val="Arial"/>
    </font>
    <font>
      <sz val="11"/>
      <name val="Calibri"/>
    </font>
    <font>
      <sz val="8"/>
      <color rgb="FF000000"/>
      <name val="Arial"/>
    </font>
    <font>
      <sz val="10"/>
      <color rgb="FF000000"/>
      <name val="Arial"/>
    </font>
    <font>
      <sz val="10"/>
      <color rgb="FF222222"/>
      <name val="Arial"/>
    </font>
    <font>
      <u/>
      <sz val="8"/>
      <color rgb="FF0563C1"/>
      <name val="Arial"/>
    </font>
    <font>
      <u/>
      <sz val="8"/>
      <color rgb="FF0563C1"/>
      <name val="Arial"/>
    </font>
    <font>
      <sz val="8"/>
      <color rgb="FFFF0000"/>
      <name val="Arial"/>
    </font>
    <font>
      <u/>
      <sz val="8"/>
      <color rgb="FF0563C1"/>
      <name val="Arial"/>
    </font>
    <font>
      <u/>
      <sz val="8"/>
      <color rgb="FF0563C1"/>
      <name val="Arial"/>
    </font>
    <font>
      <u/>
      <sz val="8"/>
      <color rgb="FF0563C1"/>
      <name val="Arial"/>
    </font>
    <font>
      <u/>
      <sz val="11"/>
      <color theme="10"/>
      <name val="Calibri"/>
    </font>
    <font>
      <b/>
      <sz val="10"/>
      <name val="Arial"/>
      <family val="2"/>
    </font>
    <font>
      <sz val="10"/>
      <name val="Arial"/>
      <family val="2"/>
    </font>
    <font>
      <sz val="10"/>
      <color rgb="FF000000"/>
      <name val="Arial"/>
      <family val="2"/>
    </font>
    <font>
      <sz val="8"/>
      <color rgb="FF000000"/>
      <name val="Arial"/>
      <family val="2"/>
    </font>
    <font>
      <sz val="8"/>
      <color rgb="FF000000"/>
      <name val="Calibri"/>
      <family val="2"/>
    </font>
    <font>
      <sz val="8"/>
      <name val="Calibri"/>
      <family val="2"/>
    </font>
    <font>
      <u/>
      <sz val="8"/>
      <color rgb="FF0563C1"/>
      <name val="Arial"/>
      <family val="2"/>
    </font>
    <font>
      <sz val="8"/>
      <color rgb="FFFF0000"/>
      <name val="Arial"/>
      <family val="2"/>
    </font>
    <font>
      <u/>
      <sz val="8"/>
      <color rgb="FF0563C1"/>
      <name val="Calibri"/>
      <family val="2"/>
    </font>
    <font>
      <u/>
      <sz val="8"/>
      <color theme="10"/>
      <name val="Calibri"/>
      <family val="2"/>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73">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3" fillId="0" borderId="0" xfId="0" applyFont="1" applyAlignment="1"/>
    <xf numFmtId="0" fontId="4" fillId="0" borderId="0" xfId="0" applyFont="1" applyAlignment="1">
      <alignment wrapText="1"/>
    </xf>
    <xf numFmtId="0" fontId="5" fillId="2" borderId="0" xfId="0" applyFont="1" applyFill="1" applyAlignment="1"/>
    <xf numFmtId="0" fontId="4" fillId="0" borderId="0" xfId="0" applyFont="1" applyAlignment="1"/>
    <xf numFmtId="0" fontId="4" fillId="0" borderId="0" xfId="0" applyFont="1"/>
    <xf numFmtId="0" fontId="6" fillId="2" borderId="0" xfId="0" applyFont="1" applyFill="1" applyAlignment="1"/>
    <xf numFmtId="0" fontId="4" fillId="0" borderId="0" xfId="0" applyFont="1" applyAlignment="1">
      <alignment vertical="center" wrapText="1"/>
    </xf>
    <xf numFmtId="0" fontId="4" fillId="0" borderId="0" xfId="0" applyFont="1" applyAlignment="1">
      <alignment horizontal="right" vertical="center" wrapText="1"/>
    </xf>
    <xf numFmtId="0" fontId="2" fillId="4" borderId="0" xfId="0" applyFont="1" applyFill="1" applyAlignment="1"/>
    <xf numFmtId="0" fontId="4" fillId="0" borderId="0" xfId="0" applyFont="1" applyAlignment="1">
      <alignment horizontal="left" vertical="center" wrapText="1"/>
    </xf>
    <xf numFmtId="0" fontId="4" fillId="3" borderId="1" xfId="0" applyFont="1" applyFill="1" applyBorder="1" applyAlignment="1">
      <alignment vertical="center" wrapText="1"/>
    </xf>
    <xf numFmtId="164" fontId="2" fillId="0" borderId="0" xfId="0" applyNumberFormat="1" applyFont="1" applyAlignment="1"/>
    <xf numFmtId="0" fontId="7" fillId="0" borderId="0" xfId="0" applyFont="1" applyAlignment="1">
      <alignment horizontal="left" vertical="center"/>
    </xf>
    <xf numFmtId="20" fontId="8" fillId="0" borderId="0" xfId="0" applyNumberFormat="1" applyFont="1" applyAlignment="1">
      <alignment vertical="center"/>
    </xf>
    <xf numFmtId="0" fontId="4" fillId="0" borderId="0" xfId="0" applyFont="1" applyAlignment="1">
      <alignment horizontal="right" vertical="center"/>
    </xf>
    <xf numFmtId="0" fontId="4" fillId="0" borderId="0" xfId="0" applyFont="1" applyAlignment="1">
      <alignment vertical="center"/>
    </xf>
    <xf numFmtId="0" fontId="4" fillId="0" borderId="0" xfId="0" applyFont="1" applyAlignment="1">
      <alignment horizontal="left" vertical="center"/>
    </xf>
    <xf numFmtId="21" fontId="4" fillId="0" borderId="0" xfId="0" applyNumberFormat="1" applyFont="1"/>
    <xf numFmtId="0" fontId="4" fillId="0" borderId="0" xfId="0" applyFont="1" applyAlignment="1">
      <alignment horizontal="right"/>
    </xf>
    <xf numFmtId="15" fontId="4" fillId="0" borderId="0" xfId="0" applyNumberFormat="1" applyFont="1"/>
    <xf numFmtId="0" fontId="9" fillId="0" borderId="0" xfId="0" applyFont="1" applyAlignment="1">
      <alignment vertical="center"/>
    </xf>
    <xf numFmtId="0" fontId="0" fillId="0" borderId="0" xfId="0" applyFont="1"/>
    <xf numFmtId="15" fontId="10" fillId="0" borderId="0" xfId="0" applyNumberFormat="1" applyFont="1"/>
    <xf numFmtId="46" fontId="11" fillId="0" borderId="0" xfId="0" applyNumberFormat="1" applyFont="1" applyAlignment="1">
      <alignment vertical="center"/>
    </xf>
    <xf numFmtId="0" fontId="4" fillId="0" borderId="0" xfId="0" applyFont="1" applyAlignment="1">
      <alignment horizontal="left"/>
    </xf>
    <xf numFmtId="21" fontId="12" fillId="0" borderId="0" xfId="0" applyNumberFormat="1" applyFont="1" applyAlignment="1">
      <alignment vertical="center"/>
    </xf>
    <xf numFmtId="0" fontId="14" fillId="0" borderId="0" xfId="0" applyFont="1" applyAlignment="1"/>
    <xf numFmtId="0" fontId="15" fillId="0" borderId="0" xfId="0" applyFont="1" applyAlignment="1"/>
    <xf numFmtId="0" fontId="16" fillId="0" borderId="0" xfId="0" applyFont="1" applyAlignment="1"/>
    <xf numFmtId="0" fontId="18" fillId="0" borderId="0" xfId="0" applyFont="1" applyAlignment="1"/>
    <xf numFmtId="0" fontId="18" fillId="7" borderId="0" xfId="0" applyFont="1" applyFill="1" applyAlignment="1"/>
    <xf numFmtId="0" fontId="18" fillId="5" borderId="0" xfId="0" applyFont="1" applyFill="1" applyAlignment="1"/>
    <xf numFmtId="0" fontId="18" fillId="8" borderId="0" xfId="0" applyFont="1" applyFill="1" applyAlignment="1"/>
    <xf numFmtId="0" fontId="18" fillId="6" borderId="0" xfId="0" applyFont="1" applyFill="1" applyAlignment="1"/>
    <xf numFmtId="0" fontId="17" fillId="0" borderId="0" xfId="0" applyFont="1"/>
    <xf numFmtId="0" fontId="17" fillId="0" borderId="0" xfId="0" applyFont="1" applyAlignment="1"/>
    <xf numFmtId="0" fontId="20" fillId="0" borderId="0" xfId="0" applyFont="1" applyAlignment="1">
      <alignment horizontal="left" vertical="center"/>
    </xf>
    <xf numFmtId="20" fontId="20" fillId="0" borderId="0" xfId="0" applyNumberFormat="1" applyFont="1" applyAlignment="1">
      <alignment vertical="center"/>
    </xf>
    <xf numFmtId="0" fontId="17" fillId="0" borderId="0" xfId="0" applyFont="1" applyAlignment="1">
      <alignment horizontal="right" vertical="center"/>
    </xf>
    <xf numFmtId="0" fontId="17" fillId="0" borderId="0" xfId="0" applyFont="1" applyAlignment="1">
      <alignment vertical="center"/>
    </xf>
    <xf numFmtId="0" fontId="17" fillId="0" borderId="0" xfId="0" applyFont="1" applyAlignment="1">
      <alignment horizontal="left" vertical="center"/>
    </xf>
    <xf numFmtId="21" fontId="17" fillId="0" borderId="0" xfId="0" applyNumberFormat="1" applyFont="1"/>
    <xf numFmtId="0" fontId="17" fillId="0" borderId="0" xfId="0" applyFont="1" applyAlignment="1">
      <alignment horizontal="right"/>
    </xf>
    <xf numFmtId="15" fontId="17" fillId="0" borderId="0" xfId="0" applyNumberFormat="1" applyFont="1"/>
    <xf numFmtId="0" fontId="17" fillId="5" borderId="0" xfId="0" applyFont="1" applyFill="1"/>
    <xf numFmtId="0" fontId="17" fillId="6" borderId="0" xfId="0" applyFont="1" applyFill="1" applyAlignment="1"/>
    <xf numFmtId="0" fontId="17" fillId="7" borderId="0" xfId="0" applyFont="1" applyFill="1"/>
    <xf numFmtId="0" fontId="17" fillId="8" borderId="0" xfId="0" applyFont="1" applyFill="1"/>
    <xf numFmtId="0" fontId="17" fillId="6" borderId="0" xfId="0" applyFont="1" applyFill="1"/>
    <xf numFmtId="0" fontId="21" fillId="0" borderId="0" xfId="0" applyFont="1" applyAlignment="1">
      <alignment vertical="center"/>
    </xf>
    <xf numFmtId="15" fontId="20" fillId="0" borderId="0" xfId="0" applyNumberFormat="1" applyFont="1"/>
    <xf numFmtId="15" fontId="22" fillId="0" borderId="0" xfId="0" applyNumberFormat="1" applyFont="1"/>
    <xf numFmtId="0" fontId="18" fillId="0" borderId="0" xfId="0" applyFont="1"/>
    <xf numFmtId="0" fontId="17" fillId="0" borderId="0" xfId="0" applyFont="1" applyAlignment="1">
      <alignment horizontal="left"/>
    </xf>
    <xf numFmtId="46" fontId="20" fillId="0" borderId="0" xfId="0" applyNumberFormat="1" applyFont="1" applyAlignment="1">
      <alignment vertical="center"/>
    </xf>
    <xf numFmtId="15" fontId="17" fillId="5" borderId="0" xfId="0" applyNumberFormat="1" applyFont="1" applyFill="1"/>
    <xf numFmtId="2" fontId="17" fillId="0" borderId="0" xfId="0" applyNumberFormat="1" applyFont="1"/>
    <xf numFmtId="21" fontId="20" fillId="0" borderId="0" xfId="0" applyNumberFormat="1" applyFont="1" applyAlignment="1">
      <alignment vertical="center"/>
    </xf>
    <xf numFmtId="0" fontId="18" fillId="5" borderId="0" xfId="0" applyFont="1" applyFill="1"/>
    <xf numFmtId="0" fontId="14" fillId="0" borderId="0" xfId="0" applyFont="1" applyAlignment="1">
      <alignment horizontal="center"/>
    </xf>
    <xf numFmtId="0" fontId="17" fillId="0" borderId="0" xfId="0" applyFont="1" applyAlignment="1">
      <alignment horizontal="center" wrapText="1"/>
    </xf>
    <xf numFmtId="0" fontId="23" fillId="0" borderId="0" xfId="1" applyFont="1" applyAlignment="1">
      <alignment horizontal="center" wrapText="1"/>
    </xf>
    <xf numFmtId="0" fontId="19" fillId="0" borderId="0" xfId="0" applyFont="1" applyAlignment="1">
      <alignment horizontal="center"/>
    </xf>
    <xf numFmtId="0" fontId="17" fillId="0" borderId="0" xfId="0" applyFont="1" applyAlignment="1">
      <alignment horizontal="center"/>
    </xf>
    <xf numFmtId="0" fontId="17" fillId="3" borderId="1" xfId="0" applyFont="1" applyFill="1" applyBorder="1" applyAlignment="1">
      <alignment horizontal="center" wrapText="1"/>
    </xf>
    <xf numFmtId="0" fontId="17" fillId="5" borderId="0" xfId="0" applyFont="1" applyFill="1" applyAlignment="1">
      <alignment horizontal="center" wrapText="1"/>
    </xf>
    <xf numFmtId="0" fontId="17" fillId="6" borderId="0" xfId="0" applyFont="1" applyFill="1" applyAlignment="1">
      <alignment horizontal="center" wrapText="1"/>
    </xf>
    <xf numFmtId="0" fontId="17" fillId="7" borderId="0" xfId="0" applyFont="1" applyFill="1" applyAlignment="1">
      <alignment horizontal="center" wrapText="1"/>
    </xf>
    <xf numFmtId="0" fontId="23" fillId="8" borderId="0" xfId="1"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50</xdr:row>
      <xdr:rowOff>0</xdr:rowOff>
    </xdr:to>
    <xdr:sp macro="" textlink="">
      <xdr:nvSpPr>
        <xdr:cNvPr id="5129" name="Text Box 9" hidden="1">
          <a:extLst>
            <a:ext uri="{FF2B5EF4-FFF2-40B4-BE49-F238E27FC236}">
              <a16:creationId xmlns:a16="http://schemas.microsoft.com/office/drawing/2014/main" id="{B2240DDD-684A-40ED-9786-CE88CAA7605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50</xdr:row>
      <xdr:rowOff>0</xdr:rowOff>
    </xdr:to>
    <xdr:sp macro="" textlink="">
      <xdr:nvSpPr>
        <xdr:cNvPr id="4103" name="Text Box 7" hidden="1">
          <a:extLst>
            <a:ext uri="{FF2B5EF4-FFF2-40B4-BE49-F238E27FC236}">
              <a16:creationId xmlns:a16="http://schemas.microsoft.com/office/drawing/2014/main" id="{1B264673-5928-4F88-A0DA-2FB4A98872E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19</xdr:row>
      <xdr:rowOff>0</xdr:rowOff>
    </xdr:to>
    <xdr:sp macro="" textlink="">
      <xdr:nvSpPr>
        <xdr:cNvPr id="1032" name="Text Box 8" hidden="1">
          <a:extLst>
            <a:ext uri="{FF2B5EF4-FFF2-40B4-BE49-F238E27FC236}">
              <a16:creationId xmlns:a16="http://schemas.microsoft.com/office/drawing/2014/main" id="{063CAF91-468A-4F18-9F2E-006E9B4422C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26</xdr:row>
      <xdr:rowOff>0</xdr:rowOff>
    </xdr:to>
    <xdr:sp macro="" textlink="">
      <xdr:nvSpPr>
        <xdr:cNvPr id="2056" name="Text Box 8" hidden="1">
          <a:extLst>
            <a:ext uri="{FF2B5EF4-FFF2-40B4-BE49-F238E27FC236}">
              <a16:creationId xmlns:a16="http://schemas.microsoft.com/office/drawing/2014/main" id="{7A3789CA-76D6-49DE-A388-20A4EBC532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50</xdr:row>
      <xdr:rowOff>0</xdr:rowOff>
    </xdr:to>
    <xdr:sp macro="" textlink="">
      <xdr:nvSpPr>
        <xdr:cNvPr id="3080" name="Text Box 8" hidden="1">
          <a:extLst>
            <a:ext uri="{FF2B5EF4-FFF2-40B4-BE49-F238E27FC236}">
              <a16:creationId xmlns:a16="http://schemas.microsoft.com/office/drawing/2014/main" id="{DA909472-8B57-4401-8D3C-2423DC89E32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ByaheAphduQ" TargetMode="External"/><Relationship Id="rId671" Type="http://schemas.openxmlformats.org/officeDocument/2006/relationships/hyperlink" Target="https://www.youtube.com/watch?v=Xk3tQcQ1QcQ" TargetMode="External"/><Relationship Id="rId769" Type="http://schemas.openxmlformats.org/officeDocument/2006/relationships/hyperlink" Target="https://www.youtube.com/watch?v=Ly_KKukp01g" TargetMode="External"/><Relationship Id="rId976" Type="http://schemas.openxmlformats.org/officeDocument/2006/relationships/hyperlink" Target="https://www.youtube.com/watch?v=FQ3dpY5j5y8" TargetMode="External"/><Relationship Id="rId1399" Type="http://schemas.openxmlformats.org/officeDocument/2006/relationships/hyperlink" Target="https://www.youtube.com/watch?v=SNpVBfgzPmo" TargetMode="External"/><Relationship Id="rId21" Type="http://schemas.openxmlformats.org/officeDocument/2006/relationships/hyperlink" Target="https://www.youtube.com/watch?v=jMgGGixmfus" TargetMode="External"/><Relationship Id="rId324" Type="http://schemas.openxmlformats.org/officeDocument/2006/relationships/hyperlink" Target="https://www.youtube.com/watch?v=hgdVPIrlSPU" TargetMode="External"/><Relationship Id="rId531" Type="http://schemas.openxmlformats.org/officeDocument/2006/relationships/hyperlink" Target="https://www.youtube.com/watch?v=zyTsxv3NJzA" TargetMode="External"/><Relationship Id="rId629" Type="http://schemas.openxmlformats.org/officeDocument/2006/relationships/hyperlink" Target="https://www.youtube.com/watch?v=r2uhf3x6oH8" TargetMode="External"/><Relationship Id="rId1161" Type="http://schemas.openxmlformats.org/officeDocument/2006/relationships/hyperlink" Target="https://www.youtube.com/watch?v=vTz9mFEgYQU" TargetMode="External"/><Relationship Id="rId1259" Type="http://schemas.openxmlformats.org/officeDocument/2006/relationships/hyperlink" Target="https://www.youtube.com/watch?v=_zmgXM40afU" TargetMode="External"/><Relationship Id="rId1466" Type="http://schemas.openxmlformats.org/officeDocument/2006/relationships/hyperlink" Target="https://www.youtube.com/watch?v=h4ZgKKlmUl0&amp;t=481s" TargetMode="External"/><Relationship Id="rId170" Type="http://schemas.openxmlformats.org/officeDocument/2006/relationships/hyperlink" Target="https://www.youtube.com/watch?v=z1wT-GurohQ" TargetMode="External"/><Relationship Id="rId836" Type="http://schemas.openxmlformats.org/officeDocument/2006/relationships/hyperlink" Target="https://www.youtube.com/watch?v=5c75GXSIdlM" TargetMode="External"/><Relationship Id="rId1021" Type="http://schemas.openxmlformats.org/officeDocument/2006/relationships/hyperlink" Target="https://www.youtube.com/watch?v=NeCQOUox8zc" TargetMode="External"/><Relationship Id="rId1119" Type="http://schemas.openxmlformats.org/officeDocument/2006/relationships/hyperlink" Target="https://www.youtube.com/watch?v=fZLoHeGF4XI" TargetMode="External"/><Relationship Id="rId268" Type="http://schemas.openxmlformats.org/officeDocument/2006/relationships/hyperlink" Target="https://www.youtube.com/watch?v=hWBzG7eVqVg" TargetMode="External"/><Relationship Id="rId475" Type="http://schemas.openxmlformats.org/officeDocument/2006/relationships/hyperlink" Target="https://www.youtube.com/watch?v=QPVDHJcsv5U" TargetMode="External"/><Relationship Id="rId682" Type="http://schemas.openxmlformats.org/officeDocument/2006/relationships/hyperlink" Target="https://www.youtube.com/watch?v=oeJfmsvMRBs" TargetMode="External"/><Relationship Id="rId903" Type="http://schemas.openxmlformats.org/officeDocument/2006/relationships/hyperlink" Target="https://www.youtube.com/watch?v=t5tjD9qq-98" TargetMode="External"/><Relationship Id="rId1326" Type="http://schemas.openxmlformats.org/officeDocument/2006/relationships/hyperlink" Target="https://www.youtube.com/watch?v=LIl0C87tzGE" TargetMode="External"/><Relationship Id="rId32" Type="http://schemas.openxmlformats.org/officeDocument/2006/relationships/hyperlink" Target="https://www.youtube.com/watch?v=NCOKqHoIW7M" TargetMode="External"/><Relationship Id="rId128" Type="http://schemas.openxmlformats.org/officeDocument/2006/relationships/hyperlink" Target="https://www.youtube.com/watch?v=ytrFjytVgtk" TargetMode="External"/><Relationship Id="rId335" Type="http://schemas.openxmlformats.org/officeDocument/2006/relationships/hyperlink" Target="https://www.youtube.com/watch?v=UuJzHq-Ont4" TargetMode="External"/><Relationship Id="rId542" Type="http://schemas.openxmlformats.org/officeDocument/2006/relationships/hyperlink" Target="https://www.youtube.com/watch?v=_OWY_haNDNI" TargetMode="External"/><Relationship Id="rId987" Type="http://schemas.openxmlformats.org/officeDocument/2006/relationships/hyperlink" Target="https://www.youtube.com/watch?v=C-AklzjB96w" TargetMode="External"/><Relationship Id="rId1172" Type="http://schemas.openxmlformats.org/officeDocument/2006/relationships/hyperlink" Target="https://www.youtube.com/watch?v=EfQbirNpLM8" TargetMode="External"/><Relationship Id="rId181" Type="http://schemas.openxmlformats.org/officeDocument/2006/relationships/hyperlink" Target="https://www.youtube.com/watch?v=G3NpQQMh8jQ" TargetMode="External"/><Relationship Id="rId402" Type="http://schemas.openxmlformats.org/officeDocument/2006/relationships/hyperlink" Target="https://www.youtube.com/watch?v=9IzjjqFO5c8" TargetMode="External"/><Relationship Id="rId847" Type="http://schemas.openxmlformats.org/officeDocument/2006/relationships/hyperlink" Target="https://www.youtube.com/watch?v=dzUx3zUv_yw" TargetMode="External"/><Relationship Id="rId1032" Type="http://schemas.openxmlformats.org/officeDocument/2006/relationships/hyperlink" Target="https://www.youtube.com/watch?v=6ufhk6JL8x8" TargetMode="External"/><Relationship Id="rId1477" Type="http://schemas.openxmlformats.org/officeDocument/2006/relationships/hyperlink" Target="https://www.youtube.com/watch?v=ZyApm_PJ-W8&amp;t=65s" TargetMode="External"/><Relationship Id="rId279" Type="http://schemas.openxmlformats.org/officeDocument/2006/relationships/hyperlink" Target="https://www.youtube.com/watch?v=ANSSQQ6ZauM" TargetMode="External"/><Relationship Id="rId486" Type="http://schemas.openxmlformats.org/officeDocument/2006/relationships/hyperlink" Target="https://www.youtube.com/watch?v=3asYCknfoMo" TargetMode="External"/><Relationship Id="rId693" Type="http://schemas.openxmlformats.org/officeDocument/2006/relationships/hyperlink" Target="https://www.youtube.com/watch?v=M8Xez56Bg9c" TargetMode="External"/><Relationship Id="rId707" Type="http://schemas.openxmlformats.org/officeDocument/2006/relationships/hyperlink" Target="https://www.youtube.com/watch?v=JkoZriLo3fA" TargetMode="External"/><Relationship Id="rId914" Type="http://schemas.openxmlformats.org/officeDocument/2006/relationships/hyperlink" Target="https://www.youtube.com/watch?v=xVrbpqr1LEE" TargetMode="External"/><Relationship Id="rId1337" Type="http://schemas.openxmlformats.org/officeDocument/2006/relationships/hyperlink" Target="https://www.youtube.com/watch?v=rt5w2HzSWc0" TargetMode="External"/><Relationship Id="rId43" Type="http://schemas.openxmlformats.org/officeDocument/2006/relationships/hyperlink" Target="https://www.youtube.com/watch?v=Uq2PJjcHiqI" TargetMode="External"/><Relationship Id="rId139" Type="http://schemas.openxmlformats.org/officeDocument/2006/relationships/hyperlink" Target="https://www.youtube.com/watch?v=J5mYtIH7Pho" TargetMode="External"/><Relationship Id="rId346" Type="http://schemas.openxmlformats.org/officeDocument/2006/relationships/hyperlink" Target="https://www.youtube.com/watch?v=t_J24YUQNK4" TargetMode="External"/><Relationship Id="rId553" Type="http://schemas.openxmlformats.org/officeDocument/2006/relationships/hyperlink" Target="https://www.youtube.com/watch?v=AuVaei10Du0" TargetMode="External"/><Relationship Id="rId760" Type="http://schemas.openxmlformats.org/officeDocument/2006/relationships/hyperlink" Target="https://www.youtube.com/watch?v=_OTzuNIDOOA" TargetMode="External"/><Relationship Id="rId998" Type="http://schemas.openxmlformats.org/officeDocument/2006/relationships/hyperlink" Target="https://www.youtube.com/watch?v=udY03G3fVJQ" TargetMode="External"/><Relationship Id="rId1183" Type="http://schemas.openxmlformats.org/officeDocument/2006/relationships/hyperlink" Target="https://www.youtube.com/watch?v=B3K5KRgT0oE" TargetMode="External"/><Relationship Id="rId1390" Type="http://schemas.openxmlformats.org/officeDocument/2006/relationships/hyperlink" Target="https://www.youtube.com/watch?v=OI3nL5YCIO8" TargetMode="External"/><Relationship Id="rId1404" Type="http://schemas.openxmlformats.org/officeDocument/2006/relationships/hyperlink" Target="https://www.youtube.com/watch?v=g8GW7DlPr4g" TargetMode="External"/><Relationship Id="rId192" Type="http://schemas.openxmlformats.org/officeDocument/2006/relationships/hyperlink" Target="https://www.youtube.com/watch?v=schP-IZS5Sw" TargetMode="External"/><Relationship Id="rId206" Type="http://schemas.openxmlformats.org/officeDocument/2006/relationships/hyperlink" Target="https://www.youtube.com/watch?v=8RSu4ymCgp4" TargetMode="External"/><Relationship Id="rId413" Type="http://schemas.openxmlformats.org/officeDocument/2006/relationships/hyperlink" Target="https://www.youtube.com/watch?v=RKYffxIB9EM" TargetMode="External"/><Relationship Id="rId858" Type="http://schemas.openxmlformats.org/officeDocument/2006/relationships/hyperlink" Target="https://www.youtube.com/watch?v=bFIqLn3c85c" TargetMode="External"/><Relationship Id="rId1043" Type="http://schemas.openxmlformats.org/officeDocument/2006/relationships/hyperlink" Target="https://www.youtube.com/watch?v=xkyySDtO5HU" TargetMode="External"/><Relationship Id="rId1488" Type="http://schemas.openxmlformats.org/officeDocument/2006/relationships/hyperlink" Target="https://www.youtube.com/watch?v=xCLLCYBg7Zc" TargetMode="External"/><Relationship Id="rId497" Type="http://schemas.openxmlformats.org/officeDocument/2006/relationships/hyperlink" Target="https://www.youtube.com/watch?v=d9iObjKR5yI" TargetMode="External"/><Relationship Id="rId620" Type="http://schemas.openxmlformats.org/officeDocument/2006/relationships/hyperlink" Target="https://www.youtube.com/watch?v=t5AEphve0P8" TargetMode="External"/><Relationship Id="rId718" Type="http://schemas.openxmlformats.org/officeDocument/2006/relationships/hyperlink" Target="https://www.youtube.com/watch?v=Xml5nVm8bg0" TargetMode="External"/><Relationship Id="rId925" Type="http://schemas.openxmlformats.org/officeDocument/2006/relationships/hyperlink" Target="https://www.youtube.com/watch?v=ZwiLQGKP--A" TargetMode="External"/><Relationship Id="rId1250" Type="http://schemas.openxmlformats.org/officeDocument/2006/relationships/hyperlink" Target="https://www.youtube.com/watch?v=6M1Mp5tvk-E" TargetMode="External"/><Relationship Id="rId1348" Type="http://schemas.openxmlformats.org/officeDocument/2006/relationships/hyperlink" Target="https://www.youtube.com/watch?v=eKSuEJqn2NI" TargetMode="External"/><Relationship Id="rId357" Type="http://schemas.openxmlformats.org/officeDocument/2006/relationships/hyperlink" Target="https://www.youtube.com/watch?v=MBzty84VgRo" TargetMode="External"/><Relationship Id="rId1110" Type="http://schemas.openxmlformats.org/officeDocument/2006/relationships/hyperlink" Target="https://www.youtube.com/watch?v=3dYP3FhD3Po" TargetMode="External"/><Relationship Id="rId1194" Type="http://schemas.openxmlformats.org/officeDocument/2006/relationships/hyperlink" Target="https://www.youtube.com/watch?v=MFeGLeUGf6Q" TargetMode="External"/><Relationship Id="rId1208" Type="http://schemas.openxmlformats.org/officeDocument/2006/relationships/hyperlink" Target="https://www.youtube.com/watch?v=0gtyqapBB3A" TargetMode="External"/><Relationship Id="rId1415" Type="http://schemas.openxmlformats.org/officeDocument/2006/relationships/hyperlink" Target="https://www.youtube.com/watch?v=DBYSIkWsAOI" TargetMode="External"/><Relationship Id="rId54" Type="http://schemas.openxmlformats.org/officeDocument/2006/relationships/hyperlink" Target="https://www.youtube.com/watch?v=WsjxXfklatk" TargetMode="External"/><Relationship Id="rId217" Type="http://schemas.openxmlformats.org/officeDocument/2006/relationships/hyperlink" Target="https://www.youtube.com/watch?v=apOba1F4MT4" TargetMode="External"/><Relationship Id="rId564" Type="http://schemas.openxmlformats.org/officeDocument/2006/relationships/hyperlink" Target="https://www.youtube.com/watch?v=dZCZp5udJeI" TargetMode="External"/><Relationship Id="rId771" Type="http://schemas.openxmlformats.org/officeDocument/2006/relationships/hyperlink" Target="https://www.youtube.com/watch?v=yB7P6V4_zUw" TargetMode="External"/><Relationship Id="rId869" Type="http://schemas.openxmlformats.org/officeDocument/2006/relationships/hyperlink" Target="https://www.youtube.com/watch?v=AefxKKTqv5I" TargetMode="External"/><Relationship Id="rId1499" Type="http://schemas.openxmlformats.org/officeDocument/2006/relationships/hyperlink" Target="https://www.youtube.com/watch?v=dHQ-HMVdPyE" TargetMode="External"/><Relationship Id="rId424" Type="http://schemas.openxmlformats.org/officeDocument/2006/relationships/hyperlink" Target="https://www.youtube.com/watch?v=AOQPqjRx-0c" TargetMode="External"/><Relationship Id="rId631" Type="http://schemas.openxmlformats.org/officeDocument/2006/relationships/hyperlink" Target="https://www.youtube.com/watch?v=G-AjF_4Jc1I" TargetMode="External"/><Relationship Id="rId729" Type="http://schemas.openxmlformats.org/officeDocument/2006/relationships/hyperlink" Target="https://www.youtube.com/watch?v=xA9TKhOjY24" TargetMode="External"/><Relationship Id="rId1054" Type="http://schemas.openxmlformats.org/officeDocument/2006/relationships/hyperlink" Target="https://www.youtube.com/watch?v=iZ6Xk9YCaaY" TargetMode="External"/><Relationship Id="rId1261" Type="http://schemas.openxmlformats.org/officeDocument/2006/relationships/hyperlink" Target="https://www.youtube.com/watch?v=IS6hRiM7WuU" TargetMode="External"/><Relationship Id="rId1359" Type="http://schemas.openxmlformats.org/officeDocument/2006/relationships/hyperlink" Target="https://www.youtube.com/watch?v=BlNY-1vmqvA" TargetMode="External"/><Relationship Id="rId270" Type="http://schemas.openxmlformats.org/officeDocument/2006/relationships/hyperlink" Target="https://www.youtube.com/watch?v=7jIfpSOnmK8" TargetMode="External"/><Relationship Id="rId936" Type="http://schemas.openxmlformats.org/officeDocument/2006/relationships/hyperlink" Target="https://www.youtube.com/watch?v=NNu6sJz2cPI" TargetMode="External"/><Relationship Id="rId1121" Type="http://schemas.openxmlformats.org/officeDocument/2006/relationships/hyperlink" Target="https://www.youtube.com/watch?v=NaCx35vC5wg" TargetMode="External"/><Relationship Id="rId1219" Type="http://schemas.openxmlformats.org/officeDocument/2006/relationships/hyperlink" Target="https://www.youtube.com/watch?v=8usGAaPq-WY" TargetMode="External"/><Relationship Id="rId65" Type="http://schemas.openxmlformats.org/officeDocument/2006/relationships/hyperlink" Target="https://www.youtube.com/watch?v=BEz8X5SUwjY" TargetMode="External"/><Relationship Id="rId130" Type="http://schemas.openxmlformats.org/officeDocument/2006/relationships/hyperlink" Target="https://www.youtube.com/watch?v=28dLjjiriJA" TargetMode="External"/><Relationship Id="rId368" Type="http://schemas.openxmlformats.org/officeDocument/2006/relationships/hyperlink" Target="https://www.youtube.com/watch?v=Wu9WbgwxgjI" TargetMode="External"/><Relationship Id="rId575" Type="http://schemas.openxmlformats.org/officeDocument/2006/relationships/hyperlink" Target="https://www.youtube.com/watch?v=j84sUcOTBRM" TargetMode="External"/><Relationship Id="rId782" Type="http://schemas.openxmlformats.org/officeDocument/2006/relationships/hyperlink" Target="https://www.youtube.com/watch?v=ebsBucPcYoU" TargetMode="External"/><Relationship Id="rId1426" Type="http://schemas.openxmlformats.org/officeDocument/2006/relationships/hyperlink" Target="https://www.youtube.com/watch?v=Ts09Fp7M53k" TargetMode="External"/><Relationship Id="rId228" Type="http://schemas.openxmlformats.org/officeDocument/2006/relationships/hyperlink" Target="https://www.youtube.com/watch?v=iFLc0n8RSAA" TargetMode="External"/><Relationship Id="rId435" Type="http://schemas.openxmlformats.org/officeDocument/2006/relationships/hyperlink" Target="https://www.youtube.com/watch?v=nEEhdprZ-EE" TargetMode="External"/><Relationship Id="rId642" Type="http://schemas.openxmlformats.org/officeDocument/2006/relationships/hyperlink" Target="https://www.youtube.com/watch?v=tD7VxQAIPLM" TargetMode="External"/><Relationship Id="rId1065" Type="http://schemas.openxmlformats.org/officeDocument/2006/relationships/hyperlink" Target="https://www.youtube.com/watch?v=gzOZ5Lo3n9Y" TargetMode="External"/><Relationship Id="rId1272" Type="http://schemas.openxmlformats.org/officeDocument/2006/relationships/hyperlink" Target="https://www.youtube.com/watch?v=ImpfhngYCCA" TargetMode="External"/><Relationship Id="rId281" Type="http://schemas.openxmlformats.org/officeDocument/2006/relationships/hyperlink" Target="https://www.youtube.com/watch?v=OBViSvvLu-s" TargetMode="External"/><Relationship Id="rId502" Type="http://schemas.openxmlformats.org/officeDocument/2006/relationships/hyperlink" Target="https://www.youtube.com/watch?v=yr_-UHm07rM" TargetMode="External"/><Relationship Id="rId947" Type="http://schemas.openxmlformats.org/officeDocument/2006/relationships/hyperlink" Target="https://www.youtube.com/watch?v=AB0KeX_0T2I" TargetMode="External"/><Relationship Id="rId1132" Type="http://schemas.openxmlformats.org/officeDocument/2006/relationships/hyperlink" Target="https://www.youtube.com/watch?v=tlCqUXsDwDc" TargetMode="External"/><Relationship Id="rId76" Type="http://schemas.openxmlformats.org/officeDocument/2006/relationships/hyperlink" Target="https://www.youtube.com/watch?v=VeR7IhIkDk0" TargetMode="External"/><Relationship Id="rId141" Type="http://schemas.openxmlformats.org/officeDocument/2006/relationships/hyperlink" Target="https://www.youtube.com/watch?v=OpsoPcAUMbw" TargetMode="External"/><Relationship Id="rId379" Type="http://schemas.openxmlformats.org/officeDocument/2006/relationships/hyperlink" Target="https://www.youtube.com/watch?v=yIUwgFjMrg8" TargetMode="External"/><Relationship Id="rId586" Type="http://schemas.openxmlformats.org/officeDocument/2006/relationships/hyperlink" Target="https://www.youtube.com/watch?v=OXYcMlprdL4" TargetMode="External"/><Relationship Id="rId793" Type="http://schemas.openxmlformats.org/officeDocument/2006/relationships/hyperlink" Target="https://www.youtube.com/watch?v=BNly0XIZX6c" TargetMode="External"/><Relationship Id="rId807" Type="http://schemas.openxmlformats.org/officeDocument/2006/relationships/hyperlink" Target="https://www.youtube.com/watch?v=yCrftsxElf8" TargetMode="External"/><Relationship Id="rId1437" Type="http://schemas.openxmlformats.org/officeDocument/2006/relationships/hyperlink" Target="https://www.youtube.com/watch?v=tPgOVeqnOcc" TargetMode="External"/><Relationship Id="rId7" Type="http://schemas.openxmlformats.org/officeDocument/2006/relationships/hyperlink" Target="https://www.youtube.com/watch?v=FytdS2vMJfU" TargetMode="External"/><Relationship Id="rId239" Type="http://schemas.openxmlformats.org/officeDocument/2006/relationships/hyperlink" Target="https://www.youtube.com/watch?v=v6It_CJ27bg" TargetMode="External"/><Relationship Id="rId446" Type="http://schemas.openxmlformats.org/officeDocument/2006/relationships/hyperlink" Target="https://www.youtube.com/watch?v=kmJLZRzZhUA" TargetMode="External"/><Relationship Id="rId653" Type="http://schemas.openxmlformats.org/officeDocument/2006/relationships/hyperlink" Target="https://www.youtube.com/watch?v=p4NkqPPh2fk" TargetMode="External"/><Relationship Id="rId1076" Type="http://schemas.openxmlformats.org/officeDocument/2006/relationships/hyperlink" Target="https://www.youtube.com/watch?v=0W0XxcsCH_0" TargetMode="External"/><Relationship Id="rId1283" Type="http://schemas.openxmlformats.org/officeDocument/2006/relationships/hyperlink" Target="https://www.youtube.com/watch?v=69M5XJQEYX4" TargetMode="External"/><Relationship Id="rId1490" Type="http://schemas.openxmlformats.org/officeDocument/2006/relationships/hyperlink" Target="https://www.youtube.com/watch?v=s4vjcCAXvVI" TargetMode="External"/><Relationship Id="rId1504" Type="http://schemas.openxmlformats.org/officeDocument/2006/relationships/hyperlink" Target="https://www.youtube.com/watch?v=dvcJI5yAd6M&amp;t=122s" TargetMode="External"/><Relationship Id="rId292" Type="http://schemas.openxmlformats.org/officeDocument/2006/relationships/hyperlink" Target="https://www.youtube.com/watch?v=p6HgGSKj2m8" TargetMode="External"/><Relationship Id="rId306" Type="http://schemas.openxmlformats.org/officeDocument/2006/relationships/hyperlink" Target="https://www.youtube.com/watch?v=5K-nmVDwXW0" TargetMode="External"/><Relationship Id="rId860" Type="http://schemas.openxmlformats.org/officeDocument/2006/relationships/hyperlink" Target="https://www.youtube.com/watch?v=PWZrF-TGsWo" TargetMode="External"/><Relationship Id="rId958" Type="http://schemas.openxmlformats.org/officeDocument/2006/relationships/hyperlink" Target="https://www.youtube.com/watch?v=EMznloyYysU" TargetMode="External"/><Relationship Id="rId1143" Type="http://schemas.openxmlformats.org/officeDocument/2006/relationships/hyperlink" Target="https://www.youtube.com/watch?v=bGDeGR7DrFw" TargetMode="External"/><Relationship Id="rId87" Type="http://schemas.openxmlformats.org/officeDocument/2006/relationships/hyperlink" Target="https://www.youtube.com/watch?v=rNhQIKC2jPM" TargetMode="External"/><Relationship Id="rId513" Type="http://schemas.openxmlformats.org/officeDocument/2006/relationships/hyperlink" Target="https://www.youtube.com/watch?v=_xIbCmTtK8s" TargetMode="External"/><Relationship Id="rId597" Type="http://schemas.openxmlformats.org/officeDocument/2006/relationships/hyperlink" Target="https://www.youtube.com/watch?v=fyMRRD_YeRI" TargetMode="External"/><Relationship Id="rId720" Type="http://schemas.openxmlformats.org/officeDocument/2006/relationships/hyperlink" Target="https://www.youtube.com/watch?v=I6Nwopg3FIw" TargetMode="External"/><Relationship Id="rId818" Type="http://schemas.openxmlformats.org/officeDocument/2006/relationships/hyperlink" Target="https://www.youtube.com/watch?v=5P0vjP1Hdvs" TargetMode="External"/><Relationship Id="rId1350" Type="http://schemas.openxmlformats.org/officeDocument/2006/relationships/hyperlink" Target="https://www.youtube.com/watch?v=1UnsEQPK3PQ" TargetMode="External"/><Relationship Id="rId1448" Type="http://schemas.openxmlformats.org/officeDocument/2006/relationships/hyperlink" Target="https://www.youtube.com/watch?v=4ej2lqB-kjM" TargetMode="External"/><Relationship Id="rId152" Type="http://schemas.openxmlformats.org/officeDocument/2006/relationships/hyperlink" Target="https://www.youtube.com/watch?v=y1fdkGgCt64" TargetMode="External"/><Relationship Id="rId457" Type="http://schemas.openxmlformats.org/officeDocument/2006/relationships/hyperlink" Target="https://www.youtube.com/watch?v=oYXPvuD_ejM" TargetMode="External"/><Relationship Id="rId1003" Type="http://schemas.openxmlformats.org/officeDocument/2006/relationships/hyperlink" Target="https://www.youtube.com/watch?v=a6bj2Qddmzk" TargetMode="External"/><Relationship Id="rId1087" Type="http://schemas.openxmlformats.org/officeDocument/2006/relationships/hyperlink" Target="https://www.youtube.com/watch?v=3dgPn1KOovw" TargetMode="External"/><Relationship Id="rId1210" Type="http://schemas.openxmlformats.org/officeDocument/2006/relationships/hyperlink" Target="https://www.youtube.com/watch?v=EKyX0QsZVJc" TargetMode="External"/><Relationship Id="rId1294" Type="http://schemas.openxmlformats.org/officeDocument/2006/relationships/hyperlink" Target="https://www.youtube.com/watch?v=Voaw-uef3Tw" TargetMode="External"/><Relationship Id="rId1308" Type="http://schemas.openxmlformats.org/officeDocument/2006/relationships/hyperlink" Target="https://www.youtube.com/watch?v=7-JbRtATwHQ" TargetMode="External"/><Relationship Id="rId664" Type="http://schemas.openxmlformats.org/officeDocument/2006/relationships/hyperlink" Target="https://www.youtube.com/watch?v=3eTjsY7w5kM" TargetMode="External"/><Relationship Id="rId871" Type="http://schemas.openxmlformats.org/officeDocument/2006/relationships/hyperlink" Target="https://www.youtube.com/watch?v=7gTT37SeSUc" TargetMode="External"/><Relationship Id="rId969" Type="http://schemas.openxmlformats.org/officeDocument/2006/relationships/hyperlink" Target="https://www.youtube.com/watch?v=ZhuUYD3QvB8" TargetMode="External"/><Relationship Id="rId1515" Type="http://schemas.openxmlformats.org/officeDocument/2006/relationships/drawing" Target="../drawings/drawing1.xml"/><Relationship Id="rId14" Type="http://schemas.openxmlformats.org/officeDocument/2006/relationships/hyperlink" Target="https://www.youtube.com/watch?v=PcNDlU0LyJk" TargetMode="External"/><Relationship Id="rId317" Type="http://schemas.openxmlformats.org/officeDocument/2006/relationships/hyperlink" Target="https://www.youtube.com/watch?v=2uOiM67vK6A" TargetMode="External"/><Relationship Id="rId524" Type="http://schemas.openxmlformats.org/officeDocument/2006/relationships/hyperlink" Target="https://www.youtube.com/watch?v=ZWkU2WQv4mM" TargetMode="External"/><Relationship Id="rId731" Type="http://schemas.openxmlformats.org/officeDocument/2006/relationships/hyperlink" Target="https://www.youtube.com/watch?v=w2e5eqI49cE" TargetMode="External"/><Relationship Id="rId1154" Type="http://schemas.openxmlformats.org/officeDocument/2006/relationships/hyperlink" Target="https://www.youtube.com/watch?v=qiir-ZWT6yI" TargetMode="External"/><Relationship Id="rId1361" Type="http://schemas.openxmlformats.org/officeDocument/2006/relationships/hyperlink" Target="https://www.youtube.com/watch?v=_CKZQa18hcY" TargetMode="External"/><Relationship Id="rId1459" Type="http://schemas.openxmlformats.org/officeDocument/2006/relationships/hyperlink" Target="https://www.youtube.com/watch?v=1CJb6PuWDqk" TargetMode="External"/><Relationship Id="rId98" Type="http://schemas.openxmlformats.org/officeDocument/2006/relationships/hyperlink" Target="https://www.youtube.com/watch?v=Yhp3rFuo5Cw" TargetMode="External"/><Relationship Id="rId163" Type="http://schemas.openxmlformats.org/officeDocument/2006/relationships/hyperlink" Target="https://www.youtube.com/watch?v=knJJGEYwaZw" TargetMode="External"/><Relationship Id="rId370" Type="http://schemas.openxmlformats.org/officeDocument/2006/relationships/hyperlink" Target="https://www.youtube.com/watch?v=zqnotAbf-Cc" TargetMode="External"/><Relationship Id="rId829" Type="http://schemas.openxmlformats.org/officeDocument/2006/relationships/hyperlink" Target="https://www.youtube.com/watch?v=61VsCIaQhX4" TargetMode="External"/><Relationship Id="rId1014" Type="http://schemas.openxmlformats.org/officeDocument/2006/relationships/hyperlink" Target="https://www.youtube.com/watch?v=xl6nyKVDNCQ" TargetMode="External"/><Relationship Id="rId1221" Type="http://schemas.openxmlformats.org/officeDocument/2006/relationships/hyperlink" Target="https://www.youtube.com/watch?v=RfiT3REVHxQ" TargetMode="External"/><Relationship Id="rId230" Type="http://schemas.openxmlformats.org/officeDocument/2006/relationships/hyperlink" Target="https://www.youtube.com/watch?v=eKtCOiQbVX0" TargetMode="External"/><Relationship Id="rId468" Type="http://schemas.openxmlformats.org/officeDocument/2006/relationships/hyperlink" Target="https://www.youtube.com/watch?v=iY88UCitwGY" TargetMode="External"/><Relationship Id="rId675" Type="http://schemas.openxmlformats.org/officeDocument/2006/relationships/hyperlink" Target="https://www.youtube.com/watch?v=55sjF1l4Hu0" TargetMode="External"/><Relationship Id="rId882" Type="http://schemas.openxmlformats.org/officeDocument/2006/relationships/hyperlink" Target="https://www.youtube.com/watch?v=adov37an6hU" TargetMode="External"/><Relationship Id="rId1098" Type="http://schemas.openxmlformats.org/officeDocument/2006/relationships/hyperlink" Target="https://www.youtube.com/watch?v=0ol6BUtHZu8" TargetMode="External"/><Relationship Id="rId1319" Type="http://schemas.openxmlformats.org/officeDocument/2006/relationships/hyperlink" Target="https://www.youtube.com/watch?v=C6sAuCIhIzA" TargetMode="External"/><Relationship Id="rId25" Type="http://schemas.openxmlformats.org/officeDocument/2006/relationships/hyperlink" Target="https://www.youtube.com/watch?v=KVDRl_wLqdM" TargetMode="External"/><Relationship Id="rId328" Type="http://schemas.openxmlformats.org/officeDocument/2006/relationships/hyperlink" Target="https://www.youtube.com/watch?v=wH8I0vSB-Os" TargetMode="External"/><Relationship Id="rId535" Type="http://schemas.openxmlformats.org/officeDocument/2006/relationships/hyperlink" Target="https://www.youtube.com/watch?v=R_G2Gd70LiY" TargetMode="External"/><Relationship Id="rId742" Type="http://schemas.openxmlformats.org/officeDocument/2006/relationships/hyperlink" Target="https://www.youtube.com/watch?v=VxI-y4zU4YE" TargetMode="External"/><Relationship Id="rId1165" Type="http://schemas.openxmlformats.org/officeDocument/2006/relationships/hyperlink" Target="https://www.youtube.com/watch?v=nUfn2eRsHgo" TargetMode="External"/><Relationship Id="rId1372" Type="http://schemas.openxmlformats.org/officeDocument/2006/relationships/hyperlink" Target="https://www.youtube.com/watch?v=4ZkNnR--tMY" TargetMode="External"/><Relationship Id="rId174" Type="http://schemas.openxmlformats.org/officeDocument/2006/relationships/hyperlink" Target="https://www.youtube.com/watch?v=BcDC-Op1hJc" TargetMode="External"/><Relationship Id="rId381" Type="http://schemas.openxmlformats.org/officeDocument/2006/relationships/hyperlink" Target="https://www.youtube.com/watch?v=pAHRrR6eeDU" TargetMode="External"/><Relationship Id="rId602" Type="http://schemas.openxmlformats.org/officeDocument/2006/relationships/hyperlink" Target="https://www.youtube.com/watch?v=tBf6vZKjL9w" TargetMode="External"/><Relationship Id="rId1025" Type="http://schemas.openxmlformats.org/officeDocument/2006/relationships/hyperlink" Target="https://www.youtube.com/watch?v=gPdm-EF13GU" TargetMode="External"/><Relationship Id="rId1232" Type="http://schemas.openxmlformats.org/officeDocument/2006/relationships/hyperlink" Target="https://www.youtube.com/watch?v=Y5sHrOViVq0" TargetMode="External"/><Relationship Id="rId241" Type="http://schemas.openxmlformats.org/officeDocument/2006/relationships/hyperlink" Target="https://www.youtube.com/watch?v=vSLKEwGRgbY" TargetMode="External"/><Relationship Id="rId479" Type="http://schemas.openxmlformats.org/officeDocument/2006/relationships/hyperlink" Target="https://www.youtube.com/watch?v=4H5piNrmsCU" TargetMode="External"/><Relationship Id="rId686" Type="http://schemas.openxmlformats.org/officeDocument/2006/relationships/hyperlink" Target="https://www.youtube.com/watch?v=Cv8kec-TugY" TargetMode="External"/><Relationship Id="rId893" Type="http://schemas.openxmlformats.org/officeDocument/2006/relationships/hyperlink" Target="https://www.youtube.com/watch?v=xuKnWRKpLyM" TargetMode="External"/><Relationship Id="rId907" Type="http://schemas.openxmlformats.org/officeDocument/2006/relationships/hyperlink" Target="https://www.youtube.com/watch?v=tpUBWJjtzrA" TargetMode="External"/><Relationship Id="rId36" Type="http://schemas.openxmlformats.org/officeDocument/2006/relationships/hyperlink" Target="https://www.youtube.com/watch?v=0Y3z-QStbk8" TargetMode="External"/><Relationship Id="rId339" Type="http://schemas.openxmlformats.org/officeDocument/2006/relationships/hyperlink" Target="https://www.youtube.com/watch?v=wgud4Fi47XA" TargetMode="External"/><Relationship Id="rId546" Type="http://schemas.openxmlformats.org/officeDocument/2006/relationships/hyperlink" Target="https://www.youtube.com/watch?v=NpqJHyWjh7A" TargetMode="External"/><Relationship Id="rId753" Type="http://schemas.openxmlformats.org/officeDocument/2006/relationships/hyperlink" Target="https://www.youtube.com/watch?v=AjEKOFHh4yM" TargetMode="External"/><Relationship Id="rId1176" Type="http://schemas.openxmlformats.org/officeDocument/2006/relationships/hyperlink" Target="https://www.youtube.com/watch?v=6WJO3QlTEpg" TargetMode="External"/><Relationship Id="rId1383" Type="http://schemas.openxmlformats.org/officeDocument/2006/relationships/hyperlink" Target="https://www.youtube.com/watch?v=gtJ9OzJIB_c" TargetMode="External"/><Relationship Id="rId101" Type="http://schemas.openxmlformats.org/officeDocument/2006/relationships/hyperlink" Target="https://www.youtube.com/watch?v=vHWsmGyjOk0" TargetMode="External"/><Relationship Id="rId185" Type="http://schemas.openxmlformats.org/officeDocument/2006/relationships/hyperlink" Target="https://www.youtube.com/watch?v=0uPW7Jf9y7o" TargetMode="External"/><Relationship Id="rId406" Type="http://schemas.openxmlformats.org/officeDocument/2006/relationships/hyperlink" Target="https://www.youtube.com/watch?v=XeCuvEX-tow" TargetMode="External"/><Relationship Id="rId960" Type="http://schemas.openxmlformats.org/officeDocument/2006/relationships/hyperlink" Target="https://www.youtube.com/watch?v=Xsq9jAEpAY8" TargetMode="External"/><Relationship Id="rId1036" Type="http://schemas.openxmlformats.org/officeDocument/2006/relationships/hyperlink" Target="https://www.youtube.com/watch?v=D7yIybTWmmU" TargetMode="External"/><Relationship Id="rId1243" Type="http://schemas.openxmlformats.org/officeDocument/2006/relationships/hyperlink" Target="https://www.youtube.com/watch?v=-pTe3fDFF7U" TargetMode="External"/><Relationship Id="rId392" Type="http://schemas.openxmlformats.org/officeDocument/2006/relationships/hyperlink" Target="https://www.youtube.com/watch?v=L2rJctVLi3M" TargetMode="External"/><Relationship Id="rId613" Type="http://schemas.openxmlformats.org/officeDocument/2006/relationships/hyperlink" Target="https://www.youtube.com/watch?v=T-iBVjoTxpY" TargetMode="External"/><Relationship Id="rId697" Type="http://schemas.openxmlformats.org/officeDocument/2006/relationships/hyperlink" Target="https://www.youtube.com/watch?v=fKsfq4rFzbA" TargetMode="External"/><Relationship Id="rId820" Type="http://schemas.openxmlformats.org/officeDocument/2006/relationships/hyperlink" Target="https://www.youtube.com/watch?v=OAcu0ZHtcXc" TargetMode="External"/><Relationship Id="rId918" Type="http://schemas.openxmlformats.org/officeDocument/2006/relationships/hyperlink" Target="https://www.youtube.com/watch?v=5HrBZvxcPmY" TargetMode="External"/><Relationship Id="rId1450" Type="http://schemas.openxmlformats.org/officeDocument/2006/relationships/hyperlink" Target="https://www.youtube.com/watch?v=OmWUkxANoEk" TargetMode="External"/><Relationship Id="rId252" Type="http://schemas.openxmlformats.org/officeDocument/2006/relationships/hyperlink" Target="https://www.youtube.com/watch?v=6LOxjxiZ3NQ" TargetMode="External"/><Relationship Id="rId1103" Type="http://schemas.openxmlformats.org/officeDocument/2006/relationships/hyperlink" Target="https://www.youtube.com/watch?v=eVhJjqlSE8s" TargetMode="External"/><Relationship Id="rId1187" Type="http://schemas.openxmlformats.org/officeDocument/2006/relationships/hyperlink" Target="https://www.youtube.com/watch?v=SmB_GUlrfzk" TargetMode="External"/><Relationship Id="rId1310" Type="http://schemas.openxmlformats.org/officeDocument/2006/relationships/hyperlink" Target="https://www.youtube.com/watch?v=N6IDjOR1OY0" TargetMode="External"/><Relationship Id="rId1408" Type="http://schemas.openxmlformats.org/officeDocument/2006/relationships/hyperlink" Target="https://www.youtube.com/watch?v=DMReaVWJGFE" TargetMode="External"/><Relationship Id="rId47" Type="http://schemas.openxmlformats.org/officeDocument/2006/relationships/hyperlink" Target="https://www.youtube.com/watch?v=LdrmgXtd_rs" TargetMode="External"/><Relationship Id="rId112" Type="http://schemas.openxmlformats.org/officeDocument/2006/relationships/hyperlink" Target="https://www.youtube.com/watch?v=JXjMYvGqqDE" TargetMode="External"/><Relationship Id="rId557" Type="http://schemas.openxmlformats.org/officeDocument/2006/relationships/hyperlink" Target="https://www.youtube.com/watch?v=FKg_FjS3qZw" TargetMode="External"/><Relationship Id="rId764" Type="http://schemas.openxmlformats.org/officeDocument/2006/relationships/hyperlink" Target="https://www.youtube.com/watch?v=V-N1KdB7QTg" TargetMode="External"/><Relationship Id="rId971" Type="http://schemas.openxmlformats.org/officeDocument/2006/relationships/hyperlink" Target="https://www.youtube.com/watch?v=G2ke7Higm-Y" TargetMode="External"/><Relationship Id="rId1394" Type="http://schemas.openxmlformats.org/officeDocument/2006/relationships/hyperlink" Target="https://www.youtube.com/watch?v=vhlPSbFlxPI" TargetMode="External"/><Relationship Id="rId196" Type="http://schemas.openxmlformats.org/officeDocument/2006/relationships/hyperlink" Target="https://www.youtube.com/watch?v=-WPYCv8jdJc" TargetMode="External"/><Relationship Id="rId417" Type="http://schemas.openxmlformats.org/officeDocument/2006/relationships/hyperlink" Target="https://www.youtube.com/watch?v=y-v-Ijc7W3Y" TargetMode="External"/><Relationship Id="rId624" Type="http://schemas.openxmlformats.org/officeDocument/2006/relationships/hyperlink" Target="https://www.youtube.com/watch?v=Iimv8qJijTE" TargetMode="External"/><Relationship Id="rId831" Type="http://schemas.openxmlformats.org/officeDocument/2006/relationships/hyperlink" Target="https://www.youtube.com/watch?v=o4_iAmYXDzg" TargetMode="External"/><Relationship Id="rId1047" Type="http://schemas.openxmlformats.org/officeDocument/2006/relationships/hyperlink" Target="https://www.youtube.com/watch?v=GCo89ggyUKw" TargetMode="External"/><Relationship Id="rId1254" Type="http://schemas.openxmlformats.org/officeDocument/2006/relationships/hyperlink" Target="https://www.youtube.com/watch?v=13shkRG4RMc" TargetMode="External"/><Relationship Id="rId1461" Type="http://schemas.openxmlformats.org/officeDocument/2006/relationships/hyperlink" Target="https://www.youtube.com/watch?v=3Pat7agSMJU&amp;t=22s" TargetMode="External"/><Relationship Id="rId263" Type="http://schemas.openxmlformats.org/officeDocument/2006/relationships/hyperlink" Target="https://www.youtube.com/watch?v=3f7b_ZE5B1Y" TargetMode="External"/><Relationship Id="rId470" Type="http://schemas.openxmlformats.org/officeDocument/2006/relationships/hyperlink" Target="https://www.youtube.com/watch?v=KBA7GLExw3o" TargetMode="External"/><Relationship Id="rId929" Type="http://schemas.openxmlformats.org/officeDocument/2006/relationships/hyperlink" Target="https://www.youtube.com/watch?v=ohUG8LIy7Cs" TargetMode="External"/><Relationship Id="rId1114" Type="http://schemas.openxmlformats.org/officeDocument/2006/relationships/hyperlink" Target="https://www.youtube.com/watch?v=07rLdtPRbEE" TargetMode="External"/><Relationship Id="rId1321" Type="http://schemas.openxmlformats.org/officeDocument/2006/relationships/hyperlink" Target="https://www.youtube.com/watch?v=strZVEaixcs" TargetMode="External"/><Relationship Id="rId58" Type="http://schemas.openxmlformats.org/officeDocument/2006/relationships/hyperlink" Target="https://www.youtube.com/watch?v=C3_6Ub1GnfA" TargetMode="External"/><Relationship Id="rId123" Type="http://schemas.openxmlformats.org/officeDocument/2006/relationships/hyperlink" Target="https://www.youtube.com/watch?v=s3LVHHEe2vc" TargetMode="External"/><Relationship Id="rId330" Type="http://schemas.openxmlformats.org/officeDocument/2006/relationships/hyperlink" Target="https://www.youtube.com/watch?v=Um1LJAfSPoo" TargetMode="External"/><Relationship Id="rId568" Type="http://schemas.openxmlformats.org/officeDocument/2006/relationships/hyperlink" Target="https://www.youtube.com/watch?v=Q3ZGmGasWfc" TargetMode="External"/><Relationship Id="rId775" Type="http://schemas.openxmlformats.org/officeDocument/2006/relationships/hyperlink" Target="https://www.youtube.com/watch?v=hFK3wIxZt3g" TargetMode="External"/><Relationship Id="rId982" Type="http://schemas.openxmlformats.org/officeDocument/2006/relationships/hyperlink" Target="https://www.youtube.com/watch?v=4PxIlOKBbng" TargetMode="External"/><Relationship Id="rId1198" Type="http://schemas.openxmlformats.org/officeDocument/2006/relationships/hyperlink" Target="https://www.youtube.com/watch?v=ZoDHsv06lNI" TargetMode="External"/><Relationship Id="rId1419" Type="http://schemas.openxmlformats.org/officeDocument/2006/relationships/hyperlink" Target="https://www.youtube.com/watch?v=uaTb9-4kT2Y" TargetMode="External"/><Relationship Id="rId428" Type="http://schemas.openxmlformats.org/officeDocument/2006/relationships/hyperlink" Target="https://www.youtube.com/watch?v=9ScY3DQ8lnM" TargetMode="External"/><Relationship Id="rId635" Type="http://schemas.openxmlformats.org/officeDocument/2006/relationships/hyperlink" Target="https://www.youtube.com/watch?v=olQlPZuEWLY" TargetMode="External"/><Relationship Id="rId842" Type="http://schemas.openxmlformats.org/officeDocument/2006/relationships/hyperlink" Target="https://www.youtube.com/watch?v=G6rcMSQ1UVE" TargetMode="External"/><Relationship Id="rId1058" Type="http://schemas.openxmlformats.org/officeDocument/2006/relationships/hyperlink" Target="https://www.youtube.com/watch?v=Q7TqlnXF3cA" TargetMode="External"/><Relationship Id="rId1265" Type="http://schemas.openxmlformats.org/officeDocument/2006/relationships/hyperlink" Target="https://www.youtube.com/watch?v=6KN0GnYv6xQ" TargetMode="External"/><Relationship Id="rId1472" Type="http://schemas.openxmlformats.org/officeDocument/2006/relationships/hyperlink" Target="https://www.youtube.com/watch?v=HQK8u4lh7y0" TargetMode="External"/><Relationship Id="rId274" Type="http://schemas.openxmlformats.org/officeDocument/2006/relationships/hyperlink" Target="https://www.youtube.com/watch?v=2WYZtS_LLog" TargetMode="External"/><Relationship Id="rId481" Type="http://schemas.openxmlformats.org/officeDocument/2006/relationships/hyperlink" Target="https://www.youtube.com/watch?v=bEc29vVNLOc" TargetMode="External"/><Relationship Id="rId702" Type="http://schemas.openxmlformats.org/officeDocument/2006/relationships/hyperlink" Target="https://www.youtube.com/watch?v=YHee5lF9yPc" TargetMode="External"/><Relationship Id="rId1125" Type="http://schemas.openxmlformats.org/officeDocument/2006/relationships/hyperlink" Target="https://www.youtube.com/watch?v=4VaCcFKHkSY" TargetMode="External"/><Relationship Id="rId1332" Type="http://schemas.openxmlformats.org/officeDocument/2006/relationships/hyperlink" Target="https://www.youtube.com/watch?v=EXkq2inhXiw" TargetMode="External"/><Relationship Id="rId69" Type="http://schemas.openxmlformats.org/officeDocument/2006/relationships/hyperlink" Target="https://www.youtube.com/watch?v=qCG2vqnaUx4" TargetMode="External"/><Relationship Id="rId134" Type="http://schemas.openxmlformats.org/officeDocument/2006/relationships/hyperlink" Target="https://www.youtube.com/watch?v=HZ6X5Xt1nS8" TargetMode="External"/><Relationship Id="rId579" Type="http://schemas.openxmlformats.org/officeDocument/2006/relationships/hyperlink" Target="https://www.youtube.com/watch?v=zILqg37PouM" TargetMode="External"/><Relationship Id="rId786" Type="http://schemas.openxmlformats.org/officeDocument/2006/relationships/hyperlink" Target="https://www.youtube.com/watch?v=go47jpA5M1A" TargetMode="External"/><Relationship Id="rId993" Type="http://schemas.openxmlformats.org/officeDocument/2006/relationships/hyperlink" Target="https://www.youtube.com/watch?v=4xWwhXcAjhU" TargetMode="External"/><Relationship Id="rId341" Type="http://schemas.openxmlformats.org/officeDocument/2006/relationships/hyperlink" Target="https://www.youtube.com/watch?v=2Ew9deAuPwU" TargetMode="External"/><Relationship Id="rId439" Type="http://schemas.openxmlformats.org/officeDocument/2006/relationships/hyperlink" Target="https://www.youtube.com/watch?v=YD-IKZbbHeU" TargetMode="External"/><Relationship Id="rId646" Type="http://schemas.openxmlformats.org/officeDocument/2006/relationships/hyperlink" Target="https://www.youtube.com/watch?v=sdUuukDpj9s" TargetMode="External"/><Relationship Id="rId1069" Type="http://schemas.openxmlformats.org/officeDocument/2006/relationships/hyperlink" Target="https://www.youtube.com/watch?v=Y3j3g76ggFE" TargetMode="External"/><Relationship Id="rId1276" Type="http://schemas.openxmlformats.org/officeDocument/2006/relationships/hyperlink" Target="https://www.youtube.com/watch?v=NpCmOPhka6g" TargetMode="External"/><Relationship Id="rId1483" Type="http://schemas.openxmlformats.org/officeDocument/2006/relationships/hyperlink" Target="https://www.youtube.com/watch?v=SPD35eCSgDk" TargetMode="External"/><Relationship Id="rId201" Type="http://schemas.openxmlformats.org/officeDocument/2006/relationships/hyperlink" Target="https://www.youtube.com/watch?v=nmbYnYYpa6g" TargetMode="External"/><Relationship Id="rId285" Type="http://schemas.openxmlformats.org/officeDocument/2006/relationships/hyperlink" Target="https://www.youtube.com/watch?v=vdwHHPZwNEo" TargetMode="External"/><Relationship Id="rId506" Type="http://schemas.openxmlformats.org/officeDocument/2006/relationships/hyperlink" Target="https://www.youtube.com/watch?v=11Ben3IvDQ0" TargetMode="External"/><Relationship Id="rId853" Type="http://schemas.openxmlformats.org/officeDocument/2006/relationships/hyperlink" Target="https://www.youtube.com/watch?v=wXoImJcJYxQ" TargetMode="External"/><Relationship Id="rId1136" Type="http://schemas.openxmlformats.org/officeDocument/2006/relationships/hyperlink" Target="https://www.youtube.com/watch?v=aBwX_u__31I" TargetMode="External"/><Relationship Id="rId492" Type="http://schemas.openxmlformats.org/officeDocument/2006/relationships/hyperlink" Target="https://www.youtube.com/watch?v=1_8y5fSSOlE" TargetMode="External"/><Relationship Id="rId713" Type="http://schemas.openxmlformats.org/officeDocument/2006/relationships/hyperlink" Target="https://www.youtube.com/watch?v=dlQfycnk550" TargetMode="External"/><Relationship Id="rId797" Type="http://schemas.openxmlformats.org/officeDocument/2006/relationships/hyperlink" Target="https://www.youtube.com/watch?v=w1UAQGgnz4A" TargetMode="External"/><Relationship Id="rId920" Type="http://schemas.openxmlformats.org/officeDocument/2006/relationships/hyperlink" Target="https://www.youtube.com/watch?v=KdiEMEbTV1M" TargetMode="External"/><Relationship Id="rId1343" Type="http://schemas.openxmlformats.org/officeDocument/2006/relationships/hyperlink" Target="https://www.youtube.com/watch?v=vB9JqlUiYUk" TargetMode="External"/><Relationship Id="rId145" Type="http://schemas.openxmlformats.org/officeDocument/2006/relationships/hyperlink" Target="https://www.youtube.com/watch?v=4yz6ZL-TC94" TargetMode="External"/><Relationship Id="rId352" Type="http://schemas.openxmlformats.org/officeDocument/2006/relationships/hyperlink" Target="https://www.youtube.com/watch?v=pO9qCeA640E" TargetMode="External"/><Relationship Id="rId1203" Type="http://schemas.openxmlformats.org/officeDocument/2006/relationships/hyperlink" Target="https://www.youtube.com/watch?v=84agoVdaycE" TargetMode="External"/><Relationship Id="rId1287" Type="http://schemas.openxmlformats.org/officeDocument/2006/relationships/hyperlink" Target="https://www.youtube.com/watch?v=1Gop0_4D5pE" TargetMode="External"/><Relationship Id="rId1410" Type="http://schemas.openxmlformats.org/officeDocument/2006/relationships/hyperlink" Target="https://www.youtube.com/watch?v=Zused4CGMw4" TargetMode="External"/><Relationship Id="rId1508" Type="http://schemas.openxmlformats.org/officeDocument/2006/relationships/hyperlink" Target="https://www.youtube.com/watch?v=JB_lc00AWIE" TargetMode="External"/><Relationship Id="rId212" Type="http://schemas.openxmlformats.org/officeDocument/2006/relationships/hyperlink" Target="https://www.youtube.com/watch?v=tUBrwCmKx8s" TargetMode="External"/><Relationship Id="rId657" Type="http://schemas.openxmlformats.org/officeDocument/2006/relationships/hyperlink" Target="https://www.youtube.com/watch?v=GpEk4HU0r2Y" TargetMode="External"/><Relationship Id="rId864" Type="http://schemas.openxmlformats.org/officeDocument/2006/relationships/hyperlink" Target="https://www.youtube.com/watch?v=6aJLKt2nXsg" TargetMode="External"/><Relationship Id="rId1494" Type="http://schemas.openxmlformats.org/officeDocument/2006/relationships/hyperlink" Target="https://www.youtube.com/watch?v=c50rfZlrNXU" TargetMode="External"/><Relationship Id="rId296" Type="http://schemas.openxmlformats.org/officeDocument/2006/relationships/hyperlink" Target="https://www.youtube.com/watch?v=sdhISUDYvX4" TargetMode="External"/><Relationship Id="rId517" Type="http://schemas.openxmlformats.org/officeDocument/2006/relationships/hyperlink" Target="https://www.youtube.com/watch?v=VwTbkm1NN4Y" TargetMode="External"/><Relationship Id="rId724" Type="http://schemas.openxmlformats.org/officeDocument/2006/relationships/hyperlink" Target="https://www.youtube.com/watch?v=DYtc95s7Kpc" TargetMode="External"/><Relationship Id="rId931" Type="http://schemas.openxmlformats.org/officeDocument/2006/relationships/hyperlink" Target="https://www.youtube.com/watch?v=WfJvOgXp9SM" TargetMode="External"/><Relationship Id="rId1147" Type="http://schemas.openxmlformats.org/officeDocument/2006/relationships/hyperlink" Target="https://www.youtube.com/watch?v=Kfvmj7QyAfQ" TargetMode="External"/><Relationship Id="rId1354" Type="http://schemas.openxmlformats.org/officeDocument/2006/relationships/hyperlink" Target="https://www.youtube.com/watch?v=Lrh5zQHEIk4" TargetMode="External"/><Relationship Id="rId60" Type="http://schemas.openxmlformats.org/officeDocument/2006/relationships/hyperlink" Target="https://www.youtube.com/watch?v=dp7l5qmLHJI" TargetMode="External"/><Relationship Id="rId156" Type="http://schemas.openxmlformats.org/officeDocument/2006/relationships/hyperlink" Target="https://www.youtube.com/watch?v=54lSHTtU68A" TargetMode="External"/><Relationship Id="rId363" Type="http://schemas.openxmlformats.org/officeDocument/2006/relationships/hyperlink" Target="https://www.youtube.com/watch?v=r5r1yU9O2ag" TargetMode="External"/><Relationship Id="rId570" Type="http://schemas.openxmlformats.org/officeDocument/2006/relationships/hyperlink" Target="https://www.youtube.com/watch?v=JbxzX8kwig4" TargetMode="External"/><Relationship Id="rId1007" Type="http://schemas.openxmlformats.org/officeDocument/2006/relationships/hyperlink" Target="https://www.youtube.com/watch?v=v2dy-2T9kRE" TargetMode="External"/><Relationship Id="rId1214" Type="http://schemas.openxmlformats.org/officeDocument/2006/relationships/hyperlink" Target="https://www.youtube.com/watch?v=J2Z6w1bXfYc" TargetMode="External"/><Relationship Id="rId1421" Type="http://schemas.openxmlformats.org/officeDocument/2006/relationships/hyperlink" Target="https://www.youtube.com/watch?v=wKoUB00RmE0" TargetMode="External"/><Relationship Id="rId223" Type="http://schemas.openxmlformats.org/officeDocument/2006/relationships/hyperlink" Target="https://www.youtube.com/watch?v=nQhpJFt2KG8" TargetMode="External"/><Relationship Id="rId430" Type="http://schemas.openxmlformats.org/officeDocument/2006/relationships/hyperlink" Target="https://www.youtube.com/watch?v=gKt4SG-pAmw" TargetMode="External"/><Relationship Id="rId668" Type="http://schemas.openxmlformats.org/officeDocument/2006/relationships/hyperlink" Target="https://www.youtube.com/watch?v=gtDa8NLyc74" TargetMode="External"/><Relationship Id="rId875" Type="http://schemas.openxmlformats.org/officeDocument/2006/relationships/hyperlink" Target="https://www.youtube.com/watch?v=qYA9DVNkOCA" TargetMode="External"/><Relationship Id="rId1060" Type="http://schemas.openxmlformats.org/officeDocument/2006/relationships/hyperlink" Target="https://www.youtube.com/watch?v=_nyKGkDh6WM" TargetMode="External"/><Relationship Id="rId1298" Type="http://schemas.openxmlformats.org/officeDocument/2006/relationships/hyperlink" Target="https://www.youtube.com/watch?v=n5lHU4Qyfbk" TargetMode="External"/><Relationship Id="rId18" Type="http://schemas.openxmlformats.org/officeDocument/2006/relationships/hyperlink" Target="https://www.youtube.com/watch?v=0_EJXPWJN4E" TargetMode="External"/><Relationship Id="rId528" Type="http://schemas.openxmlformats.org/officeDocument/2006/relationships/hyperlink" Target="https://www.youtube.com/watch?v=mNRX-8C-RmY" TargetMode="External"/><Relationship Id="rId735" Type="http://schemas.openxmlformats.org/officeDocument/2006/relationships/hyperlink" Target="https://www.youtube.com/watch?v=yMRw4TF7CAk" TargetMode="External"/><Relationship Id="rId942" Type="http://schemas.openxmlformats.org/officeDocument/2006/relationships/hyperlink" Target="https://www.youtube.com/watch?v=NRep5rGd_FU" TargetMode="External"/><Relationship Id="rId1158" Type="http://schemas.openxmlformats.org/officeDocument/2006/relationships/hyperlink" Target="https://www.youtube.com/watch?v=6PUBS8MXVzc" TargetMode="External"/><Relationship Id="rId1365" Type="http://schemas.openxmlformats.org/officeDocument/2006/relationships/hyperlink" Target="https://www.youtube.com/watch?v=lkO1JaN7BoQ" TargetMode="External"/><Relationship Id="rId167" Type="http://schemas.openxmlformats.org/officeDocument/2006/relationships/hyperlink" Target="https://www.youtube.com/watch?v=TEUt7CVuFbI" TargetMode="External"/><Relationship Id="rId374" Type="http://schemas.openxmlformats.org/officeDocument/2006/relationships/hyperlink" Target="https://www.youtube.com/watch?v=NfO_yqDrGWs" TargetMode="External"/><Relationship Id="rId581" Type="http://schemas.openxmlformats.org/officeDocument/2006/relationships/hyperlink" Target="https://www.youtube.com/watch?v=fzzIeVO7-qk" TargetMode="External"/><Relationship Id="rId1018" Type="http://schemas.openxmlformats.org/officeDocument/2006/relationships/hyperlink" Target="https://www.youtube.com/watch?v=1uNyxmccf1U" TargetMode="External"/><Relationship Id="rId1225" Type="http://schemas.openxmlformats.org/officeDocument/2006/relationships/hyperlink" Target="https://www.youtube.com/watch?v=9hi4MG3BU0Y" TargetMode="External"/><Relationship Id="rId1432" Type="http://schemas.openxmlformats.org/officeDocument/2006/relationships/hyperlink" Target="https://www.youtube.com/watch?v=oLCI7vQ7WFk" TargetMode="External"/><Relationship Id="rId71" Type="http://schemas.openxmlformats.org/officeDocument/2006/relationships/hyperlink" Target="https://www.youtube.com/watch?v=ycnvyB8pDEM" TargetMode="External"/><Relationship Id="rId234" Type="http://schemas.openxmlformats.org/officeDocument/2006/relationships/hyperlink" Target="https://www.youtube.com/watch?v=TxC_8Xllf-M" TargetMode="External"/><Relationship Id="rId679" Type="http://schemas.openxmlformats.org/officeDocument/2006/relationships/hyperlink" Target="https://www.youtube.com/watch?v=cuauchPBFCY" TargetMode="External"/><Relationship Id="rId802" Type="http://schemas.openxmlformats.org/officeDocument/2006/relationships/hyperlink" Target="https://www.youtube.com/watch?v=JcNaFHIozC4" TargetMode="External"/><Relationship Id="rId886" Type="http://schemas.openxmlformats.org/officeDocument/2006/relationships/hyperlink" Target="https://www.youtube.com/watch?v=a_HGSrmF_8w" TargetMode="External"/><Relationship Id="rId2" Type="http://schemas.openxmlformats.org/officeDocument/2006/relationships/hyperlink" Target="https://www.youtube.com/watch?v=RD7JpM4UrUA" TargetMode="External"/><Relationship Id="rId29" Type="http://schemas.openxmlformats.org/officeDocument/2006/relationships/hyperlink" Target="https://www.youtube.com/watch?v=iBwpK4_JtEw" TargetMode="External"/><Relationship Id="rId441" Type="http://schemas.openxmlformats.org/officeDocument/2006/relationships/hyperlink" Target="https://www.youtube.com/watch?v=mLEhBqCBBYE" TargetMode="External"/><Relationship Id="rId539" Type="http://schemas.openxmlformats.org/officeDocument/2006/relationships/hyperlink" Target="https://www.youtube.com/watch?v=X4TDNzwe3s4" TargetMode="External"/><Relationship Id="rId746" Type="http://schemas.openxmlformats.org/officeDocument/2006/relationships/hyperlink" Target="https://www.youtube.com/watch?v=A6j1KcojG0E" TargetMode="External"/><Relationship Id="rId1071" Type="http://schemas.openxmlformats.org/officeDocument/2006/relationships/hyperlink" Target="https://www.youtube.com/watch?v=bMOOUhzJreA" TargetMode="External"/><Relationship Id="rId1169" Type="http://schemas.openxmlformats.org/officeDocument/2006/relationships/hyperlink" Target="https://www.youtube.com/watch?v=Nattb-ZPK4g" TargetMode="External"/><Relationship Id="rId1376" Type="http://schemas.openxmlformats.org/officeDocument/2006/relationships/hyperlink" Target="https://www.youtube.com/watch?v=xAicQnL_abA" TargetMode="External"/><Relationship Id="rId178" Type="http://schemas.openxmlformats.org/officeDocument/2006/relationships/hyperlink" Target="https://www.youtube.com/watch?v=Wrs0XEoFHAM" TargetMode="External"/><Relationship Id="rId301" Type="http://schemas.openxmlformats.org/officeDocument/2006/relationships/hyperlink" Target="https://www.youtube.com/watch?v=HdBCunbR_jE" TargetMode="External"/><Relationship Id="rId953" Type="http://schemas.openxmlformats.org/officeDocument/2006/relationships/hyperlink" Target="https://www.youtube.com/watch?v=rAWCL2ENS90" TargetMode="External"/><Relationship Id="rId1029" Type="http://schemas.openxmlformats.org/officeDocument/2006/relationships/hyperlink" Target="https://www.youtube.com/watch?v=wu_ONpNjikY" TargetMode="External"/><Relationship Id="rId1236" Type="http://schemas.openxmlformats.org/officeDocument/2006/relationships/hyperlink" Target="https://www.youtube.com/watch?v=kDDNkLWPpUc" TargetMode="External"/><Relationship Id="rId82" Type="http://schemas.openxmlformats.org/officeDocument/2006/relationships/hyperlink" Target="https://www.youtube.com/watch?v=6_9IYK6ZlyY" TargetMode="External"/><Relationship Id="rId385" Type="http://schemas.openxmlformats.org/officeDocument/2006/relationships/hyperlink" Target="https://www.youtube.com/watch?v=LI3VwCn-0WI" TargetMode="External"/><Relationship Id="rId592" Type="http://schemas.openxmlformats.org/officeDocument/2006/relationships/hyperlink" Target="https://www.youtube.com/watch?v=p3i_mI87a3E" TargetMode="External"/><Relationship Id="rId606" Type="http://schemas.openxmlformats.org/officeDocument/2006/relationships/hyperlink" Target="https://www.youtube.com/watch?v=0DzUUFbFZHs" TargetMode="External"/><Relationship Id="rId813" Type="http://schemas.openxmlformats.org/officeDocument/2006/relationships/hyperlink" Target="https://www.youtube.com/watch?v=P1Eurn7tEJM" TargetMode="External"/><Relationship Id="rId1443" Type="http://schemas.openxmlformats.org/officeDocument/2006/relationships/hyperlink" Target="https://www.youtube.com/watch?v=Ul-faWS75vA" TargetMode="External"/><Relationship Id="rId245" Type="http://schemas.openxmlformats.org/officeDocument/2006/relationships/hyperlink" Target="https://www.youtube.com/watch?v=qDcBHNXLxdc" TargetMode="External"/><Relationship Id="rId452" Type="http://schemas.openxmlformats.org/officeDocument/2006/relationships/hyperlink" Target="https://www.youtube.com/watch?v=7zvf9bnLgs8" TargetMode="External"/><Relationship Id="rId897" Type="http://schemas.openxmlformats.org/officeDocument/2006/relationships/hyperlink" Target="https://www.youtube.com/watch?v=xhcu0nbcfy0" TargetMode="External"/><Relationship Id="rId1082" Type="http://schemas.openxmlformats.org/officeDocument/2006/relationships/hyperlink" Target="https://www.youtube.com/watch?v=w1panKQ58dU" TargetMode="External"/><Relationship Id="rId1303" Type="http://schemas.openxmlformats.org/officeDocument/2006/relationships/hyperlink" Target="https://www.youtube.com/watch?v=DVcN5QXGA_w" TargetMode="External"/><Relationship Id="rId1510" Type="http://schemas.openxmlformats.org/officeDocument/2006/relationships/hyperlink" Target="https://www.youtube.com/watch?v=9jjsiAFVdXc" TargetMode="External"/><Relationship Id="rId105" Type="http://schemas.openxmlformats.org/officeDocument/2006/relationships/hyperlink" Target="https://www.youtube.com/watch?v=f-MLHIb4dFU" TargetMode="External"/><Relationship Id="rId312" Type="http://schemas.openxmlformats.org/officeDocument/2006/relationships/hyperlink" Target="https://www.youtube.com/watch?v=5bAuJCTjg8s" TargetMode="External"/><Relationship Id="rId757" Type="http://schemas.openxmlformats.org/officeDocument/2006/relationships/hyperlink" Target="https://www.youtube.com/watch?v=Kg7UNGe9lik" TargetMode="External"/><Relationship Id="rId964" Type="http://schemas.openxmlformats.org/officeDocument/2006/relationships/hyperlink" Target="https://www.youtube.com/watch?v=xAx9rKxKjCk" TargetMode="External"/><Relationship Id="rId1387" Type="http://schemas.openxmlformats.org/officeDocument/2006/relationships/hyperlink" Target="https://www.youtube.com/watch?v=4iGdwJ3nQcs&amp;t=38s" TargetMode="External"/><Relationship Id="rId93" Type="http://schemas.openxmlformats.org/officeDocument/2006/relationships/hyperlink" Target="https://www.youtube.com/watch?v=K9s433rQloA" TargetMode="External"/><Relationship Id="rId189" Type="http://schemas.openxmlformats.org/officeDocument/2006/relationships/hyperlink" Target="https://www.youtube.com/watch?v=iGpYgqX-p8c" TargetMode="External"/><Relationship Id="rId396" Type="http://schemas.openxmlformats.org/officeDocument/2006/relationships/hyperlink" Target="https://www.youtube.com/watch?v=U37L8EPVc5s" TargetMode="External"/><Relationship Id="rId617" Type="http://schemas.openxmlformats.org/officeDocument/2006/relationships/hyperlink" Target="https://www.youtube.com/watch?v=9eSzra79z-I" TargetMode="External"/><Relationship Id="rId824" Type="http://schemas.openxmlformats.org/officeDocument/2006/relationships/hyperlink" Target="https://www.youtube.com/watch?v=_VfaX30ncIU" TargetMode="External"/><Relationship Id="rId1247" Type="http://schemas.openxmlformats.org/officeDocument/2006/relationships/hyperlink" Target="https://www.youtube.com/watch?v=b96t52xbmO8" TargetMode="External"/><Relationship Id="rId1454" Type="http://schemas.openxmlformats.org/officeDocument/2006/relationships/hyperlink" Target="https://www.youtube.com/watch?v=zEXu5K5eyCY" TargetMode="External"/><Relationship Id="rId256" Type="http://schemas.openxmlformats.org/officeDocument/2006/relationships/hyperlink" Target="https://www.youtube.com/watch?v=JErwMUETzvU" TargetMode="External"/><Relationship Id="rId463" Type="http://schemas.openxmlformats.org/officeDocument/2006/relationships/hyperlink" Target="https://www.youtube.com/watch?v=QfYz6BBYpWg" TargetMode="External"/><Relationship Id="rId670" Type="http://schemas.openxmlformats.org/officeDocument/2006/relationships/hyperlink" Target="https://www.youtube.com/watch?v=zgOMSgegwGk" TargetMode="External"/><Relationship Id="rId1093" Type="http://schemas.openxmlformats.org/officeDocument/2006/relationships/hyperlink" Target="https://www.youtube.com/watch?v=dLQSHM_T-jI" TargetMode="External"/><Relationship Id="rId1107" Type="http://schemas.openxmlformats.org/officeDocument/2006/relationships/hyperlink" Target="https://www.youtube.com/watch?v=WtWOT6Hj2vM" TargetMode="External"/><Relationship Id="rId1314" Type="http://schemas.openxmlformats.org/officeDocument/2006/relationships/hyperlink" Target="https://www.youtube.com/watch?v=eQBirhrwc3E" TargetMode="External"/><Relationship Id="rId116" Type="http://schemas.openxmlformats.org/officeDocument/2006/relationships/hyperlink" Target="https://www.youtube.com/watch?v=xtHzknvaS7s" TargetMode="External"/><Relationship Id="rId323" Type="http://schemas.openxmlformats.org/officeDocument/2006/relationships/hyperlink" Target="https://www.youtube.com/watch?v=hgdVPIrlSPU" TargetMode="External"/><Relationship Id="rId530" Type="http://schemas.openxmlformats.org/officeDocument/2006/relationships/hyperlink" Target="https://www.youtube.com/watch?v=hH3jbt-s4aY" TargetMode="External"/><Relationship Id="rId768" Type="http://schemas.openxmlformats.org/officeDocument/2006/relationships/hyperlink" Target="https://www.youtube.com/watch?v=G1vj3YNYQYg" TargetMode="External"/><Relationship Id="rId975" Type="http://schemas.openxmlformats.org/officeDocument/2006/relationships/hyperlink" Target="https://www.youtube.com/watch?v=FQ3dpY5j5y8" TargetMode="External"/><Relationship Id="rId1160" Type="http://schemas.openxmlformats.org/officeDocument/2006/relationships/hyperlink" Target="https://www.youtube.com/watch?v=HmKETjjGv0E" TargetMode="External"/><Relationship Id="rId1398" Type="http://schemas.openxmlformats.org/officeDocument/2006/relationships/hyperlink" Target="https://www.youtube.com/watch?v=WzgR7yTQNzY" TargetMode="External"/><Relationship Id="rId20" Type="http://schemas.openxmlformats.org/officeDocument/2006/relationships/hyperlink" Target="https://www.youtube.com/watch?v=Kxuiy8OL30w" TargetMode="External"/><Relationship Id="rId628" Type="http://schemas.openxmlformats.org/officeDocument/2006/relationships/hyperlink" Target="https://www.youtube.com/watch?v=jB9efRnouaI" TargetMode="External"/><Relationship Id="rId835" Type="http://schemas.openxmlformats.org/officeDocument/2006/relationships/hyperlink" Target="https://www.youtube.com/watch?v=5c75GXSIdlM" TargetMode="External"/><Relationship Id="rId1258" Type="http://schemas.openxmlformats.org/officeDocument/2006/relationships/hyperlink" Target="https://www.youtube.com/watch?v=az7GJp1YAXw" TargetMode="External"/><Relationship Id="rId1465" Type="http://schemas.openxmlformats.org/officeDocument/2006/relationships/hyperlink" Target="https://www.youtube.com/watch?v=h4ZgKKlmUl0&amp;t=481s" TargetMode="External"/><Relationship Id="rId267" Type="http://schemas.openxmlformats.org/officeDocument/2006/relationships/hyperlink" Target="https://www.youtube.com/watch?v=hWBzG7eVqVg" TargetMode="External"/><Relationship Id="rId474" Type="http://schemas.openxmlformats.org/officeDocument/2006/relationships/hyperlink" Target="https://www.youtube.com/watch?v=GajqTVRZzfE" TargetMode="External"/><Relationship Id="rId1020" Type="http://schemas.openxmlformats.org/officeDocument/2006/relationships/hyperlink" Target="https://www.youtube.com/watch?v=NMCXHN1fW9k" TargetMode="External"/><Relationship Id="rId1118" Type="http://schemas.openxmlformats.org/officeDocument/2006/relationships/hyperlink" Target="https://www.youtube.com/watch?v=Pe53dUS_mHE" TargetMode="External"/><Relationship Id="rId1325" Type="http://schemas.openxmlformats.org/officeDocument/2006/relationships/hyperlink" Target="https://www.youtube.com/watch?v=LIl0C87tzGE" TargetMode="External"/><Relationship Id="rId127" Type="http://schemas.openxmlformats.org/officeDocument/2006/relationships/hyperlink" Target="https://www.youtube.com/watch?v=ytrFjytVgtk" TargetMode="External"/><Relationship Id="rId681" Type="http://schemas.openxmlformats.org/officeDocument/2006/relationships/hyperlink" Target="https://www.youtube.com/watch?v=oeJfmsvMRBs" TargetMode="External"/><Relationship Id="rId779" Type="http://schemas.openxmlformats.org/officeDocument/2006/relationships/hyperlink" Target="https://www.youtube.com/watch?v=J2klGHwzFFo" TargetMode="External"/><Relationship Id="rId902" Type="http://schemas.openxmlformats.org/officeDocument/2006/relationships/hyperlink" Target="https://www.youtube.com/watch?v=dSKwv3KOvN8" TargetMode="External"/><Relationship Id="rId986" Type="http://schemas.openxmlformats.org/officeDocument/2006/relationships/hyperlink" Target="https://www.youtube.com/watch?v=s_eR4_6kip8" TargetMode="External"/><Relationship Id="rId31" Type="http://schemas.openxmlformats.org/officeDocument/2006/relationships/hyperlink" Target="https://www.youtube.com/watch?v=NCOKqHoIW7M" TargetMode="External"/><Relationship Id="rId334" Type="http://schemas.openxmlformats.org/officeDocument/2006/relationships/hyperlink" Target="https://www.youtube.com/watch?v=Z7B5IZZhoAI" TargetMode="External"/><Relationship Id="rId541" Type="http://schemas.openxmlformats.org/officeDocument/2006/relationships/hyperlink" Target="https://www.youtube.com/watch?v=_OWY_haNDNI" TargetMode="External"/><Relationship Id="rId639" Type="http://schemas.openxmlformats.org/officeDocument/2006/relationships/hyperlink" Target="https://www.youtube.com/watch?v=XcIm7eWfJ_M" TargetMode="External"/><Relationship Id="rId1171" Type="http://schemas.openxmlformats.org/officeDocument/2006/relationships/hyperlink" Target="https://www.youtube.com/watch?v=EfQbirNpLM8" TargetMode="External"/><Relationship Id="rId1269" Type="http://schemas.openxmlformats.org/officeDocument/2006/relationships/hyperlink" Target="https://www.youtube.com/watch?v=OdRuRzl5pwg" TargetMode="External"/><Relationship Id="rId1476" Type="http://schemas.openxmlformats.org/officeDocument/2006/relationships/hyperlink" Target="https://www.youtube.com/watch?v=ZErxsCxSQsA" TargetMode="External"/><Relationship Id="rId180" Type="http://schemas.openxmlformats.org/officeDocument/2006/relationships/hyperlink" Target="https://www.youtube.com/watch?v=O0wEzvYOTJw" TargetMode="External"/><Relationship Id="rId278" Type="http://schemas.openxmlformats.org/officeDocument/2006/relationships/hyperlink" Target="https://www.youtube.com/watch?v=7ZD3D4mAoaE" TargetMode="External"/><Relationship Id="rId401" Type="http://schemas.openxmlformats.org/officeDocument/2006/relationships/hyperlink" Target="https://www.youtube.com/watch?v=9IzjjqFO5c8" TargetMode="External"/><Relationship Id="rId846" Type="http://schemas.openxmlformats.org/officeDocument/2006/relationships/hyperlink" Target="https://www.youtube.com/watch?v=zV5AbsAy5m4" TargetMode="External"/><Relationship Id="rId1031" Type="http://schemas.openxmlformats.org/officeDocument/2006/relationships/hyperlink" Target="https://www.youtube.com/watch?v=6ufhk6JL8x8" TargetMode="External"/><Relationship Id="rId1129" Type="http://schemas.openxmlformats.org/officeDocument/2006/relationships/hyperlink" Target="https://www.youtube.com/watch?v=Z8Wd8i754cU" TargetMode="External"/><Relationship Id="rId485" Type="http://schemas.openxmlformats.org/officeDocument/2006/relationships/hyperlink" Target="https://www.youtube.com/watch?v=3asYCknfoMo" TargetMode="External"/><Relationship Id="rId692" Type="http://schemas.openxmlformats.org/officeDocument/2006/relationships/hyperlink" Target="https://www.youtube.com/watch?v=7cA62ZHlWx0" TargetMode="External"/><Relationship Id="rId706" Type="http://schemas.openxmlformats.org/officeDocument/2006/relationships/hyperlink" Target="https://www.youtube.com/watch?v=yp1ZVELrxIA" TargetMode="External"/><Relationship Id="rId913" Type="http://schemas.openxmlformats.org/officeDocument/2006/relationships/hyperlink" Target="https://www.youtube.com/watch?v=xVrbpqr1LEE" TargetMode="External"/><Relationship Id="rId1336" Type="http://schemas.openxmlformats.org/officeDocument/2006/relationships/hyperlink" Target="https://www.youtube.com/watch?v=D559dD7btfo" TargetMode="External"/><Relationship Id="rId42" Type="http://schemas.openxmlformats.org/officeDocument/2006/relationships/hyperlink" Target="https://www.youtube.com/watch?v=DMG2XD9_nTI" TargetMode="External"/><Relationship Id="rId138" Type="http://schemas.openxmlformats.org/officeDocument/2006/relationships/hyperlink" Target="https://www.youtube.com/watch?v=M-zdPqtp9Kk" TargetMode="External"/><Relationship Id="rId345" Type="http://schemas.openxmlformats.org/officeDocument/2006/relationships/hyperlink" Target="https://www.youtube.com/watch?v=t_J24YUQNK4" TargetMode="External"/><Relationship Id="rId552" Type="http://schemas.openxmlformats.org/officeDocument/2006/relationships/hyperlink" Target="https://www.youtube.com/watch?v=w5KPpzfrQQY" TargetMode="External"/><Relationship Id="rId997" Type="http://schemas.openxmlformats.org/officeDocument/2006/relationships/hyperlink" Target="https://www.youtube.com/watch?v=udY03G3fVJQ" TargetMode="External"/><Relationship Id="rId1182" Type="http://schemas.openxmlformats.org/officeDocument/2006/relationships/hyperlink" Target="https://www.youtube.com/watch?v=Qh0tc43apsI" TargetMode="External"/><Relationship Id="rId1403" Type="http://schemas.openxmlformats.org/officeDocument/2006/relationships/hyperlink" Target="https://www.youtube.com/watch?v=g8GW7DlPr4g" TargetMode="External"/><Relationship Id="rId191" Type="http://schemas.openxmlformats.org/officeDocument/2006/relationships/hyperlink" Target="https://www.youtube.com/watch?v=schP-IZS5Sw" TargetMode="External"/><Relationship Id="rId205" Type="http://schemas.openxmlformats.org/officeDocument/2006/relationships/hyperlink" Target="https://www.youtube.com/watch?v=8RSu4ymCgp4" TargetMode="External"/><Relationship Id="rId412" Type="http://schemas.openxmlformats.org/officeDocument/2006/relationships/hyperlink" Target="https://www.youtube.com/watch?v=Dymxd9hAemA" TargetMode="External"/><Relationship Id="rId857" Type="http://schemas.openxmlformats.org/officeDocument/2006/relationships/hyperlink" Target="https://www.youtube.com/watch?v=bFIqLn3c85c" TargetMode="External"/><Relationship Id="rId1042" Type="http://schemas.openxmlformats.org/officeDocument/2006/relationships/hyperlink" Target="https://www.youtube.com/watch?v=uTyoGVNa7FA" TargetMode="External"/><Relationship Id="rId1487" Type="http://schemas.openxmlformats.org/officeDocument/2006/relationships/hyperlink" Target="https://www.youtube.com/watch?v=xCLLCYBg7Zc" TargetMode="External"/><Relationship Id="rId289" Type="http://schemas.openxmlformats.org/officeDocument/2006/relationships/hyperlink" Target="https://www.youtube.com/watch?v=75OFJ9IX4tI" TargetMode="External"/><Relationship Id="rId496" Type="http://schemas.openxmlformats.org/officeDocument/2006/relationships/hyperlink" Target="https://www.youtube.com/watch?v=R2XPp4eJXLk" TargetMode="External"/><Relationship Id="rId717" Type="http://schemas.openxmlformats.org/officeDocument/2006/relationships/hyperlink" Target="https://www.youtube.com/watch?v=Xml5nVm8bg0" TargetMode="External"/><Relationship Id="rId924" Type="http://schemas.openxmlformats.org/officeDocument/2006/relationships/hyperlink" Target="https://www.youtube.com/watch?v=9VsQzAI5PLo" TargetMode="External"/><Relationship Id="rId1347" Type="http://schemas.openxmlformats.org/officeDocument/2006/relationships/hyperlink" Target="https://www.youtube.com/watch?v=eKSuEJqn2NI" TargetMode="External"/><Relationship Id="rId53" Type="http://schemas.openxmlformats.org/officeDocument/2006/relationships/hyperlink" Target="https://www.youtube.com/watch?v=WsjxXfklatk" TargetMode="External"/><Relationship Id="rId149" Type="http://schemas.openxmlformats.org/officeDocument/2006/relationships/hyperlink" Target="https://www.youtube.com/watch?v=29-xoooHPaw" TargetMode="External"/><Relationship Id="rId356" Type="http://schemas.openxmlformats.org/officeDocument/2006/relationships/hyperlink" Target="https://www.youtube.com/watch?v=cpZPvFvzNlc" TargetMode="External"/><Relationship Id="rId563" Type="http://schemas.openxmlformats.org/officeDocument/2006/relationships/hyperlink" Target="https://www.youtube.com/watch?v=dZCZp5udJeI" TargetMode="External"/><Relationship Id="rId770" Type="http://schemas.openxmlformats.org/officeDocument/2006/relationships/hyperlink" Target="https://www.youtube.com/watch?v=Ly_KKukp01g" TargetMode="External"/><Relationship Id="rId1193" Type="http://schemas.openxmlformats.org/officeDocument/2006/relationships/hyperlink" Target="https://www.youtube.com/watch?v=MFeGLeUGf6Q" TargetMode="External"/><Relationship Id="rId1207" Type="http://schemas.openxmlformats.org/officeDocument/2006/relationships/hyperlink" Target="https://www.youtube.com/watch?v=0gtyqapBB3A" TargetMode="External"/><Relationship Id="rId1414" Type="http://schemas.openxmlformats.org/officeDocument/2006/relationships/hyperlink" Target="https://www.youtube.com/watch?v=k0FNC9LuJoo&amp;t=4s" TargetMode="External"/><Relationship Id="rId216" Type="http://schemas.openxmlformats.org/officeDocument/2006/relationships/hyperlink" Target="https://www.youtube.com/watch?v=WMf0Mau2TzE" TargetMode="External"/><Relationship Id="rId423" Type="http://schemas.openxmlformats.org/officeDocument/2006/relationships/hyperlink" Target="https://www.youtube.com/watch?v=AOQPqjRx-0c" TargetMode="External"/><Relationship Id="rId868" Type="http://schemas.openxmlformats.org/officeDocument/2006/relationships/hyperlink" Target="https://www.youtube.com/watch?v=txsij6WXt8s" TargetMode="External"/><Relationship Id="rId1053" Type="http://schemas.openxmlformats.org/officeDocument/2006/relationships/hyperlink" Target="https://www.youtube.com/watch?v=iZ6Xk9YCaaY" TargetMode="External"/><Relationship Id="rId1260" Type="http://schemas.openxmlformats.org/officeDocument/2006/relationships/hyperlink" Target="https://www.youtube.com/watch?v=_zmgXM40afU" TargetMode="External"/><Relationship Id="rId1498" Type="http://schemas.openxmlformats.org/officeDocument/2006/relationships/hyperlink" Target="https://www.youtube.com/watch?v=DL5cLBZou3I" TargetMode="External"/><Relationship Id="rId630" Type="http://schemas.openxmlformats.org/officeDocument/2006/relationships/hyperlink" Target="https://www.youtube.com/watch?v=r2uhf3x6oH8" TargetMode="External"/><Relationship Id="rId728" Type="http://schemas.openxmlformats.org/officeDocument/2006/relationships/hyperlink" Target="https://www.youtube.com/watch?v=ZpdQsUkjwMc" TargetMode="External"/><Relationship Id="rId935" Type="http://schemas.openxmlformats.org/officeDocument/2006/relationships/hyperlink" Target="https://www.youtube.com/watch?v=NNu6sJz2cPI" TargetMode="External"/><Relationship Id="rId1358" Type="http://schemas.openxmlformats.org/officeDocument/2006/relationships/hyperlink" Target="https://www.youtube.com/watch?v=RJSsEA6fpJE" TargetMode="External"/><Relationship Id="rId64" Type="http://schemas.openxmlformats.org/officeDocument/2006/relationships/hyperlink" Target="https://www.youtube.com/watch?v=ryQMb29oX3s" TargetMode="External"/><Relationship Id="rId367" Type="http://schemas.openxmlformats.org/officeDocument/2006/relationships/hyperlink" Target="https://www.youtube.com/watch?v=Wu9WbgwxgjI" TargetMode="External"/><Relationship Id="rId574" Type="http://schemas.openxmlformats.org/officeDocument/2006/relationships/hyperlink" Target="https://www.youtube.com/watch?v=0-Ishanuvj8" TargetMode="External"/><Relationship Id="rId1120" Type="http://schemas.openxmlformats.org/officeDocument/2006/relationships/hyperlink" Target="https://www.youtube.com/watch?v=fZLoHeGF4XI" TargetMode="External"/><Relationship Id="rId1218" Type="http://schemas.openxmlformats.org/officeDocument/2006/relationships/hyperlink" Target="https://www.youtube.com/watch?v=4W3kmjNG_K8" TargetMode="External"/><Relationship Id="rId1425" Type="http://schemas.openxmlformats.org/officeDocument/2006/relationships/hyperlink" Target="https://www.youtube.com/watch?v=Ts09Fp7M53k" TargetMode="External"/><Relationship Id="rId227" Type="http://schemas.openxmlformats.org/officeDocument/2006/relationships/hyperlink" Target="https://www.youtube.com/watch?v=iFLc0n8RSAA" TargetMode="External"/><Relationship Id="rId781" Type="http://schemas.openxmlformats.org/officeDocument/2006/relationships/hyperlink" Target="https://www.youtube.com/watch?v=ebsBucPcYoU" TargetMode="External"/><Relationship Id="rId879" Type="http://schemas.openxmlformats.org/officeDocument/2006/relationships/hyperlink" Target="https://www.youtube.com/watch?v=kSNHRGhGt_Y" TargetMode="External"/><Relationship Id="rId434" Type="http://schemas.openxmlformats.org/officeDocument/2006/relationships/hyperlink" Target="https://www.youtube.com/watch?v=30958J1ez4k" TargetMode="External"/><Relationship Id="rId641" Type="http://schemas.openxmlformats.org/officeDocument/2006/relationships/hyperlink" Target="https://www.youtube.com/watch?v=tD7VxQAIPLM" TargetMode="External"/><Relationship Id="rId739" Type="http://schemas.openxmlformats.org/officeDocument/2006/relationships/hyperlink" Target="https://www.youtube.com/watch?v=sTYcLqa56Z4" TargetMode="External"/><Relationship Id="rId1064" Type="http://schemas.openxmlformats.org/officeDocument/2006/relationships/hyperlink" Target="https://www.youtube.com/watch?v=74BW9K7eGtY&amp;t=21s" TargetMode="External"/><Relationship Id="rId1271" Type="http://schemas.openxmlformats.org/officeDocument/2006/relationships/hyperlink" Target="https://www.youtube.com/watch?v=ImpfhngYCCA" TargetMode="External"/><Relationship Id="rId1369" Type="http://schemas.openxmlformats.org/officeDocument/2006/relationships/hyperlink" Target="https://www.youtube.com/watch?v=qY_yQIrKwRk" TargetMode="External"/><Relationship Id="rId280" Type="http://schemas.openxmlformats.org/officeDocument/2006/relationships/hyperlink" Target="https://www.youtube.com/watch?v=ANSSQQ6ZauM" TargetMode="External"/><Relationship Id="rId501" Type="http://schemas.openxmlformats.org/officeDocument/2006/relationships/hyperlink" Target="https://www.youtube.com/watch?v=yr_-UHm07rM" TargetMode="External"/><Relationship Id="rId946" Type="http://schemas.openxmlformats.org/officeDocument/2006/relationships/hyperlink" Target="https://www.youtube.com/watch?v=GB9g4sKWR0M" TargetMode="External"/><Relationship Id="rId1131" Type="http://schemas.openxmlformats.org/officeDocument/2006/relationships/hyperlink" Target="https://www.youtube.com/watch?v=tlCqUXsDwDc" TargetMode="External"/><Relationship Id="rId1229" Type="http://schemas.openxmlformats.org/officeDocument/2006/relationships/hyperlink" Target="https://www.youtube.com/watch?v=XWeFa6jUiPw" TargetMode="External"/><Relationship Id="rId75" Type="http://schemas.openxmlformats.org/officeDocument/2006/relationships/hyperlink" Target="https://www.youtube.com/watch?v=VeR7IhIkDk0" TargetMode="External"/><Relationship Id="rId140" Type="http://schemas.openxmlformats.org/officeDocument/2006/relationships/hyperlink" Target="https://www.youtube.com/watch?v=J5mYtIH7Pho" TargetMode="External"/><Relationship Id="rId378" Type="http://schemas.openxmlformats.org/officeDocument/2006/relationships/hyperlink" Target="https://www.youtube.com/watch?v=0-LZkVdXTnc" TargetMode="External"/><Relationship Id="rId585" Type="http://schemas.openxmlformats.org/officeDocument/2006/relationships/hyperlink" Target="https://www.youtube.com/watch?v=OXYcMlprdL4" TargetMode="External"/><Relationship Id="rId792" Type="http://schemas.openxmlformats.org/officeDocument/2006/relationships/hyperlink" Target="https://www.youtube.com/watch?v=cUULt5zHp0k" TargetMode="External"/><Relationship Id="rId806" Type="http://schemas.openxmlformats.org/officeDocument/2006/relationships/hyperlink" Target="https://www.youtube.com/watch?v=QrVLpFoGRb4" TargetMode="External"/><Relationship Id="rId1436" Type="http://schemas.openxmlformats.org/officeDocument/2006/relationships/hyperlink" Target="https://www.youtube.com/watch?v=3ytmTvor21A" TargetMode="External"/><Relationship Id="rId6" Type="http://schemas.openxmlformats.org/officeDocument/2006/relationships/hyperlink" Target="https://www.youtube.com/watch?v=21ZKFBL-Yc0" TargetMode="External"/><Relationship Id="rId238" Type="http://schemas.openxmlformats.org/officeDocument/2006/relationships/hyperlink" Target="https://www.youtube.com/watch?v=rdyZwjy8Wko" TargetMode="External"/><Relationship Id="rId445" Type="http://schemas.openxmlformats.org/officeDocument/2006/relationships/hyperlink" Target="https://www.youtube.com/watch?v=kmJLZRzZhUA" TargetMode="External"/><Relationship Id="rId652" Type="http://schemas.openxmlformats.org/officeDocument/2006/relationships/hyperlink" Target="https://www.youtube.com/watch?v=wXSD2PQznXI" TargetMode="External"/><Relationship Id="rId1075" Type="http://schemas.openxmlformats.org/officeDocument/2006/relationships/hyperlink" Target="https://www.youtube.com/watch?v=0W0XxcsCH_0" TargetMode="External"/><Relationship Id="rId1282" Type="http://schemas.openxmlformats.org/officeDocument/2006/relationships/hyperlink" Target="https://www.youtube.com/watch?v=0cvq3rbQ7Dw" TargetMode="External"/><Relationship Id="rId1503" Type="http://schemas.openxmlformats.org/officeDocument/2006/relationships/hyperlink" Target="https://www.youtube.com/watch?v=dvcJI5yAd6M&amp;t=122s" TargetMode="External"/><Relationship Id="rId291" Type="http://schemas.openxmlformats.org/officeDocument/2006/relationships/hyperlink" Target="https://www.youtube.com/watch?v=p6HgGSKj2m8" TargetMode="External"/><Relationship Id="rId305" Type="http://schemas.openxmlformats.org/officeDocument/2006/relationships/hyperlink" Target="https://www.youtube.com/watch?v=5K-nmVDwXW0" TargetMode="External"/><Relationship Id="rId512" Type="http://schemas.openxmlformats.org/officeDocument/2006/relationships/hyperlink" Target="https://www.youtube.com/watch?v=_Anq0CTYGt8" TargetMode="External"/><Relationship Id="rId957" Type="http://schemas.openxmlformats.org/officeDocument/2006/relationships/hyperlink" Target="https://www.youtube.com/watch?v=EMznloyYysU" TargetMode="External"/><Relationship Id="rId1142" Type="http://schemas.openxmlformats.org/officeDocument/2006/relationships/hyperlink" Target="https://www.youtube.com/watch?v=BKG8mWyOvuw" TargetMode="External"/><Relationship Id="rId86" Type="http://schemas.openxmlformats.org/officeDocument/2006/relationships/hyperlink" Target="https://www.youtube.com/watch?v=ufZ1BZcZzKI" TargetMode="External"/><Relationship Id="rId151" Type="http://schemas.openxmlformats.org/officeDocument/2006/relationships/hyperlink" Target="https://www.youtube.com/watch?v=y1fdkGgCt64" TargetMode="External"/><Relationship Id="rId389" Type="http://schemas.openxmlformats.org/officeDocument/2006/relationships/hyperlink" Target="https://www.youtube.com/watch?v=Yf6-fJ-LcU8" TargetMode="External"/><Relationship Id="rId596" Type="http://schemas.openxmlformats.org/officeDocument/2006/relationships/hyperlink" Target="https://www.youtube.com/watch?v=kaJQx-nXg6M" TargetMode="External"/><Relationship Id="rId817" Type="http://schemas.openxmlformats.org/officeDocument/2006/relationships/hyperlink" Target="https://www.youtube.com/watch?v=5P0vjP1Hdvs" TargetMode="External"/><Relationship Id="rId1002" Type="http://schemas.openxmlformats.org/officeDocument/2006/relationships/hyperlink" Target="https://www.youtube.com/watch?v=JkMKDP2BOlw&amp;t=169s" TargetMode="External"/><Relationship Id="rId1447" Type="http://schemas.openxmlformats.org/officeDocument/2006/relationships/hyperlink" Target="https://www.youtube.com/watch?v=4ej2lqB-kjM" TargetMode="External"/><Relationship Id="rId249" Type="http://schemas.openxmlformats.org/officeDocument/2006/relationships/hyperlink" Target="https://www.youtube.com/watch?v=UrWQfScMALY" TargetMode="External"/><Relationship Id="rId456" Type="http://schemas.openxmlformats.org/officeDocument/2006/relationships/hyperlink" Target="https://www.youtube.com/watch?v=Th1s8XrKhnk" TargetMode="External"/><Relationship Id="rId663" Type="http://schemas.openxmlformats.org/officeDocument/2006/relationships/hyperlink" Target="https://www.youtube.com/watch?v=3eTjsY7w5kM" TargetMode="External"/><Relationship Id="rId870" Type="http://schemas.openxmlformats.org/officeDocument/2006/relationships/hyperlink" Target="https://www.youtube.com/watch?v=AefxKKTqv5I" TargetMode="External"/><Relationship Id="rId1086" Type="http://schemas.openxmlformats.org/officeDocument/2006/relationships/hyperlink" Target="https://www.youtube.com/watch?v=mxQpJeckKaU" TargetMode="External"/><Relationship Id="rId1293" Type="http://schemas.openxmlformats.org/officeDocument/2006/relationships/hyperlink" Target="https://www.youtube.com/watch?v=Voaw-uef3Tw" TargetMode="External"/><Relationship Id="rId1307" Type="http://schemas.openxmlformats.org/officeDocument/2006/relationships/hyperlink" Target="https://www.youtube.com/watch?v=7-JbRtATwHQ" TargetMode="External"/><Relationship Id="rId1514" Type="http://schemas.openxmlformats.org/officeDocument/2006/relationships/hyperlink" Target="https://www.youtube.com/watch?v=79r5KYH0nBI" TargetMode="External"/><Relationship Id="rId13" Type="http://schemas.openxmlformats.org/officeDocument/2006/relationships/hyperlink" Target="https://www.youtube.com/watch?v=PcNDlU0LyJk" TargetMode="External"/><Relationship Id="rId109" Type="http://schemas.openxmlformats.org/officeDocument/2006/relationships/hyperlink" Target="https://www.youtube.com/watch?v=QWaXqmcxm94" TargetMode="External"/><Relationship Id="rId316" Type="http://schemas.openxmlformats.org/officeDocument/2006/relationships/hyperlink" Target="https://www.youtube.com/watch?v=4h6drLmYTr8" TargetMode="External"/><Relationship Id="rId523" Type="http://schemas.openxmlformats.org/officeDocument/2006/relationships/hyperlink" Target="https://www.youtube.com/watch?v=ZWkU2WQv4mM" TargetMode="External"/><Relationship Id="rId968" Type="http://schemas.openxmlformats.org/officeDocument/2006/relationships/hyperlink" Target="https://www.youtube.com/watch?v=9oRLNbl-DxI" TargetMode="External"/><Relationship Id="rId1153" Type="http://schemas.openxmlformats.org/officeDocument/2006/relationships/hyperlink" Target="https://www.youtube.com/watch?v=qiir-ZWT6yI" TargetMode="External"/><Relationship Id="rId97" Type="http://schemas.openxmlformats.org/officeDocument/2006/relationships/hyperlink" Target="https://www.youtube.com/watch?v=Yhp3rFuo5Cw" TargetMode="External"/><Relationship Id="rId730" Type="http://schemas.openxmlformats.org/officeDocument/2006/relationships/hyperlink" Target="https://www.youtube.com/watch?v=xA9TKhOjY24" TargetMode="External"/><Relationship Id="rId828" Type="http://schemas.openxmlformats.org/officeDocument/2006/relationships/hyperlink" Target="https://www.youtube.com/watch?v=5tMCiwnQlXM" TargetMode="External"/><Relationship Id="rId1013" Type="http://schemas.openxmlformats.org/officeDocument/2006/relationships/hyperlink" Target="https://www.youtube.com/watch?v=xl6nyKVDNCQ" TargetMode="External"/><Relationship Id="rId1360" Type="http://schemas.openxmlformats.org/officeDocument/2006/relationships/hyperlink" Target="https://www.youtube.com/watch?v=BlNY-1vmqvA" TargetMode="External"/><Relationship Id="rId1458" Type="http://schemas.openxmlformats.org/officeDocument/2006/relationships/hyperlink" Target="https://www.youtube.com/watch?v=7IXp156RgtQ" TargetMode="External"/><Relationship Id="rId162" Type="http://schemas.openxmlformats.org/officeDocument/2006/relationships/hyperlink" Target="https://www.youtube.com/watch?v=4eM5V0OXNNU" TargetMode="External"/><Relationship Id="rId467" Type="http://schemas.openxmlformats.org/officeDocument/2006/relationships/hyperlink" Target="https://www.youtube.com/watch?v=iY88UCitwGY" TargetMode="External"/><Relationship Id="rId1097" Type="http://schemas.openxmlformats.org/officeDocument/2006/relationships/hyperlink" Target="https://www.youtube.com/watch?v=0ol6BUtHZu8" TargetMode="External"/><Relationship Id="rId1220" Type="http://schemas.openxmlformats.org/officeDocument/2006/relationships/hyperlink" Target="https://www.youtube.com/watch?v=8usGAaPq-WY" TargetMode="External"/><Relationship Id="rId1318" Type="http://schemas.openxmlformats.org/officeDocument/2006/relationships/hyperlink" Target="https://www.youtube.com/watch?v=JjtvU2xQpaQ" TargetMode="External"/><Relationship Id="rId674" Type="http://schemas.openxmlformats.org/officeDocument/2006/relationships/hyperlink" Target="https://www.youtube.com/watch?v=MP4mGKSR2-0" TargetMode="External"/><Relationship Id="rId881" Type="http://schemas.openxmlformats.org/officeDocument/2006/relationships/hyperlink" Target="https://www.youtube.com/watch?v=adov37an6hU" TargetMode="External"/><Relationship Id="rId979" Type="http://schemas.openxmlformats.org/officeDocument/2006/relationships/hyperlink" Target="https://www.youtube.com/watch?v=ejkbEib1Otk" TargetMode="External"/><Relationship Id="rId24" Type="http://schemas.openxmlformats.org/officeDocument/2006/relationships/hyperlink" Target="https://www.youtube.com/watch?v=2UnJMns3fjs" TargetMode="External"/><Relationship Id="rId327" Type="http://schemas.openxmlformats.org/officeDocument/2006/relationships/hyperlink" Target="https://www.youtube.com/watch?v=wH8I0vSB-Os" TargetMode="External"/><Relationship Id="rId534" Type="http://schemas.openxmlformats.org/officeDocument/2006/relationships/hyperlink" Target="https://www.youtube.com/watch?v=yYhGJH2NjBA" TargetMode="External"/><Relationship Id="rId741" Type="http://schemas.openxmlformats.org/officeDocument/2006/relationships/hyperlink" Target="https://www.youtube.com/watch?v=VxI-y4zU4YE" TargetMode="External"/><Relationship Id="rId839" Type="http://schemas.openxmlformats.org/officeDocument/2006/relationships/hyperlink" Target="https://www.youtube.com/watch?v=rbrxzObExNc" TargetMode="External"/><Relationship Id="rId1164" Type="http://schemas.openxmlformats.org/officeDocument/2006/relationships/hyperlink" Target="https://www.youtube.com/watch?v=B1KtIwSP4_U" TargetMode="External"/><Relationship Id="rId1371" Type="http://schemas.openxmlformats.org/officeDocument/2006/relationships/hyperlink" Target="https://www.youtube.com/watch?v=4ZkNnR--tMY" TargetMode="External"/><Relationship Id="rId1469" Type="http://schemas.openxmlformats.org/officeDocument/2006/relationships/hyperlink" Target="https://www.youtube.com/watch?v=aPfBxS4huSc" TargetMode="External"/><Relationship Id="rId173" Type="http://schemas.openxmlformats.org/officeDocument/2006/relationships/hyperlink" Target="https://www.youtube.com/watch?v=BcDC-Op1hJc" TargetMode="External"/><Relationship Id="rId380" Type="http://schemas.openxmlformats.org/officeDocument/2006/relationships/hyperlink" Target="https://www.youtube.com/watch?v=yIUwgFjMrg8" TargetMode="External"/><Relationship Id="rId601" Type="http://schemas.openxmlformats.org/officeDocument/2006/relationships/hyperlink" Target="https://www.youtube.com/watch?v=tBf6vZKjL9w" TargetMode="External"/><Relationship Id="rId1024" Type="http://schemas.openxmlformats.org/officeDocument/2006/relationships/hyperlink" Target="https://www.youtube.com/watch?v=3vhgcNKVRgY" TargetMode="External"/><Relationship Id="rId1231" Type="http://schemas.openxmlformats.org/officeDocument/2006/relationships/hyperlink" Target="https://www.youtube.com/watch?v=Y5sHrOViVq0" TargetMode="External"/><Relationship Id="rId240" Type="http://schemas.openxmlformats.org/officeDocument/2006/relationships/hyperlink" Target="https://www.youtube.com/watch?v=v6It_CJ27bg" TargetMode="External"/><Relationship Id="rId478" Type="http://schemas.openxmlformats.org/officeDocument/2006/relationships/hyperlink" Target="https://www.youtube.com/watch?v=pfw-rEK12IA" TargetMode="External"/><Relationship Id="rId685" Type="http://schemas.openxmlformats.org/officeDocument/2006/relationships/hyperlink" Target="https://www.youtube.com/watch?v=Cv8kec-TugY" TargetMode="External"/><Relationship Id="rId892" Type="http://schemas.openxmlformats.org/officeDocument/2006/relationships/hyperlink" Target="https://www.youtube.com/watch?v=2Hmcjz_IH8I" TargetMode="External"/><Relationship Id="rId906" Type="http://schemas.openxmlformats.org/officeDocument/2006/relationships/hyperlink" Target="https://www.youtube.com/watch?v=LEotomBnsQk" TargetMode="External"/><Relationship Id="rId1329" Type="http://schemas.openxmlformats.org/officeDocument/2006/relationships/hyperlink" Target="https://www.youtube.com/watch?v=MAt3aD51sUM" TargetMode="External"/><Relationship Id="rId35" Type="http://schemas.openxmlformats.org/officeDocument/2006/relationships/hyperlink" Target="https://www.youtube.com/watch?v=0Y3z-QStbk8" TargetMode="External"/><Relationship Id="rId100" Type="http://schemas.openxmlformats.org/officeDocument/2006/relationships/hyperlink" Target="https://www.youtube.com/watch?v=8qjQH_-WzyE" TargetMode="External"/><Relationship Id="rId338" Type="http://schemas.openxmlformats.org/officeDocument/2006/relationships/hyperlink" Target="https://www.youtube.com/watch?v=fQxUVyFqzpA" TargetMode="External"/><Relationship Id="rId545" Type="http://schemas.openxmlformats.org/officeDocument/2006/relationships/hyperlink" Target="https://www.youtube.com/watch?v=NpqJHyWjh7A" TargetMode="External"/><Relationship Id="rId752" Type="http://schemas.openxmlformats.org/officeDocument/2006/relationships/hyperlink" Target="https://www.youtube.com/watch?v=0DBc4TKwgDc" TargetMode="External"/><Relationship Id="rId1175" Type="http://schemas.openxmlformats.org/officeDocument/2006/relationships/hyperlink" Target="https://www.youtube.com/watch?v=6WJO3QlTEpg" TargetMode="External"/><Relationship Id="rId1382" Type="http://schemas.openxmlformats.org/officeDocument/2006/relationships/hyperlink" Target="https://www.youtube.com/watch?v=0RYS6V76lRQ" TargetMode="External"/><Relationship Id="rId184" Type="http://schemas.openxmlformats.org/officeDocument/2006/relationships/hyperlink" Target="https://www.youtube.com/watch?v=VP5gPVW3XDM" TargetMode="External"/><Relationship Id="rId391" Type="http://schemas.openxmlformats.org/officeDocument/2006/relationships/hyperlink" Target="https://www.youtube.com/watch?v=L2rJctVLi3M" TargetMode="External"/><Relationship Id="rId405" Type="http://schemas.openxmlformats.org/officeDocument/2006/relationships/hyperlink" Target="https://www.youtube.com/watch?v=XeCuvEX-tow" TargetMode="External"/><Relationship Id="rId612" Type="http://schemas.openxmlformats.org/officeDocument/2006/relationships/hyperlink" Target="https://www.youtube.com/watch?v=7JNUG5Lyals" TargetMode="External"/><Relationship Id="rId1035" Type="http://schemas.openxmlformats.org/officeDocument/2006/relationships/hyperlink" Target="https://www.youtube.com/watch?v=D7yIybTWmmU" TargetMode="External"/><Relationship Id="rId1242" Type="http://schemas.openxmlformats.org/officeDocument/2006/relationships/hyperlink" Target="https://www.youtube.com/watch?v=JZ7LHVZfMwM" TargetMode="External"/><Relationship Id="rId251" Type="http://schemas.openxmlformats.org/officeDocument/2006/relationships/hyperlink" Target="https://www.youtube.com/watch?v=6LOxjxiZ3NQ" TargetMode="External"/><Relationship Id="rId489" Type="http://schemas.openxmlformats.org/officeDocument/2006/relationships/hyperlink" Target="https://www.youtube.com/watch?v=TbQkh6axHEM" TargetMode="External"/><Relationship Id="rId696" Type="http://schemas.openxmlformats.org/officeDocument/2006/relationships/hyperlink" Target="https://www.youtube.com/watch?v=5U64D5B9-O0" TargetMode="External"/><Relationship Id="rId917" Type="http://schemas.openxmlformats.org/officeDocument/2006/relationships/hyperlink" Target="https://www.youtube.com/watch?v=5HrBZvxcPmY" TargetMode="External"/><Relationship Id="rId1102" Type="http://schemas.openxmlformats.org/officeDocument/2006/relationships/hyperlink" Target="https://www.youtube.com/watch?v=Zr29r9gnq6A" TargetMode="External"/><Relationship Id="rId46" Type="http://schemas.openxmlformats.org/officeDocument/2006/relationships/hyperlink" Target="https://www.youtube.com/watch?v=5LJPOCxc3E8" TargetMode="External"/><Relationship Id="rId349" Type="http://schemas.openxmlformats.org/officeDocument/2006/relationships/hyperlink" Target="https://www.youtube.com/watch?v=57-MHC42i7g" TargetMode="External"/><Relationship Id="rId556" Type="http://schemas.openxmlformats.org/officeDocument/2006/relationships/hyperlink" Target="https://www.youtube.com/watch?v=1GLaXQ6Rgcg" TargetMode="External"/><Relationship Id="rId763" Type="http://schemas.openxmlformats.org/officeDocument/2006/relationships/hyperlink" Target="https://www.youtube.com/watch?v=V-N1KdB7QTg" TargetMode="External"/><Relationship Id="rId1186" Type="http://schemas.openxmlformats.org/officeDocument/2006/relationships/hyperlink" Target="https://www.youtube.com/watch?v=MqvZxu1TaSQ" TargetMode="External"/><Relationship Id="rId1393" Type="http://schemas.openxmlformats.org/officeDocument/2006/relationships/hyperlink" Target="https://www.youtube.com/watch?v=vhlPSbFlxPI" TargetMode="External"/><Relationship Id="rId1407" Type="http://schemas.openxmlformats.org/officeDocument/2006/relationships/hyperlink" Target="https://www.youtube.com/watch?v=DMReaVWJGFE" TargetMode="External"/><Relationship Id="rId111" Type="http://schemas.openxmlformats.org/officeDocument/2006/relationships/hyperlink" Target="https://www.youtube.com/watch?v=JXjMYvGqqDE" TargetMode="External"/><Relationship Id="rId195" Type="http://schemas.openxmlformats.org/officeDocument/2006/relationships/hyperlink" Target="https://www.youtube.com/watch?v=-WPYCv8jdJc" TargetMode="External"/><Relationship Id="rId209" Type="http://schemas.openxmlformats.org/officeDocument/2006/relationships/hyperlink" Target="https://www.youtube.com/watch?v=k_PhmmAyLFg" TargetMode="External"/><Relationship Id="rId416" Type="http://schemas.openxmlformats.org/officeDocument/2006/relationships/hyperlink" Target="https://www.youtube.com/watch?v=gU4jkSa9phY" TargetMode="External"/><Relationship Id="rId970" Type="http://schemas.openxmlformats.org/officeDocument/2006/relationships/hyperlink" Target="https://www.youtube.com/watch?v=ZhuUYD3QvB8" TargetMode="External"/><Relationship Id="rId1046" Type="http://schemas.openxmlformats.org/officeDocument/2006/relationships/hyperlink" Target="https://www.youtube.com/watch?v=VkyOIj4SQu4" TargetMode="External"/><Relationship Id="rId1253" Type="http://schemas.openxmlformats.org/officeDocument/2006/relationships/hyperlink" Target="https://www.youtube.com/watch?v=13shkRG4RMc" TargetMode="External"/><Relationship Id="rId623" Type="http://schemas.openxmlformats.org/officeDocument/2006/relationships/hyperlink" Target="https://www.youtube.com/watch?v=Iimv8qJijTE" TargetMode="External"/><Relationship Id="rId830" Type="http://schemas.openxmlformats.org/officeDocument/2006/relationships/hyperlink" Target="https://www.youtube.com/watch?v=61VsCIaQhX4" TargetMode="External"/><Relationship Id="rId928" Type="http://schemas.openxmlformats.org/officeDocument/2006/relationships/hyperlink" Target="https://www.youtube.com/watch?v=fmVDyQnLFe4" TargetMode="External"/><Relationship Id="rId1460" Type="http://schemas.openxmlformats.org/officeDocument/2006/relationships/hyperlink" Target="https://www.youtube.com/watch?v=1CJb6PuWDqk" TargetMode="External"/><Relationship Id="rId57" Type="http://schemas.openxmlformats.org/officeDocument/2006/relationships/hyperlink" Target="https://www.youtube.com/watch?v=C3_6Ub1GnfA" TargetMode="External"/><Relationship Id="rId262" Type="http://schemas.openxmlformats.org/officeDocument/2006/relationships/hyperlink" Target="https://www.youtube.com/watch?v=vHGejHQUoio" TargetMode="External"/><Relationship Id="rId567" Type="http://schemas.openxmlformats.org/officeDocument/2006/relationships/hyperlink" Target="https://www.youtube.com/watch?v=Q3ZGmGasWfc" TargetMode="External"/><Relationship Id="rId1113" Type="http://schemas.openxmlformats.org/officeDocument/2006/relationships/hyperlink" Target="https://www.youtube.com/watch?v=07rLdtPRbEE" TargetMode="External"/><Relationship Id="rId1197" Type="http://schemas.openxmlformats.org/officeDocument/2006/relationships/hyperlink" Target="https://www.youtube.com/watch?v=ZoDHsv06lNI" TargetMode="External"/><Relationship Id="rId1320" Type="http://schemas.openxmlformats.org/officeDocument/2006/relationships/hyperlink" Target="https://www.youtube.com/watch?v=C6sAuCIhIzA" TargetMode="External"/><Relationship Id="rId1418" Type="http://schemas.openxmlformats.org/officeDocument/2006/relationships/hyperlink" Target="https://www.youtube.com/watch?v=VKbVHIgKbbo" TargetMode="External"/><Relationship Id="rId122" Type="http://schemas.openxmlformats.org/officeDocument/2006/relationships/hyperlink" Target="https://www.youtube.com/watch?v=QZxRsM9xvK4" TargetMode="External"/><Relationship Id="rId774" Type="http://schemas.openxmlformats.org/officeDocument/2006/relationships/hyperlink" Target="https://www.youtube.com/watch?v=xjoBDX3u1Ys" TargetMode="External"/><Relationship Id="rId981" Type="http://schemas.openxmlformats.org/officeDocument/2006/relationships/hyperlink" Target="https://www.youtube.com/watch?v=4PxIlOKBbng" TargetMode="External"/><Relationship Id="rId1057" Type="http://schemas.openxmlformats.org/officeDocument/2006/relationships/hyperlink" Target="https://www.youtube.com/watch?v=Q7TqlnXF3cA" TargetMode="External"/><Relationship Id="rId427" Type="http://schemas.openxmlformats.org/officeDocument/2006/relationships/hyperlink" Target="https://www.youtube.com/watch?v=9ScY3DQ8lnM" TargetMode="External"/><Relationship Id="rId634" Type="http://schemas.openxmlformats.org/officeDocument/2006/relationships/hyperlink" Target="https://www.youtube.com/watch?v=hbcWYVaowqI" TargetMode="External"/><Relationship Id="rId841" Type="http://schemas.openxmlformats.org/officeDocument/2006/relationships/hyperlink" Target="https://www.youtube.com/watch?v=G6rcMSQ1UVE" TargetMode="External"/><Relationship Id="rId1264" Type="http://schemas.openxmlformats.org/officeDocument/2006/relationships/hyperlink" Target="https://www.youtube.com/watch?v=-c4KLljIDeo" TargetMode="External"/><Relationship Id="rId1471" Type="http://schemas.openxmlformats.org/officeDocument/2006/relationships/hyperlink" Target="https://www.youtube.com/watch?v=HQK8u4lh7y0" TargetMode="External"/><Relationship Id="rId273" Type="http://schemas.openxmlformats.org/officeDocument/2006/relationships/hyperlink" Target="https://www.youtube.com/watch?v=2WYZtS_LLog" TargetMode="External"/><Relationship Id="rId480" Type="http://schemas.openxmlformats.org/officeDocument/2006/relationships/hyperlink" Target="https://www.youtube.com/watch?v=4H5piNrmsCU" TargetMode="External"/><Relationship Id="rId701" Type="http://schemas.openxmlformats.org/officeDocument/2006/relationships/hyperlink" Target="https://www.youtube.com/watch?v=YHee5lF9yPc" TargetMode="External"/><Relationship Id="rId939" Type="http://schemas.openxmlformats.org/officeDocument/2006/relationships/hyperlink" Target="https://www.youtube.com/watch?v=GiNhw1WJNXc" TargetMode="External"/><Relationship Id="rId1124" Type="http://schemas.openxmlformats.org/officeDocument/2006/relationships/hyperlink" Target="https://www.youtube.com/watch?v=8M2LUwJGwHw" TargetMode="External"/><Relationship Id="rId1331" Type="http://schemas.openxmlformats.org/officeDocument/2006/relationships/hyperlink" Target="https://www.youtube.com/watch?v=EXkq2inhXiw" TargetMode="External"/><Relationship Id="rId68" Type="http://schemas.openxmlformats.org/officeDocument/2006/relationships/hyperlink" Target="https://www.youtube.com/watch?v=lzMEDrUFlpw" TargetMode="External"/><Relationship Id="rId133" Type="http://schemas.openxmlformats.org/officeDocument/2006/relationships/hyperlink" Target="https://www.youtube.com/watch?v=HZ6X5Xt1nS8" TargetMode="External"/><Relationship Id="rId340" Type="http://schemas.openxmlformats.org/officeDocument/2006/relationships/hyperlink" Target="https://www.youtube.com/watch?v=wgud4Fi47XA" TargetMode="External"/><Relationship Id="rId578" Type="http://schemas.openxmlformats.org/officeDocument/2006/relationships/hyperlink" Target="https://www.youtube.com/watch?v=NQUbNykwFG4" TargetMode="External"/><Relationship Id="rId785" Type="http://schemas.openxmlformats.org/officeDocument/2006/relationships/hyperlink" Target="https://www.youtube.com/watch?v=go47jpA5M1A" TargetMode="External"/><Relationship Id="rId992" Type="http://schemas.openxmlformats.org/officeDocument/2006/relationships/hyperlink" Target="https://www.youtube.com/watch?v=5XqO9FCH3Xk" TargetMode="External"/><Relationship Id="rId1429" Type="http://schemas.openxmlformats.org/officeDocument/2006/relationships/hyperlink" Target="https://www.youtube.com/watch?v=1wYg5d-4aVg" TargetMode="External"/><Relationship Id="rId200" Type="http://schemas.openxmlformats.org/officeDocument/2006/relationships/hyperlink" Target="https://www.youtube.com/watch?v=SrCfhdoTLfg" TargetMode="External"/><Relationship Id="rId438" Type="http://schemas.openxmlformats.org/officeDocument/2006/relationships/hyperlink" Target="https://www.youtube.com/watch?v=dXkhbNnOMy0" TargetMode="External"/><Relationship Id="rId645" Type="http://schemas.openxmlformats.org/officeDocument/2006/relationships/hyperlink" Target="https://www.youtube.com/watch?v=sdUuukDpj9s" TargetMode="External"/><Relationship Id="rId852" Type="http://schemas.openxmlformats.org/officeDocument/2006/relationships/hyperlink" Target="https://www.youtube.com/watch?v=inpmzGJn2LU" TargetMode="External"/><Relationship Id="rId1068" Type="http://schemas.openxmlformats.org/officeDocument/2006/relationships/hyperlink" Target="https://www.youtube.com/watch?v=2yRygpW0RYY" TargetMode="External"/><Relationship Id="rId1275" Type="http://schemas.openxmlformats.org/officeDocument/2006/relationships/hyperlink" Target="https://www.youtube.com/watch?v=NpCmOPhka6g" TargetMode="External"/><Relationship Id="rId1482" Type="http://schemas.openxmlformats.org/officeDocument/2006/relationships/hyperlink" Target="https://www.youtube.com/watch?v=JlEmX46IYNY" TargetMode="External"/><Relationship Id="rId284" Type="http://schemas.openxmlformats.org/officeDocument/2006/relationships/hyperlink" Target="https://www.youtube.com/watch?v=k54XQ5I1Nzo" TargetMode="External"/><Relationship Id="rId491" Type="http://schemas.openxmlformats.org/officeDocument/2006/relationships/hyperlink" Target="https://www.youtube.com/watch?v=1_8y5fSSOlE" TargetMode="External"/><Relationship Id="rId505" Type="http://schemas.openxmlformats.org/officeDocument/2006/relationships/hyperlink" Target="https://www.youtube.com/watch?v=11Ben3IvDQ0" TargetMode="External"/><Relationship Id="rId712" Type="http://schemas.openxmlformats.org/officeDocument/2006/relationships/hyperlink" Target="https://www.youtube.com/watch?v=wKE7d6nLsDM" TargetMode="External"/><Relationship Id="rId1135" Type="http://schemas.openxmlformats.org/officeDocument/2006/relationships/hyperlink" Target="https://www.youtube.com/watch?v=aBwX_u__31I" TargetMode="External"/><Relationship Id="rId1342" Type="http://schemas.openxmlformats.org/officeDocument/2006/relationships/hyperlink" Target="https://www.youtube.com/watch?v=lkDfIrZy2VY" TargetMode="External"/><Relationship Id="rId79" Type="http://schemas.openxmlformats.org/officeDocument/2006/relationships/hyperlink" Target="https://www.youtube.com/watch?v=THua8SMPtK4" TargetMode="External"/><Relationship Id="rId144" Type="http://schemas.openxmlformats.org/officeDocument/2006/relationships/hyperlink" Target="https://www.youtube.com/watch?v=MlTxtaiX1xI" TargetMode="External"/><Relationship Id="rId589" Type="http://schemas.openxmlformats.org/officeDocument/2006/relationships/hyperlink" Target="https://www.youtube.com/watch?v=c13ZN5rYckE" TargetMode="External"/><Relationship Id="rId796" Type="http://schemas.openxmlformats.org/officeDocument/2006/relationships/hyperlink" Target="https://www.youtube.com/watch?v=C3knBzrgTTY" TargetMode="External"/><Relationship Id="rId1202" Type="http://schemas.openxmlformats.org/officeDocument/2006/relationships/hyperlink" Target="https://www.youtube.com/watch?v=ZI3BJk08OWI" TargetMode="External"/><Relationship Id="rId351" Type="http://schemas.openxmlformats.org/officeDocument/2006/relationships/hyperlink" Target="https://www.youtube.com/watch?v=pO9qCeA640E" TargetMode="External"/><Relationship Id="rId449" Type="http://schemas.openxmlformats.org/officeDocument/2006/relationships/hyperlink" Target="https://www.youtube.com/watch?v=v6x52noLJOo" TargetMode="External"/><Relationship Id="rId656" Type="http://schemas.openxmlformats.org/officeDocument/2006/relationships/hyperlink" Target="https://www.youtube.com/watch?v=7bZemcM70W0" TargetMode="External"/><Relationship Id="rId863" Type="http://schemas.openxmlformats.org/officeDocument/2006/relationships/hyperlink" Target="https://www.youtube.com/watch?v=6aJLKt2nXsg" TargetMode="External"/><Relationship Id="rId1079" Type="http://schemas.openxmlformats.org/officeDocument/2006/relationships/hyperlink" Target="https://www.youtube.com/watch?v=Wr_CIMPuH3I" TargetMode="External"/><Relationship Id="rId1286" Type="http://schemas.openxmlformats.org/officeDocument/2006/relationships/hyperlink" Target="https://www.youtube.com/watch?v=Yb0AWtlb8-g" TargetMode="External"/><Relationship Id="rId1493" Type="http://schemas.openxmlformats.org/officeDocument/2006/relationships/hyperlink" Target="https://www.youtube.com/watch?v=c50rfZlrNXU" TargetMode="External"/><Relationship Id="rId1507" Type="http://schemas.openxmlformats.org/officeDocument/2006/relationships/hyperlink" Target="https://www.youtube.com/watch?v=JB_lc00AWIE" TargetMode="External"/><Relationship Id="rId211" Type="http://schemas.openxmlformats.org/officeDocument/2006/relationships/hyperlink" Target="https://www.youtube.com/watch?v=tUBrwCmKx8s" TargetMode="External"/><Relationship Id="rId295" Type="http://schemas.openxmlformats.org/officeDocument/2006/relationships/hyperlink" Target="https://www.youtube.com/watch?v=sdhISUDYvX4" TargetMode="External"/><Relationship Id="rId309" Type="http://schemas.openxmlformats.org/officeDocument/2006/relationships/hyperlink" Target="https://www.youtube.com/watch?v=ucgD3lqwZX0" TargetMode="External"/><Relationship Id="rId516" Type="http://schemas.openxmlformats.org/officeDocument/2006/relationships/hyperlink" Target="https://www.youtube.com/watch?v=qGie_-i1j6o" TargetMode="External"/><Relationship Id="rId1146" Type="http://schemas.openxmlformats.org/officeDocument/2006/relationships/hyperlink" Target="https://www.youtube.com/watch?v=BsEY7XJTv70" TargetMode="External"/><Relationship Id="rId723" Type="http://schemas.openxmlformats.org/officeDocument/2006/relationships/hyperlink" Target="https://www.youtube.com/watch?v=DYtc95s7Kpc" TargetMode="External"/><Relationship Id="rId930" Type="http://schemas.openxmlformats.org/officeDocument/2006/relationships/hyperlink" Target="https://www.youtube.com/watch?v=ohUG8LIy7Cs" TargetMode="External"/><Relationship Id="rId1006" Type="http://schemas.openxmlformats.org/officeDocument/2006/relationships/hyperlink" Target="https://www.youtube.com/watch?v=qEJJIhs02cI" TargetMode="External"/><Relationship Id="rId1353" Type="http://schemas.openxmlformats.org/officeDocument/2006/relationships/hyperlink" Target="https://www.youtube.com/watch?v=Lrh5zQHEIk4" TargetMode="External"/><Relationship Id="rId155" Type="http://schemas.openxmlformats.org/officeDocument/2006/relationships/hyperlink" Target="https://www.youtube.com/watch?v=54lSHTtU68A" TargetMode="External"/><Relationship Id="rId362" Type="http://schemas.openxmlformats.org/officeDocument/2006/relationships/hyperlink" Target="https://www.youtube.com/watch?v=qsCWK-TQVsk" TargetMode="External"/><Relationship Id="rId1213" Type="http://schemas.openxmlformats.org/officeDocument/2006/relationships/hyperlink" Target="https://www.youtube.com/watch?v=J2Z6w1bXfYc" TargetMode="External"/><Relationship Id="rId1297" Type="http://schemas.openxmlformats.org/officeDocument/2006/relationships/hyperlink" Target="https://www.youtube.com/watch?v=n5lHU4Qyfbk" TargetMode="External"/><Relationship Id="rId1420" Type="http://schemas.openxmlformats.org/officeDocument/2006/relationships/hyperlink" Target="https://www.youtube.com/watch?v=uaTb9-4kT2Y" TargetMode="External"/><Relationship Id="rId222" Type="http://schemas.openxmlformats.org/officeDocument/2006/relationships/hyperlink" Target="https://www.youtube.com/watch?v=61LvuBJ6Ojs" TargetMode="External"/><Relationship Id="rId667" Type="http://schemas.openxmlformats.org/officeDocument/2006/relationships/hyperlink" Target="https://www.youtube.com/watch?v=gtDa8NLyc74" TargetMode="External"/><Relationship Id="rId874" Type="http://schemas.openxmlformats.org/officeDocument/2006/relationships/hyperlink" Target="https://www.youtube.com/watch?v=o-395A-OrOQ" TargetMode="External"/><Relationship Id="rId17" Type="http://schemas.openxmlformats.org/officeDocument/2006/relationships/hyperlink" Target="https://www.youtube.com/watch?v=0_EJXPWJN4E" TargetMode="External"/><Relationship Id="rId527" Type="http://schemas.openxmlformats.org/officeDocument/2006/relationships/hyperlink" Target="https://www.youtube.com/watch?v=mNRX-8C-RmY" TargetMode="External"/><Relationship Id="rId734" Type="http://schemas.openxmlformats.org/officeDocument/2006/relationships/hyperlink" Target="https://www.youtube.com/watch?v=qY5oQOirve4" TargetMode="External"/><Relationship Id="rId941" Type="http://schemas.openxmlformats.org/officeDocument/2006/relationships/hyperlink" Target="https://www.youtube.com/watch?v=NRep5rGd_FU" TargetMode="External"/><Relationship Id="rId1157" Type="http://schemas.openxmlformats.org/officeDocument/2006/relationships/hyperlink" Target="https://www.youtube.com/watch?v=6PUBS8MXVzc" TargetMode="External"/><Relationship Id="rId1364" Type="http://schemas.openxmlformats.org/officeDocument/2006/relationships/hyperlink" Target="https://www.youtube.com/watch?v=iwaHs0-q9l8" TargetMode="External"/><Relationship Id="rId70" Type="http://schemas.openxmlformats.org/officeDocument/2006/relationships/hyperlink" Target="https://www.youtube.com/watch?v=qCG2vqnaUx4" TargetMode="External"/><Relationship Id="rId166" Type="http://schemas.openxmlformats.org/officeDocument/2006/relationships/hyperlink" Target="https://www.youtube.com/watch?v=3pxgnl2fHZg" TargetMode="External"/><Relationship Id="rId373" Type="http://schemas.openxmlformats.org/officeDocument/2006/relationships/hyperlink" Target="https://www.youtube.com/watch?v=NfO_yqDrGWs" TargetMode="External"/><Relationship Id="rId580" Type="http://schemas.openxmlformats.org/officeDocument/2006/relationships/hyperlink" Target="https://www.youtube.com/watch?v=zILqg37PouM" TargetMode="External"/><Relationship Id="rId801" Type="http://schemas.openxmlformats.org/officeDocument/2006/relationships/hyperlink" Target="https://www.youtube.com/watch?v=JcNaFHIozC4" TargetMode="External"/><Relationship Id="rId1017" Type="http://schemas.openxmlformats.org/officeDocument/2006/relationships/hyperlink" Target="https://www.youtube.com/watch?v=1uNyxmccf1U" TargetMode="External"/><Relationship Id="rId1224" Type="http://schemas.openxmlformats.org/officeDocument/2006/relationships/hyperlink" Target="https://www.youtube.com/watch?v=r0tSX3M-7oM&amp;t=41s" TargetMode="External"/><Relationship Id="rId1431" Type="http://schemas.openxmlformats.org/officeDocument/2006/relationships/hyperlink" Target="https://www.youtube.com/watch?v=oLCI7vQ7WFk" TargetMode="External"/><Relationship Id="rId1" Type="http://schemas.openxmlformats.org/officeDocument/2006/relationships/hyperlink" Target="https://www.youtube.com/watch?v=RD7JpM4UrUA" TargetMode="External"/><Relationship Id="rId233" Type="http://schemas.openxmlformats.org/officeDocument/2006/relationships/hyperlink" Target="https://www.youtube.com/watch?v=TxC_8Xllf-M" TargetMode="External"/><Relationship Id="rId440" Type="http://schemas.openxmlformats.org/officeDocument/2006/relationships/hyperlink" Target="https://www.youtube.com/watch?v=YD-IKZbbHeU" TargetMode="External"/><Relationship Id="rId678" Type="http://schemas.openxmlformats.org/officeDocument/2006/relationships/hyperlink" Target="https://www.youtube.com/watch?v=LkTTH9gGQwA" TargetMode="External"/><Relationship Id="rId885" Type="http://schemas.openxmlformats.org/officeDocument/2006/relationships/hyperlink" Target="https://www.youtube.com/watch?v=a_HGSrmF_8w" TargetMode="External"/><Relationship Id="rId1070" Type="http://schemas.openxmlformats.org/officeDocument/2006/relationships/hyperlink" Target="https://www.youtube.com/watch?v=Y3j3g76ggFE" TargetMode="External"/><Relationship Id="rId28" Type="http://schemas.openxmlformats.org/officeDocument/2006/relationships/hyperlink" Target="https://www.youtube.com/watch?v=Smd_3o5vtLo" TargetMode="External"/><Relationship Id="rId300" Type="http://schemas.openxmlformats.org/officeDocument/2006/relationships/hyperlink" Target="https://www.youtube.com/watch?v=PjvzuUMMZs4" TargetMode="External"/><Relationship Id="rId538" Type="http://schemas.openxmlformats.org/officeDocument/2006/relationships/hyperlink" Target="https://www.youtube.com/watch?v=k6dsew1B6SE" TargetMode="External"/><Relationship Id="rId745" Type="http://schemas.openxmlformats.org/officeDocument/2006/relationships/hyperlink" Target="https://www.youtube.com/watch?v=A6j1KcojG0E" TargetMode="External"/><Relationship Id="rId952" Type="http://schemas.openxmlformats.org/officeDocument/2006/relationships/hyperlink" Target="https://www.youtube.com/watch?v=Hqx5Pfe-4NI" TargetMode="External"/><Relationship Id="rId1168" Type="http://schemas.openxmlformats.org/officeDocument/2006/relationships/hyperlink" Target="https://www.youtube.com/watch?v=sGXLoCpynsU" TargetMode="External"/><Relationship Id="rId1375" Type="http://schemas.openxmlformats.org/officeDocument/2006/relationships/hyperlink" Target="https://www.youtube.com/watch?v=xAicQnL_abA" TargetMode="External"/><Relationship Id="rId81" Type="http://schemas.openxmlformats.org/officeDocument/2006/relationships/hyperlink" Target="https://www.youtube.com/watch?v=6_9IYK6ZlyY" TargetMode="External"/><Relationship Id="rId177" Type="http://schemas.openxmlformats.org/officeDocument/2006/relationships/hyperlink" Target="https://www.youtube.com/watch?v=Wrs0XEoFHAM" TargetMode="External"/><Relationship Id="rId384" Type="http://schemas.openxmlformats.org/officeDocument/2006/relationships/hyperlink" Target="https://www.youtube.com/watch?v=EWnc9FdyP7s" TargetMode="External"/><Relationship Id="rId591" Type="http://schemas.openxmlformats.org/officeDocument/2006/relationships/hyperlink" Target="https://www.youtube.com/watch?v=p3i_mI87a3E" TargetMode="External"/><Relationship Id="rId605" Type="http://schemas.openxmlformats.org/officeDocument/2006/relationships/hyperlink" Target="https://www.youtube.com/watch?v=0DzUUFbFZHs" TargetMode="External"/><Relationship Id="rId812" Type="http://schemas.openxmlformats.org/officeDocument/2006/relationships/hyperlink" Target="https://www.youtube.com/watch?v=AcHVZjv6cAs" TargetMode="External"/><Relationship Id="rId1028" Type="http://schemas.openxmlformats.org/officeDocument/2006/relationships/hyperlink" Target="https://www.youtube.com/watch?v=wYCmU0vaKvc" TargetMode="External"/><Relationship Id="rId1235" Type="http://schemas.openxmlformats.org/officeDocument/2006/relationships/hyperlink" Target="https://www.youtube.com/watch?v=kDDNkLWPpUc" TargetMode="External"/><Relationship Id="rId1442" Type="http://schemas.openxmlformats.org/officeDocument/2006/relationships/hyperlink" Target="https://www.youtube.com/watch?v=tmCFtpj6IZc" TargetMode="External"/><Relationship Id="rId244" Type="http://schemas.openxmlformats.org/officeDocument/2006/relationships/hyperlink" Target="https://www.youtube.com/watch?v=67Y76FPHZ-g" TargetMode="External"/><Relationship Id="rId689" Type="http://schemas.openxmlformats.org/officeDocument/2006/relationships/hyperlink" Target="https://www.youtube.com/watch?v=spEEA-o1zlE" TargetMode="External"/><Relationship Id="rId896" Type="http://schemas.openxmlformats.org/officeDocument/2006/relationships/hyperlink" Target="https://www.youtube.com/watch?v=2U1DVGO8vo4" TargetMode="External"/><Relationship Id="rId1081" Type="http://schemas.openxmlformats.org/officeDocument/2006/relationships/hyperlink" Target="https://www.youtube.com/watch?v=w1panKQ58dU" TargetMode="External"/><Relationship Id="rId1302" Type="http://schemas.openxmlformats.org/officeDocument/2006/relationships/hyperlink" Target="https://www.youtube.com/watch?v=9FgUTz996bs" TargetMode="External"/><Relationship Id="rId39" Type="http://schemas.openxmlformats.org/officeDocument/2006/relationships/hyperlink" Target="https://www.youtube.com/watch?v=_IcfDP-ezpo" TargetMode="External"/><Relationship Id="rId451" Type="http://schemas.openxmlformats.org/officeDocument/2006/relationships/hyperlink" Target="https://www.youtube.com/watch?v=7zvf9bnLgs8" TargetMode="External"/><Relationship Id="rId549" Type="http://schemas.openxmlformats.org/officeDocument/2006/relationships/hyperlink" Target="https://www.youtube.com/watch?v=srr9jTynwdo" TargetMode="External"/><Relationship Id="rId756" Type="http://schemas.openxmlformats.org/officeDocument/2006/relationships/hyperlink" Target="https://www.youtube.com/watch?v=FQmwAFcJSpw" TargetMode="External"/><Relationship Id="rId1179" Type="http://schemas.openxmlformats.org/officeDocument/2006/relationships/hyperlink" Target="https://www.youtube.com/watch?v=k8zAYJDE01E" TargetMode="External"/><Relationship Id="rId1386" Type="http://schemas.openxmlformats.org/officeDocument/2006/relationships/hyperlink" Target="https://www.youtube.com/watch?v=7AYmPqY5iF4" TargetMode="External"/><Relationship Id="rId104" Type="http://schemas.openxmlformats.org/officeDocument/2006/relationships/hyperlink" Target="https://www.youtube.com/watch?v=-udb2VYB5uo" TargetMode="External"/><Relationship Id="rId188" Type="http://schemas.openxmlformats.org/officeDocument/2006/relationships/hyperlink" Target="https://www.youtube.com/watch?v=fjD9BVlmPoA" TargetMode="External"/><Relationship Id="rId311" Type="http://schemas.openxmlformats.org/officeDocument/2006/relationships/hyperlink" Target="https://www.youtube.com/watch?v=5bAuJCTjg8s" TargetMode="External"/><Relationship Id="rId395" Type="http://schemas.openxmlformats.org/officeDocument/2006/relationships/hyperlink" Target="https://www.youtube.com/watch?v=U37L8EPVc5s" TargetMode="External"/><Relationship Id="rId409" Type="http://schemas.openxmlformats.org/officeDocument/2006/relationships/hyperlink" Target="https://www.youtube.com/watch?v=t63m6GCrKbw" TargetMode="External"/><Relationship Id="rId963" Type="http://schemas.openxmlformats.org/officeDocument/2006/relationships/hyperlink" Target="https://www.youtube.com/watch?v=xAx9rKxKjCk" TargetMode="External"/><Relationship Id="rId1039" Type="http://schemas.openxmlformats.org/officeDocument/2006/relationships/hyperlink" Target="https://www.youtube.com/watch?v=4pkD8CkJiIQ" TargetMode="External"/><Relationship Id="rId1246" Type="http://schemas.openxmlformats.org/officeDocument/2006/relationships/hyperlink" Target="https://www.youtube.com/watch?v=HzuZ57Y3-VQ" TargetMode="External"/><Relationship Id="rId92" Type="http://schemas.openxmlformats.org/officeDocument/2006/relationships/hyperlink" Target="https://www.youtube.com/watch?v=20u8yHim1tM" TargetMode="External"/><Relationship Id="rId616" Type="http://schemas.openxmlformats.org/officeDocument/2006/relationships/hyperlink" Target="https://www.youtube.com/watch?v=2RlQdQoP4mE" TargetMode="External"/><Relationship Id="rId823" Type="http://schemas.openxmlformats.org/officeDocument/2006/relationships/hyperlink" Target="https://www.youtube.com/watch?v=_VfaX30ncIU" TargetMode="External"/><Relationship Id="rId1453" Type="http://schemas.openxmlformats.org/officeDocument/2006/relationships/hyperlink" Target="https://www.youtube.com/watch?v=zEXu5K5eyCY" TargetMode="External"/><Relationship Id="rId255" Type="http://schemas.openxmlformats.org/officeDocument/2006/relationships/hyperlink" Target="https://www.youtube.com/watch?v=JErwMUETzvU" TargetMode="External"/><Relationship Id="rId462" Type="http://schemas.openxmlformats.org/officeDocument/2006/relationships/hyperlink" Target="https://www.youtube.com/watch?v=xGvABG6vfLg" TargetMode="External"/><Relationship Id="rId1092" Type="http://schemas.openxmlformats.org/officeDocument/2006/relationships/hyperlink" Target="https://www.youtube.com/watch?v=av1BWeMbl1Q" TargetMode="External"/><Relationship Id="rId1106" Type="http://schemas.openxmlformats.org/officeDocument/2006/relationships/hyperlink" Target="https://www.youtube.com/watch?v=R6bvpvI1_uY" TargetMode="External"/><Relationship Id="rId1313" Type="http://schemas.openxmlformats.org/officeDocument/2006/relationships/hyperlink" Target="https://www.youtube.com/watch?v=eQBirhrwc3E" TargetMode="External"/><Relationship Id="rId1397" Type="http://schemas.openxmlformats.org/officeDocument/2006/relationships/hyperlink" Target="https://www.youtube.com/watch?v=WzgR7yTQNzY" TargetMode="External"/><Relationship Id="rId115" Type="http://schemas.openxmlformats.org/officeDocument/2006/relationships/hyperlink" Target="https://www.youtube.com/watch?v=xtHzknvaS7s" TargetMode="External"/><Relationship Id="rId322" Type="http://schemas.openxmlformats.org/officeDocument/2006/relationships/hyperlink" Target="https://www.youtube.com/watch?v=yaOVnZ7W-Qc" TargetMode="External"/><Relationship Id="rId767" Type="http://schemas.openxmlformats.org/officeDocument/2006/relationships/hyperlink" Target="https://www.youtube.com/watch?v=G1vj3YNYQYg" TargetMode="External"/><Relationship Id="rId974" Type="http://schemas.openxmlformats.org/officeDocument/2006/relationships/hyperlink" Target="https://www.youtube.com/watch?v=FTdLV7hcCvI" TargetMode="External"/><Relationship Id="rId199" Type="http://schemas.openxmlformats.org/officeDocument/2006/relationships/hyperlink" Target="https://www.youtube.com/watch?v=SrCfhdoTLfg" TargetMode="External"/><Relationship Id="rId627" Type="http://schemas.openxmlformats.org/officeDocument/2006/relationships/hyperlink" Target="https://www.youtube.com/watch?v=jB9efRnouaI" TargetMode="External"/><Relationship Id="rId834" Type="http://schemas.openxmlformats.org/officeDocument/2006/relationships/hyperlink" Target="https://www.youtube.com/watch?v=bF-3L4O8Nq8" TargetMode="External"/><Relationship Id="rId1257" Type="http://schemas.openxmlformats.org/officeDocument/2006/relationships/hyperlink" Target="https://www.youtube.com/watch?v=az7GJp1YAXw" TargetMode="External"/><Relationship Id="rId1464" Type="http://schemas.openxmlformats.org/officeDocument/2006/relationships/hyperlink" Target="https://www.youtube.com/watch?v=lyiuoR-2E6I" TargetMode="External"/><Relationship Id="rId266" Type="http://schemas.openxmlformats.org/officeDocument/2006/relationships/hyperlink" Target="https://www.youtube.com/watch?v=kQP4pUPNjqs" TargetMode="External"/><Relationship Id="rId473" Type="http://schemas.openxmlformats.org/officeDocument/2006/relationships/hyperlink" Target="https://www.youtube.com/watch?v=GajqTVRZzfE" TargetMode="External"/><Relationship Id="rId680" Type="http://schemas.openxmlformats.org/officeDocument/2006/relationships/hyperlink" Target="https://www.youtube.com/watch?v=cuauchPBFCY" TargetMode="External"/><Relationship Id="rId901" Type="http://schemas.openxmlformats.org/officeDocument/2006/relationships/hyperlink" Target="https://www.youtube.com/watch?v=dSKwv3KOvN8" TargetMode="External"/><Relationship Id="rId1117" Type="http://schemas.openxmlformats.org/officeDocument/2006/relationships/hyperlink" Target="https://www.youtube.com/watch?v=Pe53dUS_mHE" TargetMode="External"/><Relationship Id="rId1324" Type="http://schemas.openxmlformats.org/officeDocument/2006/relationships/hyperlink" Target="https://www.youtube.com/watch?v=Ih4StVOa0Qs" TargetMode="External"/><Relationship Id="rId30" Type="http://schemas.openxmlformats.org/officeDocument/2006/relationships/hyperlink" Target="https://www.youtube.com/watch?v=iBwpK4_JtEw" TargetMode="External"/><Relationship Id="rId126" Type="http://schemas.openxmlformats.org/officeDocument/2006/relationships/hyperlink" Target="https://www.youtube.com/watch?v=-3rtVbNkNNQ" TargetMode="External"/><Relationship Id="rId333" Type="http://schemas.openxmlformats.org/officeDocument/2006/relationships/hyperlink" Target="https://www.youtube.com/watch?v=Z7B5IZZhoAI" TargetMode="External"/><Relationship Id="rId540" Type="http://schemas.openxmlformats.org/officeDocument/2006/relationships/hyperlink" Target="https://www.youtube.com/watch?v=X4TDNzwe3s4" TargetMode="External"/><Relationship Id="rId778" Type="http://schemas.openxmlformats.org/officeDocument/2006/relationships/hyperlink" Target="https://www.youtube.com/watch?v=gL_j5YKKN38" TargetMode="External"/><Relationship Id="rId985" Type="http://schemas.openxmlformats.org/officeDocument/2006/relationships/hyperlink" Target="https://www.youtube.com/watch?v=s_eR4_6kip8" TargetMode="External"/><Relationship Id="rId1170" Type="http://schemas.openxmlformats.org/officeDocument/2006/relationships/hyperlink" Target="https://www.youtube.com/watch?v=Nattb-ZPK4g" TargetMode="External"/><Relationship Id="rId638" Type="http://schemas.openxmlformats.org/officeDocument/2006/relationships/hyperlink" Target="https://www.youtube.com/watch?v=fwbLw9W9GC8" TargetMode="External"/><Relationship Id="rId845" Type="http://schemas.openxmlformats.org/officeDocument/2006/relationships/hyperlink" Target="https://www.youtube.com/watch?v=zV5AbsAy5m4" TargetMode="External"/><Relationship Id="rId1030" Type="http://schemas.openxmlformats.org/officeDocument/2006/relationships/hyperlink" Target="https://www.youtube.com/watch?v=wu_ONpNjikY" TargetMode="External"/><Relationship Id="rId1268" Type="http://schemas.openxmlformats.org/officeDocument/2006/relationships/hyperlink" Target="https://www.youtube.com/watch?v=GP0JLpTLOWU" TargetMode="External"/><Relationship Id="rId1475" Type="http://schemas.openxmlformats.org/officeDocument/2006/relationships/hyperlink" Target="https://www.youtube.com/watch?v=ZErxsCxSQsA" TargetMode="External"/><Relationship Id="rId277" Type="http://schemas.openxmlformats.org/officeDocument/2006/relationships/hyperlink" Target="https://www.youtube.com/watch?v=7ZD3D4mAoaE" TargetMode="External"/><Relationship Id="rId400" Type="http://schemas.openxmlformats.org/officeDocument/2006/relationships/hyperlink" Target="https://www.youtube.com/watch?v=F95dqGlnggo" TargetMode="External"/><Relationship Id="rId484" Type="http://schemas.openxmlformats.org/officeDocument/2006/relationships/hyperlink" Target="https://www.youtube.com/watch?v=7WA-8QBd5Tk" TargetMode="External"/><Relationship Id="rId705" Type="http://schemas.openxmlformats.org/officeDocument/2006/relationships/hyperlink" Target="https://www.youtube.com/watch?v=yp1ZVELrxIA" TargetMode="External"/><Relationship Id="rId1128" Type="http://schemas.openxmlformats.org/officeDocument/2006/relationships/hyperlink" Target="https://www.youtube.com/watch?v=udkwSpjJnGk" TargetMode="External"/><Relationship Id="rId1335" Type="http://schemas.openxmlformats.org/officeDocument/2006/relationships/hyperlink" Target="https://www.youtube.com/watch?v=D559dD7btfo" TargetMode="External"/><Relationship Id="rId137" Type="http://schemas.openxmlformats.org/officeDocument/2006/relationships/hyperlink" Target="https://www.youtube.com/watch?v=M-zdPqtp9Kk" TargetMode="External"/><Relationship Id="rId344" Type="http://schemas.openxmlformats.org/officeDocument/2006/relationships/hyperlink" Target="https://www.youtube.com/watch?v=Au_HvuB2IQc" TargetMode="External"/><Relationship Id="rId691" Type="http://schemas.openxmlformats.org/officeDocument/2006/relationships/hyperlink" Target="https://www.youtube.com/watch?v=7cA62ZHlWx0" TargetMode="External"/><Relationship Id="rId789" Type="http://schemas.openxmlformats.org/officeDocument/2006/relationships/hyperlink" Target="https://www.youtube.com/watch?v=1VZl4rtt2aU" TargetMode="External"/><Relationship Id="rId912" Type="http://schemas.openxmlformats.org/officeDocument/2006/relationships/hyperlink" Target="https://www.youtube.com/watch?v=IQCY6tVgZ9s" TargetMode="External"/><Relationship Id="rId996" Type="http://schemas.openxmlformats.org/officeDocument/2006/relationships/hyperlink" Target="https://www.youtube.com/watch?v=KStzrk3h76o" TargetMode="External"/><Relationship Id="rId41" Type="http://schemas.openxmlformats.org/officeDocument/2006/relationships/hyperlink" Target="https://www.youtube.com/watch?v=DMG2XD9_nTI" TargetMode="External"/><Relationship Id="rId551" Type="http://schemas.openxmlformats.org/officeDocument/2006/relationships/hyperlink" Target="https://www.youtube.com/watch?v=w5KPpzfrQQY" TargetMode="External"/><Relationship Id="rId649" Type="http://schemas.openxmlformats.org/officeDocument/2006/relationships/hyperlink" Target="https://www.youtube.com/watch?v=WkR5PD16sCg" TargetMode="External"/><Relationship Id="rId856" Type="http://schemas.openxmlformats.org/officeDocument/2006/relationships/hyperlink" Target="https://www.youtube.com/watch?v=aASsLwbe6kY" TargetMode="External"/><Relationship Id="rId1181" Type="http://schemas.openxmlformats.org/officeDocument/2006/relationships/hyperlink" Target="https://www.youtube.com/watch?v=Qh0tc43apsI" TargetMode="External"/><Relationship Id="rId1279" Type="http://schemas.openxmlformats.org/officeDocument/2006/relationships/hyperlink" Target="https://www.youtube.com/watch?v=5Qbkf3waru8" TargetMode="External"/><Relationship Id="rId1402" Type="http://schemas.openxmlformats.org/officeDocument/2006/relationships/hyperlink" Target="https://www.youtube.com/watch?v=MC9pK4dCHAs" TargetMode="External"/><Relationship Id="rId1486" Type="http://schemas.openxmlformats.org/officeDocument/2006/relationships/hyperlink" Target="https://www.youtube.com/watch?v=sy6xQyjX7qg" TargetMode="External"/><Relationship Id="rId190" Type="http://schemas.openxmlformats.org/officeDocument/2006/relationships/hyperlink" Target="https://www.youtube.com/watch?v=iGpYgqX-p8c" TargetMode="External"/><Relationship Id="rId204" Type="http://schemas.openxmlformats.org/officeDocument/2006/relationships/hyperlink" Target="https://www.youtube.com/watch?v=NPNImjeRrF8" TargetMode="External"/><Relationship Id="rId288" Type="http://schemas.openxmlformats.org/officeDocument/2006/relationships/hyperlink" Target="https://www.youtube.com/watch?v=q1K9wPDzMjU" TargetMode="External"/><Relationship Id="rId411" Type="http://schemas.openxmlformats.org/officeDocument/2006/relationships/hyperlink" Target="https://www.youtube.com/watch?v=Dymxd9hAemA" TargetMode="External"/><Relationship Id="rId509" Type="http://schemas.openxmlformats.org/officeDocument/2006/relationships/hyperlink" Target="https://www.youtube.com/watch?v=6oKx_bFPSSA" TargetMode="External"/><Relationship Id="rId1041" Type="http://schemas.openxmlformats.org/officeDocument/2006/relationships/hyperlink" Target="https://www.youtube.com/watch?v=uTyoGVNa7FA" TargetMode="External"/><Relationship Id="rId1139" Type="http://schemas.openxmlformats.org/officeDocument/2006/relationships/hyperlink" Target="https://www.youtube.com/watch?v=KYhdz2LiDLA" TargetMode="External"/><Relationship Id="rId1346" Type="http://schemas.openxmlformats.org/officeDocument/2006/relationships/hyperlink" Target="https://www.youtube.com/watch?v=vzoIHUTieE0" TargetMode="External"/><Relationship Id="rId106" Type="http://schemas.openxmlformats.org/officeDocument/2006/relationships/hyperlink" Target="https://www.youtube.com/watch?v=f-MLHIb4dFU" TargetMode="External"/><Relationship Id="rId313" Type="http://schemas.openxmlformats.org/officeDocument/2006/relationships/hyperlink" Target="https://www.youtube.com/watch?v=d9KgrM48iGg" TargetMode="External"/><Relationship Id="rId495" Type="http://schemas.openxmlformats.org/officeDocument/2006/relationships/hyperlink" Target="https://www.youtube.com/watch?v=R2XPp4eJXLk" TargetMode="External"/><Relationship Id="rId716" Type="http://schemas.openxmlformats.org/officeDocument/2006/relationships/hyperlink" Target="https://www.youtube.com/watch?v=dgXtHzSngX0" TargetMode="External"/><Relationship Id="rId758" Type="http://schemas.openxmlformats.org/officeDocument/2006/relationships/hyperlink" Target="https://www.youtube.com/watch?v=Kg7UNGe9lik" TargetMode="External"/><Relationship Id="rId923" Type="http://schemas.openxmlformats.org/officeDocument/2006/relationships/hyperlink" Target="https://www.youtube.com/watch?v=9VsQzAI5PLo" TargetMode="External"/><Relationship Id="rId965" Type="http://schemas.openxmlformats.org/officeDocument/2006/relationships/hyperlink" Target="https://www.youtube.com/watch?v=pIn71L7Kv9Q" TargetMode="External"/><Relationship Id="rId1150" Type="http://schemas.openxmlformats.org/officeDocument/2006/relationships/hyperlink" Target="https://www.youtube.com/watch?v=C6XbkLOcyVs" TargetMode="External"/><Relationship Id="rId1388" Type="http://schemas.openxmlformats.org/officeDocument/2006/relationships/hyperlink" Target="https://www.youtube.com/watch?v=4iGdwJ3nQcs&amp;t=38s" TargetMode="External"/><Relationship Id="rId10" Type="http://schemas.openxmlformats.org/officeDocument/2006/relationships/hyperlink" Target="https://www.youtube.com/watch?v=7WsGnkGob7A" TargetMode="External"/><Relationship Id="rId52" Type="http://schemas.openxmlformats.org/officeDocument/2006/relationships/hyperlink" Target="https://www.youtube.com/watch?v=RdBz1kIwrqo" TargetMode="External"/><Relationship Id="rId94" Type="http://schemas.openxmlformats.org/officeDocument/2006/relationships/hyperlink" Target="https://www.youtube.com/watch?v=K9s433rQloA" TargetMode="External"/><Relationship Id="rId148" Type="http://schemas.openxmlformats.org/officeDocument/2006/relationships/hyperlink" Target="https://www.youtube.com/watch?v=YFmL65VsWdk" TargetMode="External"/><Relationship Id="rId355" Type="http://schemas.openxmlformats.org/officeDocument/2006/relationships/hyperlink" Target="https://www.youtube.com/watch?v=cpZPvFvzNlc" TargetMode="External"/><Relationship Id="rId397" Type="http://schemas.openxmlformats.org/officeDocument/2006/relationships/hyperlink" Target="https://www.youtube.com/watch?v=ja-cxuo3ugc" TargetMode="External"/><Relationship Id="rId520" Type="http://schemas.openxmlformats.org/officeDocument/2006/relationships/hyperlink" Target="https://www.youtube.com/watch?v=WQObFfIG62Q" TargetMode="External"/><Relationship Id="rId562" Type="http://schemas.openxmlformats.org/officeDocument/2006/relationships/hyperlink" Target="https://www.youtube.com/watch?v=-cC-ErXYdnI" TargetMode="External"/><Relationship Id="rId618" Type="http://schemas.openxmlformats.org/officeDocument/2006/relationships/hyperlink" Target="https://www.youtube.com/watch?v=9eSzra79z-I" TargetMode="External"/><Relationship Id="rId825" Type="http://schemas.openxmlformats.org/officeDocument/2006/relationships/hyperlink" Target="https://www.youtube.com/watch?v=JDOBTQ94-S4" TargetMode="External"/><Relationship Id="rId1192" Type="http://schemas.openxmlformats.org/officeDocument/2006/relationships/hyperlink" Target="https://www.youtube.com/watch?v=m1RnPcyk_e0" TargetMode="External"/><Relationship Id="rId1206" Type="http://schemas.openxmlformats.org/officeDocument/2006/relationships/hyperlink" Target="https://www.youtube.com/watch?v=sLe31yV0Fb4" TargetMode="External"/><Relationship Id="rId1248" Type="http://schemas.openxmlformats.org/officeDocument/2006/relationships/hyperlink" Target="https://www.youtube.com/watch?v=b96t52xbmO8" TargetMode="External"/><Relationship Id="rId1413" Type="http://schemas.openxmlformats.org/officeDocument/2006/relationships/hyperlink" Target="https://www.youtube.com/watch?v=k0FNC9LuJoo&amp;t=4s" TargetMode="External"/><Relationship Id="rId1455" Type="http://schemas.openxmlformats.org/officeDocument/2006/relationships/hyperlink" Target="https://www.youtube.com/watch?v=s9g49kgd9ao" TargetMode="External"/><Relationship Id="rId215" Type="http://schemas.openxmlformats.org/officeDocument/2006/relationships/hyperlink" Target="https://www.youtube.com/watch?v=WMf0Mau2TzE" TargetMode="External"/><Relationship Id="rId257" Type="http://schemas.openxmlformats.org/officeDocument/2006/relationships/hyperlink" Target="https://www.youtube.com/watch?v=SS0UQNsxhus" TargetMode="External"/><Relationship Id="rId422" Type="http://schemas.openxmlformats.org/officeDocument/2006/relationships/hyperlink" Target="https://www.youtube.com/watch?v=F-ZzB9uBQNs" TargetMode="External"/><Relationship Id="rId464" Type="http://schemas.openxmlformats.org/officeDocument/2006/relationships/hyperlink" Target="https://www.youtube.com/watch?v=QfYz6BBYpWg" TargetMode="External"/><Relationship Id="rId867" Type="http://schemas.openxmlformats.org/officeDocument/2006/relationships/hyperlink" Target="https://www.youtube.com/watch?v=txsij6WXt8s" TargetMode="External"/><Relationship Id="rId1010" Type="http://schemas.openxmlformats.org/officeDocument/2006/relationships/hyperlink" Target="https://www.youtube.com/watch?v=REfOblHmn6Q" TargetMode="External"/><Relationship Id="rId1052" Type="http://schemas.openxmlformats.org/officeDocument/2006/relationships/hyperlink" Target="https://www.youtube.com/watch?v=aRzq_l_Rmcc" TargetMode="External"/><Relationship Id="rId1094" Type="http://schemas.openxmlformats.org/officeDocument/2006/relationships/hyperlink" Target="https://www.youtube.com/watch?v=dLQSHM_T-jI" TargetMode="External"/><Relationship Id="rId1108" Type="http://schemas.openxmlformats.org/officeDocument/2006/relationships/hyperlink" Target="https://www.youtube.com/watch?v=WtWOT6Hj2vM" TargetMode="External"/><Relationship Id="rId1315" Type="http://schemas.openxmlformats.org/officeDocument/2006/relationships/hyperlink" Target="https://www.youtube.com/watch?v=qzXGb7RIXmc" TargetMode="External"/><Relationship Id="rId1497" Type="http://schemas.openxmlformats.org/officeDocument/2006/relationships/hyperlink" Target="https://www.youtube.com/watch?v=DL5cLBZou3I" TargetMode="External"/><Relationship Id="rId299" Type="http://schemas.openxmlformats.org/officeDocument/2006/relationships/hyperlink" Target="https://www.youtube.com/watch?v=PjvzuUMMZs4" TargetMode="External"/><Relationship Id="rId727" Type="http://schemas.openxmlformats.org/officeDocument/2006/relationships/hyperlink" Target="https://www.youtube.com/watch?v=ZpdQsUkjwMc" TargetMode="External"/><Relationship Id="rId934" Type="http://schemas.openxmlformats.org/officeDocument/2006/relationships/hyperlink" Target="https://www.youtube.com/watch?v=_vKbwIOfXy0" TargetMode="External"/><Relationship Id="rId1357" Type="http://schemas.openxmlformats.org/officeDocument/2006/relationships/hyperlink" Target="https://www.youtube.com/watch?v=RJSsEA6fpJE" TargetMode="External"/><Relationship Id="rId63" Type="http://schemas.openxmlformats.org/officeDocument/2006/relationships/hyperlink" Target="https://www.youtube.com/watch?v=ryQMb29oX3s" TargetMode="External"/><Relationship Id="rId159" Type="http://schemas.openxmlformats.org/officeDocument/2006/relationships/hyperlink" Target="https://www.youtube.com/watch?v=aXm-YqwVmbs" TargetMode="External"/><Relationship Id="rId366" Type="http://schemas.openxmlformats.org/officeDocument/2006/relationships/hyperlink" Target="https://www.youtube.com/watch?v=MFVzVjuj90E" TargetMode="External"/><Relationship Id="rId573" Type="http://schemas.openxmlformats.org/officeDocument/2006/relationships/hyperlink" Target="https://www.youtube.com/watch?v=0-Ishanuvj8" TargetMode="External"/><Relationship Id="rId780" Type="http://schemas.openxmlformats.org/officeDocument/2006/relationships/hyperlink" Target="https://www.youtube.com/watch?v=J2klGHwzFFo" TargetMode="External"/><Relationship Id="rId1217" Type="http://schemas.openxmlformats.org/officeDocument/2006/relationships/hyperlink" Target="https://www.youtube.com/watch?v=4W3kmjNG_K8" TargetMode="External"/><Relationship Id="rId1424" Type="http://schemas.openxmlformats.org/officeDocument/2006/relationships/hyperlink" Target="https://www.youtube.com/watch?v=sI2xSENomQY" TargetMode="External"/><Relationship Id="rId226" Type="http://schemas.openxmlformats.org/officeDocument/2006/relationships/hyperlink" Target="https://www.youtube.com/watch?v=myZqody8PTw" TargetMode="External"/><Relationship Id="rId433" Type="http://schemas.openxmlformats.org/officeDocument/2006/relationships/hyperlink" Target="https://www.youtube.com/watch?v=30958J1ez4k" TargetMode="External"/><Relationship Id="rId878" Type="http://schemas.openxmlformats.org/officeDocument/2006/relationships/hyperlink" Target="https://www.youtube.com/watch?v=-JT1qlD0wPQ" TargetMode="External"/><Relationship Id="rId1063" Type="http://schemas.openxmlformats.org/officeDocument/2006/relationships/hyperlink" Target="https://www.youtube.com/watch?v=74BW9K7eGtY&amp;t=21s" TargetMode="External"/><Relationship Id="rId1270" Type="http://schemas.openxmlformats.org/officeDocument/2006/relationships/hyperlink" Target="https://www.youtube.com/watch?v=OdRuRzl5pwg" TargetMode="External"/><Relationship Id="rId640" Type="http://schemas.openxmlformats.org/officeDocument/2006/relationships/hyperlink" Target="https://www.youtube.com/watch?v=XcIm7eWfJ_M" TargetMode="External"/><Relationship Id="rId738" Type="http://schemas.openxmlformats.org/officeDocument/2006/relationships/hyperlink" Target="https://www.youtube.com/watch?v=XCXsh2mfb3M" TargetMode="External"/><Relationship Id="rId945" Type="http://schemas.openxmlformats.org/officeDocument/2006/relationships/hyperlink" Target="https://www.youtube.com/watch?v=GB9g4sKWR0M" TargetMode="External"/><Relationship Id="rId1368" Type="http://schemas.openxmlformats.org/officeDocument/2006/relationships/hyperlink" Target="https://www.youtube.com/watch?v=vaRCmUwpmNk" TargetMode="External"/><Relationship Id="rId74" Type="http://schemas.openxmlformats.org/officeDocument/2006/relationships/hyperlink" Target="https://www.youtube.com/watch?v=xANxZaCCD70" TargetMode="External"/><Relationship Id="rId377" Type="http://schemas.openxmlformats.org/officeDocument/2006/relationships/hyperlink" Target="https://www.youtube.com/watch?v=0-LZkVdXTnc" TargetMode="External"/><Relationship Id="rId500" Type="http://schemas.openxmlformats.org/officeDocument/2006/relationships/hyperlink" Target="https://www.youtube.com/watch?v=Ow3nJA8fhhQ" TargetMode="External"/><Relationship Id="rId584" Type="http://schemas.openxmlformats.org/officeDocument/2006/relationships/hyperlink" Target="https://www.youtube.com/watch?v=-fhrU0xoCgk" TargetMode="External"/><Relationship Id="rId805" Type="http://schemas.openxmlformats.org/officeDocument/2006/relationships/hyperlink" Target="https://www.youtube.com/watch?v=QrVLpFoGRb4" TargetMode="External"/><Relationship Id="rId1130" Type="http://schemas.openxmlformats.org/officeDocument/2006/relationships/hyperlink" Target="https://www.youtube.com/watch?v=Z8Wd8i754cU" TargetMode="External"/><Relationship Id="rId1228" Type="http://schemas.openxmlformats.org/officeDocument/2006/relationships/hyperlink" Target="https://www.youtube.com/watch?v=uiJHx80DJcw" TargetMode="External"/><Relationship Id="rId1435" Type="http://schemas.openxmlformats.org/officeDocument/2006/relationships/hyperlink" Target="https://www.youtube.com/watch?v=3ytmTvor21A" TargetMode="External"/><Relationship Id="rId5" Type="http://schemas.openxmlformats.org/officeDocument/2006/relationships/hyperlink" Target="https://www.youtube.com/watch?v=21ZKFBL-Yc0" TargetMode="External"/><Relationship Id="rId237" Type="http://schemas.openxmlformats.org/officeDocument/2006/relationships/hyperlink" Target="https://www.youtube.com/watch?v=rdyZwjy8Wko" TargetMode="External"/><Relationship Id="rId791" Type="http://schemas.openxmlformats.org/officeDocument/2006/relationships/hyperlink" Target="https://www.youtube.com/watch?v=cUULt5zHp0k" TargetMode="External"/><Relationship Id="rId889" Type="http://schemas.openxmlformats.org/officeDocument/2006/relationships/hyperlink" Target="https://www.youtube.com/watch?v=AgRVHML48XM" TargetMode="External"/><Relationship Id="rId1074" Type="http://schemas.openxmlformats.org/officeDocument/2006/relationships/hyperlink" Target="https://www.youtube.com/watch?v=WzACbsbv3Mc" TargetMode="External"/><Relationship Id="rId444" Type="http://schemas.openxmlformats.org/officeDocument/2006/relationships/hyperlink" Target="https://www.youtube.com/watch?v=cshbkDak_p0" TargetMode="External"/><Relationship Id="rId651" Type="http://schemas.openxmlformats.org/officeDocument/2006/relationships/hyperlink" Target="https://www.youtube.com/watch?v=wXSD2PQznXI" TargetMode="External"/><Relationship Id="rId749" Type="http://schemas.openxmlformats.org/officeDocument/2006/relationships/hyperlink" Target="https://www.youtube.com/watch?v=dJ9wpyiJSSI" TargetMode="External"/><Relationship Id="rId1281" Type="http://schemas.openxmlformats.org/officeDocument/2006/relationships/hyperlink" Target="https://www.youtube.com/watch?v=0cvq3rbQ7Dw" TargetMode="External"/><Relationship Id="rId1379" Type="http://schemas.openxmlformats.org/officeDocument/2006/relationships/hyperlink" Target="https://www.youtube.com/watch?v=qqDl6coS7wg" TargetMode="External"/><Relationship Id="rId1502" Type="http://schemas.openxmlformats.org/officeDocument/2006/relationships/hyperlink" Target="https://www.youtube.com/watch?v=GtSbmTRia5Y" TargetMode="External"/><Relationship Id="rId290" Type="http://schemas.openxmlformats.org/officeDocument/2006/relationships/hyperlink" Target="https://www.youtube.com/watch?v=75OFJ9IX4tI" TargetMode="External"/><Relationship Id="rId304" Type="http://schemas.openxmlformats.org/officeDocument/2006/relationships/hyperlink" Target="https://www.youtube.com/watch?v=vKGL9b0x_K8" TargetMode="External"/><Relationship Id="rId388" Type="http://schemas.openxmlformats.org/officeDocument/2006/relationships/hyperlink" Target="https://www.youtube.com/watch?v=yVdcSMOWtxM" TargetMode="External"/><Relationship Id="rId511" Type="http://schemas.openxmlformats.org/officeDocument/2006/relationships/hyperlink" Target="https://www.youtube.com/watch?v=_Anq0CTYGt8" TargetMode="External"/><Relationship Id="rId609" Type="http://schemas.openxmlformats.org/officeDocument/2006/relationships/hyperlink" Target="https://www.youtube.com/watch?v=NhDs3OPqMQ4" TargetMode="External"/><Relationship Id="rId956" Type="http://schemas.openxmlformats.org/officeDocument/2006/relationships/hyperlink" Target="https://www.youtube.com/watch?v=47hxgUfQ8jo" TargetMode="External"/><Relationship Id="rId1141" Type="http://schemas.openxmlformats.org/officeDocument/2006/relationships/hyperlink" Target="https://www.youtube.com/watch?v=BKG8mWyOvuw" TargetMode="External"/><Relationship Id="rId1239" Type="http://schemas.openxmlformats.org/officeDocument/2006/relationships/hyperlink" Target="https://www.youtube.com/watch?v=1k_PbRxkEqo" TargetMode="External"/><Relationship Id="rId85" Type="http://schemas.openxmlformats.org/officeDocument/2006/relationships/hyperlink" Target="https://www.youtube.com/watch?v=ufZ1BZcZzKI" TargetMode="External"/><Relationship Id="rId150" Type="http://schemas.openxmlformats.org/officeDocument/2006/relationships/hyperlink" Target="https://www.youtube.com/watch?v=29-xoooHPaw" TargetMode="External"/><Relationship Id="rId595" Type="http://schemas.openxmlformats.org/officeDocument/2006/relationships/hyperlink" Target="https://www.youtube.com/watch?v=kaJQx-nXg6M" TargetMode="External"/><Relationship Id="rId816" Type="http://schemas.openxmlformats.org/officeDocument/2006/relationships/hyperlink" Target="https://www.youtube.com/watch?v=GDQ-FTObhak" TargetMode="External"/><Relationship Id="rId1001" Type="http://schemas.openxmlformats.org/officeDocument/2006/relationships/hyperlink" Target="https://www.youtube.com/watch?v=JkMKDP2BOlw&amp;t=169s" TargetMode="External"/><Relationship Id="rId1446" Type="http://schemas.openxmlformats.org/officeDocument/2006/relationships/hyperlink" Target="https://www.youtube.com/watch?v=rP79c8rd-jE" TargetMode="External"/><Relationship Id="rId248" Type="http://schemas.openxmlformats.org/officeDocument/2006/relationships/hyperlink" Target="https://www.youtube.com/watch?v=BF7tCmPOjs4" TargetMode="External"/><Relationship Id="rId455" Type="http://schemas.openxmlformats.org/officeDocument/2006/relationships/hyperlink" Target="https://www.youtube.com/watch?v=Th1s8XrKhnk" TargetMode="External"/><Relationship Id="rId662" Type="http://schemas.openxmlformats.org/officeDocument/2006/relationships/hyperlink" Target="https://www.youtube.com/watch?v=liKAbE7beNI" TargetMode="External"/><Relationship Id="rId1085" Type="http://schemas.openxmlformats.org/officeDocument/2006/relationships/hyperlink" Target="https://www.youtube.com/watch?v=mxQpJeckKaU" TargetMode="External"/><Relationship Id="rId1292" Type="http://schemas.openxmlformats.org/officeDocument/2006/relationships/hyperlink" Target="https://www.youtube.com/watch?v=1P_XO3xfTCs" TargetMode="External"/><Relationship Id="rId1306" Type="http://schemas.openxmlformats.org/officeDocument/2006/relationships/hyperlink" Target="https://www.youtube.com/watch?v=_D2sWZSHDqg&amp;t=834s" TargetMode="External"/><Relationship Id="rId1513" Type="http://schemas.openxmlformats.org/officeDocument/2006/relationships/hyperlink" Target="https://www.youtube.com/watch?v=79r5KYH0nBI" TargetMode="External"/><Relationship Id="rId12" Type="http://schemas.openxmlformats.org/officeDocument/2006/relationships/hyperlink" Target="https://www.youtube.com/watch?v=WU456HIXN5U" TargetMode="External"/><Relationship Id="rId108" Type="http://schemas.openxmlformats.org/officeDocument/2006/relationships/hyperlink" Target="https://www.youtube.com/watch?v=m3jwqSSyVkg" TargetMode="External"/><Relationship Id="rId315" Type="http://schemas.openxmlformats.org/officeDocument/2006/relationships/hyperlink" Target="https://www.youtube.com/watch?v=4h6drLmYTr8" TargetMode="External"/><Relationship Id="rId522" Type="http://schemas.openxmlformats.org/officeDocument/2006/relationships/hyperlink" Target="https://www.youtube.com/watch?v=CouNRYMLDmY" TargetMode="External"/><Relationship Id="rId967" Type="http://schemas.openxmlformats.org/officeDocument/2006/relationships/hyperlink" Target="https://www.youtube.com/watch?v=9oRLNbl-DxI" TargetMode="External"/><Relationship Id="rId1152" Type="http://schemas.openxmlformats.org/officeDocument/2006/relationships/hyperlink" Target="https://www.youtube.com/watch?v=ANDhhofT1w0" TargetMode="External"/><Relationship Id="rId96" Type="http://schemas.openxmlformats.org/officeDocument/2006/relationships/hyperlink" Target="https://www.youtube.com/watch?v=QEUeYDEFtsE" TargetMode="External"/><Relationship Id="rId161" Type="http://schemas.openxmlformats.org/officeDocument/2006/relationships/hyperlink" Target="https://www.youtube.com/watch?v=4eM5V0OXNNU" TargetMode="External"/><Relationship Id="rId399" Type="http://schemas.openxmlformats.org/officeDocument/2006/relationships/hyperlink" Target="https://www.youtube.com/watch?v=F95dqGlnggo" TargetMode="External"/><Relationship Id="rId827" Type="http://schemas.openxmlformats.org/officeDocument/2006/relationships/hyperlink" Target="https://www.youtube.com/watch?v=5tMCiwnQlXM" TargetMode="External"/><Relationship Id="rId1012" Type="http://schemas.openxmlformats.org/officeDocument/2006/relationships/hyperlink" Target="https://www.youtube.com/watch?v=8Fyp5gw_HGc&amp;t=19s" TargetMode="External"/><Relationship Id="rId1457" Type="http://schemas.openxmlformats.org/officeDocument/2006/relationships/hyperlink" Target="https://www.youtube.com/watch?v=7IXp156RgtQ" TargetMode="External"/><Relationship Id="rId259" Type="http://schemas.openxmlformats.org/officeDocument/2006/relationships/hyperlink" Target="https://www.youtube.com/watch?v=g-xyM5pVESg" TargetMode="External"/><Relationship Id="rId466" Type="http://schemas.openxmlformats.org/officeDocument/2006/relationships/hyperlink" Target="https://www.youtube.com/watch?v=-rJtFWVJpjA" TargetMode="External"/><Relationship Id="rId673" Type="http://schemas.openxmlformats.org/officeDocument/2006/relationships/hyperlink" Target="https://www.youtube.com/watch?v=MP4mGKSR2-0" TargetMode="External"/><Relationship Id="rId880" Type="http://schemas.openxmlformats.org/officeDocument/2006/relationships/hyperlink" Target="https://www.youtube.com/watch?v=kSNHRGhGt_Y" TargetMode="External"/><Relationship Id="rId1096" Type="http://schemas.openxmlformats.org/officeDocument/2006/relationships/hyperlink" Target="https://www.youtube.com/watch?v=joPLKP546hk" TargetMode="External"/><Relationship Id="rId1317" Type="http://schemas.openxmlformats.org/officeDocument/2006/relationships/hyperlink" Target="https://www.youtube.com/watch?v=JjtvU2xQpaQ" TargetMode="External"/><Relationship Id="rId23" Type="http://schemas.openxmlformats.org/officeDocument/2006/relationships/hyperlink" Target="https://www.youtube.com/watch?v=2UnJMns3fjs" TargetMode="External"/><Relationship Id="rId119" Type="http://schemas.openxmlformats.org/officeDocument/2006/relationships/hyperlink" Target="https://www.youtube.com/watch?v=sc4OOSLMiQQ" TargetMode="External"/><Relationship Id="rId326" Type="http://schemas.openxmlformats.org/officeDocument/2006/relationships/hyperlink" Target="https://www.youtube.com/watch?v=8iuVX1AkV_0" TargetMode="External"/><Relationship Id="rId533" Type="http://schemas.openxmlformats.org/officeDocument/2006/relationships/hyperlink" Target="https://www.youtube.com/watch?v=yYhGJH2NjBA" TargetMode="External"/><Relationship Id="rId978" Type="http://schemas.openxmlformats.org/officeDocument/2006/relationships/hyperlink" Target="https://www.youtube.com/watch?v=iGqKIfGTc-s" TargetMode="External"/><Relationship Id="rId1163" Type="http://schemas.openxmlformats.org/officeDocument/2006/relationships/hyperlink" Target="https://www.youtube.com/watch?v=B1KtIwSP4_U" TargetMode="External"/><Relationship Id="rId1370" Type="http://schemas.openxmlformats.org/officeDocument/2006/relationships/hyperlink" Target="https://www.youtube.com/watch?v=qY_yQIrKwRk" TargetMode="External"/><Relationship Id="rId740" Type="http://schemas.openxmlformats.org/officeDocument/2006/relationships/hyperlink" Target="https://www.youtube.com/watch?v=sTYcLqa56Z4" TargetMode="External"/><Relationship Id="rId838" Type="http://schemas.openxmlformats.org/officeDocument/2006/relationships/hyperlink" Target="https://www.youtube.com/watch?v=KXamV4OZjYs" TargetMode="External"/><Relationship Id="rId1023" Type="http://schemas.openxmlformats.org/officeDocument/2006/relationships/hyperlink" Target="https://www.youtube.com/watch?v=3vhgcNKVRgY" TargetMode="External"/><Relationship Id="rId1468" Type="http://schemas.openxmlformats.org/officeDocument/2006/relationships/hyperlink" Target="https://www.youtube.com/watch?v=8gCMYZ-alVw" TargetMode="External"/><Relationship Id="rId172" Type="http://schemas.openxmlformats.org/officeDocument/2006/relationships/hyperlink" Target="https://www.youtube.com/watch?v=f-XdG6v-RWk" TargetMode="External"/><Relationship Id="rId477" Type="http://schemas.openxmlformats.org/officeDocument/2006/relationships/hyperlink" Target="https://www.youtube.com/watch?v=pfw-rEK12IA" TargetMode="External"/><Relationship Id="rId600" Type="http://schemas.openxmlformats.org/officeDocument/2006/relationships/hyperlink" Target="https://www.youtube.com/watch?v=OHn7cvWw5gE" TargetMode="External"/><Relationship Id="rId684" Type="http://schemas.openxmlformats.org/officeDocument/2006/relationships/hyperlink" Target="https://www.youtube.com/watch?v=vEdOCEkdY9Q" TargetMode="External"/><Relationship Id="rId1230" Type="http://schemas.openxmlformats.org/officeDocument/2006/relationships/hyperlink" Target="https://www.youtube.com/watch?v=XWeFa6jUiPw" TargetMode="External"/><Relationship Id="rId1328" Type="http://schemas.openxmlformats.org/officeDocument/2006/relationships/hyperlink" Target="https://www.youtube.com/watch?v=sZGlmV--sG4" TargetMode="External"/><Relationship Id="rId337" Type="http://schemas.openxmlformats.org/officeDocument/2006/relationships/hyperlink" Target="https://www.youtube.com/watch?v=fQxUVyFqzpA" TargetMode="External"/><Relationship Id="rId891" Type="http://schemas.openxmlformats.org/officeDocument/2006/relationships/hyperlink" Target="https://www.youtube.com/watch?v=2Hmcjz_IH8I" TargetMode="External"/><Relationship Id="rId905" Type="http://schemas.openxmlformats.org/officeDocument/2006/relationships/hyperlink" Target="https://www.youtube.com/watch?v=LEotomBnsQk" TargetMode="External"/><Relationship Id="rId989" Type="http://schemas.openxmlformats.org/officeDocument/2006/relationships/hyperlink" Target="https://www.youtube.com/watch?v=CLCX0mlWjw0" TargetMode="External"/><Relationship Id="rId34" Type="http://schemas.openxmlformats.org/officeDocument/2006/relationships/hyperlink" Target="https://www.youtube.com/watch?v=tkF_3Ixn02I" TargetMode="External"/><Relationship Id="rId544" Type="http://schemas.openxmlformats.org/officeDocument/2006/relationships/hyperlink" Target="https://www.youtube.com/watch?v=s1VIjn0qPQg" TargetMode="External"/><Relationship Id="rId751" Type="http://schemas.openxmlformats.org/officeDocument/2006/relationships/hyperlink" Target="https://www.youtube.com/watch?v=0DBc4TKwgDc" TargetMode="External"/><Relationship Id="rId849" Type="http://schemas.openxmlformats.org/officeDocument/2006/relationships/hyperlink" Target="https://www.youtube.com/watch?v=5iT09vIaZOU" TargetMode="External"/><Relationship Id="rId1174" Type="http://schemas.openxmlformats.org/officeDocument/2006/relationships/hyperlink" Target="https://www.youtube.com/watch?v=zNgyoAjVDhk" TargetMode="External"/><Relationship Id="rId1381" Type="http://schemas.openxmlformats.org/officeDocument/2006/relationships/hyperlink" Target="https://www.youtube.com/watch?v=0RYS6V76lRQ" TargetMode="External"/><Relationship Id="rId1479" Type="http://schemas.openxmlformats.org/officeDocument/2006/relationships/hyperlink" Target="https://www.youtube.com/watch?v=VFJFvcNogFU" TargetMode="External"/><Relationship Id="rId183" Type="http://schemas.openxmlformats.org/officeDocument/2006/relationships/hyperlink" Target="https://www.youtube.com/watch?v=VP5gPVW3XDM" TargetMode="External"/><Relationship Id="rId390" Type="http://schemas.openxmlformats.org/officeDocument/2006/relationships/hyperlink" Target="https://www.youtube.com/watch?v=Yf6-fJ-LcU8" TargetMode="External"/><Relationship Id="rId404" Type="http://schemas.openxmlformats.org/officeDocument/2006/relationships/hyperlink" Target="https://www.youtube.com/watch?v=5YuNKvTZtdM" TargetMode="External"/><Relationship Id="rId611" Type="http://schemas.openxmlformats.org/officeDocument/2006/relationships/hyperlink" Target="https://www.youtube.com/watch?v=7JNUG5Lyals" TargetMode="External"/><Relationship Id="rId1034" Type="http://schemas.openxmlformats.org/officeDocument/2006/relationships/hyperlink" Target="https://www.youtube.com/watch?v=S9RImbEoWYA" TargetMode="External"/><Relationship Id="rId1241" Type="http://schemas.openxmlformats.org/officeDocument/2006/relationships/hyperlink" Target="https://www.youtube.com/watch?v=JZ7LHVZfMwM" TargetMode="External"/><Relationship Id="rId1339" Type="http://schemas.openxmlformats.org/officeDocument/2006/relationships/hyperlink" Target="https://www.youtube.com/watch?v=kvEIBfEnwXM" TargetMode="External"/><Relationship Id="rId250" Type="http://schemas.openxmlformats.org/officeDocument/2006/relationships/hyperlink" Target="https://www.youtube.com/watch?v=UrWQfScMALY" TargetMode="External"/><Relationship Id="rId488" Type="http://schemas.openxmlformats.org/officeDocument/2006/relationships/hyperlink" Target="https://www.youtube.com/watch?v=4gAHt9ki2xY" TargetMode="External"/><Relationship Id="rId695" Type="http://schemas.openxmlformats.org/officeDocument/2006/relationships/hyperlink" Target="https://www.youtube.com/watch?v=5U64D5B9-O0" TargetMode="External"/><Relationship Id="rId709" Type="http://schemas.openxmlformats.org/officeDocument/2006/relationships/hyperlink" Target="https://www.youtube.com/watch?v=hPD7CW4JiSA" TargetMode="External"/><Relationship Id="rId916" Type="http://schemas.openxmlformats.org/officeDocument/2006/relationships/hyperlink" Target="https://www.youtube.com/watch?v=kZVT_WU4Pm4" TargetMode="External"/><Relationship Id="rId1101" Type="http://schemas.openxmlformats.org/officeDocument/2006/relationships/hyperlink" Target="https://www.youtube.com/watch?v=Zr29r9gnq6A" TargetMode="External"/><Relationship Id="rId45" Type="http://schemas.openxmlformats.org/officeDocument/2006/relationships/hyperlink" Target="https://www.youtube.com/watch?v=5LJPOCxc3E8" TargetMode="External"/><Relationship Id="rId110" Type="http://schemas.openxmlformats.org/officeDocument/2006/relationships/hyperlink" Target="https://www.youtube.com/watch?v=QWaXqmcxm94" TargetMode="External"/><Relationship Id="rId348" Type="http://schemas.openxmlformats.org/officeDocument/2006/relationships/hyperlink" Target="https://www.youtube.com/watch?v=MfzPrOKKZVo" TargetMode="External"/><Relationship Id="rId555" Type="http://schemas.openxmlformats.org/officeDocument/2006/relationships/hyperlink" Target="https://www.youtube.com/watch?v=1GLaXQ6Rgcg" TargetMode="External"/><Relationship Id="rId762" Type="http://schemas.openxmlformats.org/officeDocument/2006/relationships/hyperlink" Target="https://www.youtube.com/watch?v=VJZ4LARPMJU&amp;t=79s" TargetMode="External"/><Relationship Id="rId1185" Type="http://schemas.openxmlformats.org/officeDocument/2006/relationships/hyperlink" Target="https://www.youtube.com/watch?v=MqvZxu1TaSQ" TargetMode="External"/><Relationship Id="rId1392" Type="http://schemas.openxmlformats.org/officeDocument/2006/relationships/hyperlink" Target="https://www.youtube.com/watch?v=_xxJKDZyRuE" TargetMode="External"/><Relationship Id="rId1406" Type="http://schemas.openxmlformats.org/officeDocument/2006/relationships/hyperlink" Target="https://www.youtube.com/watch?v=lQph5joRdU8" TargetMode="External"/><Relationship Id="rId194" Type="http://schemas.openxmlformats.org/officeDocument/2006/relationships/hyperlink" Target="https://www.youtube.com/watch?v=gmu_fBglk-A" TargetMode="External"/><Relationship Id="rId208" Type="http://schemas.openxmlformats.org/officeDocument/2006/relationships/hyperlink" Target="https://www.youtube.com/watch?v=MOkWSa69NKA" TargetMode="External"/><Relationship Id="rId415" Type="http://schemas.openxmlformats.org/officeDocument/2006/relationships/hyperlink" Target="https://www.youtube.com/watch?v=gU4jkSa9phY" TargetMode="External"/><Relationship Id="rId622" Type="http://schemas.openxmlformats.org/officeDocument/2006/relationships/hyperlink" Target="https://www.youtube.com/watch?v=zm-fPGwlflY" TargetMode="External"/><Relationship Id="rId1045" Type="http://schemas.openxmlformats.org/officeDocument/2006/relationships/hyperlink" Target="https://www.youtube.com/watch?v=VkyOIj4SQu4" TargetMode="External"/><Relationship Id="rId1252" Type="http://schemas.openxmlformats.org/officeDocument/2006/relationships/hyperlink" Target="https://www.youtube.com/watch?v=LAZPY_rTJLU" TargetMode="External"/><Relationship Id="rId261" Type="http://schemas.openxmlformats.org/officeDocument/2006/relationships/hyperlink" Target="https://www.youtube.com/watch?v=vHGejHQUoio" TargetMode="External"/><Relationship Id="rId499" Type="http://schemas.openxmlformats.org/officeDocument/2006/relationships/hyperlink" Target="https://www.youtube.com/watch?v=Ow3nJA8fhhQ" TargetMode="External"/><Relationship Id="rId927" Type="http://schemas.openxmlformats.org/officeDocument/2006/relationships/hyperlink" Target="https://www.youtube.com/watch?v=fmVDyQnLFe4" TargetMode="External"/><Relationship Id="rId1112" Type="http://schemas.openxmlformats.org/officeDocument/2006/relationships/hyperlink" Target="https://www.youtube.com/watch?v=FgVpxhtCQdA" TargetMode="External"/><Relationship Id="rId56" Type="http://schemas.openxmlformats.org/officeDocument/2006/relationships/hyperlink" Target="https://www.youtube.com/watch?v=N0PD3TuLvoo" TargetMode="External"/><Relationship Id="rId359" Type="http://schemas.openxmlformats.org/officeDocument/2006/relationships/hyperlink" Target="https://www.youtube.com/watch?v=nCmJgIvSqfU" TargetMode="External"/><Relationship Id="rId566" Type="http://schemas.openxmlformats.org/officeDocument/2006/relationships/hyperlink" Target="https://www.youtube.com/watch?v=O5i1SD7KFkI" TargetMode="External"/><Relationship Id="rId773" Type="http://schemas.openxmlformats.org/officeDocument/2006/relationships/hyperlink" Target="https://www.youtube.com/watch?v=xjoBDX3u1Ys" TargetMode="External"/><Relationship Id="rId1196" Type="http://schemas.openxmlformats.org/officeDocument/2006/relationships/hyperlink" Target="https://www.youtube.com/watch?v=ZkrWcJXqbGA" TargetMode="External"/><Relationship Id="rId1417" Type="http://schemas.openxmlformats.org/officeDocument/2006/relationships/hyperlink" Target="https://www.youtube.com/watch?v=VKbVHIgKbbo" TargetMode="External"/><Relationship Id="rId121" Type="http://schemas.openxmlformats.org/officeDocument/2006/relationships/hyperlink" Target="https://www.youtube.com/watch?v=QZxRsM9xvK4" TargetMode="External"/><Relationship Id="rId219" Type="http://schemas.openxmlformats.org/officeDocument/2006/relationships/hyperlink" Target="https://www.youtube.com/watch?v=CtiARMXwI0Q" TargetMode="External"/><Relationship Id="rId426" Type="http://schemas.openxmlformats.org/officeDocument/2006/relationships/hyperlink" Target="https://www.youtube.com/watch?v=8ZJ9Ubv74Fc" TargetMode="External"/><Relationship Id="rId633" Type="http://schemas.openxmlformats.org/officeDocument/2006/relationships/hyperlink" Target="https://www.youtube.com/watch?v=hbcWYVaowqI" TargetMode="External"/><Relationship Id="rId980" Type="http://schemas.openxmlformats.org/officeDocument/2006/relationships/hyperlink" Target="https://www.youtube.com/watch?v=ejkbEib1Otk" TargetMode="External"/><Relationship Id="rId1056" Type="http://schemas.openxmlformats.org/officeDocument/2006/relationships/hyperlink" Target="https://www.youtube.com/watch?v=ozdJ_kTaZcc" TargetMode="External"/><Relationship Id="rId1263" Type="http://schemas.openxmlformats.org/officeDocument/2006/relationships/hyperlink" Target="https://www.youtube.com/watch?v=-c4KLljIDeo" TargetMode="External"/><Relationship Id="rId840" Type="http://schemas.openxmlformats.org/officeDocument/2006/relationships/hyperlink" Target="https://www.youtube.com/watch?v=rbrxzObExNc" TargetMode="External"/><Relationship Id="rId938" Type="http://schemas.openxmlformats.org/officeDocument/2006/relationships/hyperlink" Target="https://www.youtube.com/watch?v=Deab_JE4fv4" TargetMode="External"/><Relationship Id="rId1470" Type="http://schemas.openxmlformats.org/officeDocument/2006/relationships/hyperlink" Target="https://www.youtube.com/watch?v=aPfBxS4huSc" TargetMode="External"/><Relationship Id="rId67" Type="http://schemas.openxmlformats.org/officeDocument/2006/relationships/hyperlink" Target="https://www.youtube.com/watch?v=lzMEDrUFlpw" TargetMode="External"/><Relationship Id="rId272" Type="http://schemas.openxmlformats.org/officeDocument/2006/relationships/hyperlink" Target="https://www.youtube.com/watch?v=qd7yTtTb_Fc" TargetMode="External"/><Relationship Id="rId577" Type="http://schemas.openxmlformats.org/officeDocument/2006/relationships/hyperlink" Target="https://www.youtube.com/watch?v=NQUbNykwFG4" TargetMode="External"/><Relationship Id="rId700" Type="http://schemas.openxmlformats.org/officeDocument/2006/relationships/hyperlink" Target="https://www.youtube.com/watch?v=zKr-cYKprD8" TargetMode="External"/><Relationship Id="rId1123" Type="http://schemas.openxmlformats.org/officeDocument/2006/relationships/hyperlink" Target="https://www.youtube.com/watch?v=8M2LUwJGwHw" TargetMode="External"/><Relationship Id="rId1330" Type="http://schemas.openxmlformats.org/officeDocument/2006/relationships/hyperlink" Target="https://www.youtube.com/watch?v=MAt3aD51sUM" TargetMode="External"/><Relationship Id="rId1428" Type="http://schemas.openxmlformats.org/officeDocument/2006/relationships/hyperlink" Target="https://www.youtube.com/watch?v=inDcB8LwlqI" TargetMode="External"/><Relationship Id="rId132" Type="http://schemas.openxmlformats.org/officeDocument/2006/relationships/hyperlink" Target="https://www.youtube.com/watch?v=mhHQNrL_bkM" TargetMode="External"/><Relationship Id="rId784" Type="http://schemas.openxmlformats.org/officeDocument/2006/relationships/hyperlink" Target="https://www.youtube.com/watch?v=orOA4dPxE98" TargetMode="External"/><Relationship Id="rId991" Type="http://schemas.openxmlformats.org/officeDocument/2006/relationships/hyperlink" Target="https://www.youtube.com/watch?v=5XqO9FCH3Xk" TargetMode="External"/><Relationship Id="rId1067" Type="http://schemas.openxmlformats.org/officeDocument/2006/relationships/hyperlink" Target="https://www.youtube.com/watch?v=2yRygpW0RYY" TargetMode="External"/><Relationship Id="rId437" Type="http://schemas.openxmlformats.org/officeDocument/2006/relationships/hyperlink" Target="https://www.youtube.com/watch?v=dXkhbNnOMy0" TargetMode="External"/><Relationship Id="rId644" Type="http://schemas.openxmlformats.org/officeDocument/2006/relationships/hyperlink" Target="https://www.youtube.com/watch?v=RaNpNJVvWDI" TargetMode="External"/><Relationship Id="rId851" Type="http://schemas.openxmlformats.org/officeDocument/2006/relationships/hyperlink" Target="https://www.youtube.com/watch?v=inpmzGJn2LU" TargetMode="External"/><Relationship Id="rId1274" Type="http://schemas.openxmlformats.org/officeDocument/2006/relationships/hyperlink" Target="https://www.youtube.com/watch?v=p08RUDejFXs" TargetMode="External"/><Relationship Id="rId1481" Type="http://schemas.openxmlformats.org/officeDocument/2006/relationships/hyperlink" Target="https://www.youtube.com/watch?v=JlEmX46IYNY" TargetMode="External"/><Relationship Id="rId283" Type="http://schemas.openxmlformats.org/officeDocument/2006/relationships/hyperlink" Target="https://www.youtube.com/watch?v=k54XQ5I1Nzo" TargetMode="External"/><Relationship Id="rId490" Type="http://schemas.openxmlformats.org/officeDocument/2006/relationships/hyperlink" Target="https://www.youtube.com/watch?v=TbQkh6axHEM" TargetMode="External"/><Relationship Id="rId504" Type="http://schemas.openxmlformats.org/officeDocument/2006/relationships/hyperlink" Target="https://www.youtube.com/watch?v=JNg9hu1QURw" TargetMode="External"/><Relationship Id="rId711" Type="http://schemas.openxmlformats.org/officeDocument/2006/relationships/hyperlink" Target="https://www.youtube.com/watch?v=wKE7d6nLsDM" TargetMode="External"/><Relationship Id="rId949" Type="http://schemas.openxmlformats.org/officeDocument/2006/relationships/hyperlink" Target="https://www.youtube.com/watch?v=VDqAX3plBww" TargetMode="External"/><Relationship Id="rId1134" Type="http://schemas.openxmlformats.org/officeDocument/2006/relationships/hyperlink" Target="https://www.youtube.com/watch?v=aEAK6N982oQ" TargetMode="External"/><Relationship Id="rId1341" Type="http://schemas.openxmlformats.org/officeDocument/2006/relationships/hyperlink" Target="https://www.youtube.com/watch?v=lkDfIrZy2VY" TargetMode="External"/><Relationship Id="rId78" Type="http://schemas.openxmlformats.org/officeDocument/2006/relationships/hyperlink" Target="https://www.youtube.com/watch?v=iS7CE9mrtI4" TargetMode="External"/><Relationship Id="rId143" Type="http://schemas.openxmlformats.org/officeDocument/2006/relationships/hyperlink" Target="https://www.youtube.com/watch?v=MlTxtaiX1xI" TargetMode="External"/><Relationship Id="rId350" Type="http://schemas.openxmlformats.org/officeDocument/2006/relationships/hyperlink" Target="https://www.youtube.com/watch?v=57-MHC42i7g" TargetMode="External"/><Relationship Id="rId588" Type="http://schemas.openxmlformats.org/officeDocument/2006/relationships/hyperlink" Target="https://www.youtube.com/watch?v=yZ08CJsgurU" TargetMode="External"/><Relationship Id="rId795" Type="http://schemas.openxmlformats.org/officeDocument/2006/relationships/hyperlink" Target="https://www.youtube.com/watch?v=C3knBzrgTTY" TargetMode="External"/><Relationship Id="rId809" Type="http://schemas.openxmlformats.org/officeDocument/2006/relationships/hyperlink" Target="https://www.youtube.com/watch?v=c0qRokhkADI" TargetMode="External"/><Relationship Id="rId1201" Type="http://schemas.openxmlformats.org/officeDocument/2006/relationships/hyperlink" Target="https://www.youtube.com/watch?v=ZI3BJk08OWI" TargetMode="External"/><Relationship Id="rId1439" Type="http://schemas.openxmlformats.org/officeDocument/2006/relationships/hyperlink" Target="https://www.youtube.com/watch?v=sEg8fP2ckhI" TargetMode="External"/><Relationship Id="rId9" Type="http://schemas.openxmlformats.org/officeDocument/2006/relationships/hyperlink" Target="https://www.youtube.com/watch?v=7WsGnkGob7A" TargetMode="External"/><Relationship Id="rId210" Type="http://schemas.openxmlformats.org/officeDocument/2006/relationships/hyperlink" Target="https://www.youtube.com/watch?v=k_PhmmAyLFg" TargetMode="External"/><Relationship Id="rId448" Type="http://schemas.openxmlformats.org/officeDocument/2006/relationships/hyperlink" Target="https://www.youtube.com/watch?v=myyrtrylWQs" TargetMode="External"/><Relationship Id="rId655" Type="http://schemas.openxmlformats.org/officeDocument/2006/relationships/hyperlink" Target="https://www.youtube.com/watch?v=7bZemcM70W0" TargetMode="External"/><Relationship Id="rId862" Type="http://schemas.openxmlformats.org/officeDocument/2006/relationships/hyperlink" Target="https://www.youtube.com/watch?v=S2ePhtW_O5A" TargetMode="External"/><Relationship Id="rId1078" Type="http://schemas.openxmlformats.org/officeDocument/2006/relationships/hyperlink" Target="https://www.youtube.com/watch?v=a30EnICYBUA" TargetMode="External"/><Relationship Id="rId1285" Type="http://schemas.openxmlformats.org/officeDocument/2006/relationships/hyperlink" Target="https://www.youtube.com/watch?v=Yb0AWtlb8-g" TargetMode="External"/><Relationship Id="rId1492" Type="http://schemas.openxmlformats.org/officeDocument/2006/relationships/hyperlink" Target="https://www.youtube.com/watch?v=wfQX8QWcWgI" TargetMode="External"/><Relationship Id="rId1506" Type="http://schemas.openxmlformats.org/officeDocument/2006/relationships/hyperlink" Target="https://www.youtube.com/watch?v=ahKeSqFT0Nk" TargetMode="External"/><Relationship Id="rId294" Type="http://schemas.openxmlformats.org/officeDocument/2006/relationships/hyperlink" Target="https://www.youtube.com/watch?v=cKIAV15AZcI" TargetMode="External"/><Relationship Id="rId308" Type="http://schemas.openxmlformats.org/officeDocument/2006/relationships/hyperlink" Target="https://www.youtube.com/watch?v=R7mzbp-9vbk" TargetMode="External"/><Relationship Id="rId515" Type="http://schemas.openxmlformats.org/officeDocument/2006/relationships/hyperlink" Target="https://www.youtube.com/watch?v=qGie_-i1j6o" TargetMode="External"/><Relationship Id="rId722" Type="http://schemas.openxmlformats.org/officeDocument/2006/relationships/hyperlink" Target="https://www.youtube.com/watch?v=QT3p6iGNrkU" TargetMode="External"/><Relationship Id="rId1145" Type="http://schemas.openxmlformats.org/officeDocument/2006/relationships/hyperlink" Target="https://www.youtube.com/watch?v=BsEY7XJTv70" TargetMode="External"/><Relationship Id="rId1352" Type="http://schemas.openxmlformats.org/officeDocument/2006/relationships/hyperlink" Target="https://www.youtube.com/watch?v=bD-uUsBgY-w" TargetMode="External"/><Relationship Id="rId89" Type="http://schemas.openxmlformats.org/officeDocument/2006/relationships/hyperlink" Target="https://www.youtube.com/watch?v=FndfcBhZklU" TargetMode="External"/><Relationship Id="rId154" Type="http://schemas.openxmlformats.org/officeDocument/2006/relationships/hyperlink" Target="https://www.youtube.com/watch?v=FNqQxPkLmPI" TargetMode="External"/><Relationship Id="rId361" Type="http://schemas.openxmlformats.org/officeDocument/2006/relationships/hyperlink" Target="https://www.youtube.com/watch?v=qsCWK-TQVsk" TargetMode="External"/><Relationship Id="rId599" Type="http://schemas.openxmlformats.org/officeDocument/2006/relationships/hyperlink" Target="https://www.youtube.com/watch?v=OHn7cvWw5gE" TargetMode="External"/><Relationship Id="rId1005" Type="http://schemas.openxmlformats.org/officeDocument/2006/relationships/hyperlink" Target="https://www.youtube.com/watch?v=qEJJIhs02cI" TargetMode="External"/><Relationship Id="rId1212" Type="http://schemas.openxmlformats.org/officeDocument/2006/relationships/hyperlink" Target="https://www.youtube.com/watch?v=DrTFGS7SoCg" TargetMode="External"/><Relationship Id="rId459" Type="http://schemas.openxmlformats.org/officeDocument/2006/relationships/hyperlink" Target="https://www.youtube.com/watch?v=Cs9JbmZ0poM" TargetMode="External"/><Relationship Id="rId666" Type="http://schemas.openxmlformats.org/officeDocument/2006/relationships/hyperlink" Target="https://www.youtube.com/watch?v=afXofZLlzB4" TargetMode="External"/><Relationship Id="rId873" Type="http://schemas.openxmlformats.org/officeDocument/2006/relationships/hyperlink" Target="https://www.youtube.com/watch?v=o-395A-OrOQ" TargetMode="External"/><Relationship Id="rId1089" Type="http://schemas.openxmlformats.org/officeDocument/2006/relationships/hyperlink" Target="https://www.youtube.com/watch?v=Aivw6qVhabo" TargetMode="External"/><Relationship Id="rId1296" Type="http://schemas.openxmlformats.org/officeDocument/2006/relationships/hyperlink" Target="https://www.youtube.com/watch?v=F2WG7neA31s" TargetMode="External"/><Relationship Id="rId1517" Type="http://schemas.openxmlformats.org/officeDocument/2006/relationships/comments" Target="../comments1.xml"/><Relationship Id="rId16" Type="http://schemas.openxmlformats.org/officeDocument/2006/relationships/hyperlink" Target="https://www.youtube.com/watch?v=mjFek0gF97s" TargetMode="External"/><Relationship Id="rId221" Type="http://schemas.openxmlformats.org/officeDocument/2006/relationships/hyperlink" Target="https://www.youtube.com/watch?v=61LvuBJ6Ojs" TargetMode="External"/><Relationship Id="rId319" Type="http://schemas.openxmlformats.org/officeDocument/2006/relationships/hyperlink" Target="https://www.youtube.com/watch?v=Y1SUVA0PU1o" TargetMode="External"/><Relationship Id="rId526" Type="http://schemas.openxmlformats.org/officeDocument/2006/relationships/hyperlink" Target="https://www.youtube.com/watch?v=ziCW-l-SXRM" TargetMode="External"/><Relationship Id="rId1156" Type="http://schemas.openxmlformats.org/officeDocument/2006/relationships/hyperlink" Target="https://www.youtube.com/watch?v=wEalKzas5Ig" TargetMode="External"/><Relationship Id="rId1363" Type="http://schemas.openxmlformats.org/officeDocument/2006/relationships/hyperlink" Target="https://www.youtube.com/watch?v=iwaHs0-q9l8" TargetMode="External"/><Relationship Id="rId733" Type="http://schemas.openxmlformats.org/officeDocument/2006/relationships/hyperlink" Target="https://www.youtube.com/watch?v=qY5oQOirve4" TargetMode="External"/><Relationship Id="rId940" Type="http://schemas.openxmlformats.org/officeDocument/2006/relationships/hyperlink" Target="https://www.youtube.com/watch?v=GiNhw1WJNXc" TargetMode="External"/><Relationship Id="rId1016" Type="http://schemas.openxmlformats.org/officeDocument/2006/relationships/hyperlink" Target="https://www.youtube.com/watch?v=ll-fhgVbj1I" TargetMode="External"/><Relationship Id="rId165" Type="http://schemas.openxmlformats.org/officeDocument/2006/relationships/hyperlink" Target="https://www.youtube.com/watch?v=3pxgnl2fHZg" TargetMode="External"/><Relationship Id="rId372" Type="http://schemas.openxmlformats.org/officeDocument/2006/relationships/hyperlink" Target="https://www.youtube.com/watch?v=oeFU8Lk35BI" TargetMode="External"/><Relationship Id="rId677" Type="http://schemas.openxmlformats.org/officeDocument/2006/relationships/hyperlink" Target="https://www.youtube.com/watch?v=LkTTH9gGQwA" TargetMode="External"/><Relationship Id="rId800" Type="http://schemas.openxmlformats.org/officeDocument/2006/relationships/hyperlink" Target="https://www.youtube.com/watch?v=1-5q-Da6EHQ" TargetMode="External"/><Relationship Id="rId1223" Type="http://schemas.openxmlformats.org/officeDocument/2006/relationships/hyperlink" Target="https://www.youtube.com/watch?v=r0tSX3M-7oM&amp;t=41s" TargetMode="External"/><Relationship Id="rId1430" Type="http://schemas.openxmlformats.org/officeDocument/2006/relationships/hyperlink" Target="https://www.youtube.com/watch?v=1wYg5d-4aVg" TargetMode="External"/><Relationship Id="rId232" Type="http://schemas.openxmlformats.org/officeDocument/2006/relationships/hyperlink" Target="https://www.youtube.com/watch?v=vnw9dW2QgYk" TargetMode="External"/><Relationship Id="rId884" Type="http://schemas.openxmlformats.org/officeDocument/2006/relationships/hyperlink" Target="https://www.youtube.com/watch?v=glBt8I5y1b8" TargetMode="External"/><Relationship Id="rId27" Type="http://schemas.openxmlformats.org/officeDocument/2006/relationships/hyperlink" Target="https://www.youtube.com/watch?v=Smd_3o5vtLo" TargetMode="External"/><Relationship Id="rId537" Type="http://schemas.openxmlformats.org/officeDocument/2006/relationships/hyperlink" Target="https://www.youtube.com/watch?v=k6dsew1B6SE" TargetMode="External"/><Relationship Id="rId744" Type="http://schemas.openxmlformats.org/officeDocument/2006/relationships/hyperlink" Target="https://www.youtube.com/watch?v=kKbQvD24QPY" TargetMode="External"/><Relationship Id="rId951" Type="http://schemas.openxmlformats.org/officeDocument/2006/relationships/hyperlink" Target="https://www.youtube.com/watch?v=Hqx5Pfe-4NI" TargetMode="External"/><Relationship Id="rId1167" Type="http://schemas.openxmlformats.org/officeDocument/2006/relationships/hyperlink" Target="https://www.youtube.com/watch?v=sGXLoCpynsU" TargetMode="External"/><Relationship Id="rId1374" Type="http://schemas.openxmlformats.org/officeDocument/2006/relationships/hyperlink" Target="https://www.youtube.com/watch?v=Fb11XAvWeyE" TargetMode="External"/><Relationship Id="rId80" Type="http://schemas.openxmlformats.org/officeDocument/2006/relationships/hyperlink" Target="https://www.youtube.com/watch?v=THua8SMPtK4" TargetMode="External"/><Relationship Id="rId176" Type="http://schemas.openxmlformats.org/officeDocument/2006/relationships/hyperlink" Target="https://www.youtube.com/watch?v=lXmhJr1LDyI" TargetMode="External"/><Relationship Id="rId383" Type="http://schemas.openxmlformats.org/officeDocument/2006/relationships/hyperlink" Target="https://www.youtube.com/watch?v=EWnc9FdyP7s" TargetMode="External"/><Relationship Id="rId590" Type="http://schemas.openxmlformats.org/officeDocument/2006/relationships/hyperlink" Target="https://www.youtube.com/watch?v=c13ZN5rYckE" TargetMode="External"/><Relationship Id="rId604" Type="http://schemas.openxmlformats.org/officeDocument/2006/relationships/hyperlink" Target="https://www.youtube.com/watch?v=tNKCTknE59M" TargetMode="External"/><Relationship Id="rId811" Type="http://schemas.openxmlformats.org/officeDocument/2006/relationships/hyperlink" Target="https://www.youtube.com/watch?v=AcHVZjv6cAs" TargetMode="External"/><Relationship Id="rId1027" Type="http://schemas.openxmlformats.org/officeDocument/2006/relationships/hyperlink" Target="https://www.youtube.com/watch?v=wYCmU0vaKvc" TargetMode="External"/><Relationship Id="rId1234" Type="http://schemas.openxmlformats.org/officeDocument/2006/relationships/hyperlink" Target="https://www.youtube.com/watch?v=SNAHZpRl3go" TargetMode="External"/><Relationship Id="rId1441" Type="http://schemas.openxmlformats.org/officeDocument/2006/relationships/hyperlink" Target="https://www.youtube.com/watch?v=tmCFtpj6IZc" TargetMode="External"/><Relationship Id="rId243" Type="http://schemas.openxmlformats.org/officeDocument/2006/relationships/hyperlink" Target="https://www.youtube.com/watch?v=67Y76FPHZ-g" TargetMode="External"/><Relationship Id="rId450" Type="http://schemas.openxmlformats.org/officeDocument/2006/relationships/hyperlink" Target="https://www.youtube.com/watch?v=v6x52noLJOo" TargetMode="External"/><Relationship Id="rId688" Type="http://schemas.openxmlformats.org/officeDocument/2006/relationships/hyperlink" Target="https://www.youtube.com/watch?v=Uk3mD3cAFXg" TargetMode="External"/><Relationship Id="rId895" Type="http://schemas.openxmlformats.org/officeDocument/2006/relationships/hyperlink" Target="https://www.youtube.com/watch?v=2U1DVGO8vo4" TargetMode="External"/><Relationship Id="rId909" Type="http://schemas.openxmlformats.org/officeDocument/2006/relationships/hyperlink" Target="https://www.youtube.com/watch?v=Cuelsn9VyZQ" TargetMode="External"/><Relationship Id="rId1080" Type="http://schemas.openxmlformats.org/officeDocument/2006/relationships/hyperlink" Target="https://www.youtube.com/watch?v=Wr_CIMPuH3I" TargetMode="External"/><Relationship Id="rId1301" Type="http://schemas.openxmlformats.org/officeDocument/2006/relationships/hyperlink" Target="https://www.youtube.com/watch?v=9FgUTz996bs" TargetMode="External"/><Relationship Id="rId38" Type="http://schemas.openxmlformats.org/officeDocument/2006/relationships/hyperlink" Target="https://www.youtube.com/watch?v=Wpkt3HpzBTs" TargetMode="External"/><Relationship Id="rId103" Type="http://schemas.openxmlformats.org/officeDocument/2006/relationships/hyperlink" Target="https://www.youtube.com/watch?v=-udb2VYB5uo" TargetMode="External"/><Relationship Id="rId310" Type="http://schemas.openxmlformats.org/officeDocument/2006/relationships/hyperlink" Target="https://www.youtube.com/watch?v=ucgD3lqwZX0" TargetMode="External"/><Relationship Id="rId548" Type="http://schemas.openxmlformats.org/officeDocument/2006/relationships/hyperlink" Target="https://www.youtube.com/watch?v=m9xF54UZFuY" TargetMode="External"/><Relationship Id="rId755" Type="http://schemas.openxmlformats.org/officeDocument/2006/relationships/hyperlink" Target="https://www.youtube.com/watch?v=FQmwAFcJSpw" TargetMode="External"/><Relationship Id="rId962" Type="http://schemas.openxmlformats.org/officeDocument/2006/relationships/hyperlink" Target="https://www.youtube.com/watch?v=-HWLO-7d98U" TargetMode="External"/><Relationship Id="rId1178" Type="http://schemas.openxmlformats.org/officeDocument/2006/relationships/hyperlink" Target="https://www.youtube.com/watch?v=9qgkONu6nbk" TargetMode="External"/><Relationship Id="rId1385" Type="http://schemas.openxmlformats.org/officeDocument/2006/relationships/hyperlink" Target="https://www.youtube.com/watch?v=7AYmPqY5iF4" TargetMode="External"/><Relationship Id="rId91" Type="http://schemas.openxmlformats.org/officeDocument/2006/relationships/hyperlink" Target="https://www.youtube.com/watch?v=20u8yHim1tM" TargetMode="External"/><Relationship Id="rId187" Type="http://schemas.openxmlformats.org/officeDocument/2006/relationships/hyperlink" Target="https://www.youtube.com/watch?v=fjD9BVlmPoA" TargetMode="External"/><Relationship Id="rId394" Type="http://schemas.openxmlformats.org/officeDocument/2006/relationships/hyperlink" Target="https://www.youtube.com/watch?v=wm8QHjKcDf8" TargetMode="External"/><Relationship Id="rId408" Type="http://schemas.openxmlformats.org/officeDocument/2006/relationships/hyperlink" Target="https://www.youtube.com/watch?v=182HueOxCaU" TargetMode="External"/><Relationship Id="rId615" Type="http://schemas.openxmlformats.org/officeDocument/2006/relationships/hyperlink" Target="https://www.youtube.com/watch?v=2RlQdQoP4mE" TargetMode="External"/><Relationship Id="rId822" Type="http://schemas.openxmlformats.org/officeDocument/2006/relationships/hyperlink" Target="https://www.youtube.com/watch?v=F4X3ljkLFP8" TargetMode="External"/><Relationship Id="rId1038" Type="http://schemas.openxmlformats.org/officeDocument/2006/relationships/hyperlink" Target="https://www.youtube.com/watch?v=EfHkupTL5wU" TargetMode="External"/><Relationship Id="rId1245" Type="http://schemas.openxmlformats.org/officeDocument/2006/relationships/hyperlink" Target="https://www.youtube.com/watch?v=HzuZ57Y3-VQ" TargetMode="External"/><Relationship Id="rId1452" Type="http://schemas.openxmlformats.org/officeDocument/2006/relationships/hyperlink" Target="https://www.youtube.com/watch?v=5IYA6g6rNW0" TargetMode="External"/><Relationship Id="rId254" Type="http://schemas.openxmlformats.org/officeDocument/2006/relationships/hyperlink" Target="https://www.youtube.com/watch?v=08Xwx9vsy6w" TargetMode="External"/><Relationship Id="rId699" Type="http://schemas.openxmlformats.org/officeDocument/2006/relationships/hyperlink" Target="https://www.youtube.com/watch?v=zKr-cYKprD8" TargetMode="External"/><Relationship Id="rId1091" Type="http://schemas.openxmlformats.org/officeDocument/2006/relationships/hyperlink" Target="https://www.youtube.com/watch?v=av1BWeMbl1Q" TargetMode="External"/><Relationship Id="rId1105" Type="http://schemas.openxmlformats.org/officeDocument/2006/relationships/hyperlink" Target="https://www.youtube.com/watch?v=R6bvpvI1_uY" TargetMode="External"/><Relationship Id="rId1312" Type="http://schemas.openxmlformats.org/officeDocument/2006/relationships/hyperlink" Target="https://www.youtube.com/watch?v=mScbp58xwJE" TargetMode="External"/><Relationship Id="rId49" Type="http://schemas.openxmlformats.org/officeDocument/2006/relationships/hyperlink" Target="https://www.youtube.com/watch?v=gbWoqwJKhbM" TargetMode="External"/><Relationship Id="rId114" Type="http://schemas.openxmlformats.org/officeDocument/2006/relationships/hyperlink" Target="https://www.youtube.com/watch?v=TGgYE0Ui0co" TargetMode="External"/><Relationship Id="rId461" Type="http://schemas.openxmlformats.org/officeDocument/2006/relationships/hyperlink" Target="https://www.youtube.com/watch?v=xGvABG6vfLg" TargetMode="External"/><Relationship Id="rId559" Type="http://schemas.openxmlformats.org/officeDocument/2006/relationships/hyperlink" Target="https://www.youtube.com/watch?v=EHQ6eLHDs78" TargetMode="External"/><Relationship Id="rId766" Type="http://schemas.openxmlformats.org/officeDocument/2006/relationships/hyperlink" Target="https://www.youtube.com/watch?v=4fTC0cZiBus" TargetMode="External"/><Relationship Id="rId1189" Type="http://schemas.openxmlformats.org/officeDocument/2006/relationships/hyperlink" Target="https://www.youtube.com/watch?v=YtD-Ro9OJRQ" TargetMode="External"/><Relationship Id="rId1396" Type="http://schemas.openxmlformats.org/officeDocument/2006/relationships/hyperlink" Target="https://www.youtube.com/watch?v=vmOlaD1O5rg" TargetMode="External"/><Relationship Id="rId198" Type="http://schemas.openxmlformats.org/officeDocument/2006/relationships/hyperlink" Target="https://www.youtube.com/watch?v=91dtNzk71IA" TargetMode="External"/><Relationship Id="rId321" Type="http://schemas.openxmlformats.org/officeDocument/2006/relationships/hyperlink" Target="https://www.youtube.com/watch?v=yaOVnZ7W-Qc" TargetMode="External"/><Relationship Id="rId419" Type="http://schemas.openxmlformats.org/officeDocument/2006/relationships/hyperlink" Target="https://www.youtube.com/watch?v=zVH1ZOi2_yk" TargetMode="External"/><Relationship Id="rId626" Type="http://schemas.openxmlformats.org/officeDocument/2006/relationships/hyperlink" Target="https://www.youtube.com/watch?v=kpktr2ml8m8" TargetMode="External"/><Relationship Id="rId973" Type="http://schemas.openxmlformats.org/officeDocument/2006/relationships/hyperlink" Target="https://www.youtube.com/watch?v=FTdLV7hcCvI" TargetMode="External"/><Relationship Id="rId1049" Type="http://schemas.openxmlformats.org/officeDocument/2006/relationships/hyperlink" Target="https://www.youtube.com/watch?v=vOOkxcKaZEo" TargetMode="External"/><Relationship Id="rId1256" Type="http://schemas.openxmlformats.org/officeDocument/2006/relationships/hyperlink" Target="https://www.youtube.com/watch?v=lnII4AH2rHw" TargetMode="External"/><Relationship Id="rId833" Type="http://schemas.openxmlformats.org/officeDocument/2006/relationships/hyperlink" Target="https://www.youtube.com/watch?v=bF-3L4O8Nq8" TargetMode="External"/><Relationship Id="rId1116" Type="http://schemas.openxmlformats.org/officeDocument/2006/relationships/hyperlink" Target="https://www.youtube.com/watch?v=n0Ekb7yhf18" TargetMode="External"/><Relationship Id="rId1463" Type="http://schemas.openxmlformats.org/officeDocument/2006/relationships/hyperlink" Target="https://www.youtube.com/watch?v=lyiuoR-2E6I" TargetMode="External"/><Relationship Id="rId265" Type="http://schemas.openxmlformats.org/officeDocument/2006/relationships/hyperlink" Target="https://www.youtube.com/watch?v=kQP4pUPNjqs" TargetMode="External"/><Relationship Id="rId472" Type="http://schemas.openxmlformats.org/officeDocument/2006/relationships/hyperlink" Target="https://www.youtube.com/watch?v=DoYL7K2djDY" TargetMode="External"/><Relationship Id="rId900" Type="http://schemas.openxmlformats.org/officeDocument/2006/relationships/hyperlink" Target="https://www.youtube.com/watch?v=lJLoAHZxMWE" TargetMode="External"/><Relationship Id="rId1323" Type="http://schemas.openxmlformats.org/officeDocument/2006/relationships/hyperlink" Target="https://www.youtube.com/watch?v=Ih4StVOa0Qs" TargetMode="External"/><Relationship Id="rId125" Type="http://schemas.openxmlformats.org/officeDocument/2006/relationships/hyperlink" Target="https://www.youtube.com/watch?v=-3rtVbNkNNQ" TargetMode="External"/><Relationship Id="rId332" Type="http://schemas.openxmlformats.org/officeDocument/2006/relationships/hyperlink" Target="https://www.youtube.com/watch?v=itgdRwuvtN0" TargetMode="External"/><Relationship Id="rId777" Type="http://schemas.openxmlformats.org/officeDocument/2006/relationships/hyperlink" Target="https://www.youtube.com/watch?v=gL_j5YKKN38" TargetMode="External"/><Relationship Id="rId984" Type="http://schemas.openxmlformats.org/officeDocument/2006/relationships/hyperlink" Target="https://www.youtube.com/watch?v=9fu_xDvkBMk" TargetMode="External"/><Relationship Id="rId637" Type="http://schemas.openxmlformats.org/officeDocument/2006/relationships/hyperlink" Target="https://www.youtube.com/watch?v=fwbLw9W9GC8" TargetMode="External"/><Relationship Id="rId844" Type="http://schemas.openxmlformats.org/officeDocument/2006/relationships/hyperlink" Target="https://www.youtube.com/watch?v=mK5DuxKw-I8" TargetMode="External"/><Relationship Id="rId1267" Type="http://schemas.openxmlformats.org/officeDocument/2006/relationships/hyperlink" Target="https://www.youtube.com/watch?v=GP0JLpTLOWU" TargetMode="External"/><Relationship Id="rId1474" Type="http://schemas.openxmlformats.org/officeDocument/2006/relationships/hyperlink" Target="https://www.youtube.com/watch?v=qIQN0DtO2Z8" TargetMode="External"/><Relationship Id="rId276" Type="http://schemas.openxmlformats.org/officeDocument/2006/relationships/hyperlink" Target="https://www.youtube.com/watch?v=agP31XI_FxA" TargetMode="External"/><Relationship Id="rId483" Type="http://schemas.openxmlformats.org/officeDocument/2006/relationships/hyperlink" Target="https://www.youtube.com/watch?v=7WA-8QBd5Tk" TargetMode="External"/><Relationship Id="rId690" Type="http://schemas.openxmlformats.org/officeDocument/2006/relationships/hyperlink" Target="https://www.youtube.com/watch?v=spEEA-o1zlE" TargetMode="External"/><Relationship Id="rId704" Type="http://schemas.openxmlformats.org/officeDocument/2006/relationships/hyperlink" Target="https://www.youtube.com/watch?v=8xbYHg11ROo" TargetMode="External"/><Relationship Id="rId911" Type="http://schemas.openxmlformats.org/officeDocument/2006/relationships/hyperlink" Target="https://www.youtube.com/watch?v=IQCY6tVgZ9s" TargetMode="External"/><Relationship Id="rId1127" Type="http://schemas.openxmlformats.org/officeDocument/2006/relationships/hyperlink" Target="https://www.youtube.com/watch?v=udkwSpjJnGk" TargetMode="External"/><Relationship Id="rId1334" Type="http://schemas.openxmlformats.org/officeDocument/2006/relationships/hyperlink" Target="https://www.youtube.com/watch?v=XfaMChybaCc" TargetMode="External"/><Relationship Id="rId40" Type="http://schemas.openxmlformats.org/officeDocument/2006/relationships/hyperlink" Target="https://www.youtube.com/watch?v=_IcfDP-ezpo" TargetMode="External"/><Relationship Id="rId136" Type="http://schemas.openxmlformats.org/officeDocument/2006/relationships/hyperlink" Target="https://www.youtube.com/watch?v=IAmXafhUmYc" TargetMode="External"/><Relationship Id="rId343" Type="http://schemas.openxmlformats.org/officeDocument/2006/relationships/hyperlink" Target="https://www.youtube.com/watch?v=Au_HvuB2IQc" TargetMode="External"/><Relationship Id="rId550" Type="http://schemas.openxmlformats.org/officeDocument/2006/relationships/hyperlink" Target="https://www.youtube.com/watch?v=srr9jTynwdo" TargetMode="External"/><Relationship Id="rId788" Type="http://schemas.openxmlformats.org/officeDocument/2006/relationships/hyperlink" Target="https://www.youtube.com/watch?v=dlfE6JbvIYI" TargetMode="External"/><Relationship Id="rId995" Type="http://schemas.openxmlformats.org/officeDocument/2006/relationships/hyperlink" Target="https://www.youtube.com/watch?v=KStzrk3h76o" TargetMode="External"/><Relationship Id="rId1180" Type="http://schemas.openxmlformats.org/officeDocument/2006/relationships/hyperlink" Target="https://www.youtube.com/watch?v=k8zAYJDE01E" TargetMode="External"/><Relationship Id="rId1401" Type="http://schemas.openxmlformats.org/officeDocument/2006/relationships/hyperlink" Target="https://www.youtube.com/watch?v=MC9pK4dCHAs" TargetMode="External"/><Relationship Id="rId203" Type="http://schemas.openxmlformats.org/officeDocument/2006/relationships/hyperlink" Target="https://www.youtube.com/watch?v=NPNImjeRrF8" TargetMode="External"/><Relationship Id="rId648" Type="http://schemas.openxmlformats.org/officeDocument/2006/relationships/hyperlink" Target="https://www.youtube.com/watch?v=jQ47l4DT1BY" TargetMode="External"/><Relationship Id="rId855" Type="http://schemas.openxmlformats.org/officeDocument/2006/relationships/hyperlink" Target="https://www.youtube.com/watch?v=aASsLwbe6kY" TargetMode="External"/><Relationship Id="rId1040" Type="http://schemas.openxmlformats.org/officeDocument/2006/relationships/hyperlink" Target="https://www.youtube.com/watch?v=4pkD8CkJiIQ" TargetMode="External"/><Relationship Id="rId1278" Type="http://schemas.openxmlformats.org/officeDocument/2006/relationships/hyperlink" Target="https://www.youtube.com/watch?v=Iz3TO-dXkSI" TargetMode="External"/><Relationship Id="rId1485" Type="http://schemas.openxmlformats.org/officeDocument/2006/relationships/hyperlink" Target="https://www.youtube.com/watch?v=sy6xQyjX7qg" TargetMode="External"/><Relationship Id="rId287" Type="http://schemas.openxmlformats.org/officeDocument/2006/relationships/hyperlink" Target="https://www.youtube.com/watch?v=q1K9wPDzMjU" TargetMode="External"/><Relationship Id="rId410" Type="http://schemas.openxmlformats.org/officeDocument/2006/relationships/hyperlink" Target="https://www.youtube.com/watch?v=t63m6GCrKbw" TargetMode="External"/><Relationship Id="rId494" Type="http://schemas.openxmlformats.org/officeDocument/2006/relationships/hyperlink" Target="https://www.youtube.com/watch?v=jaw4U_s24zo" TargetMode="External"/><Relationship Id="rId508" Type="http://schemas.openxmlformats.org/officeDocument/2006/relationships/hyperlink" Target="https://www.youtube.com/watch?v=xjZO-uNelDI" TargetMode="External"/><Relationship Id="rId715" Type="http://schemas.openxmlformats.org/officeDocument/2006/relationships/hyperlink" Target="https://www.youtube.com/watch?v=dgXtHzSngX0" TargetMode="External"/><Relationship Id="rId922" Type="http://schemas.openxmlformats.org/officeDocument/2006/relationships/hyperlink" Target="https://www.youtube.com/watch?v=9Zummy0j6Ws" TargetMode="External"/><Relationship Id="rId1138" Type="http://schemas.openxmlformats.org/officeDocument/2006/relationships/hyperlink" Target="https://www.youtube.com/watch?v=i24adZlRCZk" TargetMode="External"/><Relationship Id="rId1345" Type="http://schemas.openxmlformats.org/officeDocument/2006/relationships/hyperlink" Target="https://www.youtube.com/watch?v=vzoIHUTieE0" TargetMode="External"/><Relationship Id="rId147" Type="http://schemas.openxmlformats.org/officeDocument/2006/relationships/hyperlink" Target="https://www.youtube.com/watch?v=YFmL65VsWdk" TargetMode="External"/><Relationship Id="rId354" Type="http://schemas.openxmlformats.org/officeDocument/2006/relationships/hyperlink" Target="https://www.youtube.com/watch?v=17Jnr2hr0ro" TargetMode="External"/><Relationship Id="rId799" Type="http://schemas.openxmlformats.org/officeDocument/2006/relationships/hyperlink" Target="https://www.youtube.com/watch?v=1-5q-Da6EHQ" TargetMode="External"/><Relationship Id="rId1191" Type="http://schemas.openxmlformats.org/officeDocument/2006/relationships/hyperlink" Target="https://www.youtube.com/watch?v=m1RnPcyk_e0" TargetMode="External"/><Relationship Id="rId1205" Type="http://schemas.openxmlformats.org/officeDocument/2006/relationships/hyperlink" Target="https://www.youtube.com/watch?v=sLe31yV0Fb4" TargetMode="External"/><Relationship Id="rId51" Type="http://schemas.openxmlformats.org/officeDocument/2006/relationships/hyperlink" Target="https://www.youtube.com/watch?v=RdBz1kIwrqo" TargetMode="External"/><Relationship Id="rId561" Type="http://schemas.openxmlformats.org/officeDocument/2006/relationships/hyperlink" Target="https://www.youtube.com/watch?v=-cC-ErXYdnI" TargetMode="External"/><Relationship Id="rId659" Type="http://schemas.openxmlformats.org/officeDocument/2006/relationships/hyperlink" Target="https://www.youtube.com/watch?v=322EiuTqg7w" TargetMode="External"/><Relationship Id="rId866" Type="http://schemas.openxmlformats.org/officeDocument/2006/relationships/hyperlink" Target="https://www.youtube.com/watch?v=tRgTeYpgv8c" TargetMode="External"/><Relationship Id="rId1289" Type="http://schemas.openxmlformats.org/officeDocument/2006/relationships/hyperlink" Target="https://www.youtube.com/watch?v=-pDxEjRprYM" TargetMode="External"/><Relationship Id="rId1412" Type="http://schemas.openxmlformats.org/officeDocument/2006/relationships/hyperlink" Target="https://www.youtube.com/watch?v=KCUZ6hBgxc0" TargetMode="External"/><Relationship Id="rId1496" Type="http://schemas.openxmlformats.org/officeDocument/2006/relationships/hyperlink" Target="https://www.youtube.com/watch?v=Bx9ffGtMMxo" TargetMode="External"/><Relationship Id="rId214" Type="http://schemas.openxmlformats.org/officeDocument/2006/relationships/hyperlink" Target="https://www.youtube.com/watch?v=Vf5BOYF0S3Y" TargetMode="External"/><Relationship Id="rId298" Type="http://schemas.openxmlformats.org/officeDocument/2006/relationships/hyperlink" Target="https://www.youtube.com/watch?v=T0iutxik1Eg" TargetMode="External"/><Relationship Id="rId421" Type="http://schemas.openxmlformats.org/officeDocument/2006/relationships/hyperlink" Target="https://www.youtube.com/watch?v=F-ZzB9uBQNs" TargetMode="External"/><Relationship Id="rId519" Type="http://schemas.openxmlformats.org/officeDocument/2006/relationships/hyperlink" Target="https://www.youtube.com/watch?v=WQObFfIG62Q" TargetMode="External"/><Relationship Id="rId1051" Type="http://schemas.openxmlformats.org/officeDocument/2006/relationships/hyperlink" Target="https://www.youtube.com/watch?v=aRzq_l_Rmcc" TargetMode="External"/><Relationship Id="rId1149" Type="http://schemas.openxmlformats.org/officeDocument/2006/relationships/hyperlink" Target="https://www.youtube.com/watch?v=C6XbkLOcyVs" TargetMode="External"/><Relationship Id="rId1356" Type="http://schemas.openxmlformats.org/officeDocument/2006/relationships/hyperlink" Target="https://www.youtube.com/watch?v=edQr4IJQuEg" TargetMode="External"/><Relationship Id="rId158" Type="http://schemas.openxmlformats.org/officeDocument/2006/relationships/hyperlink" Target="https://www.youtube.com/watch?v=uDANJcQm-So" TargetMode="External"/><Relationship Id="rId726" Type="http://schemas.openxmlformats.org/officeDocument/2006/relationships/hyperlink" Target="https://www.youtube.com/watch?v=Lg0JLlBHCgA" TargetMode="External"/><Relationship Id="rId933" Type="http://schemas.openxmlformats.org/officeDocument/2006/relationships/hyperlink" Target="https://www.youtube.com/watch?v=_vKbwIOfXy0" TargetMode="External"/><Relationship Id="rId1009" Type="http://schemas.openxmlformats.org/officeDocument/2006/relationships/hyperlink" Target="https://www.youtube.com/watch?v=REfOblHmn6Q" TargetMode="External"/><Relationship Id="rId62" Type="http://schemas.openxmlformats.org/officeDocument/2006/relationships/hyperlink" Target="https://www.youtube.com/watch?v=elqL0Sr_sVU" TargetMode="External"/><Relationship Id="rId365" Type="http://schemas.openxmlformats.org/officeDocument/2006/relationships/hyperlink" Target="https://www.youtube.com/watch?v=MFVzVjuj90E" TargetMode="External"/><Relationship Id="rId572" Type="http://schemas.openxmlformats.org/officeDocument/2006/relationships/hyperlink" Target="https://www.youtube.com/watch?v=Uxcvh2BQu1g" TargetMode="External"/><Relationship Id="rId1216" Type="http://schemas.openxmlformats.org/officeDocument/2006/relationships/hyperlink" Target="https://www.youtube.com/watch?v=1jVMegap8Ws" TargetMode="External"/><Relationship Id="rId1423" Type="http://schemas.openxmlformats.org/officeDocument/2006/relationships/hyperlink" Target="https://www.youtube.com/watch?v=sI2xSENomQY" TargetMode="External"/><Relationship Id="rId225" Type="http://schemas.openxmlformats.org/officeDocument/2006/relationships/hyperlink" Target="https://www.youtube.com/watch?v=myZqody8PTw" TargetMode="External"/><Relationship Id="rId432" Type="http://schemas.openxmlformats.org/officeDocument/2006/relationships/hyperlink" Target="https://www.youtube.com/watch?v=2p91-Fy5A6Q" TargetMode="External"/><Relationship Id="rId877" Type="http://schemas.openxmlformats.org/officeDocument/2006/relationships/hyperlink" Target="https://www.youtube.com/watch?v=-JT1qlD0wPQ" TargetMode="External"/><Relationship Id="rId1062" Type="http://schemas.openxmlformats.org/officeDocument/2006/relationships/hyperlink" Target="https://www.youtube.com/watch?v=log0y9fRklc" TargetMode="External"/><Relationship Id="rId737" Type="http://schemas.openxmlformats.org/officeDocument/2006/relationships/hyperlink" Target="https://www.youtube.com/watch?v=XCXsh2mfb3M" TargetMode="External"/><Relationship Id="rId944" Type="http://schemas.openxmlformats.org/officeDocument/2006/relationships/hyperlink" Target="https://www.youtube.com/watch?v=gF2CbaL7t6g" TargetMode="External"/><Relationship Id="rId1367" Type="http://schemas.openxmlformats.org/officeDocument/2006/relationships/hyperlink" Target="https://www.youtube.com/watch?v=vaRCmUwpmNk" TargetMode="External"/><Relationship Id="rId73" Type="http://schemas.openxmlformats.org/officeDocument/2006/relationships/hyperlink" Target="https://www.youtube.com/watch?v=xANxZaCCD70" TargetMode="External"/><Relationship Id="rId169" Type="http://schemas.openxmlformats.org/officeDocument/2006/relationships/hyperlink" Target="https://www.youtube.com/watch?v=z1wT-GurohQ" TargetMode="External"/><Relationship Id="rId376" Type="http://schemas.openxmlformats.org/officeDocument/2006/relationships/hyperlink" Target="https://www.youtube.com/watch?v=uNPifASaoFM" TargetMode="External"/><Relationship Id="rId583" Type="http://schemas.openxmlformats.org/officeDocument/2006/relationships/hyperlink" Target="https://www.youtube.com/watch?v=-fhrU0xoCgk" TargetMode="External"/><Relationship Id="rId790" Type="http://schemas.openxmlformats.org/officeDocument/2006/relationships/hyperlink" Target="https://www.youtube.com/watch?v=1VZl4rtt2aU" TargetMode="External"/><Relationship Id="rId804" Type="http://schemas.openxmlformats.org/officeDocument/2006/relationships/hyperlink" Target="https://www.youtube.com/watch?v=3zpg3MGhmyI" TargetMode="External"/><Relationship Id="rId1227" Type="http://schemas.openxmlformats.org/officeDocument/2006/relationships/hyperlink" Target="https://www.youtube.com/watch?v=uiJHx80DJcw" TargetMode="External"/><Relationship Id="rId1434" Type="http://schemas.openxmlformats.org/officeDocument/2006/relationships/hyperlink" Target="https://www.youtube.com/watch?v=Owv0FewW5Bo" TargetMode="External"/><Relationship Id="rId4" Type="http://schemas.openxmlformats.org/officeDocument/2006/relationships/hyperlink" Target="https://www.youtube.com/watch?v=jKuCWHsoXmQ" TargetMode="External"/><Relationship Id="rId236" Type="http://schemas.openxmlformats.org/officeDocument/2006/relationships/hyperlink" Target="https://www.youtube.com/watch?v=nbZhVwfCRMU" TargetMode="External"/><Relationship Id="rId443" Type="http://schemas.openxmlformats.org/officeDocument/2006/relationships/hyperlink" Target="https://www.youtube.com/watch?v=cshbkDak_p0" TargetMode="External"/><Relationship Id="rId650" Type="http://schemas.openxmlformats.org/officeDocument/2006/relationships/hyperlink" Target="https://www.youtube.com/watch?v=WkR5PD16sCg" TargetMode="External"/><Relationship Id="rId888" Type="http://schemas.openxmlformats.org/officeDocument/2006/relationships/hyperlink" Target="https://www.youtube.com/watch?v=Kfqplhug-eA" TargetMode="External"/><Relationship Id="rId1073" Type="http://schemas.openxmlformats.org/officeDocument/2006/relationships/hyperlink" Target="https://www.youtube.com/watch?v=WzACbsbv3Mc" TargetMode="External"/><Relationship Id="rId1280" Type="http://schemas.openxmlformats.org/officeDocument/2006/relationships/hyperlink" Target="https://www.youtube.com/watch?v=5Qbkf3waru8" TargetMode="External"/><Relationship Id="rId1501" Type="http://schemas.openxmlformats.org/officeDocument/2006/relationships/hyperlink" Target="https://www.youtube.com/watch?v=GtSbmTRia5Y" TargetMode="External"/><Relationship Id="rId303" Type="http://schemas.openxmlformats.org/officeDocument/2006/relationships/hyperlink" Target="https://www.youtube.com/watch?v=vKGL9b0x_K8" TargetMode="External"/><Relationship Id="rId748" Type="http://schemas.openxmlformats.org/officeDocument/2006/relationships/hyperlink" Target="https://www.youtube.com/watch?v=wzPkggokfLg" TargetMode="External"/><Relationship Id="rId955" Type="http://schemas.openxmlformats.org/officeDocument/2006/relationships/hyperlink" Target="https://www.youtube.com/watch?v=47hxgUfQ8jo" TargetMode="External"/><Relationship Id="rId1140" Type="http://schemas.openxmlformats.org/officeDocument/2006/relationships/hyperlink" Target="https://www.youtube.com/watch?v=KYhdz2LiDLA" TargetMode="External"/><Relationship Id="rId1378" Type="http://schemas.openxmlformats.org/officeDocument/2006/relationships/hyperlink" Target="https://www.youtube.com/watch?v=kcbL1wC9PEg" TargetMode="External"/><Relationship Id="rId84" Type="http://schemas.openxmlformats.org/officeDocument/2006/relationships/hyperlink" Target="https://www.youtube.com/watch?v=LXrKKz7Mld8" TargetMode="External"/><Relationship Id="rId387" Type="http://schemas.openxmlformats.org/officeDocument/2006/relationships/hyperlink" Target="https://www.youtube.com/watch?v=yVdcSMOWtxM" TargetMode="External"/><Relationship Id="rId510" Type="http://schemas.openxmlformats.org/officeDocument/2006/relationships/hyperlink" Target="https://www.youtube.com/watch?v=6oKx_bFPSSA" TargetMode="External"/><Relationship Id="rId594" Type="http://schemas.openxmlformats.org/officeDocument/2006/relationships/hyperlink" Target="https://www.youtube.com/watch?v=FrXBeS9Vj40" TargetMode="External"/><Relationship Id="rId608" Type="http://schemas.openxmlformats.org/officeDocument/2006/relationships/hyperlink" Target="https://www.youtube.com/watch?v=59-D2X_vmlA" TargetMode="External"/><Relationship Id="rId815" Type="http://schemas.openxmlformats.org/officeDocument/2006/relationships/hyperlink" Target="https://www.youtube.com/watch?v=GDQ-FTObhak" TargetMode="External"/><Relationship Id="rId1238" Type="http://schemas.openxmlformats.org/officeDocument/2006/relationships/hyperlink" Target="https://www.youtube.com/watch?v=Vrv16kSoTLQ" TargetMode="External"/><Relationship Id="rId1445" Type="http://schemas.openxmlformats.org/officeDocument/2006/relationships/hyperlink" Target="https://www.youtube.com/watch?v=rP79c8rd-jE" TargetMode="External"/><Relationship Id="rId247" Type="http://schemas.openxmlformats.org/officeDocument/2006/relationships/hyperlink" Target="https://www.youtube.com/watch?v=BF7tCmPOjs4" TargetMode="External"/><Relationship Id="rId899" Type="http://schemas.openxmlformats.org/officeDocument/2006/relationships/hyperlink" Target="https://www.youtube.com/watch?v=lJLoAHZxMWE" TargetMode="External"/><Relationship Id="rId1000" Type="http://schemas.openxmlformats.org/officeDocument/2006/relationships/hyperlink" Target="https://www.youtube.com/watch?v=1UT4aCq24wA" TargetMode="External"/><Relationship Id="rId1084" Type="http://schemas.openxmlformats.org/officeDocument/2006/relationships/hyperlink" Target="https://www.youtube.com/watch?v=N20dY0-9Nio" TargetMode="External"/><Relationship Id="rId1305" Type="http://schemas.openxmlformats.org/officeDocument/2006/relationships/hyperlink" Target="https://www.youtube.com/watch?v=_D2sWZSHDqg&amp;t=834s" TargetMode="External"/><Relationship Id="rId107" Type="http://schemas.openxmlformats.org/officeDocument/2006/relationships/hyperlink" Target="https://www.youtube.com/watch?v=m3jwqSSyVkg" TargetMode="External"/><Relationship Id="rId454" Type="http://schemas.openxmlformats.org/officeDocument/2006/relationships/hyperlink" Target="https://www.youtube.com/watch?v=7RTlRYpr7o8" TargetMode="External"/><Relationship Id="rId661" Type="http://schemas.openxmlformats.org/officeDocument/2006/relationships/hyperlink" Target="https://www.youtube.com/watch?v=liKAbE7beNI" TargetMode="External"/><Relationship Id="rId759" Type="http://schemas.openxmlformats.org/officeDocument/2006/relationships/hyperlink" Target="https://www.youtube.com/watch?v=_OTzuNIDOOA" TargetMode="External"/><Relationship Id="rId966" Type="http://schemas.openxmlformats.org/officeDocument/2006/relationships/hyperlink" Target="https://www.youtube.com/watch?v=pIn71L7Kv9Q" TargetMode="External"/><Relationship Id="rId1291" Type="http://schemas.openxmlformats.org/officeDocument/2006/relationships/hyperlink" Target="https://www.youtube.com/watch?v=1P_XO3xfTCs" TargetMode="External"/><Relationship Id="rId1389" Type="http://schemas.openxmlformats.org/officeDocument/2006/relationships/hyperlink" Target="https://www.youtube.com/watch?v=OI3nL5YCIO8" TargetMode="External"/><Relationship Id="rId1512" Type="http://schemas.openxmlformats.org/officeDocument/2006/relationships/hyperlink" Target="https://www.youtube.com/watch?v=9QSUsKZfoQA&amp;t=156s" TargetMode="External"/><Relationship Id="rId11" Type="http://schemas.openxmlformats.org/officeDocument/2006/relationships/hyperlink" Target="https://www.youtube.com/watch?v=WU456HIXN5U" TargetMode="External"/><Relationship Id="rId314" Type="http://schemas.openxmlformats.org/officeDocument/2006/relationships/hyperlink" Target="https://www.youtube.com/watch?v=d9KgrM48iGg" TargetMode="External"/><Relationship Id="rId398" Type="http://schemas.openxmlformats.org/officeDocument/2006/relationships/hyperlink" Target="https://www.youtube.com/watch?v=ja-cxuo3ugc" TargetMode="External"/><Relationship Id="rId521" Type="http://schemas.openxmlformats.org/officeDocument/2006/relationships/hyperlink" Target="https://www.youtube.com/watch?v=CouNRYMLDmY" TargetMode="External"/><Relationship Id="rId619" Type="http://schemas.openxmlformats.org/officeDocument/2006/relationships/hyperlink" Target="https://www.youtube.com/watch?v=t5AEphve0P8" TargetMode="External"/><Relationship Id="rId1151" Type="http://schemas.openxmlformats.org/officeDocument/2006/relationships/hyperlink" Target="https://www.youtube.com/watch?v=ANDhhofT1w0" TargetMode="External"/><Relationship Id="rId1249" Type="http://schemas.openxmlformats.org/officeDocument/2006/relationships/hyperlink" Target="https://www.youtube.com/watch?v=6M1Mp5tvk-E" TargetMode="External"/><Relationship Id="rId95" Type="http://schemas.openxmlformats.org/officeDocument/2006/relationships/hyperlink" Target="https://www.youtube.com/watch?v=QEUeYDEFtsE" TargetMode="External"/><Relationship Id="rId160" Type="http://schemas.openxmlformats.org/officeDocument/2006/relationships/hyperlink" Target="https://www.youtube.com/watch?v=aXm-YqwVmbs" TargetMode="External"/><Relationship Id="rId826" Type="http://schemas.openxmlformats.org/officeDocument/2006/relationships/hyperlink" Target="https://www.youtube.com/watch?v=JDOBTQ94-S4" TargetMode="External"/><Relationship Id="rId1011" Type="http://schemas.openxmlformats.org/officeDocument/2006/relationships/hyperlink" Target="https://www.youtube.com/watch?v=8Fyp5gw_HGc&amp;t=19s" TargetMode="External"/><Relationship Id="rId1109" Type="http://schemas.openxmlformats.org/officeDocument/2006/relationships/hyperlink" Target="https://www.youtube.com/watch?v=3dYP3FhD3Po" TargetMode="External"/><Relationship Id="rId1456" Type="http://schemas.openxmlformats.org/officeDocument/2006/relationships/hyperlink" Target="https://www.youtube.com/watch?v=s9g49kgd9ao" TargetMode="External"/><Relationship Id="rId258" Type="http://schemas.openxmlformats.org/officeDocument/2006/relationships/hyperlink" Target="https://www.youtube.com/watch?v=SS0UQNsxhus" TargetMode="External"/><Relationship Id="rId465" Type="http://schemas.openxmlformats.org/officeDocument/2006/relationships/hyperlink" Target="https://www.youtube.com/watch?v=-rJtFWVJpjA" TargetMode="External"/><Relationship Id="rId672" Type="http://schemas.openxmlformats.org/officeDocument/2006/relationships/hyperlink" Target="https://www.youtube.com/watch?v=Xk3tQcQ1QcQ" TargetMode="External"/><Relationship Id="rId1095" Type="http://schemas.openxmlformats.org/officeDocument/2006/relationships/hyperlink" Target="https://www.youtube.com/watch?v=joPLKP546hk" TargetMode="External"/><Relationship Id="rId1316" Type="http://schemas.openxmlformats.org/officeDocument/2006/relationships/hyperlink" Target="https://www.youtube.com/watch?v=qzXGb7RIXmc" TargetMode="External"/><Relationship Id="rId22" Type="http://schemas.openxmlformats.org/officeDocument/2006/relationships/hyperlink" Target="https://www.youtube.com/watch?v=jMgGGixmfus" TargetMode="External"/><Relationship Id="rId118" Type="http://schemas.openxmlformats.org/officeDocument/2006/relationships/hyperlink" Target="https://www.youtube.com/watch?v=ByaheAphduQ" TargetMode="External"/><Relationship Id="rId325" Type="http://schemas.openxmlformats.org/officeDocument/2006/relationships/hyperlink" Target="https://www.youtube.com/watch?v=8iuVX1AkV_0" TargetMode="External"/><Relationship Id="rId532" Type="http://schemas.openxmlformats.org/officeDocument/2006/relationships/hyperlink" Target="https://www.youtube.com/watch?v=zyTsxv3NJzA" TargetMode="External"/><Relationship Id="rId977" Type="http://schemas.openxmlformats.org/officeDocument/2006/relationships/hyperlink" Target="https://www.youtube.com/watch?v=iGqKIfGTc-s" TargetMode="External"/><Relationship Id="rId1162" Type="http://schemas.openxmlformats.org/officeDocument/2006/relationships/hyperlink" Target="https://www.youtube.com/watch?v=vTz9mFEgYQU" TargetMode="External"/><Relationship Id="rId171" Type="http://schemas.openxmlformats.org/officeDocument/2006/relationships/hyperlink" Target="https://www.youtube.com/watch?v=f-XdG6v-RWk" TargetMode="External"/><Relationship Id="rId837" Type="http://schemas.openxmlformats.org/officeDocument/2006/relationships/hyperlink" Target="https://www.youtube.com/watch?v=KXamV4OZjYs" TargetMode="External"/><Relationship Id="rId1022" Type="http://schemas.openxmlformats.org/officeDocument/2006/relationships/hyperlink" Target="https://www.youtube.com/watch?v=NeCQOUox8zc" TargetMode="External"/><Relationship Id="rId1467" Type="http://schemas.openxmlformats.org/officeDocument/2006/relationships/hyperlink" Target="https://www.youtube.com/watch?v=8gCMYZ-alVw" TargetMode="External"/><Relationship Id="rId269" Type="http://schemas.openxmlformats.org/officeDocument/2006/relationships/hyperlink" Target="https://www.youtube.com/watch?v=7jIfpSOnmK8" TargetMode="External"/><Relationship Id="rId476" Type="http://schemas.openxmlformats.org/officeDocument/2006/relationships/hyperlink" Target="https://www.youtube.com/watch?v=QPVDHJcsv5U" TargetMode="External"/><Relationship Id="rId683" Type="http://schemas.openxmlformats.org/officeDocument/2006/relationships/hyperlink" Target="https://www.youtube.com/watch?v=vEdOCEkdY9Q" TargetMode="External"/><Relationship Id="rId890" Type="http://schemas.openxmlformats.org/officeDocument/2006/relationships/hyperlink" Target="https://www.youtube.com/watch?v=AgRVHML48XM" TargetMode="External"/><Relationship Id="rId904" Type="http://schemas.openxmlformats.org/officeDocument/2006/relationships/hyperlink" Target="https://www.youtube.com/watch?v=t5tjD9qq-98" TargetMode="External"/><Relationship Id="rId1327" Type="http://schemas.openxmlformats.org/officeDocument/2006/relationships/hyperlink" Target="https://www.youtube.com/watch?v=sZGlmV--sG4" TargetMode="External"/><Relationship Id="rId33" Type="http://schemas.openxmlformats.org/officeDocument/2006/relationships/hyperlink" Target="https://www.youtube.com/watch?v=tkF_3Ixn02I" TargetMode="External"/><Relationship Id="rId129" Type="http://schemas.openxmlformats.org/officeDocument/2006/relationships/hyperlink" Target="https://www.youtube.com/watch?v=28dLjjiriJA" TargetMode="External"/><Relationship Id="rId336" Type="http://schemas.openxmlformats.org/officeDocument/2006/relationships/hyperlink" Target="https://www.youtube.com/watch?v=UuJzHq-Ont4" TargetMode="External"/><Relationship Id="rId543" Type="http://schemas.openxmlformats.org/officeDocument/2006/relationships/hyperlink" Target="https://www.youtube.com/watch?v=s1VIjn0qPQg" TargetMode="External"/><Relationship Id="rId988" Type="http://schemas.openxmlformats.org/officeDocument/2006/relationships/hyperlink" Target="https://www.youtube.com/watch?v=C-AklzjB96w" TargetMode="External"/><Relationship Id="rId1173" Type="http://schemas.openxmlformats.org/officeDocument/2006/relationships/hyperlink" Target="https://www.youtube.com/watch?v=zNgyoAjVDhk" TargetMode="External"/><Relationship Id="rId1380" Type="http://schemas.openxmlformats.org/officeDocument/2006/relationships/hyperlink" Target="https://www.youtube.com/watch?v=qqDl6coS7wg" TargetMode="External"/><Relationship Id="rId182" Type="http://schemas.openxmlformats.org/officeDocument/2006/relationships/hyperlink" Target="https://www.youtube.com/watch?v=G3NpQQMh8jQ" TargetMode="External"/><Relationship Id="rId403" Type="http://schemas.openxmlformats.org/officeDocument/2006/relationships/hyperlink" Target="https://www.youtube.com/watch?v=5YuNKvTZtdM" TargetMode="External"/><Relationship Id="rId750" Type="http://schemas.openxmlformats.org/officeDocument/2006/relationships/hyperlink" Target="https://www.youtube.com/watch?v=dJ9wpyiJSSI" TargetMode="External"/><Relationship Id="rId848" Type="http://schemas.openxmlformats.org/officeDocument/2006/relationships/hyperlink" Target="https://www.youtube.com/watch?v=dzUx3zUv_yw" TargetMode="External"/><Relationship Id="rId1033" Type="http://schemas.openxmlformats.org/officeDocument/2006/relationships/hyperlink" Target="https://www.youtube.com/watch?v=S9RImbEoWYA" TargetMode="External"/><Relationship Id="rId1478" Type="http://schemas.openxmlformats.org/officeDocument/2006/relationships/hyperlink" Target="https://www.youtube.com/watch?v=ZyApm_PJ-W8&amp;t=65s" TargetMode="External"/><Relationship Id="rId487" Type="http://schemas.openxmlformats.org/officeDocument/2006/relationships/hyperlink" Target="https://www.youtube.com/watch?v=4gAHt9ki2xY" TargetMode="External"/><Relationship Id="rId610" Type="http://schemas.openxmlformats.org/officeDocument/2006/relationships/hyperlink" Target="https://www.youtube.com/watch?v=NhDs3OPqMQ4" TargetMode="External"/><Relationship Id="rId694" Type="http://schemas.openxmlformats.org/officeDocument/2006/relationships/hyperlink" Target="https://www.youtube.com/watch?v=M8Xez56Bg9c" TargetMode="External"/><Relationship Id="rId708" Type="http://schemas.openxmlformats.org/officeDocument/2006/relationships/hyperlink" Target="https://www.youtube.com/watch?v=JkoZriLo3fA" TargetMode="External"/><Relationship Id="rId915" Type="http://schemas.openxmlformats.org/officeDocument/2006/relationships/hyperlink" Target="https://www.youtube.com/watch?v=kZVT_WU4Pm4" TargetMode="External"/><Relationship Id="rId1240" Type="http://schemas.openxmlformats.org/officeDocument/2006/relationships/hyperlink" Target="https://www.youtube.com/watch?v=1k_PbRxkEqo" TargetMode="External"/><Relationship Id="rId1338" Type="http://schemas.openxmlformats.org/officeDocument/2006/relationships/hyperlink" Target="https://www.youtube.com/watch?v=rt5w2HzSWc0" TargetMode="External"/><Relationship Id="rId347" Type="http://schemas.openxmlformats.org/officeDocument/2006/relationships/hyperlink" Target="https://www.youtube.com/watch?v=MfzPrOKKZVo" TargetMode="External"/><Relationship Id="rId999" Type="http://schemas.openxmlformats.org/officeDocument/2006/relationships/hyperlink" Target="https://www.youtube.com/watch?v=1UT4aCq24wA" TargetMode="External"/><Relationship Id="rId1100" Type="http://schemas.openxmlformats.org/officeDocument/2006/relationships/hyperlink" Target="https://www.youtube.com/watch?v=N1wkN3CKqHY" TargetMode="External"/><Relationship Id="rId1184" Type="http://schemas.openxmlformats.org/officeDocument/2006/relationships/hyperlink" Target="https://www.youtube.com/watch?v=B3K5KRgT0oE" TargetMode="External"/><Relationship Id="rId1405" Type="http://schemas.openxmlformats.org/officeDocument/2006/relationships/hyperlink" Target="https://www.youtube.com/watch?v=lQph5joRdU8" TargetMode="External"/><Relationship Id="rId44" Type="http://schemas.openxmlformats.org/officeDocument/2006/relationships/hyperlink" Target="https://www.youtube.com/watch?v=Uq2PJjcHiqI" TargetMode="External"/><Relationship Id="rId554" Type="http://schemas.openxmlformats.org/officeDocument/2006/relationships/hyperlink" Target="https://www.youtube.com/watch?v=AuVaei10Du0" TargetMode="External"/><Relationship Id="rId761" Type="http://schemas.openxmlformats.org/officeDocument/2006/relationships/hyperlink" Target="https://www.youtube.com/watch?v=VJZ4LARPMJU&amp;t=79s" TargetMode="External"/><Relationship Id="rId859" Type="http://schemas.openxmlformats.org/officeDocument/2006/relationships/hyperlink" Target="https://www.youtube.com/watch?v=PWZrF-TGsWo" TargetMode="External"/><Relationship Id="rId1391" Type="http://schemas.openxmlformats.org/officeDocument/2006/relationships/hyperlink" Target="https://www.youtube.com/watch?v=_xxJKDZyRuE" TargetMode="External"/><Relationship Id="rId1489" Type="http://schemas.openxmlformats.org/officeDocument/2006/relationships/hyperlink" Target="https://www.youtube.com/watch?v=s4vjcCAXvVI" TargetMode="External"/><Relationship Id="rId193" Type="http://schemas.openxmlformats.org/officeDocument/2006/relationships/hyperlink" Target="https://www.youtube.com/watch?v=gmu_fBglk-A" TargetMode="External"/><Relationship Id="rId207" Type="http://schemas.openxmlformats.org/officeDocument/2006/relationships/hyperlink" Target="https://www.youtube.com/watch?v=MOkWSa69NKA" TargetMode="External"/><Relationship Id="rId414" Type="http://schemas.openxmlformats.org/officeDocument/2006/relationships/hyperlink" Target="https://www.youtube.com/watch?v=RKYffxIB9EM" TargetMode="External"/><Relationship Id="rId498" Type="http://schemas.openxmlformats.org/officeDocument/2006/relationships/hyperlink" Target="https://www.youtube.com/watch?v=d9iObjKR5yI" TargetMode="External"/><Relationship Id="rId621" Type="http://schemas.openxmlformats.org/officeDocument/2006/relationships/hyperlink" Target="https://www.youtube.com/watch?v=zm-fPGwlflY" TargetMode="External"/><Relationship Id="rId1044" Type="http://schemas.openxmlformats.org/officeDocument/2006/relationships/hyperlink" Target="https://www.youtube.com/watch?v=xkyySDtO5HU" TargetMode="External"/><Relationship Id="rId1251" Type="http://schemas.openxmlformats.org/officeDocument/2006/relationships/hyperlink" Target="https://www.youtube.com/watch?v=LAZPY_rTJLU" TargetMode="External"/><Relationship Id="rId1349" Type="http://schemas.openxmlformats.org/officeDocument/2006/relationships/hyperlink" Target="https://www.youtube.com/watch?v=1UnsEQPK3PQ" TargetMode="External"/><Relationship Id="rId260" Type="http://schemas.openxmlformats.org/officeDocument/2006/relationships/hyperlink" Target="https://www.youtube.com/watch?v=g-xyM5pVESg" TargetMode="External"/><Relationship Id="rId719" Type="http://schemas.openxmlformats.org/officeDocument/2006/relationships/hyperlink" Target="https://www.youtube.com/watch?v=I6Nwopg3FIw" TargetMode="External"/><Relationship Id="rId926" Type="http://schemas.openxmlformats.org/officeDocument/2006/relationships/hyperlink" Target="https://www.youtube.com/watch?v=ZwiLQGKP--A" TargetMode="External"/><Relationship Id="rId1111" Type="http://schemas.openxmlformats.org/officeDocument/2006/relationships/hyperlink" Target="https://www.youtube.com/watch?v=FgVpxhtCQdA" TargetMode="External"/><Relationship Id="rId55" Type="http://schemas.openxmlformats.org/officeDocument/2006/relationships/hyperlink" Target="https://www.youtube.com/watch?v=N0PD3TuLvoo" TargetMode="External"/><Relationship Id="rId120" Type="http://schemas.openxmlformats.org/officeDocument/2006/relationships/hyperlink" Target="https://www.youtube.com/watch?v=sc4OOSLMiQQ" TargetMode="External"/><Relationship Id="rId358" Type="http://schemas.openxmlformats.org/officeDocument/2006/relationships/hyperlink" Target="https://www.youtube.com/watch?v=MBzty84VgRo" TargetMode="External"/><Relationship Id="rId565" Type="http://schemas.openxmlformats.org/officeDocument/2006/relationships/hyperlink" Target="https://www.youtube.com/watch?v=O5i1SD7KFkI" TargetMode="External"/><Relationship Id="rId772" Type="http://schemas.openxmlformats.org/officeDocument/2006/relationships/hyperlink" Target="https://www.youtube.com/watch?v=yB7P6V4_zUw" TargetMode="External"/><Relationship Id="rId1195" Type="http://schemas.openxmlformats.org/officeDocument/2006/relationships/hyperlink" Target="https://www.youtube.com/watch?v=ZkrWcJXqbGA" TargetMode="External"/><Relationship Id="rId1209" Type="http://schemas.openxmlformats.org/officeDocument/2006/relationships/hyperlink" Target="https://www.youtube.com/watch?v=EKyX0QsZVJc" TargetMode="External"/><Relationship Id="rId1416" Type="http://schemas.openxmlformats.org/officeDocument/2006/relationships/hyperlink" Target="https://www.youtube.com/watch?v=DBYSIkWsAOI" TargetMode="External"/><Relationship Id="rId218" Type="http://schemas.openxmlformats.org/officeDocument/2006/relationships/hyperlink" Target="https://www.youtube.com/watch?v=apOba1F4MT4" TargetMode="External"/><Relationship Id="rId425" Type="http://schemas.openxmlformats.org/officeDocument/2006/relationships/hyperlink" Target="https://www.youtube.com/watch?v=8ZJ9Ubv74Fc" TargetMode="External"/><Relationship Id="rId632" Type="http://schemas.openxmlformats.org/officeDocument/2006/relationships/hyperlink" Target="https://www.youtube.com/watch?v=G-AjF_4Jc1I" TargetMode="External"/><Relationship Id="rId1055" Type="http://schemas.openxmlformats.org/officeDocument/2006/relationships/hyperlink" Target="https://www.youtube.com/watch?v=ozdJ_kTaZcc" TargetMode="External"/><Relationship Id="rId1262" Type="http://schemas.openxmlformats.org/officeDocument/2006/relationships/hyperlink" Target="https://www.youtube.com/watch?v=IS6hRiM7WuU" TargetMode="External"/><Relationship Id="rId271" Type="http://schemas.openxmlformats.org/officeDocument/2006/relationships/hyperlink" Target="https://www.youtube.com/watch?v=qd7yTtTb_Fc" TargetMode="External"/><Relationship Id="rId937" Type="http://schemas.openxmlformats.org/officeDocument/2006/relationships/hyperlink" Target="https://www.youtube.com/watch?v=Deab_JE4fv4" TargetMode="External"/><Relationship Id="rId1122" Type="http://schemas.openxmlformats.org/officeDocument/2006/relationships/hyperlink" Target="https://www.youtube.com/watch?v=NaCx35vC5wg" TargetMode="External"/><Relationship Id="rId66" Type="http://schemas.openxmlformats.org/officeDocument/2006/relationships/hyperlink" Target="https://www.youtube.com/watch?v=BEz8X5SUwjY" TargetMode="External"/><Relationship Id="rId131" Type="http://schemas.openxmlformats.org/officeDocument/2006/relationships/hyperlink" Target="https://www.youtube.com/watch?v=mhHQNrL_bkM" TargetMode="External"/><Relationship Id="rId369" Type="http://schemas.openxmlformats.org/officeDocument/2006/relationships/hyperlink" Target="https://www.youtube.com/watch?v=zqnotAbf-Cc" TargetMode="External"/><Relationship Id="rId576" Type="http://schemas.openxmlformats.org/officeDocument/2006/relationships/hyperlink" Target="https://www.youtube.com/watch?v=j84sUcOTBRM" TargetMode="External"/><Relationship Id="rId783" Type="http://schemas.openxmlformats.org/officeDocument/2006/relationships/hyperlink" Target="https://www.youtube.com/watch?v=orOA4dPxE98" TargetMode="External"/><Relationship Id="rId990" Type="http://schemas.openxmlformats.org/officeDocument/2006/relationships/hyperlink" Target="https://www.youtube.com/watch?v=CLCX0mlWjw0" TargetMode="External"/><Relationship Id="rId1427" Type="http://schemas.openxmlformats.org/officeDocument/2006/relationships/hyperlink" Target="https://www.youtube.com/watch?v=inDcB8LwlqI" TargetMode="External"/><Relationship Id="rId229" Type="http://schemas.openxmlformats.org/officeDocument/2006/relationships/hyperlink" Target="https://www.youtube.com/watch?v=eKtCOiQbVX0" TargetMode="External"/><Relationship Id="rId436" Type="http://schemas.openxmlformats.org/officeDocument/2006/relationships/hyperlink" Target="https://www.youtube.com/watch?v=nEEhdprZ-EE" TargetMode="External"/><Relationship Id="rId643" Type="http://schemas.openxmlformats.org/officeDocument/2006/relationships/hyperlink" Target="https://www.youtube.com/watch?v=RaNpNJVvWDI" TargetMode="External"/><Relationship Id="rId1066" Type="http://schemas.openxmlformats.org/officeDocument/2006/relationships/hyperlink" Target="https://www.youtube.com/watch?v=gzOZ5Lo3n9Y" TargetMode="External"/><Relationship Id="rId1273" Type="http://schemas.openxmlformats.org/officeDocument/2006/relationships/hyperlink" Target="https://www.youtube.com/watch?v=p08RUDejFXs" TargetMode="External"/><Relationship Id="rId1480" Type="http://schemas.openxmlformats.org/officeDocument/2006/relationships/hyperlink" Target="https://www.youtube.com/watch?v=VFJFvcNogFU" TargetMode="External"/><Relationship Id="rId850" Type="http://schemas.openxmlformats.org/officeDocument/2006/relationships/hyperlink" Target="https://www.youtube.com/watch?v=5iT09vIaZOU" TargetMode="External"/><Relationship Id="rId948" Type="http://schemas.openxmlformats.org/officeDocument/2006/relationships/hyperlink" Target="https://www.youtube.com/watch?v=AB0KeX_0T2I" TargetMode="External"/><Relationship Id="rId1133" Type="http://schemas.openxmlformats.org/officeDocument/2006/relationships/hyperlink" Target="https://www.youtube.com/watch?v=aEAK6N982oQ" TargetMode="External"/><Relationship Id="rId77" Type="http://schemas.openxmlformats.org/officeDocument/2006/relationships/hyperlink" Target="https://www.youtube.com/watch?v=iS7CE9mrtI4" TargetMode="External"/><Relationship Id="rId282" Type="http://schemas.openxmlformats.org/officeDocument/2006/relationships/hyperlink" Target="https://www.youtube.com/watch?v=OBViSvvLu-s" TargetMode="External"/><Relationship Id="rId503" Type="http://schemas.openxmlformats.org/officeDocument/2006/relationships/hyperlink" Target="https://www.youtube.com/watch?v=JNg9hu1QURw" TargetMode="External"/><Relationship Id="rId587" Type="http://schemas.openxmlformats.org/officeDocument/2006/relationships/hyperlink" Target="https://www.youtube.com/watch?v=yZ08CJsgurU" TargetMode="External"/><Relationship Id="rId710" Type="http://schemas.openxmlformats.org/officeDocument/2006/relationships/hyperlink" Target="https://www.youtube.com/watch?v=hPD7CW4JiSA" TargetMode="External"/><Relationship Id="rId808" Type="http://schemas.openxmlformats.org/officeDocument/2006/relationships/hyperlink" Target="https://www.youtube.com/watch?v=yCrftsxElf8" TargetMode="External"/><Relationship Id="rId1340" Type="http://schemas.openxmlformats.org/officeDocument/2006/relationships/hyperlink" Target="https://www.youtube.com/watch?v=kvEIBfEnwXM" TargetMode="External"/><Relationship Id="rId1438" Type="http://schemas.openxmlformats.org/officeDocument/2006/relationships/hyperlink" Target="https://www.youtube.com/watch?v=tPgOVeqnOcc" TargetMode="External"/><Relationship Id="rId8" Type="http://schemas.openxmlformats.org/officeDocument/2006/relationships/hyperlink" Target="https://www.youtube.com/watch?v=FytdS2vMJfU" TargetMode="External"/><Relationship Id="rId142" Type="http://schemas.openxmlformats.org/officeDocument/2006/relationships/hyperlink" Target="https://www.youtube.com/watch?v=OpsoPcAUMbw" TargetMode="External"/><Relationship Id="rId447" Type="http://schemas.openxmlformats.org/officeDocument/2006/relationships/hyperlink" Target="https://www.youtube.com/watch?v=myyrtrylWQs" TargetMode="External"/><Relationship Id="rId794" Type="http://schemas.openxmlformats.org/officeDocument/2006/relationships/hyperlink" Target="https://www.youtube.com/watch?v=BNly0XIZX6c" TargetMode="External"/><Relationship Id="rId1077" Type="http://schemas.openxmlformats.org/officeDocument/2006/relationships/hyperlink" Target="https://www.youtube.com/watch?v=a30EnICYBUA" TargetMode="External"/><Relationship Id="rId1200" Type="http://schemas.openxmlformats.org/officeDocument/2006/relationships/hyperlink" Target="https://www.youtube.com/watch?v=j53ZVDx4pYc" TargetMode="External"/><Relationship Id="rId654" Type="http://schemas.openxmlformats.org/officeDocument/2006/relationships/hyperlink" Target="https://www.youtube.com/watch?v=p4NkqPPh2fk" TargetMode="External"/><Relationship Id="rId861" Type="http://schemas.openxmlformats.org/officeDocument/2006/relationships/hyperlink" Target="https://www.youtube.com/watch?v=S2ePhtW_O5A" TargetMode="External"/><Relationship Id="rId959" Type="http://schemas.openxmlformats.org/officeDocument/2006/relationships/hyperlink" Target="https://www.youtube.com/watch?v=Xsq9jAEpAY8" TargetMode="External"/><Relationship Id="rId1284" Type="http://schemas.openxmlformats.org/officeDocument/2006/relationships/hyperlink" Target="https://www.youtube.com/watch?v=69M5XJQEYX4" TargetMode="External"/><Relationship Id="rId1491" Type="http://schemas.openxmlformats.org/officeDocument/2006/relationships/hyperlink" Target="https://www.youtube.com/watch?v=wfQX8QWcWgI" TargetMode="External"/><Relationship Id="rId1505" Type="http://schemas.openxmlformats.org/officeDocument/2006/relationships/hyperlink" Target="https://www.youtube.com/watch?v=ahKeSqFT0Nk" TargetMode="External"/><Relationship Id="rId293" Type="http://schemas.openxmlformats.org/officeDocument/2006/relationships/hyperlink" Target="https://www.youtube.com/watch?v=cKIAV15AZcI" TargetMode="External"/><Relationship Id="rId307" Type="http://schemas.openxmlformats.org/officeDocument/2006/relationships/hyperlink" Target="https://www.youtube.com/watch?v=R7mzbp-9vbk" TargetMode="External"/><Relationship Id="rId514" Type="http://schemas.openxmlformats.org/officeDocument/2006/relationships/hyperlink" Target="https://www.youtube.com/watch?v=_xIbCmTtK8s" TargetMode="External"/><Relationship Id="rId721" Type="http://schemas.openxmlformats.org/officeDocument/2006/relationships/hyperlink" Target="https://www.youtube.com/watch?v=QT3p6iGNrkU" TargetMode="External"/><Relationship Id="rId1144" Type="http://schemas.openxmlformats.org/officeDocument/2006/relationships/hyperlink" Target="https://www.youtube.com/watch?v=bGDeGR7DrFw" TargetMode="External"/><Relationship Id="rId1351" Type="http://schemas.openxmlformats.org/officeDocument/2006/relationships/hyperlink" Target="https://www.youtube.com/watch?v=bD-uUsBgY-w" TargetMode="External"/><Relationship Id="rId1449" Type="http://schemas.openxmlformats.org/officeDocument/2006/relationships/hyperlink" Target="https://www.youtube.com/watch?v=OmWUkxANoEk" TargetMode="External"/><Relationship Id="rId88" Type="http://schemas.openxmlformats.org/officeDocument/2006/relationships/hyperlink" Target="https://www.youtube.com/watch?v=rNhQIKC2jPM" TargetMode="External"/><Relationship Id="rId153" Type="http://schemas.openxmlformats.org/officeDocument/2006/relationships/hyperlink" Target="https://www.youtube.com/watch?v=FNqQxPkLmPI" TargetMode="External"/><Relationship Id="rId360" Type="http://schemas.openxmlformats.org/officeDocument/2006/relationships/hyperlink" Target="https://www.youtube.com/watch?v=nCmJgIvSqfU" TargetMode="External"/><Relationship Id="rId598" Type="http://schemas.openxmlformats.org/officeDocument/2006/relationships/hyperlink" Target="https://www.youtube.com/watch?v=fyMRRD_YeRI" TargetMode="External"/><Relationship Id="rId819" Type="http://schemas.openxmlformats.org/officeDocument/2006/relationships/hyperlink" Target="https://www.youtube.com/watch?v=OAcu0ZHtcXc" TargetMode="External"/><Relationship Id="rId1004" Type="http://schemas.openxmlformats.org/officeDocument/2006/relationships/hyperlink" Target="https://www.youtube.com/watch?v=a6bj2Qddmzk" TargetMode="External"/><Relationship Id="rId1211" Type="http://schemas.openxmlformats.org/officeDocument/2006/relationships/hyperlink" Target="https://www.youtube.com/watch?v=DrTFGS7SoCg" TargetMode="External"/><Relationship Id="rId220" Type="http://schemas.openxmlformats.org/officeDocument/2006/relationships/hyperlink" Target="https://www.youtube.com/watch?v=CtiARMXwI0Q" TargetMode="External"/><Relationship Id="rId458" Type="http://schemas.openxmlformats.org/officeDocument/2006/relationships/hyperlink" Target="https://www.youtube.com/watch?v=oYXPvuD_ejM" TargetMode="External"/><Relationship Id="rId665" Type="http://schemas.openxmlformats.org/officeDocument/2006/relationships/hyperlink" Target="https://www.youtube.com/watch?v=afXofZLlzB4" TargetMode="External"/><Relationship Id="rId872" Type="http://schemas.openxmlformats.org/officeDocument/2006/relationships/hyperlink" Target="https://www.youtube.com/watch?v=7gTT37SeSUc" TargetMode="External"/><Relationship Id="rId1088" Type="http://schemas.openxmlformats.org/officeDocument/2006/relationships/hyperlink" Target="https://www.youtube.com/watch?v=3dgPn1KOovw" TargetMode="External"/><Relationship Id="rId1295" Type="http://schemas.openxmlformats.org/officeDocument/2006/relationships/hyperlink" Target="https://www.youtube.com/watch?v=F2WG7neA31s" TargetMode="External"/><Relationship Id="rId1309" Type="http://schemas.openxmlformats.org/officeDocument/2006/relationships/hyperlink" Target="https://www.youtube.com/watch?v=N6IDjOR1OY0" TargetMode="External"/><Relationship Id="rId1516" Type="http://schemas.openxmlformats.org/officeDocument/2006/relationships/vmlDrawing" Target="../drawings/vmlDrawing1.vml"/><Relationship Id="rId15" Type="http://schemas.openxmlformats.org/officeDocument/2006/relationships/hyperlink" Target="https://www.youtube.com/watch?v=mjFek0gF97s" TargetMode="External"/><Relationship Id="rId318" Type="http://schemas.openxmlformats.org/officeDocument/2006/relationships/hyperlink" Target="https://www.youtube.com/watch?v=2uOiM67vK6A" TargetMode="External"/><Relationship Id="rId525" Type="http://schemas.openxmlformats.org/officeDocument/2006/relationships/hyperlink" Target="https://www.youtube.com/watch?v=ziCW-l-SXRM" TargetMode="External"/><Relationship Id="rId732" Type="http://schemas.openxmlformats.org/officeDocument/2006/relationships/hyperlink" Target="https://www.youtube.com/watch?v=w2e5eqI49cE" TargetMode="External"/><Relationship Id="rId1155" Type="http://schemas.openxmlformats.org/officeDocument/2006/relationships/hyperlink" Target="https://www.youtube.com/watch?v=wEalKzas5Ig" TargetMode="External"/><Relationship Id="rId1362" Type="http://schemas.openxmlformats.org/officeDocument/2006/relationships/hyperlink" Target="https://www.youtube.com/watch?v=_CKZQa18hcY" TargetMode="External"/><Relationship Id="rId99" Type="http://schemas.openxmlformats.org/officeDocument/2006/relationships/hyperlink" Target="https://www.youtube.com/watch?v=8qjQH_-WzyE" TargetMode="External"/><Relationship Id="rId164" Type="http://schemas.openxmlformats.org/officeDocument/2006/relationships/hyperlink" Target="https://www.youtube.com/watch?v=knJJGEYwaZw" TargetMode="External"/><Relationship Id="rId371" Type="http://schemas.openxmlformats.org/officeDocument/2006/relationships/hyperlink" Target="https://www.youtube.com/watch?v=oeFU8Lk35BI" TargetMode="External"/><Relationship Id="rId1015" Type="http://schemas.openxmlformats.org/officeDocument/2006/relationships/hyperlink" Target="https://www.youtube.com/watch?v=ll-fhgVbj1I" TargetMode="External"/><Relationship Id="rId1222" Type="http://schemas.openxmlformats.org/officeDocument/2006/relationships/hyperlink" Target="https://www.youtube.com/watch?v=RfiT3REVHxQ" TargetMode="External"/><Relationship Id="rId469" Type="http://schemas.openxmlformats.org/officeDocument/2006/relationships/hyperlink" Target="https://www.youtube.com/watch?v=KBA7GLExw3o" TargetMode="External"/><Relationship Id="rId676" Type="http://schemas.openxmlformats.org/officeDocument/2006/relationships/hyperlink" Target="https://www.youtube.com/watch?v=55sjF1l4Hu0" TargetMode="External"/><Relationship Id="rId883" Type="http://schemas.openxmlformats.org/officeDocument/2006/relationships/hyperlink" Target="https://www.youtube.com/watch?v=glBt8I5y1b8" TargetMode="External"/><Relationship Id="rId1099" Type="http://schemas.openxmlformats.org/officeDocument/2006/relationships/hyperlink" Target="https://www.youtube.com/watch?v=N1wkN3CKqHY" TargetMode="External"/><Relationship Id="rId26" Type="http://schemas.openxmlformats.org/officeDocument/2006/relationships/hyperlink" Target="https://www.youtube.com/watch?v=KVDRl_wLqdM" TargetMode="External"/><Relationship Id="rId231" Type="http://schemas.openxmlformats.org/officeDocument/2006/relationships/hyperlink" Target="https://www.youtube.com/watch?v=vnw9dW2QgYk" TargetMode="External"/><Relationship Id="rId329" Type="http://schemas.openxmlformats.org/officeDocument/2006/relationships/hyperlink" Target="https://www.youtube.com/watch?v=Um1LJAfSPoo" TargetMode="External"/><Relationship Id="rId536" Type="http://schemas.openxmlformats.org/officeDocument/2006/relationships/hyperlink" Target="https://www.youtube.com/watch?v=R_G2Gd70LiY" TargetMode="External"/><Relationship Id="rId1166" Type="http://schemas.openxmlformats.org/officeDocument/2006/relationships/hyperlink" Target="https://www.youtube.com/watch?v=nUfn2eRsHgo" TargetMode="External"/><Relationship Id="rId1373" Type="http://schemas.openxmlformats.org/officeDocument/2006/relationships/hyperlink" Target="https://www.youtube.com/watch?v=Fb11XAvWeyE" TargetMode="External"/><Relationship Id="rId175" Type="http://schemas.openxmlformats.org/officeDocument/2006/relationships/hyperlink" Target="https://www.youtube.com/watch?v=lXmhJr1LDyI" TargetMode="External"/><Relationship Id="rId743" Type="http://schemas.openxmlformats.org/officeDocument/2006/relationships/hyperlink" Target="https://www.youtube.com/watch?v=kKbQvD24QPY" TargetMode="External"/><Relationship Id="rId950" Type="http://schemas.openxmlformats.org/officeDocument/2006/relationships/hyperlink" Target="https://www.youtube.com/watch?v=VDqAX3plBww" TargetMode="External"/><Relationship Id="rId1026" Type="http://schemas.openxmlformats.org/officeDocument/2006/relationships/hyperlink" Target="https://www.youtube.com/watch?v=gPdm-EF13GU" TargetMode="External"/><Relationship Id="rId382" Type="http://schemas.openxmlformats.org/officeDocument/2006/relationships/hyperlink" Target="https://www.youtube.com/watch?v=pAHRrR6eeDU" TargetMode="External"/><Relationship Id="rId603" Type="http://schemas.openxmlformats.org/officeDocument/2006/relationships/hyperlink" Target="https://www.youtube.com/watch?v=tNKCTknE59M" TargetMode="External"/><Relationship Id="rId687" Type="http://schemas.openxmlformats.org/officeDocument/2006/relationships/hyperlink" Target="https://www.youtube.com/watch?v=Uk3mD3cAFXg" TargetMode="External"/><Relationship Id="rId810" Type="http://schemas.openxmlformats.org/officeDocument/2006/relationships/hyperlink" Target="https://www.youtube.com/watch?v=c0qRokhkADI" TargetMode="External"/><Relationship Id="rId908" Type="http://schemas.openxmlformats.org/officeDocument/2006/relationships/hyperlink" Target="https://www.youtube.com/watch?v=tpUBWJjtzrA" TargetMode="External"/><Relationship Id="rId1233" Type="http://schemas.openxmlformats.org/officeDocument/2006/relationships/hyperlink" Target="https://www.youtube.com/watch?v=SNAHZpRl3go" TargetMode="External"/><Relationship Id="rId1440" Type="http://schemas.openxmlformats.org/officeDocument/2006/relationships/hyperlink" Target="https://www.youtube.com/watch?v=sEg8fP2ckhI" TargetMode="External"/><Relationship Id="rId242" Type="http://schemas.openxmlformats.org/officeDocument/2006/relationships/hyperlink" Target="https://www.youtube.com/watch?v=vSLKEwGRgbY" TargetMode="External"/><Relationship Id="rId894" Type="http://schemas.openxmlformats.org/officeDocument/2006/relationships/hyperlink" Target="https://www.youtube.com/watch?v=xuKnWRKpLyM" TargetMode="External"/><Relationship Id="rId1177" Type="http://schemas.openxmlformats.org/officeDocument/2006/relationships/hyperlink" Target="https://www.youtube.com/watch?v=9qgkONu6nbk" TargetMode="External"/><Relationship Id="rId1300" Type="http://schemas.openxmlformats.org/officeDocument/2006/relationships/hyperlink" Target="https://www.youtube.com/watch?v=mcxquOK_mY8" TargetMode="External"/><Relationship Id="rId37" Type="http://schemas.openxmlformats.org/officeDocument/2006/relationships/hyperlink" Target="https://www.youtube.com/watch?v=Wpkt3HpzBTs" TargetMode="External"/><Relationship Id="rId102" Type="http://schemas.openxmlformats.org/officeDocument/2006/relationships/hyperlink" Target="https://www.youtube.com/watch?v=vHWsmGyjOk0" TargetMode="External"/><Relationship Id="rId547" Type="http://schemas.openxmlformats.org/officeDocument/2006/relationships/hyperlink" Target="https://www.youtube.com/watch?v=m9xF54UZFuY" TargetMode="External"/><Relationship Id="rId754" Type="http://schemas.openxmlformats.org/officeDocument/2006/relationships/hyperlink" Target="https://www.youtube.com/watch?v=AjEKOFHh4yM" TargetMode="External"/><Relationship Id="rId961" Type="http://schemas.openxmlformats.org/officeDocument/2006/relationships/hyperlink" Target="https://www.youtube.com/watch?v=-HWLO-7d98U" TargetMode="External"/><Relationship Id="rId1384" Type="http://schemas.openxmlformats.org/officeDocument/2006/relationships/hyperlink" Target="https://www.youtube.com/watch?v=gtJ9OzJIB_c" TargetMode="External"/><Relationship Id="rId90" Type="http://schemas.openxmlformats.org/officeDocument/2006/relationships/hyperlink" Target="https://www.youtube.com/watch?v=FndfcBhZklU" TargetMode="External"/><Relationship Id="rId186" Type="http://schemas.openxmlformats.org/officeDocument/2006/relationships/hyperlink" Target="https://www.youtube.com/watch?v=0uPW7Jf9y7o" TargetMode="External"/><Relationship Id="rId393" Type="http://schemas.openxmlformats.org/officeDocument/2006/relationships/hyperlink" Target="https://www.youtube.com/watch?v=wm8QHjKcDf8" TargetMode="External"/><Relationship Id="rId407" Type="http://schemas.openxmlformats.org/officeDocument/2006/relationships/hyperlink" Target="https://www.youtube.com/watch?v=182HueOxCaU" TargetMode="External"/><Relationship Id="rId614" Type="http://schemas.openxmlformats.org/officeDocument/2006/relationships/hyperlink" Target="https://www.youtube.com/watch?v=T-iBVjoTxpY" TargetMode="External"/><Relationship Id="rId821" Type="http://schemas.openxmlformats.org/officeDocument/2006/relationships/hyperlink" Target="https://www.youtube.com/watch?v=F4X3ljkLFP8" TargetMode="External"/><Relationship Id="rId1037" Type="http://schemas.openxmlformats.org/officeDocument/2006/relationships/hyperlink" Target="https://www.youtube.com/watch?v=EfHkupTL5wU" TargetMode="External"/><Relationship Id="rId1244" Type="http://schemas.openxmlformats.org/officeDocument/2006/relationships/hyperlink" Target="https://www.youtube.com/watch?v=-pTe3fDFF7U" TargetMode="External"/><Relationship Id="rId1451" Type="http://schemas.openxmlformats.org/officeDocument/2006/relationships/hyperlink" Target="https://www.youtube.com/watch?v=5IYA6g6rNW0" TargetMode="External"/><Relationship Id="rId253" Type="http://schemas.openxmlformats.org/officeDocument/2006/relationships/hyperlink" Target="https://www.youtube.com/watch?v=08Xwx9vsy6w" TargetMode="External"/><Relationship Id="rId460" Type="http://schemas.openxmlformats.org/officeDocument/2006/relationships/hyperlink" Target="https://www.youtube.com/watch?v=Cs9JbmZ0poM" TargetMode="External"/><Relationship Id="rId698" Type="http://schemas.openxmlformats.org/officeDocument/2006/relationships/hyperlink" Target="https://www.youtube.com/watch?v=fKsfq4rFzbA" TargetMode="External"/><Relationship Id="rId919" Type="http://schemas.openxmlformats.org/officeDocument/2006/relationships/hyperlink" Target="https://www.youtube.com/watch?v=KdiEMEbTV1M" TargetMode="External"/><Relationship Id="rId1090" Type="http://schemas.openxmlformats.org/officeDocument/2006/relationships/hyperlink" Target="https://www.youtube.com/watch?v=Aivw6qVhabo" TargetMode="External"/><Relationship Id="rId1104" Type="http://schemas.openxmlformats.org/officeDocument/2006/relationships/hyperlink" Target="https://www.youtube.com/watch?v=eVhJjqlSE8s" TargetMode="External"/><Relationship Id="rId1311" Type="http://schemas.openxmlformats.org/officeDocument/2006/relationships/hyperlink" Target="https://www.youtube.com/watch?v=mScbp58xwJE" TargetMode="External"/><Relationship Id="rId48" Type="http://schemas.openxmlformats.org/officeDocument/2006/relationships/hyperlink" Target="https://www.youtube.com/watch?v=LdrmgXtd_rs" TargetMode="External"/><Relationship Id="rId113" Type="http://schemas.openxmlformats.org/officeDocument/2006/relationships/hyperlink" Target="https://www.youtube.com/watch?v=TGgYE0Ui0co" TargetMode="External"/><Relationship Id="rId320" Type="http://schemas.openxmlformats.org/officeDocument/2006/relationships/hyperlink" Target="https://www.youtube.com/watch?v=Y1SUVA0PU1o" TargetMode="External"/><Relationship Id="rId558" Type="http://schemas.openxmlformats.org/officeDocument/2006/relationships/hyperlink" Target="https://www.youtube.com/watch?v=FKg_FjS3qZw" TargetMode="External"/><Relationship Id="rId765" Type="http://schemas.openxmlformats.org/officeDocument/2006/relationships/hyperlink" Target="https://www.youtube.com/watch?v=4fTC0cZiBus" TargetMode="External"/><Relationship Id="rId972" Type="http://schemas.openxmlformats.org/officeDocument/2006/relationships/hyperlink" Target="https://www.youtube.com/watch?v=G2ke7Higm-Y" TargetMode="External"/><Relationship Id="rId1188" Type="http://schemas.openxmlformats.org/officeDocument/2006/relationships/hyperlink" Target="https://www.youtube.com/watch?v=SmB_GUlrfzk" TargetMode="External"/><Relationship Id="rId1395" Type="http://schemas.openxmlformats.org/officeDocument/2006/relationships/hyperlink" Target="https://www.youtube.com/watch?v=vmOlaD1O5rg" TargetMode="External"/><Relationship Id="rId1409" Type="http://schemas.openxmlformats.org/officeDocument/2006/relationships/hyperlink" Target="https://www.youtube.com/watch?v=Zused4CGMw4" TargetMode="External"/><Relationship Id="rId197" Type="http://schemas.openxmlformats.org/officeDocument/2006/relationships/hyperlink" Target="https://www.youtube.com/watch?v=91dtNzk71IA" TargetMode="External"/><Relationship Id="rId418" Type="http://schemas.openxmlformats.org/officeDocument/2006/relationships/hyperlink" Target="https://www.youtube.com/watch?v=y-v-Ijc7W3Y" TargetMode="External"/><Relationship Id="rId625" Type="http://schemas.openxmlformats.org/officeDocument/2006/relationships/hyperlink" Target="https://www.youtube.com/watch?v=kpktr2ml8m8" TargetMode="External"/><Relationship Id="rId832" Type="http://schemas.openxmlformats.org/officeDocument/2006/relationships/hyperlink" Target="https://www.youtube.com/watch?v=o4_iAmYXDzg" TargetMode="External"/><Relationship Id="rId1048" Type="http://schemas.openxmlformats.org/officeDocument/2006/relationships/hyperlink" Target="https://www.youtube.com/watch?v=GCo89ggyUKw" TargetMode="External"/><Relationship Id="rId1255" Type="http://schemas.openxmlformats.org/officeDocument/2006/relationships/hyperlink" Target="https://www.youtube.com/watch?v=lnII4AH2rHw" TargetMode="External"/><Relationship Id="rId1462" Type="http://schemas.openxmlformats.org/officeDocument/2006/relationships/hyperlink" Target="https://www.youtube.com/watch?v=3Pat7agSMJU&amp;t=22s" TargetMode="External"/><Relationship Id="rId264" Type="http://schemas.openxmlformats.org/officeDocument/2006/relationships/hyperlink" Target="https://www.youtube.com/watch?v=3f7b_ZE5B1Y" TargetMode="External"/><Relationship Id="rId471" Type="http://schemas.openxmlformats.org/officeDocument/2006/relationships/hyperlink" Target="https://www.youtube.com/watch?v=DoYL7K2djDY" TargetMode="External"/><Relationship Id="rId1115" Type="http://schemas.openxmlformats.org/officeDocument/2006/relationships/hyperlink" Target="https://www.youtube.com/watch?v=n0Ekb7yhf18" TargetMode="External"/><Relationship Id="rId1322" Type="http://schemas.openxmlformats.org/officeDocument/2006/relationships/hyperlink" Target="https://www.youtube.com/watch?v=strZVEaixcs" TargetMode="External"/><Relationship Id="rId59" Type="http://schemas.openxmlformats.org/officeDocument/2006/relationships/hyperlink" Target="https://www.youtube.com/watch?v=dp7l5qmLHJI" TargetMode="External"/><Relationship Id="rId124" Type="http://schemas.openxmlformats.org/officeDocument/2006/relationships/hyperlink" Target="https://www.youtube.com/watch?v=s3LVHHEe2vc" TargetMode="External"/><Relationship Id="rId569" Type="http://schemas.openxmlformats.org/officeDocument/2006/relationships/hyperlink" Target="https://www.youtube.com/watch?v=JbxzX8kwig4" TargetMode="External"/><Relationship Id="rId776" Type="http://schemas.openxmlformats.org/officeDocument/2006/relationships/hyperlink" Target="https://www.youtube.com/watch?v=hFK3wIxZt3g" TargetMode="External"/><Relationship Id="rId983" Type="http://schemas.openxmlformats.org/officeDocument/2006/relationships/hyperlink" Target="https://www.youtube.com/watch?v=9fu_xDvkBMk" TargetMode="External"/><Relationship Id="rId1199" Type="http://schemas.openxmlformats.org/officeDocument/2006/relationships/hyperlink" Target="https://www.youtube.com/watch?v=j53ZVDx4pYc" TargetMode="External"/><Relationship Id="rId331" Type="http://schemas.openxmlformats.org/officeDocument/2006/relationships/hyperlink" Target="https://www.youtube.com/watch?v=itgdRwuvtN0" TargetMode="External"/><Relationship Id="rId429" Type="http://schemas.openxmlformats.org/officeDocument/2006/relationships/hyperlink" Target="https://www.youtube.com/watch?v=gKt4SG-pAmw" TargetMode="External"/><Relationship Id="rId636" Type="http://schemas.openxmlformats.org/officeDocument/2006/relationships/hyperlink" Target="https://www.youtube.com/watch?v=olQlPZuEWLY" TargetMode="External"/><Relationship Id="rId1059" Type="http://schemas.openxmlformats.org/officeDocument/2006/relationships/hyperlink" Target="https://www.youtube.com/watch?v=_nyKGkDh6WM" TargetMode="External"/><Relationship Id="rId1266" Type="http://schemas.openxmlformats.org/officeDocument/2006/relationships/hyperlink" Target="https://www.youtube.com/watch?v=6KN0GnYv6xQ" TargetMode="External"/><Relationship Id="rId1473" Type="http://schemas.openxmlformats.org/officeDocument/2006/relationships/hyperlink" Target="https://www.youtube.com/watch?v=qIQN0DtO2Z8" TargetMode="External"/><Relationship Id="rId843" Type="http://schemas.openxmlformats.org/officeDocument/2006/relationships/hyperlink" Target="https://www.youtube.com/watch?v=mK5DuxKw-I8" TargetMode="External"/><Relationship Id="rId1126" Type="http://schemas.openxmlformats.org/officeDocument/2006/relationships/hyperlink" Target="https://www.youtube.com/watch?v=4VaCcFKHkSY" TargetMode="External"/><Relationship Id="rId275" Type="http://schemas.openxmlformats.org/officeDocument/2006/relationships/hyperlink" Target="https://www.youtube.com/watch?v=agP31XI_FxA" TargetMode="External"/><Relationship Id="rId482" Type="http://schemas.openxmlformats.org/officeDocument/2006/relationships/hyperlink" Target="https://www.youtube.com/watch?v=bEc29vVNLOc" TargetMode="External"/><Relationship Id="rId703" Type="http://schemas.openxmlformats.org/officeDocument/2006/relationships/hyperlink" Target="https://www.youtube.com/watch?v=8xbYHg11ROo" TargetMode="External"/><Relationship Id="rId910" Type="http://schemas.openxmlformats.org/officeDocument/2006/relationships/hyperlink" Target="https://www.youtube.com/watch?v=Cuelsn9VyZQ" TargetMode="External"/><Relationship Id="rId1333" Type="http://schemas.openxmlformats.org/officeDocument/2006/relationships/hyperlink" Target="https://www.youtube.com/watch?v=XfaMChybaCc" TargetMode="External"/><Relationship Id="rId135" Type="http://schemas.openxmlformats.org/officeDocument/2006/relationships/hyperlink" Target="https://www.youtube.com/watch?v=IAmXafhUmYc" TargetMode="External"/><Relationship Id="rId342" Type="http://schemas.openxmlformats.org/officeDocument/2006/relationships/hyperlink" Target="https://www.youtube.com/watch?v=2Ew9deAuPwU" TargetMode="External"/><Relationship Id="rId787" Type="http://schemas.openxmlformats.org/officeDocument/2006/relationships/hyperlink" Target="https://www.youtube.com/watch?v=dlfE6JbvIYI" TargetMode="External"/><Relationship Id="rId994" Type="http://schemas.openxmlformats.org/officeDocument/2006/relationships/hyperlink" Target="https://www.youtube.com/watch?v=4xWwhXcAjhU" TargetMode="External"/><Relationship Id="rId1400" Type="http://schemas.openxmlformats.org/officeDocument/2006/relationships/hyperlink" Target="https://www.youtube.com/watch?v=SNpVBfgzPmo" TargetMode="External"/><Relationship Id="rId202" Type="http://schemas.openxmlformats.org/officeDocument/2006/relationships/hyperlink" Target="https://www.youtube.com/watch?v=nmbYnYYpa6g" TargetMode="External"/><Relationship Id="rId647" Type="http://schemas.openxmlformats.org/officeDocument/2006/relationships/hyperlink" Target="https://www.youtube.com/watch?v=jQ47l4DT1BY" TargetMode="External"/><Relationship Id="rId854" Type="http://schemas.openxmlformats.org/officeDocument/2006/relationships/hyperlink" Target="https://www.youtube.com/watch?v=wXoImJcJYxQ" TargetMode="External"/><Relationship Id="rId1277" Type="http://schemas.openxmlformats.org/officeDocument/2006/relationships/hyperlink" Target="https://www.youtube.com/watch?v=Iz3TO-dXkSI" TargetMode="External"/><Relationship Id="rId1484" Type="http://schemas.openxmlformats.org/officeDocument/2006/relationships/hyperlink" Target="https://www.youtube.com/watch?v=SPD35eCSgDk" TargetMode="External"/><Relationship Id="rId286" Type="http://schemas.openxmlformats.org/officeDocument/2006/relationships/hyperlink" Target="https://www.youtube.com/watch?v=vdwHHPZwNEo" TargetMode="External"/><Relationship Id="rId493" Type="http://schemas.openxmlformats.org/officeDocument/2006/relationships/hyperlink" Target="https://www.youtube.com/watch?v=jaw4U_s24zo" TargetMode="External"/><Relationship Id="rId507" Type="http://schemas.openxmlformats.org/officeDocument/2006/relationships/hyperlink" Target="https://www.youtube.com/watch?v=xjZO-uNelDI" TargetMode="External"/><Relationship Id="rId714" Type="http://schemas.openxmlformats.org/officeDocument/2006/relationships/hyperlink" Target="https://www.youtube.com/watch?v=dlQfycnk550" TargetMode="External"/><Relationship Id="rId921" Type="http://schemas.openxmlformats.org/officeDocument/2006/relationships/hyperlink" Target="https://www.youtube.com/watch?v=9Zummy0j6Ws" TargetMode="External"/><Relationship Id="rId1137" Type="http://schemas.openxmlformats.org/officeDocument/2006/relationships/hyperlink" Target="https://www.youtube.com/watch?v=i24adZlRCZk" TargetMode="External"/><Relationship Id="rId1344" Type="http://schemas.openxmlformats.org/officeDocument/2006/relationships/hyperlink" Target="https://www.youtube.com/watch?v=vB9JqlUiYUk" TargetMode="External"/><Relationship Id="rId50" Type="http://schemas.openxmlformats.org/officeDocument/2006/relationships/hyperlink" Target="https://www.youtube.com/watch?v=gbWoqwJKhbM" TargetMode="External"/><Relationship Id="rId146" Type="http://schemas.openxmlformats.org/officeDocument/2006/relationships/hyperlink" Target="https://www.youtube.com/watch?v=4yz6ZL-TC94" TargetMode="External"/><Relationship Id="rId353" Type="http://schemas.openxmlformats.org/officeDocument/2006/relationships/hyperlink" Target="https://www.youtube.com/watch?v=17Jnr2hr0ro" TargetMode="External"/><Relationship Id="rId560" Type="http://schemas.openxmlformats.org/officeDocument/2006/relationships/hyperlink" Target="https://www.youtube.com/watch?v=EHQ6eLHDs78" TargetMode="External"/><Relationship Id="rId798" Type="http://schemas.openxmlformats.org/officeDocument/2006/relationships/hyperlink" Target="https://www.youtube.com/watch?v=w1UAQGgnz4A" TargetMode="External"/><Relationship Id="rId1190" Type="http://schemas.openxmlformats.org/officeDocument/2006/relationships/hyperlink" Target="https://www.youtube.com/watch?v=YtD-Ro9OJRQ" TargetMode="External"/><Relationship Id="rId1204" Type="http://schemas.openxmlformats.org/officeDocument/2006/relationships/hyperlink" Target="https://www.youtube.com/watch?v=84agoVdaycE" TargetMode="External"/><Relationship Id="rId1411" Type="http://schemas.openxmlformats.org/officeDocument/2006/relationships/hyperlink" Target="https://www.youtube.com/watch?v=KCUZ6hBgxc0" TargetMode="External"/><Relationship Id="rId213" Type="http://schemas.openxmlformats.org/officeDocument/2006/relationships/hyperlink" Target="https://www.youtube.com/watch?v=Vf5BOYF0S3Y" TargetMode="External"/><Relationship Id="rId420" Type="http://schemas.openxmlformats.org/officeDocument/2006/relationships/hyperlink" Target="https://www.youtube.com/watch?v=zVH1ZOi2_yk" TargetMode="External"/><Relationship Id="rId658" Type="http://schemas.openxmlformats.org/officeDocument/2006/relationships/hyperlink" Target="https://www.youtube.com/watch?v=GpEk4HU0r2Y" TargetMode="External"/><Relationship Id="rId865" Type="http://schemas.openxmlformats.org/officeDocument/2006/relationships/hyperlink" Target="https://www.youtube.com/watch?v=tRgTeYpgv8c" TargetMode="External"/><Relationship Id="rId1050" Type="http://schemas.openxmlformats.org/officeDocument/2006/relationships/hyperlink" Target="https://www.youtube.com/watch?v=vOOkxcKaZEo" TargetMode="External"/><Relationship Id="rId1288" Type="http://schemas.openxmlformats.org/officeDocument/2006/relationships/hyperlink" Target="https://www.youtube.com/watch?v=1Gop0_4D5pE" TargetMode="External"/><Relationship Id="rId1495" Type="http://schemas.openxmlformats.org/officeDocument/2006/relationships/hyperlink" Target="https://www.youtube.com/watch?v=Bx9ffGtMMxo" TargetMode="External"/><Relationship Id="rId1509" Type="http://schemas.openxmlformats.org/officeDocument/2006/relationships/hyperlink" Target="https://www.youtube.com/watch?v=9jjsiAFVdXc" TargetMode="External"/><Relationship Id="rId297" Type="http://schemas.openxmlformats.org/officeDocument/2006/relationships/hyperlink" Target="https://www.youtube.com/watch?v=T0iutxik1Eg" TargetMode="External"/><Relationship Id="rId518" Type="http://schemas.openxmlformats.org/officeDocument/2006/relationships/hyperlink" Target="https://www.youtube.com/watch?v=VwTbkm1NN4Y" TargetMode="External"/><Relationship Id="rId725" Type="http://schemas.openxmlformats.org/officeDocument/2006/relationships/hyperlink" Target="https://www.youtube.com/watch?v=Lg0JLlBHCgA" TargetMode="External"/><Relationship Id="rId932" Type="http://schemas.openxmlformats.org/officeDocument/2006/relationships/hyperlink" Target="https://www.youtube.com/watch?v=WfJvOgXp9SM" TargetMode="External"/><Relationship Id="rId1148" Type="http://schemas.openxmlformats.org/officeDocument/2006/relationships/hyperlink" Target="https://www.youtube.com/watch?v=Kfvmj7QyAfQ" TargetMode="External"/><Relationship Id="rId1355" Type="http://schemas.openxmlformats.org/officeDocument/2006/relationships/hyperlink" Target="https://www.youtube.com/watch?v=edQr4IJQuEg" TargetMode="External"/><Relationship Id="rId157" Type="http://schemas.openxmlformats.org/officeDocument/2006/relationships/hyperlink" Target="https://www.youtube.com/watch?v=uDANJcQm-So" TargetMode="External"/><Relationship Id="rId364" Type="http://schemas.openxmlformats.org/officeDocument/2006/relationships/hyperlink" Target="https://www.youtube.com/watch?v=r5r1yU9O2ag" TargetMode="External"/><Relationship Id="rId1008" Type="http://schemas.openxmlformats.org/officeDocument/2006/relationships/hyperlink" Target="https://www.youtube.com/watch?v=v2dy-2T9kRE" TargetMode="External"/><Relationship Id="rId1215" Type="http://schemas.openxmlformats.org/officeDocument/2006/relationships/hyperlink" Target="https://www.youtube.com/watch?v=1jVMegap8Ws" TargetMode="External"/><Relationship Id="rId1422" Type="http://schemas.openxmlformats.org/officeDocument/2006/relationships/hyperlink" Target="https://www.youtube.com/watch?v=wKoUB00RmE0" TargetMode="External"/><Relationship Id="rId61" Type="http://schemas.openxmlformats.org/officeDocument/2006/relationships/hyperlink" Target="https://www.youtube.com/watch?v=elqL0Sr_sVU" TargetMode="External"/><Relationship Id="rId571" Type="http://schemas.openxmlformats.org/officeDocument/2006/relationships/hyperlink" Target="https://www.youtube.com/watch?v=Uxcvh2BQu1g" TargetMode="External"/><Relationship Id="rId669" Type="http://schemas.openxmlformats.org/officeDocument/2006/relationships/hyperlink" Target="https://www.youtube.com/watch?v=zgOMSgegwGk" TargetMode="External"/><Relationship Id="rId876" Type="http://schemas.openxmlformats.org/officeDocument/2006/relationships/hyperlink" Target="https://www.youtube.com/watch?v=qYA9DVNkOCA" TargetMode="External"/><Relationship Id="rId1299" Type="http://schemas.openxmlformats.org/officeDocument/2006/relationships/hyperlink" Target="https://www.youtube.com/watch?v=mcxquOK_mY8" TargetMode="External"/><Relationship Id="rId19" Type="http://schemas.openxmlformats.org/officeDocument/2006/relationships/hyperlink" Target="https://www.youtube.com/watch?v=Kxuiy8OL30w" TargetMode="External"/><Relationship Id="rId224" Type="http://schemas.openxmlformats.org/officeDocument/2006/relationships/hyperlink" Target="https://www.youtube.com/watch?v=nQhpJFt2KG8" TargetMode="External"/><Relationship Id="rId431" Type="http://schemas.openxmlformats.org/officeDocument/2006/relationships/hyperlink" Target="https://www.youtube.com/watch?v=2p91-Fy5A6Q" TargetMode="External"/><Relationship Id="rId529" Type="http://schemas.openxmlformats.org/officeDocument/2006/relationships/hyperlink" Target="https://www.youtube.com/watch?v=hH3jbt-s4aY" TargetMode="External"/><Relationship Id="rId736" Type="http://schemas.openxmlformats.org/officeDocument/2006/relationships/hyperlink" Target="https://www.youtube.com/watch?v=yMRw4TF7CAk" TargetMode="External"/><Relationship Id="rId1061" Type="http://schemas.openxmlformats.org/officeDocument/2006/relationships/hyperlink" Target="https://www.youtube.com/watch?v=log0y9fRklc" TargetMode="External"/><Relationship Id="rId1159" Type="http://schemas.openxmlformats.org/officeDocument/2006/relationships/hyperlink" Target="https://www.youtube.com/watch?v=HmKETjjGv0E" TargetMode="External"/><Relationship Id="rId1366" Type="http://schemas.openxmlformats.org/officeDocument/2006/relationships/hyperlink" Target="https://www.youtube.com/watch?v=lkO1JaN7BoQ" TargetMode="External"/><Relationship Id="rId168" Type="http://schemas.openxmlformats.org/officeDocument/2006/relationships/hyperlink" Target="https://www.youtube.com/watch?v=TEUt7CVuFbI" TargetMode="External"/><Relationship Id="rId943" Type="http://schemas.openxmlformats.org/officeDocument/2006/relationships/hyperlink" Target="https://www.youtube.com/watch?v=gF2CbaL7t6g" TargetMode="External"/><Relationship Id="rId1019" Type="http://schemas.openxmlformats.org/officeDocument/2006/relationships/hyperlink" Target="https://www.youtube.com/watch?v=NMCXHN1fW9k" TargetMode="External"/><Relationship Id="rId72" Type="http://schemas.openxmlformats.org/officeDocument/2006/relationships/hyperlink" Target="https://www.youtube.com/watch?v=ycnvyB8pDEM" TargetMode="External"/><Relationship Id="rId375" Type="http://schemas.openxmlformats.org/officeDocument/2006/relationships/hyperlink" Target="https://www.youtube.com/watch?v=uNPifASaoFM" TargetMode="External"/><Relationship Id="rId582" Type="http://schemas.openxmlformats.org/officeDocument/2006/relationships/hyperlink" Target="https://www.youtube.com/watch?v=fzzIeVO7-qk" TargetMode="External"/><Relationship Id="rId803" Type="http://schemas.openxmlformats.org/officeDocument/2006/relationships/hyperlink" Target="https://www.youtube.com/watch?v=3zpg3MGhmyI" TargetMode="External"/><Relationship Id="rId1226" Type="http://schemas.openxmlformats.org/officeDocument/2006/relationships/hyperlink" Target="https://www.youtube.com/watch?v=9hi4MG3BU0Y" TargetMode="External"/><Relationship Id="rId1433" Type="http://schemas.openxmlformats.org/officeDocument/2006/relationships/hyperlink" Target="https://www.youtube.com/watch?v=Owv0FewW5Bo" TargetMode="External"/><Relationship Id="rId3" Type="http://schemas.openxmlformats.org/officeDocument/2006/relationships/hyperlink" Target="https://www.youtube.com/watch?v=jKuCWHsoXmQ" TargetMode="External"/><Relationship Id="rId235" Type="http://schemas.openxmlformats.org/officeDocument/2006/relationships/hyperlink" Target="https://www.youtube.com/watch?v=nbZhVwfCRMU" TargetMode="External"/><Relationship Id="rId442" Type="http://schemas.openxmlformats.org/officeDocument/2006/relationships/hyperlink" Target="https://www.youtube.com/watch?v=mLEhBqCBBYE" TargetMode="External"/><Relationship Id="rId887" Type="http://schemas.openxmlformats.org/officeDocument/2006/relationships/hyperlink" Target="https://www.youtube.com/watch?v=Kfqplhug-eA" TargetMode="External"/><Relationship Id="rId1072" Type="http://schemas.openxmlformats.org/officeDocument/2006/relationships/hyperlink" Target="https://www.youtube.com/watch?v=bMOOUhzJreA" TargetMode="External"/><Relationship Id="rId1500" Type="http://schemas.openxmlformats.org/officeDocument/2006/relationships/hyperlink" Target="https://www.youtube.com/watch?v=dHQ-HMVdPyE" TargetMode="External"/><Relationship Id="rId302" Type="http://schemas.openxmlformats.org/officeDocument/2006/relationships/hyperlink" Target="https://www.youtube.com/watch?v=HdBCunbR_jE" TargetMode="External"/><Relationship Id="rId747" Type="http://schemas.openxmlformats.org/officeDocument/2006/relationships/hyperlink" Target="https://www.youtube.com/watch?v=wzPkggokfLg" TargetMode="External"/><Relationship Id="rId954" Type="http://schemas.openxmlformats.org/officeDocument/2006/relationships/hyperlink" Target="https://www.youtube.com/watch?v=rAWCL2ENS90" TargetMode="External"/><Relationship Id="rId1377" Type="http://schemas.openxmlformats.org/officeDocument/2006/relationships/hyperlink" Target="https://www.youtube.com/watch?v=kcbL1wC9PEg" TargetMode="External"/><Relationship Id="rId83" Type="http://schemas.openxmlformats.org/officeDocument/2006/relationships/hyperlink" Target="https://www.youtube.com/watch?v=LXrKKz7Mld8" TargetMode="External"/><Relationship Id="rId179" Type="http://schemas.openxmlformats.org/officeDocument/2006/relationships/hyperlink" Target="https://www.youtube.com/watch?v=O0wEzvYOTJw" TargetMode="External"/><Relationship Id="rId386" Type="http://schemas.openxmlformats.org/officeDocument/2006/relationships/hyperlink" Target="https://www.youtube.com/watch?v=LI3VwCn-0WI" TargetMode="External"/><Relationship Id="rId593" Type="http://schemas.openxmlformats.org/officeDocument/2006/relationships/hyperlink" Target="https://www.youtube.com/watch?v=FrXBeS9Vj40" TargetMode="External"/><Relationship Id="rId607" Type="http://schemas.openxmlformats.org/officeDocument/2006/relationships/hyperlink" Target="https://www.youtube.com/watch?v=59-D2X_vmlA" TargetMode="External"/><Relationship Id="rId814" Type="http://schemas.openxmlformats.org/officeDocument/2006/relationships/hyperlink" Target="https://www.youtube.com/watch?v=P1Eurn7tEJM" TargetMode="External"/><Relationship Id="rId1237" Type="http://schemas.openxmlformats.org/officeDocument/2006/relationships/hyperlink" Target="https://www.youtube.com/watch?v=Vrv16kSoTLQ" TargetMode="External"/><Relationship Id="rId1444" Type="http://schemas.openxmlformats.org/officeDocument/2006/relationships/hyperlink" Target="https://www.youtube.com/watch?v=Ul-faWS75vA" TargetMode="External"/><Relationship Id="rId246" Type="http://schemas.openxmlformats.org/officeDocument/2006/relationships/hyperlink" Target="https://www.youtube.com/watch?v=qDcBHNXLxdc" TargetMode="External"/><Relationship Id="rId453" Type="http://schemas.openxmlformats.org/officeDocument/2006/relationships/hyperlink" Target="https://www.youtube.com/watch?v=7RTlRYpr7o8" TargetMode="External"/><Relationship Id="rId660" Type="http://schemas.openxmlformats.org/officeDocument/2006/relationships/hyperlink" Target="https://www.youtube.com/watch?v=322EiuTqg7w" TargetMode="External"/><Relationship Id="rId898" Type="http://schemas.openxmlformats.org/officeDocument/2006/relationships/hyperlink" Target="https://www.youtube.com/watch?v=xhcu0nbcfy0" TargetMode="External"/><Relationship Id="rId1083" Type="http://schemas.openxmlformats.org/officeDocument/2006/relationships/hyperlink" Target="https://www.youtube.com/watch?v=N20dY0-9Nio" TargetMode="External"/><Relationship Id="rId1290" Type="http://schemas.openxmlformats.org/officeDocument/2006/relationships/hyperlink" Target="https://www.youtube.com/watch?v=-pDxEjRprYM" TargetMode="External"/><Relationship Id="rId1304" Type="http://schemas.openxmlformats.org/officeDocument/2006/relationships/hyperlink" Target="https://www.youtube.com/watch?v=DVcN5QXGA_w" TargetMode="External"/><Relationship Id="rId1511" Type="http://schemas.openxmlformats.org/officeDocument/2006/relationships/hyperlink" Target="https://www.youtube.com/watch?v=9QSUsKZfoQA&amp;t=156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ByaheAphduQ" TargetMode="External"/><Relationship Id="rId671" Type="http://schemas.openxmlformats.org/officeDocument/2006/relationships/hyperlink" Target="https://www.youtube.com/watch?v=Xk3tQcQ1QcQ" TargetMode="External"/><Relationship Id="rId769" Type="http://schemas.openxmlformats.org/officeDocument/2006/relationships/hyperlink" Target="https://www.youtube.com/watch?v=Ly_KKukp01g" TargetMode="External"/><Relationship Id="rId976" Type="http://schemas.openxmlformats.org/officeDocument/2006/relationships/hyperlink" Target="https://www.youtube.com/watch?v=FQ3dpY5j5y8" TargetMode="External"/><Relationship Id="rId1399" Type="http://schemas.openxmlformats.org/officeDocument/2006/relationships/hyperlink" Target="https://www.youtube.com/watch?v=SNpVBfgzPmo" TargetMode="External"/><Relationship Id="rId21" Type="http://schemas.openxmlformats.org/officeDocument/2006/relationships/hyperlink" Target="https://www.youtube.com/watch?v=jMgGGixmfus" TargetMode="External"/><Relationship Id="rId324" Type="http://schemas.openxmlformats.org/officeDocument/2006/relationships/hyperlink" Target="https://www.youtube.com/watch?v=hgdVPIrlSPU" TargetMode="External"/><Relationship Id="rId531" Type="http://schemas.openxmlformats.org/officeDocument/2006/relationships/hyperlink" Target="https://www.youtube.com/watch?v=zyTsxv3NJzA" TargetMode="External"/><Relationship Id="rId629" Type="http://schemas.openxmlformats.org/officeDocument/2006/relationships/hyperlink" Target="https://www.youtube.com/watch?v=r2uhf3x6oH8" TargetMode="External"/><Relationship Id="rId1161" Type="http://schemas.openxmlformats.org/officeDocument/2006/relationships/hyperlink" Target="https://www.youtube.com/watch?v=vTz9mFEgYQU" TargetMode="External"/><Relationship Id="rId1259" Type="http://schemas.openxmlformats.org/officeDocument/2006/relationships/hyperlink" Target="https://www.youtube.com/watch?v=_zmgXM40afU" TargetMode="External"/><Relationship Id="rId1466" Type="http://schemas.openxmlformats.org/officeDocument/2006/relationships/hyperlink" Target="https://www.youtube.com/watch?v=h4ZgKKlmUl0&amp;t=481s" TargetMode="External"/><Relationship Id="rId170" Type="http://schemas.openxmlformats.org/officeDocument/2006/relationships/hyperlink" Target="https://www.youtube.com/watch?v=z1wT-GurohQ" TargetMode="External"/><Relationship Id="rId836" Type="http://schemas.openxmlformats.org/officeDocument/2006/relationships/hyperlink" Target="https://www.youtube.com/watch?v=5c75GXSIdlM" TargetMode="External"/><Relationship Id="rId1021" Type="http://schemas.openxmlformats.org/officeDocument/2006/relationships/hyperlink" Target="https://www.youtube.com/watch?v=NeCQOUox8zc" TargetMode="External"/><Relationship Id="rId1119" Type="http://schemas.openxmlformats.org/officeDocument/2006/relationships/hyperlink" Target="https://www.youtube.com/watch?v=fZLoHeGF4XI" TargetMode="External"/><Relationship Id="rId268" Type="http://schemas.openxmlformats.org/officeDocument/2006/relationships/hyperlink" Target="https://www.youtube.com/watch?v=hWBzG7eVqVg" TargetMode="External"/><Relationship Id="rId475" Type="http://schemas.openxmlformats.org/officeDocument/2006/relationships/hyperlink" Target="https://www.youtube.com/watch?v=QPVDHJcsv5U" TargetMode="External"/><Relationship Id="rId682" Type="http://schemas.openxmlformats.org/officeDocument/2006/relationships/hyperlink" Target="https://www.youtube.com/watch?v=oeJfmsvMRBs" TargetMode="External"/><Relationship Id="rId903" Type="http://schemas.openxmlformats.org/officeDocument/2006/relationships/hyperlink" Target="https://www.youtube.com/watch?v=t5tjD9qq-98" TargetMode="External"/><Relationship Id="rId1326" Type="http://schemas.openxmlformats.org/officeDocument/2006/relationships/hyperlink" Target="https://www.youtube.com/watch?v=LIl0C87tzGE" TargetMode="External"/><Relationship Id="rId32" Type="http://schemas.openxmlformats.org/officeDocument/2006/relationships/hyperlink" Target="https://www.youtube.com/watch?v=NCOKqHoIW7M" TargetMode="External"/><Relationship Id="rId128" Type="http://schemas.openxmlformats.org/officeDocument/2006/relationships/hyperlink" Target="https://www.youtube.com/watch?v=ytrFjytVgtk" TargetMode="External"/><Relationship Id="rId335" Type="http://schemas.openxmlformats.org/officeDocument/2006/relationships/hyperlink" Target="https://www.youtube.com/watch?v=UuJzHq-Ont4" TargetMode="External"/><Relationship Id="rId542" Type="http://schemas.openxmlformats.org/officeDocument/2006/relationships/hyperlink" Target="https://www.youtube.com/watch?v=_OWY_haNDNI" TargetMode="External"/><Relationship Id="rId987" Type="http://schemas.openxmlformats.org/officeDocument/2006/relationships/hyperlink" Target="https://www.youtube.com/watch?v=C-AklzjB96w" TargetMode="External"/><Relationship Id="rId1172" Type="http://schemas.openxmlformats.org/officeDocument/2006/relationships/hyperlink" Target="https://www.youtube.com/watch?v=EfQbirNpLM8" TargetMode="External"/><Relationship Id="rId181" Type="http://schemas.openxmlformats.org/officeDocument/2006/relationships/hyperlink" Target="https://www.youtube.com/watch?v=G3NpQQMh8jQ" TargetMode="External"/><Relationship Id="rId402" Type="http://schemas.openxmlformats.org/officeDocument/2006/relationships/hyperlink" Target="https://www.youtube.com/watch?v=9IzjjqFO5c8" TargetMode="External"/><Relationship Id="rId847" Type="http://schemas.openxmlformats.org/officeDocument/2006/relationships/hyperlink" Target="https://www.youtube.com/watch?v=dzUx3zUv_yw" TargetMode="External"/><Relationship Id="rId1032" Type="http://schemas.openxmlformats.org/officeDocument/2006/relationships/hyperlink" Target="https://www.youtube.com/watch?v=6ufhk6JL8x8" TargetMode="External"/><Relationship Id="rId1477" Type="http://schemas.openxmlformats.org/officeDocument/2006/relationships/hyperlink" Target="https://www.youtube.com/watch?v=ZyApm_PJ-W8&amp;t=65s" TargetMode="External"/><Relationship Id="rId279" Type="http://schemas.openxmlformats.org/officeDocument/2006/relationships/hyperlink" Target="https://www.youtube.com/watch?v=ANSSQQ6ZauM" TargetMode="External"/><Relationship Id="rId486" Type="http://schemas.openxmlformats.org/officeDocument/2006/relationships/hyperlink" Target="https://www.youtube.com/watch?v=3asYCknfoMo" TargetMode="External"/><Relationship Id="rId693" Type="http://schemas.openxmlformats.org/officeDocument/2006/relationships/hyperlink" Target="https://www.youtube.com/watch?v=M8Xez56Bg9c" TargetMode="External"/><Relationship Id="rId707" Type="http://schemas.openxmlformats.org/officeDocument/2006/relationships/hyperlink" Target="https://www.youtube.com/watch?v=JkoZriLo3fA" TargetMode="External"/><Relationship Id="rId914" Type="http://schemas.openxmlformats.org/officeDocument/2006/relationships/hyperlink" Target="https://www.youtube.com/watch?v=xVrbpqr1LEE" TargetMode="External"/><Relationship Id="rId1337" Type="http://schemas.openxmlformats.org/officeDocument/2006/relationships/hyperlink" Target="https://www.youtube.com/watch?v=rt5w2HzSWc0" TargetMode="External"/><Relationship Id="rId43" Type="http://schemas.openxmlformats.org/officeDocument/2006/relationships/hyperlink" Target="https://www.youtube.com/watch?v=Uq2PJjcHiqI" TargetMode="External"/><Relationship Id="rId139" Type="http://schemas.openxmlformats.org/officeDocument/2006/relationships/hyperlink" Target="https://www.youtube.com/watch?v=J5mYtIH7Pho" TargetMode="External"/><Relationship Id="rId346" Type="http://schemas.openxmlformats.org/officeDocument/2006/relationships/hyperlink" Target="https://www.youtube.com/watch?v=t_J24YUQNK4" TargetMode="External"/><Relationship Id="rId553" Type="http://schemas.openxmlformats.org/officeDocument/2006/relationships/hyperlink" Target="https://www.youtube.com/watch?v=AuVaei10Du0" TargetMode="External"/><Relationship Id="rId760" Type="http://schemas.openxmlformats.org/officeDocument/2006/relationships/hyperlink" Target="https://www.youtube.com/watch?v=_OTzuNIDOOA" TargetMode="External"/><Relationship Id="rId998" Type="http://schemas.openxmlformats.org/officeDocument/2006/relationships/hyperlink" Target="https://www.youtube.com/watch?v=udY03G3fVJQ" TargetMode="External"/><Relationship Id="rId1183" Type="http://schemas.openxmlformats.org/officeDocument/2006/relationships/hyperlink" Target="https://www.youtube.com/watch?v=B3K5KRgT0oE" TargetMode="External"/><Relationship Id="rId1390" Type="http://schemas.openxmlformats.org/officeDocument/2006/relationships/hyperlink" Target="https://www.youtube.com/watch?v=OI3nL5YCIO8" TargetMode="External"/><Relationship Id="rId1404" Type="http://schemas.openxmlformats.org/officeDocument/2006/relationships/hyperlink" Target="https://www.youtube.com/watch?v=g8GW7DlPr4g" TargetMode="External"/><Relationship Id="rId192" Type="http://schemas.openxmlformats.org/officeDocument/2006/relationships/hyperlink" Target="https://www.youtube.com/watch?v=schP-IZS5Sw" TargetMode="External"/><Relationship Id="rId206" Type="http://schemas.openxmlformats.org/officeDocument/2006/relationships/hyperlink" Target="https://www.youtube.com/watch?v=8RSu4ymCgp4" TargetMode="External"/><Relationship Id="rId413" Type="http://schemas.openxmlformats.org/officeDocument/2006/relationships/hyperlink" Target="https://www.youtube.com/watch?v=RKYffxIB9EM" TargetMode="External"/><Relationship Id="rId858" Type="http://schemas.openxmlformats.org/officeDocument/2006/relationships/hyperlink" Target="https://www.youtube.com/watch?v=bFIqLn3c85c" TargetMode="External"/><Relationship Id="rId1043" Type="http://schemas.openxmlformats.org/officeDocument/2006/relationships/hyperlink" Target="https://www.youtube.com/watch?v=xkyySDtO5HU" TargetMode="External"/><Relationship Id="rId1488" Type="http://schemas.openxmlformats.org/officeDocument/2006/relationships/hyperlink" Target="https://www.youtube.com/watch?v=xCLLCYBg7Zc" TargetMode="External"/><Relationship Id="rId497" Type="http://schemas.openxmlformats.org/officeDocument/2006/relationships/hyperlink" Target="https://www.youtube.com/watch?v=d9iObjKR5yI" TargetMode="External"/><Relationship Id="rId620" Type="http://schemas.openxmlformats.org/officeDocument/2006/relationships/hyperlink" Target="https://www.youtube.com/watch?v=t5AEphve0P8" TargetMode="External"/><Relationship Id="rId718" Type="http://schemas.openxmlformats.org/officeDocument/2006/relationships/hyperlink" Target="https://www.youtube.com/watch?v=Xml5nVm8bg0" TargetMode="External"/><Relationship Id="rId925" Type="http://schemas.openxmlformats.org/officeDocument/2006/relationships/hyperlink" Target="https://www.youtube.com/watch?v=ZwiLQGKP--A" TargetMode="External"/><Relationship Id="rId1250" Type="http://schemas.openxmlformats.org/officeDocument/2006/relationships/hyperlink" Target="https://www.youtube.com/watch?v=6M1Mp5tvk-E" TargetMode="External"/><Relationship Id="rId1348" Type="http://schemas.openxmlformats.org/officeDocument/2006/relationships/hyperlink" Target="https://www.youtube.com/watch?v=eKSuEJqn2NI" TargetMode="External"/><Relationship Id="rId357" Type="http://schemas.openxmlformats.org/officeDocument/2006/relationships/hyperlink" Target="https://www.youtube.com/watch?v=MBzty84VgRo" TargetMode="External"/><Relationship Id="rId1110" Type="http://schemas.openxmlformats.org/officeDocument/2006/relationships/hyperlink" Target="https://www.youtube.com/watch?v=3dYP3FhD3Po" TargetMode="External"/><Relationship Id="rId1194" Type="http://schemas.openxmlformats.org/officeDocument/2006/relationships/hyperlink" Target="https://www.youtube.com/watch?v=MFeGLeUGf6Q" TargetMode="External"/><Relationship Id="rId1208" Type="http://schemas.openxmlformats.org/officeDocument/2006/relationships/hyperlink" Target="https://www.youtube.com/watch?v=0gtyqapBB3A" TargetMode="External"/><Relationship Id="rId1415" Type="http://schemas.openxmlformats.org/officeDocument/2006/relationships/hyperlink" Target="https://www.youtube.com/watch?v=DBYSIkWsAOI" TargetMode="External"/><Relationship Id="rId54" Type="http://schemas.openxmlformats.org/officeDocument/2006/relationships/hyperlink" Target="https://www.youtube.com/watch?v=WsjxXfklatk" TargetMode="External"/><Relationship Id="rId217" Type="http://schemas.openxmlformats.org/officeDocument/2006/relationships/hyperlink" Target="https://www.youtube.com/watch?v=apOba1F4MT4" TargetMode="External"/><Relationship Id="rId564" Type="http://schemas.openxmlformats.org/officeDocument/2006/relationships/hyperlink" Target="https://www.youtube.com/watch?v=dZCZp5udJeI" TargetMode="External"/><Relationship Id="rId771" Type="http://schemas.openxmlformats.org/officeDocument/2006/relationships/hyperlink" Target="https://www.youtube.com/watch?v=yB7P6V4_zUw" TargetMode="External"/><Relationship Id="rId869" Type="http://schemas.openxmlformats.org/officeDocument/2006/relationships/hyperlink" Target="https://www.youtube.com/watch?v=AefxKKTqv5I" TargetMode="External"/><Relationship Id="rId1499" Type="http://schemas.openxmlformats.org/officeDocument/2006/relationships/hyperlink" Target="https://www.youtube.com/watch?v=dHQ-HMVdPyE" TargetMode="External"/><Relationship Id="rId424" Type="http://schemas.openxmlformats.org/officeDocument/2006/relationships/hyperlink" Target="https://www.youtube.com/watch?v=AOQPqjRx-0c" TargetMode="External"/><Relationship Id="rId631" Type="http://schemas.openxmlformats.org/officeDocument/2006/relationships/hyperlink" Target="https://www.youtube.com/watch?v=G-AjF_4Jc1I" TargetMode="External"/><Relationship Id="rId729" Type="http://schemas.openxmlformats.org/officeDocument/2006/relationships/hyperlink" Target="https://www.youtube.com/watch?v=xA9TKhOjY24" TargetMode="External"/><Relationship Id="rId1054" Type="http://schemas.openxmlformats.org/officeDocument/2006/relationships/hyperlink" Target="https://www.youtube.com/watch?v=iZ6Xk9YCaaY" TargetMode="External"/><Relationship Id="rId1261" Type="http://schemas.openxmlformats.org/officeDocument/2006/relationships/hyperlink" Target="https://www.youtube.com/watch?v=IS6hRiM7WuU" TargetMode="External"/><Relationship Id="rId1359" Type="http://schemas.openxmlformats.org/officeDocument/2006/relationships/hyperlink" Target="https://www.youtube.com/watch?v=BlNY-1vmqvA" TargetMode="External"/><Relationship Id="rId270" Type="http://schemas.openxmlformats.org/officeDocument/2006/relationships/hyperlink" Target="https://www.youtube.com/watch?v=7jIfpSOnmK8" TargetMode="External"/><Relationship Id="rId936" Type="http://schemas.openxmlformats.org/officeDocument/2006/relationships/hyperlink" Target="https://www.youtube.com/watch?v=NNu6sJz2cPI" TargetMode="External"/><Relationship Id="rId1121" Type="http://schemas.openxmlformats.org/officeDocument/2006/relationships/hyperlink" Target="https://www.youtube.com/watch?v=NaCx35vC5wg" TargetMode="External"/><Relationship Id="rId1219" Type="http://schemas.openxmlformats.org/officeDocument/2006/relationships/hyperlink" Target="https://www.youtube.com/watch?v=8usGAaPq-WY" TargetMode="External"/><Relationship Id="rId65" Type="http://schemas.openxmlformats.org/officeDocument/2006/relationships/hyperlink" Target="https://www.youtube.com/watch?v=BEz8X5SUwjY" TargetMode="External"/><Relationship Id="rId130" Type="http://schemas.openxmlformats.org/officeDocument/2006/relationships/hyperlink" Target="https://www.youtube.com/watch?v=28dLjjiriJA" TargetMode="External"/><Relationship Id="rId368" Type="http://schemas.openxmlformats.org/officeDocument/2006/relationships/hyperlink" Target="https://www.youtube.com/watch?v=Wu9WbgwxgjI" TargetMode="External"/><Relationship Id="rId575" Type="http://schemas.openxmlformats.org/officeDocument/2006/relationships/hyperlink" Target="https://www.youtube.com/watch?v=j84sUcOTBRM" TargetMode="External"/><Relationship Id="rId782" Type="http://schemas.openxmlformats.org/officeDocument/2006/relationships/hyperlink" Target="https://www.youtube.com/watch?v=ebsBucPcYoU" TargetMode="External"/><Relationship Id="rId1426" Type="http://schemas.openxmlformats.org/officeDocument/2006/relationships/hyperlink" Target="https://www.youtube.com/watch?v=Ts09Fp7M53k" TargetMode="External"/><Relationship Id="rId228" Type="http://schemas.openxmlformats.org/officeDocument/2006/relationships/hyperlink" Target="https://www.youtube.com/watch?v=iFLc0n8RSAA" TargetMode="External"/><Relationship Id="rId435" Type="http://schemas.openxmlformats.org/officeDocument/2006/relationships/hyperlink" Target="https://www.youtube.com/watch?v=nEEhdprZ-EE" TargetMode="External"/><Relationship Id="rId642" Type="http://schemas.openxmlformats.org/officeDocument/2006/relationships/hyperlink" Target="https://www.youtube.com/watch?v=tD7VxQAIPLM" TargetMode="External"/><Relationship Id="rId1065" Type="http://schemas.openxmlformats.org/officeDocument/2006/relationships/hyperlink" Target="https://www.youtube.com/watch?v=gzOZ5Lo3n9Y" TargetMode="External"/><Relationship Id="rId1272" Type="http://schemas.openxmlformats.org/officeDocument/2006/relationships/hyperlink" Target="https://www.youtube.com/watch?v=ImpfhngYCCA" TargetMode="External"/><Relationship Id="rId281" Type="http://schemas.openxmlformats.org/officeDocument/2006/relationships/hyperlink" Target="https://www.youtube.com/watch?v=OBViSvvLu-s" TargetMode="External"/><Relationship Id="rId502" Type="http://schemas.openxmlformats.org/officeDocument/2006/relationships/hyperlink" Target="https://www.youtube.com/watch?v=yr_-UHm07rM" TargetMode="External"/><Relationship Id="rId947" Type="http://schemas.openxmlformats.org/officeDocument/2006/relationships/hyperlink" Target="https://www.youtube.com/watch?v=AB0KeX_0T2I" TargetMode="External"/><Relationship Id="rId1132" Type="http://schemas.openxmlformats.org/officeDocument/2006/relationships/hyperlink" Target="https://www.youtube.com/watch?v=tlCqUXsDwDc" TargetMode="External"/><Relationship Id="rId76" Type="http://schemas.openxmlformats.org/officeDocument/2006/relationships/hyperlink" Target="https://www.youtube.com/watch?v=VeR7IhIkDk0" TargetMode="External"/><Relationship Id="rId141" Type="http://schemas.openxmlformats.org/officeDocument/2006/relationships/hyperlink" Target="https://www.youtube.com/watch?v=OpsoPcAUMbw" TargetMode="External"/><Relationship Id="rId379" Type="http://schemas.openxmlformats.org/officeDocument/2006/relationships/hyperlink" Target="https://www.youtube.com/watch?v=yIUwgFjMrg8" TargetMode="External"/><Relationship Id="rId586" Type="http://schemas.openxmlformats.org/officeDocument/2006/relationships/hyperlink" Target="https://www.youtube.com/watch?v=OXYcMlprdL4" TargetMode="External"/><Relationship Id="rId793" Type="http://schemas.openxmlformats.org/officeDocument/2006/relationships/hyperlink" Target="https://www.youtube.com/watch?v=BNly0XIZX6c" TargetMode="External"/><Relationship Id="rId807" Type="http://schemas.openxmlformats.org/officeDocument/2006/relationships/hyperlink" Target="https://www.youtube.com/watch?v=yCrftsxElf8" TargetMode="External"/><Relationship Id="rId1437" Type="http://schemas.openxmlformats.org/officeDocument/2006/relationships/hyperlink" Target="https://www.youtube.com/watch?v=tPgOVeqnOcc" TargetMode="External"/><Relationship Id="rId7" Type="http://schemas.openxmlformats.org/officeDocument/2006/relationships/hyperlink" Target="https://www.youtube.com/watch?v=FytdS2vMJfU" TargetMode="External"/><Relationship Id="rId239" Type="http://schemas.openxmlformats.org/officeDocument/2006/relationships/hyperlink" Target="https://www.youtube.com/watch?v=v6It_CJ27bg" TargetMode="External"/><Relationship Id="rId446" Type="http://schemas.openxmlformats.org/officeDocument/2006/relationships/hyperlink" Target="https://www.youtube.com/watch?v=kmJLZRzZhUA" TargetMode="External"/><Relationship Id="rId653" Type="http://schemas.openxmlformats.org/officeDocument/2006/relationships/hyperlink" Target="https://www.youtube.com/watch?v=p4NkqPPh2fk" TargetMode="External"/><Relationship Id="rId1076" Type="http://schemas.openxmlformats.org/officeDocument/2006/relationships/hyperlink" Target="https://www.youtube.com/watch?v=0W0XxcsCH_0" TargetMode="External"/><Relationship Id="rId1283" Type="http://schemas.openxmlformats.org/officeDocument/2006/relationships/hyperlink" Target="https://www.youtube.com/watch?v=69M5XJQEYX4" TargetMode="External"/><Relationship Id="rId1490" Type="http://schemas.openxmlformats.org/officeDocument/2006/relationships/hyperlink" Target="https://www.youtube.com/watch?v=s4vjcCAXvVI" TargetMode="External"/><Relationship Id="rId1504" Type="http://schemas.openxmlformats.org/officeDocument/2006/relationships/hyperlink" Target="https://www.youtube.com/watch?v=dvcJI5yAd6M&amp;t=122s" TargetMode="External"/><Relationship Id="rId292" Type="http://schemas.openxmlformats.org/officeDocument/2006/relationships/hyperlink" Target="https://www.youtube.com/watch?v=p6HgGSKj2m8" TargetMode="External"/><Relationship Id="rId306" Type="http://schemas.openxmlformats.org/officeDocument/2006/relationships/hyperlink" Target="https://www.youtube.com/watch?v=5K-nmVDwXW0" TargetMode="External"/><Relationship Id="rId860" Type="http://schemas.openxmlformats.org/officeDocument/2006/relationships/hyperlink" Target="https://www.youtube.com/watch?v=PWZrF-TGsWo" TargetMode="External"/><Relationship Id="rId958" Type="http://schemas.openxmlformats.org/officeDocument/2006/relationships/hyperlink" Target="https://www.youtube.com/watch?v=EMznloyYysU" TargetMode="External"/><Relationship Id="rId1143" Type="http://schemas.openxmlformats.org/officeDocument/2006/relationships/hyperlink" Target="https://www.youtube.com/watch?v=bGDeGR7DrFw" TargetMode="External"/><Relationship Id="rId87" Type="http://schemas.openxmlformats.org/officeDocument/2006/relationships/hyperlink" Target="https://www.youtube.com/watch?v=rNhQIKC2jPM" TargetMode="External"/><Relationship Id="rId513" Type="http://schemas.openxmlformats.org/officeDocument/2006/relationships/hyperlink" Target="https://www.youtube.com/watch?v=_xIbCmTtK8s" TargetMode="External"/><Relationship Id="rId597" Type="http://schemas.openxmlformats.org/officeDocument/2006/relationships/hyperlink" Target="https://www.youtube.com/watch?v=fyMRRD_YeRI" TargetMode="External"/><Relationship Id="rId720" Type="http://schemas.openxmlformats.org/officeDocument/2006/relationships/hyperlink" Target="https://www.youtube.com/watch?v=I6Nwopg3FIw" TargetMode="External"/><Relationship Id="rId818" Type="http://schemas.openxmlformats.org/officeDocument/2006/relationships/hyperlink" Target="https://www.youtube.com/watch?v=5P0vjP1Hdvs" TargetMode="External"/><Relationship Id="rId1350" Type="http://schemas.openxmlformats.org/officeDocument/2006/relationships/hyperlink" Target="https://www.youtube.com/watch?v=1UnsEQPK3PQ" TargetMode="External"/><Relationship Id="rId1448" Type="http://schemas.openxmlformats.org/officeDocument/2006/relationships/hyperlink" Target="https://www.youtube.com/watch?v=4ej2lqB-kjM" TargetMode="External"/><Relationship Id="rId152" Type="http://schemas.openxmlformats.org/officeDocument/2006/relationships/hyperlink" Target="https://www.youtube.com/watch?v=y1fdkGgCt64" TargetMode="External"/><Relationship Id="rId457" Type="http://schemas.openxmlformats.org/officeDocument/2006/relationships/hyperlink" Target="https://www.youtube.com/watch?v=oYXPvuD_ejM" TargetMode="External"/><Relationship Id="rId1003" Type="http://schemas.openxmlformats.org/officeDocument/2006/relationships/hyperlink" Target="https://www.youtube.com/watch?v=a6bj2Qddmzk" TargetMode="External"/><Relationship Id="rId1087" Type="http://schemas.openxmlformats.org/officeDocument/2006/relationships/hyperlink" Target="https://www.youtube.com/watch?v=3dgPn1KOovw" TargetMode="External"/><Relationship Id="rId1210" Type="http://schemas.openxmlformats.org/officeDocument/2006/relationships/hyperlink" Target="https://www.youtube.com/watch?v=EKyX0QsZVJc" TargetMode="External"/><Relationship Id="rId1294" Type="http://schemas.openxmlformats.org/officeDocument/2006/relationships/hyperlink" Target="https://www.youtube.com/watch?v=Voaw-uef3Tw" TargetMode="External"/><Relationship Id="rId1308" Type="http://schemas.openxmlformats.org/officeDocument/2006/relationships/hyperlink" Target="https://www.youtube.com/watch?v=7-JbRtATwHQ" TargetMode="External"/><Relationship Id="rId664" Type="http://schemas.openxmlformats.org/officeDocument/2006/relationships/hyperlink" Target="https://www.youtube.com/watch?v=3eTjsY7w5kM" TargetMode="External"/><Relationship Id="rId871" Type="http://schemas.openxmlformats.org/officeDocument/2006/relationships/hyperlink" Target="https://www.youtube.com/watch?v=7gTT37SeSUc" TargetMode="External"/><Relationship Id="rId969" Type="http://schemas.openxmlformats.org/officeDocument/2006/relationships/hyperlink" Target="https://www.youtube.com/watch?v=ZhuUYD3QvB8" TargetMode="External"/><Relationship Id="rId1515" Type="http://schemas.openxmlformats.org/officeDocument/2006/relationships/drawing" Target="../drawings/drawing2.xml"/><Relationship Id="rId14" Type="http://schemas.openxmlformats.org/officeDocument/2006/relationships/hyperlink" Target="https://www.youtube.com/watch?v=PcNDlU0LyJk" TargetMode="External"/><Relationship Id="rId317" Type="http://schemas.openxmlformats.org/officeDocument/2006/relationships/hyperlink" Target="https://www.youtube.com/watch?v=2uOiM67vK6A" TargetMode="External"/><Relationship Id="rId524" Type="http://schemas.openxmlformats.org/officeDocument/2006/relationships/hyperlink" Target="https://www.youtube.com/watch?v=ZWkU2WQv4mM" TargetMode="External"/><Relationship Id="rId731" Type="http://schemas.openxmlformats.org/officeDocument/2006/relationships/hyperlink" Target="https://www.youtube.com/watch?v=w2e5eqI49cE" TargetMode="External"/><Relationship Id="rId1154" Type="http://schemas.openxmlformats.org/officeDocument/2006/relationships/hyperlink" Target="https://www.youtube.com/watch?v=qiir-ZWT6yI" TargetMode="External"/><Relationship Id="rId1361" Type="http://schemas.openxmlformats.org/officeDocument/2006/relationships/hyperlink" Target="https://www.youtube.com/watch?v=_CKZQa18hcY" TargetMode="External"/><Relationship Id="rId1459" Type="http://schemas.openxmlformats.org/officeDocument/2006/relationships/hyperlink" Target="https://www.youtube.com/watch?v=1CJb6PuWDqk" TargetMode="External"/><Relationship Id="rId98" Type="http://schemas.openxmlformats.org/officeDocument/2006/relationships/hyperlink" Target="https://www.youtube.com/watch?v=Yhp3rFuo5Cw" TargetMode="External"/><Relationship Id="rId163" Type="http://schemas.openxmlformats.org/officeDocument/2006/relationships/hyperlink" Target="https://www.youtube.com/watch?v=knJJGEYwaZw" TargetMode="External"/><Relationship Id="rId370" Type="http://schemas.openxmlformats.org/officeDocument/2006/relationships/hyperlink" Target="https://www.youtube.com/watch?v=zqnotAbf-Cc" TargetMode="External"/><Relationship Id="rId829" Type="http://schemas.openxmlformats.org/officeDocument/2006/relationships/hyperlink" Target="https://www.youtube.com/watch?v=61VsCIaQhX4" TargetMode="External"/><Relationship Id="rId1014" Type="http://schemas.openxmlformats.org/officeDocument/2006/relationships/hyperlink" Target="https://www.youtube.com/watch?v=xl6nyKVDNCQ" TargetMode="External"/><Relationship Id="rId1221" Type="http://schemas.openxmlformats.org/officeDocument/2006/relationships/hyperlink" Target="https://www.youtube.com/watch?v=RfiT3REVHxQ" TargetMode="External"/><Relationship Id="rId230" Type="http://schemas.openxmlformats.org/officeDocument/2006/relationships/hyperlink" Target="https://www.youtube.com/watch?v=eKtCOiQbVX0" TargetMode="External"/><Relationship Id="rId468" Type="http://schemas.openxmlformats.org/officeDocument/2006/relationships/hyperlink" Target="https://www.youtube.com/watch?v=iY88UCitwGY" TargetMode="External"/><Relationship Id="rId675" Type="http://schemas.openxmlformats.org/officeDocument/2006/relationships/hyperlink" Target="https://www.youtube.com/watch?v=55sjF1l4Hu0" TargetMode="External"/><Relationship Id="rId882" Type="http://schemas.openxmlformats.org/officeDocument/2006/relationships/hyperlink" Target="https://www.youtube.com/watch?v=adov37an6hU" TargetMode="External"/><Relationship Id="rId1098" Type="http://schemas.openxmlformats.org/officeDocument/2006/relationships/hyperlink" Target="https://www.youtube.com/watch?v=0ol6BUtHZu8" TargetMode="External"/><Relationship Id="rId1319" Type="http://schemas.openxmlformats.org/officeDocument/2006/relationships/hyperlink" Target="https://www.youtube.com/watch?v=C6sAuCIhIzA" TargetMode="External"/><Relationship Id="rId25" Type="http://schemas.openxmlformats.org/officeDocument/2006/relationships/hyperlink" Target="https://www.youtube.com/watch?v=KVDRl_wLqdM" TargetMode="External"/><Relationship Id="rId328" Type="http://schemas.openxmlformats.org/officeDocument/2006/relationships/hyperlink" Target="https://www.youtube.com/watch?v=wH8I0vSB-Os" TargetMode="External"/><Relationship Id="rId535" Type="http://schemas.openxmlformats.org/officeDocument/2006/relationships/hyperlink" Target="https://www.youtube.com/watch?v=R_G2Gd70LiY" TargetMode="External"/><Relationship Id="rId742" Type="http://schemas.openxmlformats.org/officeDocument/2006/relationships/hyperlink" Target="https://www.youtube.com/watch?v=VxI-y4zU4YE" TargetMode="External"/><Relationship Id="rId1165" Type="http://schemas.openxmlformats.org/officeDocument/2006/relationships/hyperlink" Target="https://www.youtube.com/watch?v=nUfn2eRsHgo" TargetMode="External"/><Relationship Id="rId1372" Type="http://schemas.openxmlformats.org/officeDocument/2006/relationships/hyperlink" Target="https://www.youtube.com/watch?v=4ZkNnR--tMY" TargetMode="External"/><Relationship Id="rId174" Type="http://schemas.openxmlformats.org/officeDocument/2006/relationships/hyperlink" Target="https://www.youtube.com/watch?v=BcDC-Op1hJc" TargetMode="External"/><Relationship Id="rId381" Type="http://schemas.openxmlformats.org/officeDocument/2006/relationships/hyperlink" Target="https://www.youtube.com/watch?v=pAHRrR6eeDU" TargetMode="External"/><Relationship Id="rId602" Type="http://schemas.openxmlformats.org/officeDocument/2006/relationships/hyperlink" Target="https://www.youtube.com/watch?v=tBf6vZKjL9w" TargetMode="External"/><Relationship Id="rId1025" Type="http://schemas.openxmlformats.org/officeDocument/2006/relationships/hyperlink" Target="https://www.youtube.com/watch?v=gPdm-EF13GU" TargetMode="External"/><Relationship Id="rId1232" Type="http://schemas.openxmlformats.org/officeDocument/2006/relationships/hyperlink" Target="https://www.youtube.com/watch?v=Y5sHrOViVq0" TargetMode="External"/><Relationship Id="rId241" Type="http://schemas.openxmlformats.org/officeDocument/2006/relationships/hyperlink" Target="https://www.youtube.com/watch?v=vSLKEwGRgbY" TargetMode="External"/><Relationship Id="rId479" Type="http://schemas.openxmlformats.org/officeDocument/2006/relationships/hyperlink" Target="https://www.youtube.com/watch?v=4H5piNrmsCU" TargetMode="External"/><Relationship Id="rId686" Type="http://schemas.openxmlformats.org/officeDocument/2006/relationships/hyperlink" Target="https://www.youtube.com/watch?v=Cv8kec-TugY" TargetMode="External"/><Relationship Id="rId893" Type="http://schemas.openxmlformats.org/officeDocument/2006/relationships/hyperlink" Target="https://www.youtube.com/watch?v=xuKnWRKpLyM" TargetMode="External"/><Relationship Id="rId907" Type="http://schemas.openxmlformats.org/officeDocument/2006/relationships/hyperlink" Target="https://www.youtube.com/watch?v=tpUBWJjtzrA" TargetMode="External"/><Relationship Id="rId36" Type="http://schemas.openxmlformats.org/officeDocument/2006/relationships/hyperlink" Target="https://www.youtube.com/watch?v=0Y3z-QStbk8" TargetMode="External"/><Relationship Id="rId339" Type="http://schemas.openxmlformats.org/officeDocument/2006/relationships/hyperlink" Target="https://www.youtube.com/watch?v=wgud4Fi47XA" TargetMode="External"/><Relationship Id="rId546" Type="http://schemas.openxmlformats.org/officeDocument/2006/relationships/hyperlink" Target="https://www.youtube.com/watch?v=NpqJHyWjh7A" TargetMode="External"/><Relationship Id="rId753" Type="http://schemas.openxmlformats.org/officeDocument/2006/relationships/hyperlink" Target="https://www.youtube.com/watch?v=AjEKOFHh4yM" TargetMode="External"/><Relationship Id="rId1176" Type="http://schemas.openxmlformats.org/officeDocument/2006/relationships/hyperlink" Target="https://www.youtube.com/watch?v=6WJO3QlTEpg" TargetMode="External"/><Relationship Id="rId1383" Type="http://schemas.openxmlformats.org/officeDocument/2006/relationships/hyperlink" Target="https://www.youtube.com/watch?v=gtJ9OzJIB_c" TargetMode="External"/><Relationship Id="rId101" Type="http://schemas.openxmlformats.org/officeDocument/2006/relationships/hyperlink" Target="https://www.youtube.com/watch?v=vHWsmGyjOk0" TargetMode="External"/><Relationship Id="rId185" Type="http://schemas.openxmlformats.org/officeDocument/2006/relationships/hyperlink" Target="https://www.youtube.com/watch?v=0uPW7Jf9y7o" TargetMode="External"/><Relationship Id="rId406" Type="http://schemas.openxmlformats.org/officeDocument/2006/relationships/hyperlink" Target="https://www.youtube.com/watch?v=XeCuvEX-tow" TargetMode="External"/><Relationship Id="rId960" Type="http://schemas.openxmlformats.org/officeDocument/2006/relationships/hyperlink" Target="https://www.youtube.com/watch?v=Xsq9jAEpAY8" TargetMode="External"/><Relationship Id="rId1036" Type="http://schemas.openxmlformats.org/officeDocument/2006/relationships/hyperlink" Target="https://www.youtube.com/watch?v=D7yIybTWmmU" TargetMode="External"/><Relationship Id="rId1243" Type="http://schemas.openxmlformats.org/officeDocument/2006/relationships/hyperlink" Target="https://www.youtube.com/watch?v=-pTe3fDFF7U" TargetMode="External"/><Relationship Id="rId392" Type="http://schemas.openxmlformats.org/officeDocument/2006/relationships/hyperlink" Target="https://www.youtube.com/watch?v=L2rJctVLi3M" TargetMode="External"/><Relationship Id="rId613" Type="http://schemas.openxmlformats.org/officeDocument/2006/relationships/hyperlink" Target="https://www.youtube.com/watch?v=T-iBVjoTxpY" TargetMode="External"/><Relationship Id="rId697" Type="http://schemas.openxmlformats.org/officeDocument/2006/relationships/hyperlink" Target="https://www.youtube.com/watch?v=fKsfq4rFzbA" TargetMode="External"/><Relationship Id="rId820" Type="http://schemas.openxmlformats.org/officeDocument/2006/relationships/hyperlink" Target="https://www.youtube.com/watch?v=OAcu0ZHtcXc" TargetMode="External"/><Relationship Id="rId918" Type="http://schemas.openxmlformats.org/officeDocument/2006/relationships/hyperlink" Target="https://www.youtube.com/watch?v=5HrBZvxcPmY" TargetMode="External"/><Relationship Id="rId1450" Type="http://schemas.openxmlformats.org/officeDocument/2006/relationships/hyperlink" Target="https://www.youtube.com/watch?v=OmWUkxANoEk" TargetMode="External"/><Relationship Id="rId252" Type="http://schemas.openxmlformats.org/officeDocument/2006/relationships/hyperlink" Target="https://www.youtube.com/watch?v=6LOxjxiZ3NQ" TargetMode="External"/><Relationship Id="rId1103" Type="http://schemas.openxmlformats.org/officeDocument/2006/relationships/hyperlink" Target="https://www.youtube.com/watch?v=eVhJjqlSE8s" TargetMode="External"/><Relationship Id="rId1187" Type="http://schemas.openxmlformats.org/officeDocument/2006/relationships/hyperlink" Target="https://www.youtube.com/watch?v=SmB_GUlrfzk" TargetMode="External"/><Relationship Id="rId1310" Type="http://schemas.openxmlformats.org/officeDocument/2006/relationships/hyperlink" Target="https://www.youtube.com/watch?v=N6IDjOR1OY0" TargetMode="External"/><Relationship Id="rId1408" Type="http://schemas.openxmlformats.org/officeDocument/2006/relationships/hyperlink" Target="https://www.youtube.com/watch?v=DMReaVWJGFE" TargetMode="External"/><Relationship Id="rId47" Type="http://schemas.openxmlformats.org/officeDocument/2006/relationships/hyperlink" Target="https://www.youtube.com/watch?v=LdrmgXtd_rs" TargetMode="External"/><Relationship Id="rId112" Type="http://schemas.openxmlformats.org/officeDocument/2006/relationships/hyperlink" Target="https://www.youtube.com/watch?v=JXjMYvGqqDE" TargetMode="External"/><Relationship Id="rId557" Type="http://schemas.openxmlformats.org/officeDocument/2006/relationships/hyperlink" Target="https://www.youtube.com/watch?v=FKg_FjS3qZw" TargetMode="External"/><Relationship Id="rId764" Type="http://schemas.openxmlformats.org/officeDocument/2006/relationships/hyperlink" Target="https://www.youtube.com/watch?v=V-N1KdB7QTg" TargetMode="External"/><Relationship Id="rId971" Type="http://schemas.openxmlformats.org/officeDocument/2006/relationships/hyperlink" Target="https://www.youtube.com/watch?v=G2ke7Higm-Y" TargetMode="External"/><Relationship Id="rId1394" Type="http://schemas.openxmlformats.org/officeDocument/2006/relationships/hyperlink" Target="https://www.youtube.com/watch?v=vhlPSbFlxPI" TargetMode="External"/><Relationship Id="rId196" Type="http://schemas.openxmlformats.org/officeDocument/2006/relationships/hyperlink" Target="https://www.youtube.com/watch?v=-WPYCv8jdJc" TargetMode="External"/><Relationship Id="rId417" Type="http://schemas.openxmlformats.org/officeDocument/2006/relationships/hyperlink" Target="https://www.youtube.com/watch?v=y-v-Ijc7W3Y" TargetMode="External"/><Relationship Id="rId624" Type="http://schemas.openxmlformats.org/officeDocument/2006/relationships/hyperlink" Target="https://www.youtube.com/watch?v=Iimv8qJijTE" TargetMode="External"/><Relationship Id="rId831" Type="http://schemas.openxmlformats.org/officeDocument/2006/relationships/hyperlink" Target="https://www.youtube.com/watch?v=o4_iAmYXDzg" TargetMode="External"/><Relationship Id="rId1047" Type="http://schemas.openxmlformats.org/officeDocument/2006/relationships/hyperlink" Target="https://www.youtube.com/watch?v=GCo89ggyUKw" TargetMode="External"/><Relationship Id="rId1254" Type="http://schemas.openxmlformats.org/officeDocument/2006/relationships/hyperlink" Target="https://www.youtube.com/watch?v=13shkRG4RMc" TargetMode="External"/><Relationship Id="rId1461" Type="http://schemas.openxmlformats.org/officeDocument/2006/relationships/hyperlink" Target="https://www.youtube.com/watch?v=3Pat7agSMJU&amp;t=22s" TargetMode="External"/><Relationship Id="rId263" Type="http://schemas.openxmlformats.org/officeDocument/2006/relationships/hyperlink" Target="https://www.youtube.com/watch?v=3f7b_ZE5B1Y" TargetMode="External"/><Relationship Id="rId470" Type="http://schemas.openxmlformats.org/officeDocument/2006/relationships/hyperlink" Target="https://www.youtube.com/watch?v=KBA7GLExw3o" TargetMode="External"/><Relationship Id="rId929" Type="http://schemas.openxmlformats.org/officeDocument/2006/relationships/hyperlink" Target="https://www.youtube.com/watch?v=ohUG8LIy7Cs" TargetMode="External"/><Relationship Id="rId1114" Type="http://schemas.openxmlformats.org/officeDocument/2006/relationships/hyperlink" Target="https://www.youtube.com/watch?v=07rLdtPRbEE" TargetMode="External"/><Relationship Id="rId1321" Type="http://schemas.openxmlformats.org/officeDocument/2006/relationships/hyperlink" Target="https://www.youtube.com/watch?v=strZVEaixcs" TargetMode="External"/><Relationship Id="rId58" Type="http://schemas.openxmlformats.org/officeDocument/2006/relationships/hyperlink" Target="https://www.youtube.com/watch?v=C3_6Ub1GnfA" TargetMode="External"/><Relationship Id="rId123" Type="http://schemas.openxmlformats.org/officeDocument/2006/relationships/hyperlink" Target="https://www.youtube.com/watch?v=s3LVHHEe2vc" TargetMode="External"/><Relationship Id="rId330" Type="http://schemas.openxmlformats.org/officeDocument/2006/relationships/hyperlink" Target="https://www.youtube.com/watch?v=Um1LJAfSPoo" TargetMode="External"/><Relationship Id="rId568" Type="http://schemas.openxmlformats.org/officeDocument/2006/relationships/hyperlink" Target="https://www.youtube.com/watch?v=Q3ZGmGasWfc" TargetMode="External"/><Relationship Id="rId775" Type="http://schemas.openxmlformats.org/officeDocument/2006/relationships/hyperlink" Target="https://www.youtube.com/watch?v=hFK3wIxZt3g" TargetMode="External"/><Relationship Id="rId982" Type="http://schemas.openxmlformats.org/officeDocument/2006/relationships/hyperlink" Target="https://www.youtube.com/watch?v=4PxIlOKBbng" TargetMode="External"/><Relationship Id="rId1198" Type="http://schemas.openxmlformats.org/officeDocument/2006/relationships/hyperlink" Target="https://www.youtube.com/watch?v=ZoDHsv06lNI" TargetMode="External"/><Relationship Id="rId1419" Type="http://schemas.openxmlformats.org/officeDocument/2006/relationships/hyperlink" Target="https://www.youtube.com/watch?v=uaTb9-4kT2Y" TargetMode="External"/><Relationship Id="rId428" Type="http://schemas.openxmlformats.org/officeDocument/2006/relationships/hyperlink" Target="https://www.youtube.com/watch?v=9ScY3DQ8lnM" TargetMode="External"/><Relationship Id="rId635" Type="http://schemas.openxmlformats.org/officeDocument/2006/relationships/hyperlink" Target="https://www.youtube.com/watch?v=olQlPZuEWLY" TargetMode="External"/><Relationship Id="rId842" Type="http://schemas.openxmlformats.org/officeDocument/2006/relationships/hyperlink" Target="https://www.youtube.com/watch?v=G6rcMSQ1UVE" TargetMode="External"/><Relationship Id="rId1058" Type="http://schemas.openxmlformats.org/officeDocument/2006/relationships/hyperlink" Target="https://www.youtube.com/watch?v=Q7TqlnXF3cA" TargetMode="External"/><Relationship Id="rId1265" Type="http://schemas.openxmlformats.org/officeDocument/2006/relationships/hyperlink" Target="https://www.youtube.com/watch?v=6KN0GnYv6xQ" TargetMode="External"/><Relationship Id="rId1472" Type="http://schemas.openxmlformats.org/officeDocument/2006/relationships/hyperlink" Target="https://www.youtube.com/watch?v=HQK8u4lh7y0" TargetMode="External"/><Relationship Id="rId274" Type="http://schemas.openxmlformats.org/officeDocument/2006/relationships/hyperlink" Target="https://www.youtube.com/watch?v=2WYZtS_LLog" TargetMode="External"/><Relationship Id="rId481" Type="http://schemas.openxmlformats.org/officeDocument/2006/relationships/hyperlink" Target="https://www.youtube.com/watch?v=bEc29vVNLOc" TargetMode="External"/><Relationship Id="rId702" Type="http://schemas.openxmlformats.org/officeDocument/2006/relationships/hyperlink" Target="https://www.youtube.com/watch?v=YHee5lF9yPc" TargetMode="External"/><Relationship Id="rId1125" Type="http://schemas.openxmlformats.org/officeDocument/2006/relationships/hyperlink" Target="https://www.youtube.com/watch?v=4VaCcFKHkSY" TargetMode="External"/><Relationship Id="rId1332" Type="http://schemas.openxmlformats.org/officeDocument/2006/relationships/hyperlink" Target="https://www.youtube.com/watch?v=EXkq2inhXiw" TargetMode="External"/><Relationship Id="rId69" Type="http://schemas.openxmlformats.org/officeDocument/2006/relationships/hyperlink" Target="https://www.youtube.com/watch?v=qCG2vqnaUx4" TargetMode="External"/><Relationship Id="rId134" Type="http://schemas.openxmlformats.org/officeDocument/2006/relationships/hyperlink" Target="https://www.youtube.com/watch?v=HZ6X5Xt1nS8" TargetMode="External"/><Relationship Id="rId579" Type="http://schemas.openxmlformats.org/officeDocument/2006/relationships/hyperlink" Target="https://www.youtube.com/watch?v=zILqg37PouM" TargetMode="External"/><Relationship Id="rId786" Type="http://schemas.openxmlformats.org/officeDocument/2006/relationships/hyperlink" Target="https://www.youtube.com/watch?v=go47jpA5M1A" TargetMode="External"/><Relationship Id="rId993" Type="http://schemas.openxmlformats.org/officeDocument/2006/relationships/hyperlink" Target="https://www.youtube.com/watch?v=4xWwhXcAjhU" TargetMode="External"/><Relationship Id="rId341" Type="http://schemas.openxmlformats.org/officeDocument/2006/relationships/hyperlink" Target="https://www.youtube.com/watch?v=2Ew9deAuPwU" TargetMode="External"/><Relationship Id="rId439" Type="http://schemas.openxmlformats.org/officeDocument/2006/relationships/hyperlink" Target="https://www.youtube.com/watch?v=YD-IKZbbHeU" TargetMode="External"/><Relationship Id="rId646" Type="http://schemas.openxmlformats.org/officeDocument/2006/relationships/hyperlink" Target="https://www.youtube.com/watch?v=sdUuukDpj9s" TargetMode="External"/><Relationship Id="rId1069" Type="http://schemas.openxmlformats.org/officeDocument/2006/relationships/hyperlink" Target="https://www.youtube.com/watch?v=Y3j3g76ggFE" TargetMode="External"/><Relationship Id="rId1276" Type="http://schemas.openxmlformats.org/officeDocument/2006/relationships/hyperlink" Target="https://www.youtube.com/watch?v=NpCmOPhka6g" TargetMode="External"/><Relationship Id="rId1483" Type="http://schemas.openxmlformats.org/officeDocument/2006/relationships/hyperlink" Target="https://www.youtube.com/watch?v=SPD35eCSgDk" TargetMode="External"/><Relationship Id="rId201" Type="http://schemas.openxmlformats.org/officeDocument/2006/relationships/hyperlink" Target="https://www.youtube.com/watch?v=nmbYnYYpa6g" TargetMode="External"/><Relationship Id="rId285" Type="http://schemas.openxmlformats.org/officeDocument/2006/relationships/hyperlink" Target="https://www.youtube.com/watch?v=vdwHHPZwNEo" TargetMode="External"/><Relationship Id="rId506" Type="http://schemas.openxmlformats.org/officeDocument/2006/relationships/hyperlink" Target="https://www.youtube.com/watch?v=11Ben3IvDQ0" TargetMode="External"/><Relationship Id="rId853" Type="http://schemas.openxmlformats.org/officeDocument/2006/relationships/hyperlink" Target="https://www.youtube.com/watch?v=wXoImJcJYxQ" TargetMode="External"/><Relationship Id="rId1136" Type="http://schemas.openxmlformats.org/officeDocument/2006/relationships/hyperlink" Target="https://www.youtube.com/watch?v=aBwX_u__31I" TargetMode="External"/><Relationship Id="rId492" Type="http://schemas.openxmlformats.org/officeDocument/2006/relationships/hyperlink" Target="https://www.youtube.com/watch?v=1_8y5fSSOlE" TargetMode="External"/><Relationship Id="rId713" Type="http://schemas.openxmlformats.org/officeDocument/2006/relationships/hyperlink" Target="https://www.youtube.com/watch?v=dlQfycnk550" TargetMode="External"/><Relationship Id="rId797" Type="http://schemas.openxmlformats.org/officeDocument/2006/relationships/hyperlink" Target="https://www.youtube.com/watch?v=w1UAQGgnz4A" TargetMode="External"/><Relationship Id="rId920" Type="http://schemas.openxmlformats.org/officeDocument/2006/relationships/hyperlink" Target="https://www.youtube.com/watch?v=KdiEMEbTV1M" TargetMode="External"/><Relationship Id="rId1343" Type="http://schemas.openxmlformats.org/officeDocument/2006/relationships/hyperlink" Target="https://www.youtube.com/watch?v=vB9JqlUiYUk" TargetMode="External"/><Relationship Id="rId145" Type="http://schemas.openxmlformats.org/officeDocument/2006/relationships/hyperlink" Target="https://www.youtube.com/watch?v=4yz6ZL-TC94" TargetMode="External"/><Relationship Id="rId352" Type="http://schemas.openxmlformats.org/officeDocument/2006/relationships/hyperlink" Target="https://www.youtube.com/watch?v=pO9qCeA640E" TargetMode="External"/><Relationship Id="rId1203" Type="http://schemas.openxmlformats.org/officeDocument/2006/relationships/hyperlink" Target="https://www.youtube.com/watch?v=84agoVdaycE" TargetMode="External"/><Relationship Id="rId1287" Type="http://schemas.openxmlformats.org/officeDocument/2006/relationships/hyperlink" Target="https://www.youtube.com/watch?v=1Gop0_4D5pE" TargetMode="External"/><Relationship Id="rId1410" Type="http://schemas.openxmlformats.org/officeDocument/2006/relationships/hyperlink" Target="https://www.youtube.com/watch?v=Zused4CGMw4" TargetMode="External"/><Relationship Id="rId1508" Type="http://schemas.openxmlformats.org/officeDocument/2006/relationships/hyperlink" Target="https://www.youtube.com/watch?v=JB_lc00AWIE" TargetMode="External"/><Relationship Id="rId212" Type="http://schemas.openxmlformats.org/officeDocument/2006/relationships/hyperlink" Target="https://www.youtube.com/watch?v=tUBrwCmKx8s" TargetMode="External"/><Relationship Id="rId657" Type="http://schemas.openxmlformats.org/officeDocument/2006/relationships/hyperlink" Target="https://www.youtube.com/watch?v=GpEk4HU0r2Y" TargetMode="External"/><Relationship Id="rId864" Type="http://schemas.openxmlformats.org/officeDocument/2006/relationships/hyperlink" Target="https://www.youtube.com/watch?v=6aJLKt2nXsg" TargetMode="External"/><Relationship Id="rId1494" Type="http://schemas.openxmlformats.org/officeDocument/2006/relationships/hyperlink" Target="https://www.youtube.com/watch?v=c50rfZlrNXU" TargetMode="External"/><Relationship Id="rId296" Type="http://schemas.openxmlformats.org/officeDocument/2006/relationships/hyperlink" Target="https://www.youtube.com/watch?v=sdhISUDYvX4" TargetMode="External"/><Relationship Id="rId517" Type="http://schemas.openxmlformats.org/officeDocument/2006/relationships/hyperlink" Target="https://www.youtube.com/watch?v=VwTbkm1NN4Y" TargetMode="External"/><Relationship Id="rId724" Type="http://schemas.openxmlformats.org/officeDocument/2006/relationships/hyperlink" Target="https://www.youtube.com/watch?v=DYtc95s7Kpc" TargetMode="External"/><Relationship Id="rId931" Type="http://schemas.openxmlformats.org/officeDocument/2006/relationships/hyperlink" Target="https://www.youtube.com/watch?v=WfJvOgXp9SM" TargetMode="External"/><Relationship Id="rId1147" Type="http://schemas.openxmlformats.org/officeDocument/2006/relationships/hyperlink" Target="https://www.youtube.com/watch?v=Kfvmj7QyAfQ" TargetMode="External"/><Relationship Id="rId1354" Type="http://schemas.openxmlformats.org/officeDocument/2006/relationships/hyperlink" Target="https://www.youtube.com/watch?v=Lrh5zQHEIk4" TargetMode="External"/><Relationship Id="rId60" Type="http://schemas.openxmlformats.org/officeDocument/2006/relationships/hyperlink" Target="https://www.youtube.com/watch?v=dp7l5qmLHJI" TargetMode="External"/><Relationship Id="rId156" Type="http://schemas.openxmlformats.org/officeDocument/2006/relationships/hyperlink" Target="https://www.youtube.com/watch?v=54lSHTtU68A" TargetMode="External"/><Relationship Id="rId363" Type="http://schemas.openxmlformats.org/officeDocument/2006/relationships/hyperlink" Target="https://www.youtube.com/watch?v=r5r1yU9O2ag" TargetMode="External"/><Relationship Id="rId570" Type="http://schemas.openxmlformats.org/officeDocument/2006/relationships/hyperlink" Target="https://www.youtube.com/watch?v=JbxzX8kwig4" TargetMode="External"/><Relationship Id="rId1007" Type="http://schemas.openxmlformats.org/officeDocument/2006/relationships/hyperlink" Target="https://www.youtube.com/watch?v=v2dy-2T9kRE" TargetMode="External"/><Relationship Id="rId1214" Type="http://schemas.openxmlformats.org/officeDocument/2006/relationships/hyperlink" Target="https://www.youtube.com/watch?v=J2Z6w1bXfYc" TargetMode="External"/><Relationship Id="rId1421" Type="http://schemas.openxmlformats.org/officeDocument/2006/relationships/hyperlink" Target="https://www.youtube.com/watch?v=wKoUB00RmE0" TargetMode="External"/><Relationship Id="rId223" Type="http://schemas.openxmlformats.org/officeDocument/2006/relationships/hyperlink" Target="https://www.youtube.com/watch?v=nQhpJFt2KG8" TargetMode="External"/><Relationship Id="rId430" Type="http://schemas.openxmlformats.org/officeDocument/2006/relationships/hyperlink" Target="https://www.youtube.com/watch?v=gKt4SG-pAmw" TargetMode="External"/><Relationship Id="rId668" Type="http://schemas.openxmlformats.org/officeDocument/2006/relationships/hyperlink" Target="https://www.youtube.com/watch?v=gtDa8NLyc74" TargetMode="External"/><Relationship Id="rId875" Type="http://schemas.openxmlformats.org/officeDocument/2006/relationships/hyperlink" Target="https://www.youtube.com/watch?v=qYA9DVNkOCA" TargetMode="External"/><Relationship Id="rId1060" Type="http://schemas.openxmlformats.org/officeDocument/2006/relationships/hyperlink" Target="https://www.youtube.com/watch?v=_nyKGkDh6WM" TargetMode="External"/><Relationship Id="rId1298" Type="http://schemas.openxmlformats.org/officeDocument/2006/relationships/hyperlink" Target="https://www.youtube.com/watch?v=n5lHU4Qyfbk" TargetMode="External"/><Relationship Id="rId18" Type="http://schemas.openxmlformats.org/officeDocument/2006/relationships/hyperlink" Target="https://www.youtube.com/watch?v=0_EJXPWJN4E" TargetMode="External"/><Relationship Id="rId528" Type="http://schemas.openxmlformats.org/officeDocument/2006/relationships/hyperlink" Target="https://www.youtube.com/watch?v=mNRX-8C-RmY" TargetMode="External"/><Relationship Id="rId735" Type="http://schemas.openxmlformats.org/officeDocument/2006/relationships/hyperlink" Target="https://www.youtube.com/watch?v=yMRw4TF7CAk" TargetMode="External"/><Relationship Id="rId942" Type="http://schemas.openxmlformats.org/officeDocument/2006/relationships/hyperlink" Target="https://www.youtube.com/watch?v=NRep5rGd_FU" TargetMode="External"/><Relationship Id="rId1158" Type="http://schemas.openxmlformats.org/officeDocument/2006/relationships/hyperlink" Target="https://www.youtube.com/watch?v=6PUBS8MXVzc" TargetMode="External"/><Relationship Id="rId1365" Type="http://schemas.openxmlformats.org/officeDocument/2006/relationships/hyperlink" Target="https://www.youtube.com/watch?v=lkO1JaN7BoQ" TargetMode="External"/><Relationship Id="rId167" Type="http://schemas.openxmlformats.org/officeDocument/2006/relationships/hyperlink" Target="https://www.youtube.com/watch?v=TEUt7CVuFbI" TargetMode="External"/><Relationship Id="rId374" Type="http://schemas.openxmlformats.org/officeDocument/2006/relationships/hyperlink" Target="https://www.youtube.com/watch?v=NfO_yqDrGWs" TargetMode="External"/><Relationship Id="rId581" Type="http://schemas.openxmlformats.org/officeDocument/2006/relationships/hyperlink" Target="https://www.youtube.com/watch?v=fzzIeVO7-qk" TargetMode="External"/><Relationship Id="rId1018" Type="http://schemas.openxmlformats.org/officeDocument/2006/relationships/hyperlink" Target="https://www.youtube.com/watch?v=1uNyxmccf1U" TargetMode="External"/><Relationship Id="rId1225" Type="http://schemas.openxmlformats.org/officeDocument/2006/relationships/hyperlink" Target="https://www.youtube.com/watch?v=9hi4MG3BU0Y" TargetMode="External"/><Relationship Id="rId1432" Type="http://schemas.openxmlformats.org/officeDocument/2006/relationships/hyperlink" Target="https://www.youtube.com/watch?v=oLCI7vQ7WFk" TargetMode="External"/><Relationship Id="rId71" Type="http://schemas.openxmlformats.org/officeDocument/2006/relationships/hyperlink" Target="https://www.youtube.com/watch?v=ycnvyB8pDEM" TargetMode="External"/><Relationship Id="rId234" Type="http://schemas.openxmlformats.org/officeDocument/2006/relationships/hyperlink" Target="https://www.youtube.com/watch?v=TxC_8Xllf-M" TargetMode="External"/><Relationship Id="rId679" Type="http://schemas.openxmlformats.org/officeDocument/2006/relationships/hyperlink" Target="https://www.youtube.com/watch?v=cuauchPBFCY" TargetMode="External"/><Relationship Id="rId802" Type="http://schemas.openxmlformats.org/officeDocument/2006/relationships/hyperlink" Target="https://www.youtube.com/watch?v=JcNaFHIozC4" TargetMode="External"/><Relationship Id="rId886" Type="http://schemas.openxmlformats.org/officeDocument/2006/relationships/hyperlink" Target="https://www.youtube.com/watch?v=a_HGSrmF_8w" TargetMode="External"/><Relationship Id="rId2" Type="http://schemas.openxmlformats.org/officeDocument/2006/relationships/hyperlink" Target="https://www.youtube.com/watch?v=RD7JpM4UrUA" TargetMode="External"/><Relationship Id="rId29" Type="http://schemas.openxmlformats.org/officeDocument/2006/relationships/hyperlink" Target="https://www.youtube.com/watch?v=iBwpK4_JtEw" TargetMode="External"/><Relationship Id="rId441" Type="http://schemas.openxmlformats.org/officeDocument/2006/relationships/hyperlink" Target="https://www.youtube.com/watch?v=mLEhBqCBBYE" TargetMode="External"/><Relationship Id="rId539" Type="http://schemas.openxmlformats.org/officeDocument/2006/relationships/hyperlink" Target="https://www.youtube.com/watch?v=X4TDNzwe3s4" TargetMode="External"/><Relationship Id="rId746" Type="http://schemas.openxmlformats.org/officeDocument/2006/relationships/hyperlink" Target="https://www.youtube.com/watch?v=A6j1KcojG0E" TargetMode="External"/><Relationship Id="rId1071" Type="http://schemas.openxmlformats.org/officeDocument/2006/relationships/hyperlink" Target="https://www.youtube.com/watch?v=bMOOUhzJreA" TargetMode="External"/><Relationship Id="rId1169" Type="http://schemas.openxmlformats.org/officeDocument/2006/relationships/hyperlink" Target="https://www.youtube.com/watch?v=Nattb-ZPK4g" TargetMode="External"/><Relationship Id="rId1376" Type="http://schemas.openxmlformats.org/officeDocument/2006/relationships/hyperlink" Target="https://www.youtube.com/watch?v=xAicQnL_abA" TargetMode="External"/><Relationship Id="rId178" Type="http://schemas.openxmlformats.org/officeDocument/2006/relationships/hyperlink" Target="https://www.youtube.com/watch?v=Wrs0XEoFHAM" TargetMode="External"/><Relationship Id="rId301" Type="http://schemas.openxmlformats.org/officeDocument/2006/relationships/hyperlink" Target="https://www.youtube.com/watch?v=HdBCunbR_jE" TargetMode="External"/><Relationship Id="rId953" Type="http://schemas.openxmlformats.org/officeDocument/2006/relationships/hyperlink" Target="https://www.youtube.com/watch?v=rAWCL2ENS90" TargetMode="External"/><Relationship Id="rId1029" Type="http://schemas.openxmlformats.org/officeDocument/2006/relationships/hyperlink" Target="https://www.youtube.com/watch?v=wu_ONpNjikY" TargetMode="External"/><Relationship Id="rId1236" Type="http://schemas.openxmlformats.org/officeDocument/2006/relationships/hyperlink" Target="https://www.youtube.com/watch?v=kDDNkLWPpUc" TargetMode="External"/><Relationship Id="rId82" Type="http://schemas.openxmlformats.org/officeDocument/2006/relationships/hyperlink" Target="https://www.youtube.com/watch?v=6_9IYK6ZlyY" TargetMode="External"/><Relationship Id="rId385" Type="http://schemas.openxmlformats.org/officeDocument/2006/relationships/hyperlink" Target="https://www.youtube.com/watch?v=LI3VwCn-0WI" TargetMode="External"/><Relationship Id="rId592" Type="http://schemas.openxmlformats.org/officeDocument/2006/relationships/hyperlink" Target="https://www.youtube.com/watch?v=p3i_mI87a3E" TargetMode="External"/><Relationship Id="rId606" Type="http://schemas.openxmlformats.org/officeDocument/2006/relationships/hyperlink" Target="https://www.youtube.com/watch?v=0DzUUFbFZHs" TargetMode="External"/><Relationship Id="rId813" Type="http://schemas.openxmlformats.org/officeDocument/2006/relationships/hyperlink" Target="https://www.youtube.com/watch?v=P1Eurn7tEJM" TargetMode="External"/><Relationship Id="rId1443" Type="http://schemas.openxmlformats.org/officeDocument/2006/relationships/hyperlink" Target="https://www.youtube.com/watch?v=Ul-faWS75vA" TargetMode="External"/><Relationship Id="rId245" Type="http://schemas.openxmlformats.org/officeDocument/2006/relationships/hyperlink" Target="https://www.youtube.com/watch?v=qDcBHNXLxdc" TargetMode="External"/><Relationship Id="rId452" Type="http://schemas.openxmlformats.org/officeDocument/2006/relationships/hyperlink" Target="https://www.youtube.com/watch?v=7zvf9bnLgs8" TargetMode="External"/><Relationship Id="rId897" Type="http://schemas.openxmlformats.org/officeDocument/2006/relationships/hyperlink" Target="https://www.youtube.com/watch?v=xhcu0nbcfy0" TargetMode="External"/><Relationship Id="rId1082" Type="http://schemas.openxmlformats.org/officeDocument/2006/relationships/hyperlink" Target="https://www.youtube.com/watch?v=w1panKQ58dU" TargetMode="External"/><Relationship Id="rId1303" Type="http://schemas.openxmlformats.org/officeDocument/2006/relationships/hyperlink" Target="https://www.youtube.com/watch?v=DVcN5QXGA_w" TargetMode="External"/><Relationship Id="rId1510" Type="http://schemas.openxmlformats.org/officeDocument/2006/relationships/hyperlink" Target="https://www.youtube.com/watch?v=9jjsiAFVdXc" TargetMode="External"/><Relationship Id="rId105" Type="http://schemas.openxmlformats.org/officeDocument/2006/relationships/hyperlink" Target="https://www.youtube.com/watch?v=f-MLHIb4dFU" TargetMode="External"/><Relationship Id="rId312" Type="http://schemas.openxmlformats.org/officeDocument/2006/relationships/hyperlink" Target="https://www.youtube.com/watch?v=5bAuJCTjg8s" TargetMode="External"/><Relationship Id="rId757" Type="http://schemas.openxmlformats.org/officeDocument/2006/relationships/hyperlink" Target="https://www.youtube.com/watch?v=Kg7UNGe9lik" TargetMode="External"/><Relationship Id="rId964" Type="http://schemas.openxmlformats.org/officeDocument/2006/relationships/hyperlink" Target="https://www.youtube.com/watch?v=xAx9rKxKjCk" TargetMode="External"/><Relationship Id="rId1387" Type="http://schemas.openxmlformats.org/officeDocument/2006/relationships/hyperlink" Target="https://www.youtube.com/watch?v=4iGdwJ3nQcs&amp;t=38s" TargetMode="External"/><Relationship Id="rId93" Type="http://schemas.openxmlformats.org/officeDocument/2006/relationships/hyperlink" Target="https://www.youtube.com/watch?v=K9s433rQloA" TargetMode="External"/><Relationship Id="rId189" Type="http://schemas.openxmlformats.org/officeDocument/2006/relationships/hyperlink" Target="https://www.youtube.com/watch?v=iGpYgqX-p8c" TargetMode="External"/><Relationship Id="rId396" Type="http://schemas.openxmlformats.org/officeDocument/2006/relationships/hyperlink" Target="https://www.youtube.com/watch?v=U37L8EPVc5s" TargetMode="External"/><Relationship Id="rId617" Type="http://schemas.openxmlformats.org/officeDocument/2006/relationships/hyperlink" Target="https://www.youtube.com/watch?v=9eSzra79z-I" TargetMode="External"/><Relationship Id="rId824" Type="http://schemas.openxmlformats.org/officeDocument/2006/relationships/hyperlink" Target="https://www.youtube.com/watch?v=_VfaX30ncIU" TargetMode="External"/><Relationship Id="rId1247" Type="http://schemas.openxmlformats.org/officeDocument/2006/relationships/hyperlink" Target="https://www.youtube.com/watch?v=b96t52xbmO8" TargetMode="External"/><Relationship Id="rId1454" Type="http://schemas.openxmlformats.org/officeDocument/2006/relationships/hyperlink" Target="https://www.youtube.com/watch?v=zEXu5K5eyCY" TargetMode="External"/><Relationship Id="rId256" Type="http://schemas.openxmlformats.org/officeDocument/2006/relationships/hyperlink" Target="https://www.youtube.com/watch?v=JErwMUETzvU" TargetMode="External"/><Relationship Id="rId463" Type="http://schemas.openxmlformats.org/officeDocument/2006/relationships/hyperlink" Target="https://www.youtube.com/watch?v=QfYz6BBYpWg" TargetMode="External"/><Relationship Id="rId670" Type="http://schemas.openxmlformats.org/officeDocument/2006/relationships/hyperlink" Target="https://www.youtube.com/watch?v=zgOMSgegwGk" TargetMode="External"/><Relationship Id="rId1093" Type="http://schemas.openxmlformats.org/officeDocument/2006/relationships/hyperlink" Target="https://www.youtube.com/watch?v=dLQSHM_T-jI" TargetMode="External"/><Relationship Id="rId1107" Type="http://schemas.openxmlformats.org/officeDocument/2006/relationships/hyperlink" Target="https://www.youtube.com/watch?v=WtWOT6Hj2vM" TargetMode="External"/><Relationship Id="rId1314" Type="http://schemas.openxmlformats.org/officeDocument/2006/relationships/hyperlink" Target="https://www.youtube.com/watch?v=eQBirhrwc3E" TargetMode="External"/><Relationship Id="rId116" Type="http://schemas.openxmlformats.org/officeDocument/2006/relationships/hyperlink" Target="https://www.youtube.com/watch?v=xtHzknvaS7s" TargetMode="External"/><Relationship Id="rId323" Type="http://schemas.openxmlformats.org/officeDocument/2006/relationships/hyperlink" Target="https://www.youtube.com/watch?v=hgdVPIrlSPU" TargetMode="External"/><Relationship Id="rId530" Type="http://schemas.openxmlformats.org/officeDocument/2006/relationships/hyperlink" Target="https://www.youtube.com/watch?v=hH3jbt-s4aY" TargetMode="External"/><Relationship Id="rId768" Type="http://schemas.openxmlformats.org/officeDocument/2006/relationships/hyperlink" Target="https://www.youtube.com/watch?v=G1vj3YNYQYg" TargetMode="External"/><Relationship Id="rId975" Type="http://schemas.openxmlformats.org/officeDocument/2006/relationships/hyperlink" Target="https://www.youtube.com/watch?v=FQ3dpY5j5y8" TargetMode="External"/><Relationship Id="rId1160" Type="http://schemas.openxmlformats.org/officeDocument/2006/relationships/hyperlink" Target="https://www.youtube.com/watch?v=HmKETjjGv0E" TargetMode="External"/><Relationship Id="rId1398" Type="http://schemas.openxmlformats.org/officeDocument/2006/relationships/hyperlink" Target="https://www.youtube.com/watch?v=WzgR7yTQNzY" TargetMode="External"/><Relationship Id="rId20" Type="http://schemas.openxmlformats.org/officeDocument/2006/relationships/hyperlink" Target="https://www.youtube.com/watch?v=Kxuiy8OL30w" TargetMode="External"/><Relationship Id="rId628" Type="http://schemas.openxmlformats.org/officeDocument/2006/relationships/hyperlink" Target="https://www.youtube.com/watch?v=jB9efRnouaI" TargetMode="External"/><Relationship Id="rId835" Type="http://schemas.openxmlformats.org/officeDocument/2006/relationships/hyperlink" Target="https://www.youtube.com/watch?v=5c75GXSIdlM" TargetMode="External"/><Relationship Id="rId1258" Type="http://schemas.openxmlformats.org/officeDocument/2006/relationships/hyperlink" Target="https://www.youtube.com/watch?v=az7GJp1YAXw" TargetMode="External"/><Relationship Id="rId1465" Type="http://schemas.openxmlformats.org/officeDocument/2006/relationships/hyperlink" Target="https://www.youtube.com/watch?v=h4ZgKKlmUl0&amp;t=481s" TargetMode="External"/><Relationship Id="rId267" Type="http://schemas.openxmlformats.org/officeDocument/2006/relationships/hyperlink" Target="https://www.youtube.com/watch?v=hWBzG7eVqVg" TargetMode="External"/><Relationship Id="rId474" Type="http://schemas.openxmlformats.org/officeDocument/2006/relationships/hyperlink" Target="https://www.youtube.com/watch?v=GajqTVRZzfE" TargetMode="External"/><Relationship Id="rId1020" Type="http://schemas.openxmlformats.org/officeDocument/2006/relationships/hyperlink" Target="https://www.youtube.com/watch?v=NMCXHN1fW9k" TargetMode="External"/><Relationship Id="rId1118" Type="http://schemas.openxmlformats.org/officeDocument/2006/relationships/hyperlink" Target="https://www.youtube.com/watch?v=Pe53dUS_mHE" TargetMode="External"/><Relationship Id="rId1325" Type="http://schemas.openxmlformats.org/officeDocument/2006/relationships/hyperlink" Target="https://www.youtube.com/watch?v=LIl0C87tzGE" TargetMode="External"/><Relationship Id="rId127" Type="http://schemas.openxmlformats.org/officeDocument/2006/relationships/hyperlink" Target="https://www.youtube.com/watch?v=ytrFjytVgtk" TargetMode="External"/><Relationship Id="rId681" Type="http://schemas.openxmlformats.org/officeDocument/2006/relationships/hyperlink" Target="https://www.youtube.com/watch?v=oeJfmsvMRBs" TargetMode="External"/><Relationship Id="rId779" Type="http://schemas.openxmlformats.org/officeDocument/2006/relationships/hyperlink" Target="https://www.youtube.com/watch?v=J2klGHwzFFo" TargetMode="External"/><Relationship Id="rId902" Type="http://schemas.openxmlformats.org/officeDocument/2006/relationships/hyperlink" Target="https://www.youtube.com/watch?v=dSKwv3KOvN8" TargetMode="External"/><Relationship Id="rId986" Type="http://schemas.openxmlformats.org/officeDocument/2006/relationships/hyperlink" Target="https://www.youtube.com/watch?v=s_eR4_6kip8" TargetMode="External"/><Relationship Id="rId31" Type="http://schemas.openxmlformats.org/officeDocument/2006/relationships/hyperlink" Target="https://www.youtube.com/watch?v=NCOKqHoIW7M" TargetMode="External"/><Relationship Id="rId334" Type="http://schemas.openxmlformats.org/officeDocument/2006/relationships/hyperlink" Target="https://www.youtube.com/watch?v=Z7B5IZZhoAI" TargetMode="External"/><Relationship Id="rId541" Type="http://schemas.openxmlformats.org/officeDocument/2006/relationships/hyperlink" Target="https://www.youtube.com/watch?v=_OWY_haNDNI" TargetMode="External"/><Relationship Id="rId639" Type="http://schemas.openxmlformats.org/officeDocument/2006/relationships/hyperlink" Target="https://www.youtube.com/watch?v=XcIm7eWfJ_M" TargetMode="External"/><Relationship Id="rId1171" Type="http://schemas.openxmlformats.org/officeDocument/2006/relationships/hyperlink" Target="https://www.youtube.com/watch?v=EfQbirNpLM8" TargetMode="External"/><Relationship Id="rId1269" Type="http://schemas.openxmlformats.org/officeDocument/2006/relationships/hyperlink" Target="https://www.youtube.com/watch?v=OdRuRzl5pwg" TargetMode="External"/><Relationship Id="rId1476" Type="http://schemas.openxmlformats.org/officeDocument/2006/relationships/hyperlink" Target="https://www.youtube.com/watch?v=ZErxsCxSQsA" TargetMode="External"/><Relationship Id="rId180" Type="http://schemas.openxmlformats.org/officeDocument/2006/relationships/hyperlink" Target="https://www.youtube.com/watch?v=O0wEzvYOTJw" TargetMode="External"/><Relationship Id="rId278" Type="http://schemas.openxmlformats.org/officeDocument/2006/relationships/hyperlink" Target="https://www.youtube.com/watch?v=7ZD3D4mAoaE" TargetMode="External"/><Relationship Id="rId401" Type="http://schemas.openxmlformats.org/officeDocument/2006/relationships/hyperlink" Target="https://www.youtube.com/watch?v=9IzjjqFO5c8" TargetMode="External"/><Relationship Id="rId846" Type="http://schemas.openxmlformats.org/officeDocument/2006/relationships/hyperlink" Target="https://www.youtube.com/watch?v=zV5AbsAy5m4" TargetMode="External"/><Relationship Id="rId1031" Type="http://schemas.openxmlformats.org/officeDocument/2006/relationships/hyperlink" Target="https://www.youtube.com/watch?v=6ufhk6JL8x8" TargetMode="External"/><Relationship Id="rId1129" Type="http://schemas.openxmlformats.org/officeDocument/2006/relationships/hyperlink" Target="https://www.youtube.com/watch?v=Z8Wd8i754cU" TargetMode="External"/><Relationship Id="rId485" Type="http://schemas.openxmlformats.org/officeDocument/2006/relationships/hyperlink" Target="https://www.youtube.com/watch?v=3asYCknfoMo" TargetMode="External"/><Relationship Id="rId692" Type="http://schemas.openxmlformats.org/officeDocument/2006/relationships/hyperlink" Target="https://www.youtube.com/watch?v=7cA62ZHlWx0" TargetMode="External"/><Relationship Id="rId706" Type="http://schemas.openxmlformats.org/officeDocument/2006/relationships/hyperlink" Target="https://www.youtube.com/watch?v=yp1ZVELrxIA" TargetMode="External"/><Relationship Id="rId913" Type="http://schemas.openxmlformats.org/officeDocument/2006/relationships/hyperlink" Target="https://www.youtube.com/watch?v=xVrbpqr1LEE" TargetMode="External"/><Relationship Id="rId1336" Type="http://schemas.openxmlformats.org/officeDocument/2006/relationships/hyperlink" Target="https://www.youtube.com/watch?v=D559dD7btfo" TargetMode="External"/><Relationship Id="rId42" Type="http://schemas.openxmlformats.org/officeDocument/2006/relationships/hyperlink" Target="https://www.youtube.com/watch?v=DMG2XD9_nTI" TargetMode="External"/><Relationship Id="rId138" Type="http://schemas.openxmlformats.org/officeDocument/2006/relationships/hyperlink" Target="https://www.youtube.com/watch?v=M-zdPqtp9Kk" TargetMode="External"/><Relationship Id="rId345" Type="http://schemas.openxmlformats.org/officeDocument/2006/relationships/hyperlink" Target="https://www.youtube.com/watch?v=t_J24YUQNK4" TargetMode="External"/><Relationship Id="rId552" Type="http://schemas.openxmlformats.org/officeDocument/2006/relationships/hyperlink" Target="https://www.youtube.com/watch?v=w5KPpzfrQQY" TargetMode="External"/><Relationship Id="rId997" Type="http://schemas.openxmlformats.org/officeDocument/2006/relationships/hyperlink" Target="https://www.youtube.com/watch?v=udY03G3fVJQ" TargetMode="External"/><Relationship Id="rId1182" Type="http://schemas.openxmlformats.org/officeDocument/2006/relationships/hyperlink" Target="https://www.youtube.com/watch?v=Qh0tc43apsI" TargetMode="External"/><Relationship Id="rId1403" Type="http://schemas.openxmlformats.org/officeDocument/2006/relationships/hyperlink" Target="https://www.youtube.com/watch?v=g8GW7DlPr4g" TargetMode="External"/><Relationship Id="rId191" Type="http://schemas.openxmlformats.org/officeDocument/2006/relationships/hyperlink" Target="https://www.youtube.com/watch?v=schP-IZS5Sw" TargetMode="External"/><Relationship Id="rId205" Type="http://schemas.openxmlformats.org/officeDocument/2006/relationships/hyperlink" Target="https://www.youtube.com/watch?v=8RSu4ymCgp4" TargetMode="External"/><Relationship Id="rId412" Type="http://schemas.openxmlformats.org/officeDocument/2006/relationships/hyperlink" Target="https://www.youtube.com/watch?v=Dymxd9hAemA" TargetMode="External"/><Relationship Id="rId857" Type="http://schemas.openxmlformats.org/officeDocument/2006/relationships/hyperlink" Target="https://www.youtube.com/watch?v=bFIqLn3c85c" TargetMode="External"/><Relationship Id="rId1042" Type="http://schemas.openxmlformats.org/officeDocument/2006/relationships/hyperlink" Target="https://www.youtube.com/watch?v=uTyoGVNa7FA" TargetMode="External"/><Relationship Id="rId1487" Type="http://schemas.openxmlformats.org/officeDocument/2006/relationships/hyperlink" Target="https://www.youtube.com/watch?v=xCLLCYBg7Zc" TargetMode="External"/><Relationship Id="rId289" Type="http://schemas.openxmlformats.org/officeDocument/2006/relationships/hyperlink" Target="https://www.youtube.com/watch?v=75OFJ9IX4tI" TargetMode="External"/><Relationship Id="rId496" Type="http://schemas.openxmlformats.org/officeDocument/2006/relationships/hyperlink" Target="https://www.youtube.com/watch?v=R2XPp4eJXLk" TargetMode="External"/><Relationship Id="rId717" Type="http://schemas.openxmlformats.org/officeDocument/2006/relationships/hyperlink" Target="https://www.youtube.com/watch?v=Xml5nVm8bg0" TargetMode="External"/><Relationship Id="rId924" Type="http://schemas.openxmlformats.org/officeDocument/2006/relationships/hyperlink" Target="https://www.youtube.com/watch?v=9VsQzAI5PLo" TargetMode="External"/><Relationship Id="rId1347" Type="http://schemas.openxmlformats.org/officeDocument/2006/relationships/hyperlink" Target="https://www.youtube.com/watch?v=eKSuEJqn2NI" TargetMode="External"/><Relationship Id="rId53" Type="http://schemas.openxmlformats.org/officeDocument/2006/relationships/hyperlink" Target="https://www.youtube.com/watch?v=WsjxXfklatk" TargetMode="External"/><Relationship Id="rId149" Type="http://schemas.openxmlformats.org/officeDocument/2006/relationships/hyperlink" Target="https://www.youtube.com/watch?v=29-xoooHPaw" TargetMode="External"/><Relationship Id="rId356" Type="http://schemas.openxmlformats.org/officeDocument/2006/relationships/hyperlink" Target="https://www.youtube.com/watch?v=cpZPvFvzNlc" TargetMode="External"/><Relationship Id="rId563" Type="http://schemas.openxmlformats.org/officeDocument/2006/relationships/hyperlink" Target="https://www.youtube.com/watch?v=dZCZp5udJeI" TargetMode="External"/><Relationship Id="rId770" Type="http://schemas.openxmlformats.org/officeDocument/2006/relationships/hyperlink" Target="https://www.youtube.com/watch?v=Ly_KKukp01g" TargetMode="External"/><Relationship Id="rId1193" Type="http://schemas.openxmlformats.org/officeDocument/2006/relationships/hyperlink" Target="https://www.youtube.com/watch?v=MFeGLeUGf6Q" TargetMode="External"/><Relationship Id="rId1207" Type="http://schemas.openxmlformats.org/officeDocument/2006/relationships/hyperlink" Target="https://www.youtube.com/watch?v=0gtyqapBB3A" TargetMode="External"/><Relationship Id="rId1414" Type="http://schemas.openxmlformats.org/officeDocument/2006/relationships/hyperlink" Target="https://www.youtube.com/watch?v=k0FNC9LuJoo&amp;t=4s" TargetMode="External"/><Relationship Id="rId216" Type="http://schemas.openxmlformats.org/officeDocument/2006/relationships/hyperlink" Target="https://www.youtube.com/watch?v=WMf0Mau2TzE" TargetMode="External"/><Relationship Id="rId423" Type="http://schemas.openxmlformats.org/officeDocument/2006/relationships/hyperlink" Target="https://www.youtube.com/watch?v=AOQPqjRx-0c" TargetMode="External"/><Relationship Id="rId868" Type="http://schemas.openxmlformats.org/officeDocument/2006/relationships/hyperlink" Target="https://www.youtube.com/watch?v=txsij6WXt8s" TargetMode="External"/><Relationship Id="rId1053" Type="http://schemas.openxmlformats.org/officeDocument/2006/relationships/hyperlink" Target="https://www.youtube.com/watch?v=iZ6Xk9YCaaY" TargetMode="External"/><Relationship Id="rId1260" Type="http://schemas.openxmlformats.org/officeDocument/2006/relationships/hyperlink" Target="https://www.youtube.com/watch?v=_zmgXM40afU" TargetMode="External"/><Relationship Id="rId1498" Type="http://schemas.openxmlformats.org/officeDocument/2006/relationships/hyperlink" Target="https://www.youtube.com/watch?v=DL5cLBZou3I" TargetMode="External"/><Relationship Id="rId630" Type="http://schemas.openxmlformats.org/officeDocument/2006/relationships/hyperlink" Target="https://www.youtube.com/watch?v=r2uhf3x6oH8" TargetMode="External"/><Relationship Id="rId728" Type="http://schemas.openxmlformats.org/officeDocument/2006/relationships/hyperlink" Target="https://www.youtube.com/watch?v=ZpdQsUkjwMc" TargetMode="External"/><Relationship Id="rId935" Type="http://schemas.openxmlformats.org/officeDocument/2006/relationships/hyperlink" Target="https://www.youtube.com/watch?v=NNu6sJz2cPI" TargetMode="External"/><Relationship Id="rId1358" Type="http://schemas.openxmlformats.org/officeDocument/2006/relationships/hyperlink" Target="https://www.youtube.com/watch?v=RJSsEA6fpJE" TargetMode="External"/><Relationship Id="rId64" Type="http://schemas.openxmlformats.org/officeDocument/2006/relationships/hyperlink" Target="https://www.youtube.com/watch?v=ryQMb29oX3s" TargetMode="External"/><Relationship Id="rId367" Type="http://schemas.openxmlformats.org/officeDocument/2006/relationships/hyperlink" Target="https://www.youtube.com/watch?v=Wu9WbgwxgjI" TargetMode="External"/><Relationship Id="rId574" Type="http://schemas.openxmlformats.org/officeDocument/2006/relationships/hyperlink" Target="https://www.youtube.com/watch?v=0-Ishanuvj8" TargetMode="External"/><Relationship Id="rId1120" Type="http://schemas.openxmlformats.org/officeDocument/2006/relationships/hyperlink" Target="https://www.youtube.com/watch?v=fZLoHeGF4XI" TargetMode="External"/><Relationship Id="rId1218" Type="http://schemas.openxmlformats.org/officeDocument/2006/relationships/hyperlink" Target="https://www.youtube.com/watch?v=4W3kmjNG_K8" TargetMode="External"/><Relationship Id="rId1425" Type="http://schemas.openxmlformats.org/officeDocument/2006/relationships/hyperlink" Target="https://www.youtube.com/watch?v=Ts09Fp7M53k" TargetMode="External"/><Relationship Id="rId227" Type="http://schemas.openxmlformats.org/officeDocument/2006/relationships/hyperlink" Target="https://www.youtube.com/watch?v=iFLc0n8RSAA" TargetMode="External"/><Relationship Id="rId781" Type="http://schemas.openxmlformats.org/officeDocument/2006/relationships/hyperlink" Target="https://www.youtube.com/watch?v=ebsBucPcYoU" TargetMode="External"/><Relationship Id="rId879" Type="http://schemas.openxmlformats.org/officeDocument/2006/relationships/hyperlink" Target="https://www.youtube.com/watch?v=kSNHRGhGt_Y" TargetMode="External"/><Relationship Id="rId434" Type="http://schemas.openxmlformats.org/officeDocument/2006/relationships/hyperlink" Target="https://www.youtube.com/watch?v=30958J1ez4k" TargetMode="External"/><Relationship Id="rId641" Type="http://schemas.openxmlformats.org/officeDocument/2006/relationships/hyperlink" Target="https://www.youtube.com/watch?v=tD7VxQAIPLM" TargetMode="External"/><Relationship Id="rId739" Type="http://schemas.openxmlformats.org/officeDocument/2006/relationships/hyperlink" Target="https://www.youtube.com/watch?v=sTYcLqa56Z4" TargetMode="External"/><Relationship Id="rId1064" Type="http://schemas.openxmlformats.org/officeDocument/2006/relationships/hyperlink" Target="https://www.youtube.com/watch?v=74BW9K7eGtY&amp;t=21s" TargetMode="External"/><Relationship Id="rId1271" Type="http://schemas.openxmlformats.org/officeDocument/2006/relationships/hyperlink" Target="https://www.youtube.com/watch?v=ImpfhngYCCA" TargetMode="External"/><Relationship Id="rId1369" Type="http://schemas.openxmlformats.org/officeDocument/2006/relationships/hyperlink" Target="https://www.youtube.com/watch?v=qY_yQIrKwRk" TargetMode="External"/><Relationship Id="rId280" Type="http://schemas.openxmlformats.org/officeDocument/2006/relationships/hyperlink" Target="https://www.youtube.com/watch?v=ANSSQQ6ZauM" TargetMode="External"/><Relationship Id="rId501" Type="http://schemas.openxmlformats.org/officeDocument/2006/relationships/hyperlink" Target="https://www.youtube.com/watch?v=yr_-UHm07rM" TargetMode="External"/><Relationship Id="rId946" Type="http://schemas.openxmlformats.org/officeDocument/2006/relationships/hyperlink" Target="https://www.youtube.com/watch?v=GB9g4sKWR0M" TargetMode="External"/><Relationship Id="rId1131" Type="http://schemas.openxmlformats.org/officeDocument/2006/relationships/hyperlink" Target="https://www.youtube.com/watch?v=tlCqUXsDwDc" TargetMode="External"/><Relationship Id="rId1229" Type="http://schemas.openxmlformats.org/officeDocument/2006/relationships/hyperlink" Target="https://www.youtube.com/watch?v=XWeFa6jUiPw" TargetMode="External"/><Relationship Id="rId75" Type="http://schemas.openxmlformats.org/officeDocument/2006/relationships/hyperlink" Target="https://www.youtube.com/watch?v=VeR7IhIkDk0" TargetMode="External"/><Relationship Id="rId140" Type="http://schemas.openxmlformats.org/officeDocument/2006/relationships/hyperlink" Target="https://www.youtube.com/watch?v=J5mYtIH7Pho" TargetMode="External"/><Relationship Id="rId378" Type="http://schemas.openxmlformats.org/officeDocument/2006/relationships/hyperlink" Target="https://www.youtube.com/watch?v=0-LZkVdXTnc" TargetMode="External"/><Relationship Id="rId585" Type="http://schemas.openxmlformats.org/officeDocument/2006/relationships/hyperlink" Target="https://www.youtube.com/watch?v=OXYcMlprdL4" TargetMode="External"/><Relationship Id="rId792" Type="http://schemas.openxmlformats.org/officeDocument/2006/relationships/hyperlink" Target="https://www.youtube.com/watch?v=cUULt5zHp0k" TargetMode="External"/><Relationship Id="rId806" Type="http://schemas.openxmlformats.org/officeDocument/2006/relationships/hyperlink" Target="https://www.youtube.com/watch?v=QrVLpFoGRb4" TargetMode="External"/><Relationship Id="rId1436" Type="http://schemas.openxmlformats.org/officeDocument/2006/relationships/hyperlink" Target="https://www.youtube.com/watch?v=3ytmTvor21A" TargetMode="External"/><Relationship Id="rId6" Type="http://schemas.openxmlformats.org/officeDocument/2006/relationships/hyperlink" Target="https://www.youtube.com/watch?v=21ZKFBL-Yc0" TargetMode="External"/><Relationship Id="rId238" Type="http://schemas.openxmlformats.org/officeDocument/2006/relationships/hyperlink" Target="https://www.youtube.com/watch?v=rdyZwjy8Wko" TargetMode="External"/><Relationship Id="rId445" Type="http://schemas.openxmlformats.org/officeDocument/2006/relationships/hyperlink" Target="https://www.youtube.com/watch?v=kmJLZRzZhUA" TargetMode="External"/><Relationship Id="rId652" Type="http://schemas.openxmlformats.org/officeDocument/2006/relationships/hyperlink" Target="https://www.youtube.com/watch?v=wXSD2PQznXI" TargetMode="External"/><Relationship Id="rId1075" Type="http://schemas.openxmlformats.org/officeDocument/2006/relationships/hyperlink" Target="https://www.youtube.com/watch?v=0W0XxcsCH_0" TargetMode="External"/><Relationship Id="rId1282" Type="http://schemas.openxmlformats.org/officeDocument/2006/relationships/hyperlink" Target="https://www.youtube.com/watch?v=0cvq3rbQ7Dw" TargetMode="External"/><Relationship Id="rId1503" Type="http://schemas.openxmlformats.org/officeDocument/2006/relationships/hyperlink" Target="https://www.youtube.com/watch?v=dvcJI5yAd6M&amp;t=122s" TargetMode="External"/><Relationship Id="rId291" Type="http://schemas.openxmlformats.org/officeDocument/2006/relationships/hyperlink" Target="https://www.youtube.com/watch?v=p6HgGSKj2m8" TargetMode="External"/><Relationship Id="rId305" Type="http://schemas.openxmlformats.org/officeDocument/2006/relationships/hyperlink" Target="https://www.youtube.com/watch?v=5K-nmVDwXW0" TargetMode="External"/><Relationship Id="rId512" Type="http://schemas.openxmlformats.org/officeDocument/2006/relationships/hyperlink" Target="https://www.youtube.com/watch?v=_Anq0CTYGt8" TargetMode="External"/><Relationship Id="rId957" Type="http://schemas.openxmlformats.org/officeDocument/2006/relationships/hyperlink" Target="https://www.youtube.com/watch?v=EMznloyYysU" TargetMode="External"/><Relationship Id="rId1142" Type="http://schemas.openxmlformats.org/officeDocument/2006/relationships/hyperlink" Target="https://www.youtube.com/watch?v=BKG8mWyOvuw" TargetMode="External"/><Relationship Id="rId86" Type="http://schemas.openxmlformats.org/officeDocument/2006/relationships/hyperlink" Target="https://www.youtube.com/watch?v=ufZ1BZcZzKI" TargetMode="External"/><Relationship Id="rId151" Type="http://schemas.openxmlformats.org/officeDocument/2006/relationships/hyperlink" Target="https://www.youtube.com/watch?v=y1fdkGgCt64" TargetMode="External"/><Relationship Id="rId389" Type="http://schemas.openxmlformats.org/officeDocument/2006/relationships/hyperlink" Target="https://www.youtube.com/watch?v=Yf6-fJ-LcU8" TargetMode="External"/><Relationship Id="rId596" Type="http://schemas.openxmlformats.org/officeDocument/2006/relationships/hyperlink" Target="https://www.youtube.com/watch?v=kaJQx-nXg6M" TargetMode="External"/><Relationship Id="rId817" Type="http://schemas.openxmlformats.org/officeDocument/2006/relationships/hyperlink" Target="https://www.youtube.com/watch?v=5P0vjP1Hdvs" TargetMode="External"/><Relationship Id="rId1002" Type="http://schemas.openxmlformats.org/officeDocument/2006/relationships/hyperlink" Target="https://www.youtube.com/watch?v=JkMKDP2BOlw&amp;t=169s" TargetMode="External"/><Relationship Id="rId1447" Type="http://schemas.openxmlformats.org/officeDocument/2006/relationships/hyperlink" Target="https://www.youtube.com/watch?v=4ej2lqB-kjM" TargetMode="External"/><Relationship Id="rId249" Type="http://schemas.openxmlformats.org/officeDocument/2006/relationships/hyperlink" Target="https://www.youtube.com/watch?v=UrWQfScMALY" TargetMode="External"/><Relationship Id="rId456" Type="http://schemas.openxmlformats.org/officeDocument/2006/relationships/hyperlink" Target="https://www.youtube.com/watch?v=Th1s8XrKhnk" TargetMode="External"/><Relationship Id="rId663" Type="http://schemas.openxmlformats.org/officeDocument/2006/relationships/hyperlink" Target="https://www.youtube.com/watch?v=3eTjsY7w5kM" TargetMode="External"/><Relationship Id="rId870" Type="http://schemas.openxmlformats.org/officeDocument/2006/relationships/hyperlink" Target="https://www.youtube.com/watch?v=AefxKKTqv5I" TargetMode="External"/><Relationship Id="rId1086" Type="http://schemas.openxmlformats.org/officeDocument/2006/relationships/hyperlink" Target="https://www.youtube.com/watch?v=mxQpJeckKaU" TargetMode="External"/><Relationship Id="rId1293" Type="http://schemas.openxmlformats.org/officeDocument/2006/relationships/hyperlink" Target="https://www.youtube.com/watch?v=Voaw-uef3Tw" TargetMode="External"/><Relationship Id="rId1307" Type="http://schemas.openxmlformats.org/officeDocument/2006/relationships/hyperlink" Target="https://www.youtube.com/watch?v=7-JbRtATwHQ" TargetMode="External"/><Relationship Id="rId1514" Type="http://schemas.openxmlformats.org/officeDocument/2006/relationships/hyperlink" Target="https://www.youtube.com/watch?v=79r5KYH0nBI" TargetMode="External"/><Relationship Id="rId13" Type="http://schemas.openxmlformats.org/officeDocument/2006/relationships/hyperlink" Target="https://www.youtube.com/watch?v=PcNDlU0LyJk" TargetMode="External"/><Relationship Id="rId109" Type="http://schemas.openxmlformats.org/officeDocument/2006/relationships/hyperlink" Target="https://www.youtube.com/watch?v=QWaXqmcxm94" TargetMode="External"/><Relationship Id="rId316" Type="http://schemas.openxmlformats.org/officeDocument/2006/relationships/hyperlink" Target="https://www.youtube.com/watch?v=4h6drLmYTr8" TargetMode="External"/><Relationship Id="rId523" Type="http://schemas.openxmlformats.org/officeDocument/2006/relationships/hyperlink" Target="https://www.youtube.com/watch?v=ZWkU2WQv4mM" TargetMode="External"/><Relationship Id="rId968" Type="http://schemas.openxmlformats.org/officeDocument/2006/relationships/hyperlink" Target="https://www.youtube.com/watch?v=9oRLNbl-DxI" TargetMode="External"/><Relationship Id="rId1153" Type="http://schemas.openxmlformats.org/officeDocument/2006/relationships/hyperlink" Target="https://www.youtube.com/watch?v=qiir-ZWT6yI" TargetMode="External"/><Relationship Id="rId97" Type="http://schemas.openxmlformats.org/officeDocument/2006/relationships/hyperlink" Target="https://www.youtube.com/watch?v=Yhp3rFuo5Cw" TargetMode="External"/><Relationship Id="rId730" Type="http://schemas.openxmlformats.org/officeDocument/2006/relationships/hyperlink" Target="https://www.youtube.com/watch?v=xA9TKhOjY24" TargetMode="External"/><Relationship Id="rId828" Type="http://schemas.openxmlformats.org/officeDocument/2006/relationships/hyperlink" Target="https://www.youtube.com/watch?v=5tMCiwnQlXM" TargetMode="External"/><Relationship Id="rId1013" Type="http://schemas.openxmlformats.org/officeDocument/2006/relationships/hyperlink" Target="https://www.youtube.com/watch?v=xl6nyKVDNCQ" TargetMode="External"/><Relationship Id="rId1360" Type="http://schemas.openxmlformats.org/officeDocument/2006/relationships/hyperlink" Target="https://www.youtube.com/watch?v=BlNY-1vmqvA" TargetMode="External"/><Relationship Id="rId1458" Type="http://schemas.openxmlformats.org/officeDocument/2006/relationships/hyperlink" Target="https://www.youtube.com/watch?v=7IXp156RgtQ" TargetMode="External"/><Relationship Id="rId162" Type="http://schemas.openxmlformats.org/officeDocument/2006/relationships/hyperlink" Target="https://www.youtube.com/watch?v=4eM5V0OXNNU" TargetMode="External"/><Relationship Id="rId467" Type="http://schemas.openxmlformats.org/officeDocument/2006/relationships/hyperlink" Target="https://www.youtube.com/watch?v=iY88UCitwGY" TargetMode="External"/><Relationship Id="rId1097" Type="http://schemas.openxmlformats.org/officeDocument/2006/relationships/hyperlink" Target="https://www.youtube.com/watch?v=0ol6BUtHZu8" TargetMode="External"/><Relationship Id="rId1220" Type="http://schemas.openxmlformats.org/officeDocument/2006/relationships/hyperlink" Target="https://www.youtube.com/watch?v=8usGAaPq-WY" TargetMode="External"/><Relationship Id="rId1318" Type="http://schemas.openxmlformats.org/officeDocument/2006/relationships/hyperlink" Target="https://www.youtube.com/watch?v=JjtvU2xQpaQ" TargetMode="External"/><Relationship Id="rId674" Type="http://schemas.openxmlformats.org/officeDocument/2006/relationships/hyperlink" Target="https://www.youtube.com/watch?v=MP4mGKSR2-0" TargetMode="External"/><Relationship Id="rId881" Type="http://schemas.openxmlformats.org/officeDocument/2006/relationships/hyperlink" Target="https://www.youtube.com/watch?v=adov37an6hU" TargetMode="External"/><Relationship Id="rId979" Type="http://schemas.openxmlformats.org/officeDocument/2006/relationships/hyperlink" Target="https://www.youtube.com/watch?v=ejkbEib1Otk" TargetMode="External"/><Relationship Id="rId24" Type="http://schemas.openxmlformats.org/officeDocument/2006/relationships/hyperlink" Target="https://www.youtube.com/watch?v=2UnJMns3fjs" TargetMode="External"/><Relationship Id="rId327" Type="http://schemas.openxmlformats.org/officeDocument/2006/relationships/hyperlink" Target="https://www.youtube.com/watch?v=wH8I0vSB-Os" TargetMode="External"/><Relationship Id="rId534" Type="http://schemas.openxmlformats.org/officeDocument/2006/relationships/hyperlink" Target="https://www.youtube.com/watch?v=yYhGJH2NjBA" TargetMode="External"/><Relationship Id="rId741" Type="http://schemas.openxmlformats.org/officeDocument/2006/relationships/hyperlink" Target="https://www.youtube.com/watch?v=VxI-y4zU4YE" TargetMode="External"/><Relationship Id="rId839" Type="http://schemas.openxmlformats.org/officeDocument/2006/relationships/hyperlink" Target="https://www.youtube.com/watch?v=rbrxzObExNc" TargetMode="External"/><Relationship Id="rId1164" Type="http://schemas.openxmlformats.org/officeDocument/2006/relationships/hyperlink" Target="https://www.youtube.com/watch?v=B1KtIwSP4_U" TargetMode="External"/><Relationship Id="rId1371" Type="http://schemas.openxmlformats.org/officeDocument/2006/relationships/hyperlink" Target="https://www.youtube.com/watch?v=4ZkNnR--tMY" TargetMode="External"/><Relationship Id="rId1469" Type="http://schemas.openxmlformats.org/officeDocument/2006/relationships/hyperlink" Target="https://www.youtube.com/watch?v=aPfBxS4huSc" TargetMode="External"/><Relationship Id="rId173" Type="http://schemas.openxmlformats.org/officeDocument/2006/relationships/hyperlink" Target="https://www.youtube.com/watch?v=BcDC-Op1hJc" TargetMode="External"/><Relationship Id="rId380" Type="http://schemas.openxmlformats.org/officeDocument/2006/relationships/hyperlink" Target="https://www.youtube.com/watch?v=yIUwgFjMrg8" TargetMode="External"/><Relationship Id="rId601" Type="http://schemas.openxmlformats.org/officeDocument/2006/relationships/hyperlink" Target="https://www.youtube.com/watch?v=tBf6vZKjL9w" TargetMode="External"/><Relationship Id="rId1024" Type="http://schemas.openxmlformats.org/officeDocument/2006/relationships/hyperlink" Target="https://www.youtube.com/watch?v=3vhgcNKVRgY" TargetMode="External"/><Relationship Id="rId1231" Type="http://schemas.openxmlformats.org/officeDocument/2006/relationships/hyperlink" Target="https://www.youtube.com/watch?v=Y5sHrOViVq0" TargetMode="External"/><Relationship Id="rId240" Type="http://schemas.openxmlformats.org/officeDocument/2006/relationships/hyperlink" Target="https://www.youtube.com/watch?v=v6It_CJ27bg" TargetMode="External"/><Relationship Id="rId478" Type="http://schemas.openxmlformats.org/officeDocument/2006/relationships/hyperlink" Target="https://www.youtube.com/watch?v=pfw-rEK12IA" TargetMode="External"/><Relationship Id="rId685" Type="http://schemas.openxmlformats.org/officeDocument/2006/relationships/hyperlink" Target="https://www.youtube.com/watch?v=Cv8kec-TugY" TargetMode="External"/><Relationship Id="rId892" Type="http://schemas.openxmlformats.org/officeDocument/2006/relationships/hyperlink" Target="https://www.youtube.com/watch?v=2Hmcjz_IH8I" TargetMode="External"/><Relationship Id="rId906" Type="http://schemas.openxmlformats.org/officeDocument/2006/relationships/hyperlink" Target="https://www.youtube.com/watch?v=LEotomBnsQk" TargetMode="External"/><Relationship Id="rId1329" Type="http://schemas.openxmlformats.org/officeDocument/2006/relationships/hyperlink" Target="https://www.youtube.com/watch?v=MAt3aD51sUM" TargetMode="External"/><Relationship Id="rId35" Type="http://schemas.openxmlformats.org/officeDocument/2006/relationships/hyperlink" Target="https://www.youtube.com/watch?v=0Y3z-QStbk8" TargetMode="External"/><Relationship Id="rId100" Type="http://schemas.openxmlformats.org/officeDocument/2006/relationships/hyperlink" Target="https://www.youtube.com/watch?v=8qjQH_-WzyE" TargetMode="External"/><Relationship Id="rId338" Type="http://schemas.openxmlformats.org/officeDocument/2006/relationships/hyperlink" Target="https://www.youtube.com/watch?v=fQxUVyFqzpA" TargetMode="External"/><Relationship Id="rId545" Type="http://schemas.openxmlformats.org/officeDocument/2006/relationships/hyperlink" Target="https://www.youtube.com/watch?v=NpqJHyWjh7A" TargetMode="External"/><Relationship Id="rId752" Type="http://schemas.openxmlformats.org/officeDocument/2006/relationships/hyperlink" Target="https://www.youtube.com/watch?v=0DBc4TKwgDc" TargetMode="External"/><Relationship Id="rId1175" Type="http://schemas.openxmlformats.org/officeDocument/2006/relationships/hyperlink" Target="https://www.youtube.com/watch?v=6WJO3QlTEpg" TargetMode="External"/><Relationship Id="rId1382" Type="http://schemas.openxmlformats.org/officeDocument/2006/relationships/hyperlink" Target="https://www.youtube.com/watch?v=0RYS6V76lRQ" TargetMode="External"/><Relationship Id="rId184" Type="http://schemas.openxmlformats.org/officeDocument/2006/relationships/hyperlink" Target="https://www.youtube.com/watch?v=VP5gPVW3XDM" TargetMode="External"/><Relationship Id="rId391" Type="http://schemas.openxmlformats.org/officeDocument/2006/relationships/hyperlink" Target="https://www.youtube.com/watch?v=L2rJctVLi3M" TargetMode="External"/><Relationship Id="rId405" Type="http://schemas.openxmlformats.org/officeDocument/2006/relationships/hyperlink" Target="https://www.youtube.com/watch?v=XeCuvEX-tow" TargetMode="External"/><Relationship Id="rId612" Type="http://schemas.openxmlformats.org/officeDocument/2006/relationships/hyperlink" Target="https://www.youtube.com/watch?v=7JNUG5Lyals" TargetMode="External"/><Relationship Id="rId1035" Type="http://schemas.openxmlformats.org/officeDocument/2006/relationships/hyperlink" Target="https://www.youtube.com/watch?v=D7yIybTWmmU" TargetMode="External"/><Relationship Id="rId1242" Type="http://schemas.openxmlformats.org/officeDocument/2006/relationships/hyperlink" Target="https://www.youtube.com/watch?v=JZ7LHVZfMwM" TargetMode="External"/><Relationship Id="rId251" Type="http://schemas.openxmlformats.org/officeDocument/2006/relationships/hyperlink" Target="https://www.youtube.com/watch?v=6LOxjxiZ3NQ" TargetMode="External"/><Relationship Id="rId489" Type="http://schemas.openxmlformats.org/officeDocument/2006/relationships/hyperlink" Target="https://www.youtube.com/watch?v=TbQkh6axHEM" TargetMode="External"/><Relationship Id="rId696" Type="http://schemas.openxmlformats.org/officeDocument/2006/relationships/hyperlink" Target="https://www.youtube.com/watch?v=5U64D5B9-O0" TargetMode="External"/><Relationship Id="rId917" Type="http://schemas.openxmlformats.org/officeDocument/2006/relationships/hyperlink" Target="https://www.youtube.com/watch?v=5HrBZvxcPmY" TargetMode="External"/><Relationship Id="rId1102" Type="http://schemas.openxmlformats.org/officeDocument/2006/relationships/hyperlink" Target="https://www.youtube.com/watch?v=Zr29r9gnq6A" TargetMode="External"/><Relationship Id="rId46" Type="http://schemas.openxmlformats.org/officeDocument/2006/relationships/hyperlink" Target="https://www.youtube.com/watch?v=5LJPOCxc3E8" TargetMode="External"/><Relationship Id="rId349" Type="http://schemas.openxmlformats.org/officeDocument/2006/relationships/hyperlink" Target="https://www.youtube.com/watch?v=57-MHC42i7g" TargetMode="External"/><Relationship Id="rId556" Type="http://schemas.openxmlformats.org/officeDocument/2006/relationships/hyperlink" Target="https://www.youtube.com/watch?v=1GLaXQ6Rgcg" TargetMode="External"/><Relationship Id="rId763" Type="http://schemas.openxmlformats.org/officeDocument/2006/relationships/hyperlink" Target="https://www.youtube.com/watch?v=V-N1KdB7QTg" TargetMode="External"/><Relationship Id="rId1186" Type="http://schemas.openxmlformats.org/officeDocument/2006/relationships/hyperlink" Target="https://www.youtube.com/watch?v=MqvZxu1TaSQ" TargetMode="External"/><Relationship Id="rId1393" Type="http://schemas.openxmlformats.org/officeDocument/2006/relationships/hyperlink" Target="https://www.youtube.com/watch?v=vhlPSbFlxPI" TargetMode="External"/><Relationship Id="rId1407" Type="http://schemas.openxmlformats.org/officeDocument/2006/relationships/hyperlink" Target="https://www.youtube.com/watch?v=DMReaVWJGFE" TargetMode="External"/><Relationship Id="rId111" Type="http://schemas.openxmlformats.org/officeDocument/2006/relationships/hyperlink" Target="https://www.youtube.com/watch?v=JXjMYvGqqDE" TargetMode="External"/><Relationship Id="rId195" Type="http://schemas.openxmlformats.org/officeDocument/2006/relationships/hyperlink" Target="https://www.youtube.com/watch?v=-WPYCv8jdJc" TargetMode="External"/><Relationship Id="rId209" Type="http://schemas.openxmlformats.org/officeDocument/2006/relationships/hyperlink" Target="https://www.youtube.com/watch?v=k_PhmmAyLFg" TargetMode="External"/><Relationship Id="rId416" Type="http://schemas.openxmlformats.org/officeDocument/2006/relationships/hyperlink" Target="https://www.youtube.com/watch?v=gU4jkSa9phY" TargetMode="External"/><Relationship Id="rId970" Type="http://schemas.openxmlformats.org/officeDocument/2006/relationships/hyperlink" Target="https://www.youtube.com/watch?v=ZhuUYD3QvB8" TargetMode="External"/><Relationship Id="rId1046" Type="http://schemas.openxmlformats.org/officeDocument/2006/relationships/hyperlink" Target="https://www.youtube.com/watch?v=VkyOIj4SQu4" TargetMode="External"/><Relationship Id="rId1253" Type="http://schemas.openxmlformats.org/officeDocument/2006/relationships/hyperlink" Target="https://www.youtube.com/watch?v=13shkRG4RMc" TargetMode="External"/><Relationship Id="rId623" Type="http://schemas.openxmlformats.org/officeDocument/2006/relationships/hyperlink" Target="https://www.youtube.com/watch?v=Iimv8qJijTE" TargetMode="External"/><Relationship Id="rId830" Type="http://schemas.openxmlformats.org/officeDocument/2006/relationships/hyperlink" Target="https://www.youtube.com/watch?v=61VsCIaQhX4" TargetMode="External"/><Relationship Id="rId928" Type="http://schemas.openxmlformats.org/officeDocument/2006/relationships/hyperlink" Target="https://www.youtube.com/watch?v=fmVDyQnLFe4" TargetMode="External"/><Relationship Id="rId1460" Type="http://schemas.openxmlformats.org/officeDocument/2006/relationships/hyperlink" Target="https://www.youtube.com/watch?v=1CJb6PuWDqk" TargetMode="External"/><Relationship Id="rId57" Type="http://schemas.openxmlformats.org/officeDocument/2006/relationships/hyperlink" Target="https://www.youtube.com/watch?v=C3_6Ub1GnfA" TargetMode="External"/><Relationship Id="rId262" Type="http://schemas.openxmlformats.org/officeDocument/2006/relationships/hyperlink" Target="https://www.youtube.com/watch?v=vHGejHQUoio" TargetMode="External"/><Relationship Id="rId567" Type="http://schemas.openxmlformats.org/officeDocument/2006/relationships/hyperlink" Target="https://www.youtube.com/watch?v=Q3ZGmGasWfc" TargetMode="External"/><Relationship Id="rId1113" Type="http://schemas.openxmlformats.org/officeDocument/2006/relationships/hyperlink" Target="https://www.youtube.com/watch?v=07rLdtPRbEE" TargetMode="External"/><Relationship Id="rId1197" Type="http://schemas.openxmlformats.org/officeDocument/2006/relationships/hyperlink" Target="https://www.youtube.com/watch?v=ZoDHsv06lNI" TargetMode="External"/><Relationship Id="rId1320" Type="http://schemas.openxmlformats.org/officeDocument/2006/relationships/hyperlink" Target="https://www.youtube.com/watch?v=C6sAuCIhIzA" TargetMode="External"/><Relationship Id="rId1418" Type="http://schemas.openxmlformats.org/officeDocument/2006/relationships/hyperlink" Target="https://www.youtube.com/watch?v=VKbVHIgKbbo" TargetMode="External"/><Relationship Id="rId122" Type="http://schemas.openxmlformats.org/officeDocument/2006/relationships/hyperlink" Target="https://www.youtube.com/watch?v=QZxRsM9xvK4" TargetMode="External"/><Relationship Id="rId774" Type="http://schemas.openxmlformats.org/officeDocument/2006/relationships/hyperlink" Target="https://www.youtube.com/watch?v=xjoBDX3u1Ys" TargetMode="External"/><Relationship Id="rId981" Type="http://schemas.openxmlformats.org/officeDocument/2006/relationships/hyperlink" Target="https://www.youtube.com/watch?v=4PxIlOKBbng" TargetMode="External"/><Relationship Id="rId1057" Type="http://schemas.openxmlformats.org/officeDocument/2006/relationships/hyperlink" Target="https://www.youtube.com/watch?v=Q7TqlnXF3cA" TargetMode="External"/><Relationship Id="rId427" Type="http://schemas.openxmlformats.org/officeDocument/2006/relationships/hyperlink" Target="https://www.youtube.com/watch?v=9ScY3DQ8lnM" TargetMode="External"/><Relationship Id="rId634" Type="http://schemas.openxmlformats.org/officeDocument/2006/relationships/hyperlink" Target="https://www.youtube.com/watch?v=hbcWYVaowqI" TargetMode="External"/><Relationship Id="rId841" Type="http://schemas.openxmlformats.org/officeDocument/2006/relationships/hyperlink" Target="https://www.youtube.com/watch?v=G6rcMSQ1UVE" TargetMode="External"/><Relationship Id="rId1264" Type="http://schemas.openxmlformats.org/officeDocument/2006/relationships/hyperlink" Target="https://www.youtube.com/watch?v=-c4KLljIDeo" TargetMode="External"/><Relationship Id="rId1471" Type="http://schemas.openxmlformats.org/officeDocument/2006/relationships/hyperlink" Target="https://www.youtube.com/watch?v=HQK8u4lh7y0" TargetMode="External"/><Relationship Id="rId273" Type="http://schemas.openxmlformats.org/officeDocument/2006/relationships/hyperlink" Target="https://www.youtube.com/watch?v=2WYZtS_LLog" TargetMode="External"/><Relationship Id="rId480" Type="http://schemas.openxmlformats.org/officeDocument/2006/relationships/hyperlink" Target="https://www.youtube.com/watch?v=4H5piNrmsCU" TargetMode="External"/><Relationship Id="rId701" Type="http://schemas.openxmlformats.org/officeDocument/2006/relationships/hyperlink" Target="https://www.youtube.com/watch?v=YHee5lF9yPc" TargetMode="External"/><Relationship Id="rId939" Type="http://schemas.openxmlformats.org/officeDocument/2006/relationships/hyperlink" Target="https://www.youtube.com/watch?v=GiNhw1WJNXc" TargetMode="External"/><Relationship Id="rId1124" Type="http://schemas.openxmlformats.org/officeDocument/2006/relationships/hyperlink" Target="https://www.youtube.com/watch?v=8M2LUwJGwHw" TargetMode="External"/><Relationship Id="rId1331" Type="http://schemas.openxmlformats.org/officeDocument/2006/relationships/hyperlink" Target="https://www.youtube.com/watch?v=EXkq2inhXiw" TargetMode="External"/><Relationship Id="rId68" Type="http://schemas.openxmlformats.org/officeDocument/2006/relationships/hyperlink" Target="https://www.youtube.com/watch?v=lzMEDrUFlpw" TargetMode="External"/><Relationship Id="rId133" Type="http://schemas.openxmlformats.org/officeDocument/2006/relationships/hyperlink" Target="https://www.youtube.com/watch?v=HZ6X5Xt1nS8" TargetMode="External"/><Relationship Id="rId340" Type="http://schemas.openxmlformats.org/officeDocument/2006/relationships/hyperlink" Target="https://www.youtube.com/watch?v=wgud4Fi47XA" TargetMode="External"/><Relationship Id="rId578" Type="http://schemas.openxmlformats.org/officeDocument/2006/relationships/hyperlink" Target="https://www.youtube.com/watch?v=NQUbNykwFG4" TargetMode="External"/><Relationship Id="rId785" Type="http://schemas.openxmlformats.org/officeDocument/2006/relationships/hyperlink" Target="https://www.youtube.com/watch?v=go47jpA5M1A" TargetMode="External"/><Relationship Id="rId992" Type="http://schemas.openxmlformats.org/officeDocument/2006/relationships/hyperlink" Target="https://www.youtube.com/watch?v=5XqO9FCH3Xk" TargetMode="External"/><Relationship Id="rId1429" Type="http://schemas.openxmlformats.org/officeDocument/2006/relationships/hyperlink" Target="https://www.youtube.com/watch?v=1wYg5d-4aVg" TargetMode="External"/><Relationship Id="rId200" Type="http://schemas.openxmlformats.org/officeDocument/2006/relationships/hyperlink" Target="https://www.youtube.com/watch?v=SrCfhdoTLfg" TargetMode="External"/><Relationship Id="rId438" Type="http://schemas.openxmlformats.org/officeDocument/2006/relationships/hyperlink" Target="https://www.youtube.com/watch?v=dXkhbNnOMy0" TargetMode="External"/><Relationship Id="rId645" Type="http://schemas.openxmlformats.org/officeDocument/2006/relationships/hyperlink" Target="https://www.youtube.com/watch?v=sdUuukDpj9s" TargetMode="External"/><Relationship Id="rId852" Type="http://schemas.openxmlformats.org/officeDocument/2006/relationships/hyperlink" Target="https://www.youtube.com/watch?v=inpmzGJn2LU" TargetMode="External"/><Relationship Id="rId1068" Type="http://schemas.openxmlformats.org/officeDocument/2006/relationships/hyperlink" Target="https://www.youtube.com/watch?v=2yRygpW0RYY" TargetMode="External"/><Relationship Id="rId1275" Type="http://schemas.openxmlformats.org/officeDocument/2006/relationships/hyperlink" Target="https://www.youtube.com/watch?v=NpCmOPhka6g" TargetMode="External"/><Relationship Id="rId1482" Type="http://schemas.openxmlformats.org/officeDocument/2006/relationships/hyperlink" Target="https://www.youtube.com/watch?v=JlEmX46IYNY" TargetMode="External"/><Relationship Id="rId284" Type="http://schemas.openxmlformats.org/officeDocument/2006/relationships/hyperlink" Target="https://www.youtube.com/watch?v=k54XQ5I1Nzo" TargetMode="External"/><Relationship Id="rId491" Type="http://schemas.openxmlformats.org/officeDocument/2006/relationships/hyperlink" Target="https://www.youtube.com/watch?v=1_8y5fSSOlE" TargetMode="External"/><Relationship Id="rId505" Type="http://schemas.openxmlformats.org/officeDocument/2006/relationships/hyperlink" Target="https://www.youtube.com/watch?v=11Ben3IvDQ0" TargetMode="External"/><Relationship Id="rId712" Type="http://schemas.openxmlformats.org/officeDocument/2006/relationships/hyperlink" Target="https://www.youtube.com/watch?v=wKE7d6nLsDM" TargetMode="External"/><Relationship Id="rId1135" Type="http://schemas.openxmlformats.org/officeDocument/2006/relationships/hyperlink" Target="https://www.youtube.com/watch?v=aBwX_u__31I" TargetMode="External"/><Relationship Id="rId1342" Type="http://schemas.openxmlformats.org/officeDocument/2006/relationships/hyperlink" Target="https://www.youtube.com/watch?v=lkDfIrZy2VY" TargetMode="External"/><Relationship Id="rId79" Type="http://schemas.openxmlformats.org/officeDocument/2006/relationships/hyperlink" Target="https://www.youtube.com/watch?v=THua8SMPtK4" TargetMode="External"/><Relationship Id="rId144" Type="http://schemas.openxmlformats.org/officeDocument/2006/relationships/hyperlink" Target="https://www.youtube.com/watch?v=MlTxtaiX1xI" TargetMode="External"/><Relationship Id="rId589" Type="http://schemas.openxmlformats.org/officeDocument/2006/relationships/hyperlink" Target="https://www.youtube.com/watch?v=c13ZN5rYckE" TargetMode="External"/><Relationship Id="rId796" Type="http://schemas.openxmlformats.org/officeDocument/2006/relationships/hyperlink" Target="https://www.youtube.com/watch?v=C3knBzrgTTY" TargetMode="External"/><Relationship Id="rId1202" Type="http://schemas.openxmlformats.org/officeDocument/2006/relationships/hyperlink" Target="https://www.youtube.com/watch?v=ZI3BJk08OWI" TargetMode="External"/><Relationship Id="rId351" Type="http://schemas.openxmlformats.org/officeDocument/2006/relationships/hyperlink" Target="https://www.youtube.com/watch?v=pO9qCeA640E" TargetMode="External"/><Relationship Id="rId449" Type="http://schemas.openxmlformats.org/officeDocument/2006/relationships/hyperlink" Target="https://www.youtube.com/watch?v=v6x52noLJOo" TargetMode="External"/><Relationship Id="rId656" Type="http://schemas.openxmlformats.org/officeDocument/2006/relationships/hyperlink" Target="https://www.youtube.com/watch?v=7bZemcM70W0" TargetMode="External"/><Relationship Id="rId863" Type="http://schemas.openxmlformats.org/officeDocument/2006/relationships/hyperlink" Target="https://www.youtube.com/watch?v=6aJLKt2nXsg" TargetMode="External"/><Relationship Id="rId1079" Type="http://schemas.openxmlformats.org/officeDocument/2006/relationships/hyperlink" Target="https://www.youtube.com/watch?v=Wr_CIMPuH3I" TargetMode="External"/><Relationship Id="rId1286" Type="http://schemas.openxmlformats.org/officeDocument/2006/relationships/hyperlink" Target="https://www.youtube.com/watch?v=Yb0AWtlb8-g" TargetMode="External"/><Relationship Id="rId1493" Type="http://schemas.openxmlformats.org/officeDocument/2006/relationships/hyperlink" Target="https://www.youtube.com/watch?v=c50rfZlrNXU" TargetMode="External"/><Relationship Id="rId1507" Type="http://schemas.openxmlformats.org/officeDocument/2006/relationships/hyperlink" Target="https://www.youtube.com/watch?v=JB_lc00AWIE" TargetMode="External"/><Relationship Id="rId211" Type="http://schemas.openxmlformats.org/officeDocument/2006/relationships/hyperlink" Target="https://www.youtube.com/watch?v=tUBrwCmKx8s" TargetMode="External"/><Relationship Id="rId295" Type="http://schemas.openxmlformats.org/officeDocument/2006/relationships/hyperlink" Target="https://www.youtube.com/watch?v=sdhISUDYvX4" TargetMode="External"/><Relationship Id="rId309" Type="http://schemas.openxmlformats.org/officeDocument/2006/relationships/hyperlink" Target="https://www.youtube.com/watch?v=ucgD3lqwZX0" TargetMode="External"/><Relationship Id="rId516" Type="http://schemas.openxmlformats.org/officeDocument/2006/relationships/hyperlink" Target="https://www.youtube.com/watch?v=qGie_-i1j6o" TargetMode="External"/><Relationship Id="rId1146" Type="http://schemas.openxmlformats.org/officeDocument/2006/relationships/hyperlink" Target="https://www.youtube.com/watch?v=BsEY7XJTv70" TargetMode="External"/><Relationship Id="rId723" Type="http://schemas.openxmlformats.org/officeDocument/2006/relationships/hyperlink" Target="https://www.youtube.com/watch?v=DYtc95s7Kpc" TargetMode="External"/><Relationship Id="rId930" Type="http://schemas.openxmlformats.org/officeDocument/2006/relationships/hyperlink" Target="https://www.youtube.com/watch?v=ohUG8LIy7Cs" TargetMode="External"/><Relationship Id="rId1006" Type="http://schemas.openxmlformats.org/officeDocument/2006/relationships/hyperlink" Target="https://www.youtube.com/watch?v=qEJJIhs02cI" TargetMode="External"/><Relationship Id="rId1353" Type="http://schemas.openxmlformats.org/officeDocument/2006/relationships/hyperlink" Target="https://www.youtube.com/watch?v=Lrh5zQHEIk4" TargetMode="External"/><Relationship Id="rId155" Type="http://schemas.openxmlformats.org/officeDocument/2006/relationships/hyperlink" Target="https://www.youtube.com/watch?v=54lSHTtU68A" TargetMode="External"/><Relationship Id="rId362" Type="http://schemas.openxmlformats.org/officeDocument/2006/relationships/hyperlink" Target="https://www.youtube.com/watch?v=qsCWK-TQVsk" TargetMode="External"/><Relationship Id="rId1213" Type="http://schemas.openxmlformats.org/officeDocument/2006/relationships/hyperlink" Target="https://www.youtube.com/watch?v=J2Z6w1bXfYc" TargetMode="External"/><Relationship Id="rId1297" Type="http://schemas.openxmlformats.org/officeDocument/2006/relationships/hyperlink" Target="https://www.youtube.com/watch?v=n5lHU4Qyfbk" TargetMode="External"/><Relationship Id="rId1420" Type="http://schemas.openxmlformats.org/officeDocument/2006/relationships/hyperlink" Target="https://www.youtube.com/watch?v=uaTb9-4kT2Y" TargetMode="External"/><Relationship Id="rId222" Type="http://schemas.openxmlformats.org/officeDocument/2006/relationships/hyperlink" Target="https://www.youtube.com/watch?v=61LvuBJ6Ojs" TargetMode="External"/><Relationship Id="rId667" Type="http://schemas.openxmlformats.org/officeDocument/2006/relationships/hyperlink" Target="https://www.youtube.com/watch?v=gtDa8NLyc74" TargetMode="External"/><Relationship Id="rId874" Type="http://schemas.openxmlformats.org/officeDocument/2006/relationships/hyperlink" Target="https://www.youtube.com/watch?v=o-395A-OrOQ" TargetMode="External"/><Relationship Id="rId17" Type="http://schemas.openxmlformats.org/officeDocument/2006/relationships/hyperlink" Target="https://www.youtube.com/watch?v=0_EJXPWJN4E" TargetMode="External"/><Relationship Id="rId527" Type="http://schemas.openxmlformats.org/officeDocument/2006/relationships/hyperlink" Target="https://www.youtube.com/watch?v=mNRX-8C-RmY" TargetMode="External"/><Relationship Id="rId734" Type="http://schemas.openxmlformats.org/officeDocument/2006/relationships/hyperlink" Target="https://www.youtube.com/watch?v=qY5oQOirve4" TargetMode="External"/><Relationship Id="rId941" Type="http://schemas.openxmlformats.org/officeDocument/2006/relationships/hyperlink" Target="https://www.youtube.com/watch?v=NRep5rGd_FU" TargetMode="External"/><Relationship Id="rId1157" Type="http://schemas.openxmlformats.org/officeDocument/2006/relationships/hyperlink" Target="https://www.youtube.com/watch?v=6PUBS8MXVzc" TargetMode="External"/><Relationship Id="rId1364" Type="http://schemas.openxmlformats.org/officeDocument/2006/relationships/hyperlink" Target="https://www.youtube.com/watch?v=iwaHs0-q9l8" TargetMode="External"/><Relationship Id="rId70" Type="http://schemas.openxmlformats.org/officeDocument/2006/relationships/hyperlink" Target="https://www.youtube.com/watch?v=qCG2vqnaUx4" TargetMode="External"/><Relationship Id="rId166" Type="http://schemas.openxmlformats.org/officeDocument/2006/relationships/hyperlink" Target="https://www.youtube.com/watch?v=3pxgnl2fHZg" TargetMode="External"/><Relationship Id="rId373" Type="http://schemas.openxmlformats.org/officeDocument/2006/relationships/hyperlink" Target="https://www.youtube.com/watch?v=NfO_yqDrGWs" TargetMode="External"/><Relationship Id="rId580" Type="http://schemas.openxmlformats.org/officeDocument/2006/relationships/hyperlink" Target="https://www.youtube.com/watch?v=zILqg37PouM" TargetMode="External"/><Relationship Id="rId801" Type="http://schemas.openxmlformats.org/officeDocument/2006/relationships/hyperlink" Target="https://www.youtube.com/watch?v=JcNaFHIozC4" TargetMode="External"/><Relationship Id="rId1017" Type="http://schemas.openxmlformats.org/officeDocument/2006/relationships/hyperlink" Target="https://www.youtube.com/watch?v=1uNyxmccf1U" TargetMode="External"/><Relationship Id="rId1224" Type="http://schemas.openxmlformats.org/officeDocument/2006/relationships/hyperlink" Target="https://www.youtube.com/watch?v=r0tSX3M-7oM&amp;t=41s" TargetMode="External"/><Relationship Id="rId1431" Type="http://schemas.openxmlformats.org/officeDocument/2006/relationships/hyperlink" Target="https://www.youtube.com/watch?v=oLCI7vQ7WFk" TargetMode="External"/><Relationship Id="rId1" Type="http://schemas.openxmlformats.org/officeDocument/2006/relationships/hyperlink" Target="https://www.youtube.com/watch?v=RD7JpM4UrUA" TargetMode="External"/><Relationship Id="rId233" Type="http://schemas.openxmlformats.org/officeDocument/2006/relationships/hyperlink" Target="https://www.youtube.com/watch?v=TxC_8Xllf-M" TargetMode="External"/><Relationship Id="rId440" Type="http://schemas.openxmlformats.org/officeDocument/2006/relationships/hyperlink" Target="https://www.youtube.com/watch?v=YD-IKZbbHeU" TargetMode="External"/><Relationship Id="rId678" Type="http://schemas.openxmlformats.org/officeDocument/2006/relationships/hyperlink" Target="https://www.youtube.com/watch?v=LkTTH9gGQwA" TargetMode="External"/><Relationship Id="rId885" Type="http://schemas.openxmlformats.org/officeDocument/2006/relationships/hyperlink" Target="https://www.youtube.com/watch?v=a_HGSrmF_8w" TargetMode="External"/><Relationship Id="rId1070" Type="http://schemas.openxmlformats.org/officeDocument/2006/relationships/hyperlink" Target="https://www.youtube.com/watch?v=Y3j3g76ggFE" TargetMode="External"/><Relationship Id="rId28" Type="http://schemas.openxmlformats.org/officeDocument/2006/relationships/hyperlink" Target="https://www.youtube.com/watch?v=Smd_3o5vtLo" TargetMode="External"/><Relationship Id="rId300" Type="http://schemas.openxmlformats.org/officeDocument/2006/relationships/hyperlink" Target="https://www.youtube.com/watch?v=PjvzuUMMZs4" TargetMode="External"/><Relationship Id="rId538" Type="http://schemas.openxmlformats.org/officeDocument/2006/relationships/hyperlink" Target="https://www.youtube.com/watch?v=k6dsew1B6SE" TargetMode="External"/><Relationship Id="rId745" Type="http://schemas.openxmlformats.org/officeDocument/2006/relationships/hyperlink" Target="https://www.youtube.com/watch?v=A6j1KcojG0E" TargetMode="External"/><Relationship Id="rId952" Type="http://schemas.openxmlformats.org/officeDocument/2006/relationships/hyperlink" Target="https://www.youtube.com/watch?v=Hqx5Pfe-4NI" TargetMode="External"/><Relationship Id="rId1168" Type="http://schemas.openxmlformats.org/officeDocument/2006/relationships/hyperlink" Target="https://www.youtube.com/watch?v=sGXLoCpynsU" TargetMode="External"/><Relationship Id="rId1375" Type="http://schemas.openxmlformats.org/officeDocument/2006/relationships/hyperlink" Target="https://www.youtube.com/watch?v=xAicQnL_abA" TargetMode="External"/><Relationship Id="rId81" Type="http://schemas.openxmlformats.org/officeDocument/2006/relationships/hyperlink" Target="https://www.youtube.com/watch?v=6_9IYK6ZlyY" TargetMode="External"/><Relationship Id="rId177" Type="http://schemas.openxmlformats.org/officeDocument/2006/relationships/hyperlink" Target="https://www.youtube.com/watch?v=Wrs0XEoFHAM" TargetMode="External"/><Relationship Id="rId384" Type="http://schemas.openxmlformats.org/officeDocument/2006/relationships/hyperlink" Target="https://www.youtube.com/watch?v=EWnc9FdyP7s" TargetMode="External"/><Relationship Id="rId591" Type="http://schemas.openxmlformats.org/officeDocument/2006/relationships/hyperlink" Target="https://www.youtube.com/watch?v=p3i_mI87a3E" TargetMode="External"/><Relationship Id="rId605" Type="http://schemas.openxmlformats.org/officeDocument/2006/relationships/hyperlink" Target="https://www.youtube.com/watch?v=0DzUUFbFZHs" TargetMode="External"/><Relationship Id="rId812" Type="http://schemas.openxmlformats.org/officeDocument/2006/relationships/hyperlink" Target="https://www.youtube.com/watch?v=AcHVZjv6cAs" TargetMode="External"/><Relationship Id="rId1028" Type="http://schemas.openxmlformats.org/officeDocument/2006/relationships/hyperlink" Target="https://www.youtube.com/watch?v=wYCmU0vaKvc" TargetMode="External"/><Relationship Id="rId1235" Type="http://schemas.openxmlformats.org/officeDocument/2006/relationships/hyperlink" Target="https://www.youtube.com/watch?v=kDDNkLWPpUc" TargetMode="External"/><Relationship Id="rId1442" Type="http://schemas.openxmlformats.org/officeDocument/2006/relationships/hyperlink" Target="https://www.youtube.com/watch?v=tmCFtpj6IZc" TargetMode="External"/><Relationship Id="rId244" Type="http://schemas.openxmlformats.org/officeDocument/2006/relationships/hyperlink" Target="https://www.youtube.com/watch?v=67Y76FPHZ-g" TargetMode="External"/><Relationship Id="rId689" Type="http://schemas.openxmlformats.org/officeDocument/2006/relationships/hyperlink" Target="https://www.youtube.com/watch?v=spEEA-o1zlE" TargetMode="External"/><Relationship Id="rId896" Type="http://schemas.openxmlformats.org/officeDocument/2006/relationships/hyperlink" Target="https://www.youtube.com/watch?v=2U1DVGO8vo4" TargetMode="External"/><Relationship Id="rId1081" Type="http://schemas.openxmlformats.org/officeDocument/2006/relationships/hyperlink" Target="https://www.youtube.com/watch?v=w1panKQ58dU" TargetMode="External"/><Relationship Id="rId1302" Type="http://schemas.openxmlformats.org/officeDocument/2006/relationships/hyperlink" Target="https://www.youtube.com/watch?v=9FgUTz996bs" TargetMode="External"/><Relationship Id="rId39" Type="http://schemas.openxmlformats.org/officeDocument/2006/relationships/hyperlink" Target="https://www.youtube.com/watch?v=_IcfDP-ezpo" TargetMode="External"/><Relationship Id="rId451" Type="http://schemas.openxmlformats.org/officeDocument/2006/relationships/hyperlink" Target="https://www.youtube.com/watch?v=7zvf9bnLgs8" TargetMode="External"/><Relationship Id="rId549" Type="http://schemas.openxmlformats.org/officeDocument/2006/relationships/hyperlink" Target="https://www.youtube.com/watch?v=srr9jTynwdo" TargetMode="External"/><Relationship Id="rId756" Type="http://schemas.openxmlformats.org/officeDocument/2006/relationships/hyperlink" Target="https://www.youtube.com/watch?v=FQmwAFcJSpw" TargetMode="External"/><Relationship Id="rId1179" Type="http://schemas.openxmlformats.org/officeDocument/2006/relationships/hyperlink" Target="https://www.youtube.com/watch?v=k8zAYJDE01E" TargetMode="External"/><Relationship Id="rId1386" Type="http://schemas.openxmlformats.org/officeDocument/2006/relationships/hyperlink" Target="https://www.youtube.com/watch?v=7AYmPqY5iF4" TargetMode="External"/><Relationship Id="rId104" Type="http://schemas.openxmlformats.org/officeDocument/2006/relationships/hyperlink" Target="https://www.youtube.com/watch?v=-udb2VYB5uo" TargetMode="External"/><Relationship Id="rId188" Type="http://schemas.openxmlformats.org/officeDocument/2006/relationships/hyperlink" Target="https://www.youtube.com/watch?v=fjD9BVlmPoA" TargetMode="External"/><Relationship Id="rId311" Type="http://schemas.openxmlformats.org/officeDocument/2006/relationships/hyperlink" Target="https://www.youtube.com/watch?v=5bAuJCTjg8s" TargetMode="External"/><Relationship Id="rId395" Type="http://schemas.openxmlformats.org/officeDocument/2006/relationships/hyperlink" Target="https://www.youtube.com/watch?v=U37L8EPVc5s" TargetMode="External"/><Relationship Id="rId409" Type="http://schemas.openxmlformats.org/officeDocument/2006/relationships/hyperlink" Target="https://www.youtube.com/watch?v=t63m6GCrKbw" TargetMode="External"/><Relationship Id="rId963" Type="http://schemas.openxmlformats.org/officeDocument/2006/relationships/hyperlink" Target="https://www.youtube.com/watch?v=xAx9rKxKjCk" TargetMode="External"/><Relationship Id="rId1039" Type="http://schemas.openxmlformats.org/officeDocument/2006/relationships/hyperlink" Target="https://www.youtube.com/watch?v=4pkD8CkJiIQ" TargetMode="External"/><Relationship Id="rId1246" Type="http://schemas.openxmlformats.org/officeDocument/2006/relationships/hyperlink" Target="https://www.youtube.com/watch?v=HzuZ57Y3-VQ" TargetMode="External"/><Relationship Id="rId92" Type="http://schemas.openxmlformats.org/officeDocument/2006/relationships/hyperlink" Target="https://www.youtube.com/watch?v=20u8yHim1tM" TargetMode="External"/><Relationship Id="rId616" Type="http://schemas.openxmlformats.org/officeDocument/2006/relationships/hyperlink" Target="https://www.youtube.com/watch?v=2RlQdQoP4mE" TargetMode="External"/><Relationship Id="rId823" Type="http://schemas.openxmlformats.org/officeDocument/2006/relationships/hyperlink" Target="https://www.youtube.com/watch?v=_VfaX30ncIU" TargetMode="External"/><Relationship Id="rId1453" Type="http://schemas.openxmlformats.org/officeDocument/2006/relationships/hyperlink" Target="https://www.youtube.com/watch?v=zEXu5K5eyCY" TargetMode="External"/><Relationship Id="rId255" Type="http://schemas.openxmlformats.org/officeDocument/2006/relationships/hyperlink" Target="https://www.youtube.com/watch?v=JErwMUETzvU" TargetMode="External"/><Relationship Id="rId462" Type="http://schemas.openxmlformats.org/officeDocument/2006/relationships/hyperlink" Target="https://www.youtube.com/watch?v=xGvABG6vfLg" TargetMode="External"/><Relationship Id="rId1092" Type="http://schemas.openxmlformats.org/officeDocument/2006/relationships/hyperlink" Target="https://www.youtube.com/watch?v=av1BWeMbl1Q" TargetMode="External"/><Relationship Id="rId1106" Type="http://schemas.openxmlformats.org/officeDocument/2006/relationships/hyperlink" Target="https://www.youtube.com/watch?v=R6bvpvI1_uY" TargetMode="External"/><Relationship Id="rId1313" Type="http://schemas.openxmlformats.org/officeDocument/2006/relationships/hyperlink" Target="https://www.youtube.com/watch?v=eQBirhrwc3E" TargetMode="External"/><Relationship Id="rId1397" Type="http://schemas.openxmlformats.org/officeDocument/2006/relationships/hyperlink" Target="https://www.youtube.com/watch?v=WzgR7yTQNzY" TargetMode="External"/><Relationship Id="rId115" Type="http://schemas.openxmlformats.org/officeDocument/2006/relationships/hyperlink" Target="https://www.youtube.com/watch?v=xtHzknvaS7s" TargetMode="External"/><Relationship Id="rId322" Type="http://schemas.openxmlformats.org/officeDocument/2006/relationships/hyperlink" Target="https://www.youtube.com/watch?v=yaOVnZ7W-Qc" TargetMode="External"/><Relationship Id="rId767" Type="http://schemas.openxmlformats.org/officeDocument/2006/relationships/hyperlink" Target="https://www.youtube.com/watch?v=G1vj3YNYQYg" TargetMode="External"/><Relationship Id="rId974" Type="http://schemas.openxmlformats.org/officeDocument/2006/relationships/hyperlink" Target="https://www.youtube.com/watch?v=FTdLV7hcCvI" TargetMode="External"/><Relationship Id="rId199" Type="http://schemas.openxmlformats.org/officeDocument/2006/relationships/hyperlink" Target="https://www.youtube.com/watch?v=SrCfhdoTLfg" TargetMode="External"/><Relationship Id="rId627" Type="http://schemas.openxmlformats.org/officeDocument/2006/relationships/hyperlink" Target="https://www.youtube.com/watch?v=jB9efRnouaI" TargetMode="External"/><Relationship Id="rId834" Type="http://schemas.openxmlformats.org/officeDocument/2006/relationships/hyperlink" Target="https://www.youtube.com/watch?v=bF-3L4O8Nq8" TargetMode="External"/><Relationship Id="rId1257" Type="http://schemas.openxmlformats.org/officeDocument/2006/relationships/hyperlink" Target="https://www.youtube.com/watch?v=az7GJp1YAXw" TargetMode="External"/><Relationship Id="rId1464" Type="http://schemas.openxmlformats.org/officeDocument/2006/relationships/hyperlink" Target="https://www.youtube.com/watch?v=lyiuoR-2E6I" TargetMode="External"/><Relationship Id="rId266" Type="http://schemas.openxmlformats.org/officeDocument/2006/relationships/hyperlink" Target="https://www.youtube.com/watch?v=kQP4pUPNjqs" TargetMode="External"/><Relationship Id="rId473" Type="http://schemas.openxmlformats.org/officeDocument/2006/relationships/hyperlink" Target="https://www.youtube.com/watch?v=GajqTVRZzfE" TargetMode="External"/><Relationship Id="rId680" Type="http://schemas.openxmlformats.org/officeDocument/2006/relationships/hyperlink" Target="https://www.youtube.com/watch?v=cuauchPBFCY" TargetMode="External"/><Relationship Id="rId901" Type="http://schemas.openxmlformats.org/officeDocument/2006/relationships/hyperlink" Target="https://www.youtube.com/watch?v=dSKwv3KOvN8" TargetMode="External"/><Relationship Id="rId1117" Type="http://schemas.openxmlformats.org/officeDocument/2006/relationships/hyperlink" Target="https://www.youtube.com/watch?v=Pe53dUS_mHE" TargetMode="External"/><Relationship Id="rId1324" Type="http://schemas.openxmlformats.org/officeDocument/2006/relationships/hyperlink" Target="https://www.youtube.com/watch?v=Ih4StVOa0Qs" TargetMode="External"/><Relationship Id="rId30" Type="http://schemas.openxmlformats.org/officeDocument/2006/relationships/hyperlink" Target="https://www.youtube.com/watch?v=iBwpK4_JtEw" TargetMode="External"/><Relationship Id="rId126" Type="http://schemas.openxmlformats.org/officeDocument/2006/relationships/hyperlink" Target="https://www.youtube.com/watch?v=-3rtVbNkNNQ" TargetMode="External"/><Relationship Id="rId333" Type="http://schemas.openxmlformats.org/officeDocument/2006/relationships/hyperlink" Target="https://www.youtube.com/watch?v=Z7B5IZZhoAI" TargetMode="External"/><Relationship Id="rId540" Type="http://schemas.openxmlformats.org/officeDocument/2006/relationships/hyperlink" Target="https://www.youtube.com/watch?v=X4TDNzwe3s4" TargetMode="External"/><Relationship Id="rId778" Type="http://schemas.openxmlformats.org/officeDocument/2006/relationships/hyperlink" Target="https://www.youtube.com/watch?v=gL_j5YKKN38" TargetMode="External"/><Relationship Id="rId985" Type="http://schemas.openxmlformats.org/officeDocument/2006/relationships/hyperlink" Target="https://www.youtube.com/watch?v=s_eR4_6kip8" TargetMode="External"/><Relationship Id="rId1170" Type="http://schemas.openxmlformats.org/officeDocument/2006/relationships/hyperlink" Target="https://www.youtube.com/watch?v=Nattb-ZPK4g" TargetMode="External"/><Relationship Id="rId638" Type="http://schemas.openxmlformats.org/officeDocument/2006/relationships/hyperlink" Target="https://www.youtube.com/watch?v=fwbLw9W9GC8" TargetMode="External"/><Relationship Id="rId845" Type="http://schemas.openxmlformats.org/officeDocument/2006/relationships/hyperlink" Target="https://www.youtube.com/watch?v=zV5AbsAy5m4" TargetMode="External"/><Relationship Id="rId1030" Type="http://schemas.openxmlformats.org/officeDocument/2006/relationships/hyperlink" Target="https://www.youtube.com/watch?v=wu_ONpNjikY" TargetMode="External"/><Relationship Id="rId1268" Type="http://schemas.openxmlformats.org/officeDocument/2006/relationships/hyperlink" Target="https://www.youtube.com/watch?v=GP0JLpTLOWU" TargetMode="External"/><Relationship Id="rId1475" Type="http://schemas.openxmlformats.org/officeDocument/2006/relationships/hyperlink" Target="https://www.youtube.com/watch?v=ZErxsCxSQsA" TargetMode="External"/><Relationship Id="rId277" Type="http://schemas.openxmlformats.org/officeDocument/2006/relationships/hyperlink" Target="https://www.youtube.com/watch?v=7ZD3D4mAoaE" TargetMode="External"/><Relationship Id="rId400" Type="http://schemas.openxmlformats.org/officeDocument/2006/relationships/hyperlink" Target="https://www.youtube.com/watch?v=F95dqGlnggo" TargetMode="External"/><Relationship Id="rId484" Type="http://schemas.openxmlformats.org/officeDocument/2006/relationships/hyperlink" Target="https://www.youtube.com/watch?v=7WA-8QBd5Tk" TargetMode="External"/><Relationship Id="rId705" Type="http://schemas.openxmlformats.org/officeDocument/2006/relationships/hyperlink" Target="https://www.youtube.com/watch?v=yp1ZVELrxIA" TargetMode="External"/><Relationship Id="rId1128" Type="http://schemas.openxmlformats.org/officeDocument/2006/relationships/hyperlink" Target="https://www.youtube.com/watch?v=udkwSpjJnGk" TargetMode="External"/><Relationship Id="rId1335" Type="http://schemas.openxmlformats.org/officeDocument/2006/relationships/hyperlink" Target="https://www.youtube.com/watch?v=D559dD7btfo" TargetMode="External"/><Relationship Id="rId137" Type="http://schemas.openxmlformats.org/officeDocument/2006/relationships/hyperlink" Target="https://www.youtube.com/watch?v=M-zdPqtp9Kk" TargetMode="External"/><Relationship Id="rId344" Type="http://schemas.openxmlformats.org/officeDocument/2006/relationships/hyperlink" Target="https://www.youtube.com/watch?v=Au_HvuB2IQc" TargetMode="External"/><Relationship Id="rId691" Type="http://schemas.openxmlformats.org/officeDocument/2006/relationships/hyperlink" Target="https://www.youtube.com/watch?v=7cA62ZHlWx0" TargetMode="External"/><Relationship Id="rId789" Type="http://schemas.openxmlformats.org/officeDocument/2006/relationships/hyperlink" Target="https://www.youtube.com/watch?v=1VZl4rtt2aU" TargetMode="External"/><Relationship Id="rId912" Type="http://schemas.openxmlformats.org/officeDocument/2006/relationships/hyperlink" Target="https://www.youtube.com/watch?v=IQCY6tVgZ9s" TargetMode="External"/><Relationship Id="rId996" Type="http://schemas.openxmlformats.org/officeDocument/2006/relationships/hyperlink" Target="https://www.youtube.com/watch?v=KStzrk3h76o" TargetMode="External"/><Relationship Id="rId41" Type="http://schemas.openxmlformats.org/officeDocument/2006/relationships/hyperlink" Target="https://www.youtube.com/watch?v=DMG2XD9_nTI" TargetMode="External"/><Relationship Id="rId551" Type="http://schemas.openxmlformats.org/officeDocument/2006/relationships/hyperlink" Target="https://www.youtube.com/watch?v=w5KPpzfrQQY" TargetMode="External"/><Relationship Id="rId649" Type="http://schemas.openxmlformats.org/officeDocument/2006/relationships/hyperlink" Target="https://www.youtube.com/watch?v=WkR5PD16sCg" TargetMode="External"/><Relationship Id="rId856" Type="http://schemas.openxmlformats.org/officeDocument/2006/relationships/hyperlink" Target="https://www.youtube.com/watch?v=aASsLwbe6kY" TargetMode="External"/><Relationship Id="rId1181" Type="http://schemas.openxmlformats.org/officeDocument/2006/relationships/hyperlink" Target="https://www.youtube.com/watch?v=Qh0tc43apsI" TargetMode="External"/><Relationship Id="rId1279" Type="http://schemas.openxmlformats.org/officeDocument/2006/relationships/hyperlink" Target="https://www.youtube.com/watch?v=5Qbkf3waru8" TargetMode="External"/><Relationship Id="rId1402" Type="http://schemas.openxmlformats.org/officeDocument/2006/relationships/hyperlink" Target="https://www.youtube.com/watch?v=MC9pK4dCHAs" TargetMode="External"/><Relationship Id="rId1486" Type="http://schemas.openxmlformats.org/officeDocument/2006/relationships/hyperlink" Target="https://www.youtube.com/watch?v=sy6xQyjX7qg" TargetMode="External"/><Relationship Id="rId190" Type="http://schemas.openxmlformats.org/officeDocument/2006/relationships/hyperlink" Target="https://www.youtube.com/watch?v=iGpYgqX-p8c" TargetMode="External"/><Relationship Id="rId204" Type="http://schemas.openxmlformats.org/officeDocument/2006/relationships/hyperlink" Target="https://www.youtube.com/watch?v=NPNImjeRrF8" TargetMode="External"/><Relationship Id="rId288" Type="http://schemas.openxmlformats.org/officeDocument/2006/relationships/hyperlink" Target="https://www.youtube.com/watch?v=q1K9wPDzMjU" TargetMode="External"/><Relationship Id="rId411" Type="http://schemas.openxmlformats.org/officeDocument/2006/relationships/hyperlink" Target="https://www.youtube.com/watch?v=Dymxd9hAemA" TargetMode="External"/><Relationship Id="rId509" Type="http://schemas.openxmlformats.org/officeDocument/2006/relationships/hyperlink" Target="https://www.youtube.com/watch?v=6oKx_bFPSSA" TargetMode="External"/><Relationship Id="rId1041" Type="http://schemas.openxmlformats.org/officeDocument/2006/relationships/hyperlink" Target="https://www.youtube.com/watch?v=uTyoGVNa7FA" TargetMode="External"/><Relationship Id="rId1139" Type="http://schemas.openxmlformats.org/officeDocument/2006/relationships/hyperlink" Target="https://www.youtube.com/watch?v=KYhdz2LiDLA" TargetMode="External"/><Relationship Id="rId1346" Type="http://schemas.openxmlformats.org/officeDocument/2006/relationships/hyperlink" Target="https://www.youtube.com/watch?v=vzoIHUTieE0" TargetMode="External"/><Relationship Id="rId106" Type="http://schemas.openxmlformats.org/officeDocument/2006/relationships/hyperlink" Target="https://www.youtube.com/watch?v=f-MLHIb4dFU" TargetMode="External"/><Relationship Id="rId313" Type="http://schemas.openxmlformats.org/officeDocument/2006/relationships/hyperlink" Target="https://www.youtube.com/watch?v=d9KgrM48iGg" TargetMode="External"/><Relationship Id="rId495" Type="http://schemas.openxmlformats.org/officeDocument/2006/relationships/hyperlink" Target="https://www.youtube.com/watch?v=R2XPp4eJXLk" TargetMode="External"/><Relationship Id="rId716" Type="http://schemas.openxmlformats.org/officeDocument/2006/relationships/hyperlink" Target="https://www.youtube.com/watch?v=dgXtHzSngX0" TargetMode="External"/><Relationship Id="rId758" Type="http://schemas.openxmlformats.org/officeDocument/2006/relationships/hyperlink" Target="https://www.youtube.com/watch?v=Kg7UNGe9lik" TargetMode="External"/><Relationship Id="rId923" Type="http://schemas.openxmlformats.org/officeDocument/2006/relationships/hyperlink" Target="https://www.youtube.com/watch?v=9VsQzAI5PLo" TargetMode="External"/><Relationship Id="rId965" Type="http://schemas.openxmlformats.org/officeDocument/2006/relationships/hyperlink" Target="https://www.youtube.com/watch?v=pIn71L7Kv9Q" TargetMode="External"/><Relationship Id="rId1150" Type="http://schemas.openxmlformats.org/officeDocument/2006/relationships/hyperlink" Target="https://www.youtube.com/watch?v=C6XbkLOcyVs" TargetMode="External"/><Relationship Id="rId1388" Type="http://schemas.openxmlformats.org/officeDocument/2006/relationships/hyperlink" Target="https://www.youtube.com/watch?v=4iGdwJ3nQcs&amp;t=38s" TargetMode="External"/><Relationship Id="rId10" Type="http://schemas.openxmlformats.org/officeDocument/2006/relationships/hyperlink" Target="https://www.youtube.com/watch?v=7WsGnkGob7A" TargetMode="External"/><Relationship Id="rId52" Type="http://schemas.openxmlformats.org/officeDocument/2006/relationships/hyperlink" Target="https://www.youtube.com/watch?v=RdBz1kIwrqo" TargetMode="External"/><Relationship Id="rId94" Type="http://schemas.openxmlformats.org/officeDocument/2006/relationships/hyperlink" Target="https://www.youtube.com/watch?v=K9s433rQloA" TargetMode="External"/><Relationship Id="rId148" Type="http://schemas.openxmlformats.org/officeDocument/2006/relationships/hyperlink" Target="https://www.youtube.com/watch?v=YFmL65VsWdk" TargetMode="External"/><Relationship Id="rId355" Type="http://schemas.openxmlformats.org/officeDocument/2006/relationships/hyperlink" Target="https://www.youtube.com/watch?v=cpZPvFvzNlc" TargetMode="External"/><Relationship Id="rId397" Type="http://schemas.openxmlformats.org/officeDocument/2006/relationships/hyperlink" Target="https://www.youtube.com/watch?v=ja-cxuo3ugc" TargetMode="External"/><Relationship Id="rId520" Type="http://schemas.openxmlformats.org/officeDocument/2006/relationships/hyperlink" Target="https://www.youtube.com/watch?v=WQObFfIG62Q" TargetMode="External"/><Relationship Id="rId562" Type="http://schemas.openxmlformats.org/officeDocument/2006/relationships/hyperlink" Target="https://www.youtube.com/watch?v=-cC-ErXYdnI" TargetMode="External"/><Relationship Id="rId618" Type="http://schemas.openxmlformats.org/officeDocument/2006/relationships/hyperlink" Target="https://www.youtube.com/watch?v=9eSzra79z-I" TargetMode="External"/><Relationship Id="rId825" Type="http://schemas.openxmlformats.org/officeDocument/2006/relationships/hyperlink" Target="https://www.youtube.com/watch?v=JDOBTQ94-S4" TargetMode="External"/><Relationship Id="rId1192" Type="http://schemas.openxmlformats.org/officeDocument/2006/relationships/hyperlink" Target="https://www.youtube.com/watch?v=m1RnPcyk_e0" TargetMode="External"/><Relationship Id="rId1206" Type="http://schemas.openxmlformats.org/officeDocument/2006/relationships/hyperlink" Target="https://www.youtube.com/watch?v=sLe31yV0Fb4" TargetMode="External"/><Relationship Id="rId1248" Type="http://schemas.openxmlformats.org/officeDocument/2006/relationships/hyperlink" Target="https://www.youtube.com/watch?v=b96t52xbmO8" TargetMode="External"/><Relationship Id="rId1413" Type="http://schemas.openxmlformats.org/officeDocument/2006/relationships/hyperlink" Target="https://www.youtube.com/watch?v=k0FNC9LuJoo&amp;t=4s" TargetMode="External"/><Relationship Id="rId1455" Type="http://schemas.openxmlformats.org/officeDocument/2006/relationships/hyperlink" Target="https://www.youtube.com/watch?v=s9g49kgd9ao" TargetMode="External"/><Relationship Id="rId215" Type="http://schemas.openxmlformats.org/officeDocument/2006/relationships/hyperlink" Target="https://www.youtube.com/watch?v=WMf0Mau2TzE" TargetMode="External"/><Relationship Id="rId257" Type="http://schemas.openxmlformats.org/officeDocument/2006/relationships/hyperlink" Target="https://www.youtube.com/watch?v=SS0UQNsxhus" TargetMode="External"/><Relationship Id="rId422" Type="http://schemas.openxmlformats.org/officeDocument/2006/relationships/hyperlink" Target="https://www.youtube.com/watch?v=F-ZzB9uBQNs" TargetMode="External"/><Relationship Id="rId464" Type="http://schemas.openxmlformats.org/officeDocument/2006/relationships/hyperlink" Target="https://www.youtube.com/watch?v=QfYz6BBYpWg" TargetMode="External"/><Relationship Id="rId867" Type="http://schemas.openxmlformats.org/officeDocument/2006/relationships/hyperlink" Target="https://www.youtube.com/watch?v=txsij6WXt8s" TargetMode="External"/><Relationship Id="rId1010" Type="http://schemas.openxmlformats.org/officeDocument/2006/relationships/hyperlink" Target="https://www.youtube.com/watch?v=REfOblHmn6Q" TargetMode="External"/><Relationship Id="rId1052" Type="http://schemas.openxmlformats.org/officeDocument/2006/relationships/hyperlink" Target="https://www.youtube.com/watch?v=aRzq_l_Rmcc" TargetMode="External"/><Relationship Id="rId1094" Type="http://schemas.openxmlformats.org/officeDocument/2006/relationships/hyperlink" Target="https://www.youtube.com/watch?v=dLQSHM_T-jI" TargetMode="External"/><Relationship Id="rId1108" Type="http://schemas.openxmlformats.org/officeDocument/2006/relationships/hyperlink" Target="https://www.youtube.com/watch?v=WtWOT6Hj2vM" TargetMode="External"/><Relationship Id="rId1315" Type="http://schemas.openxmlformats.org/officeDocument/2006/relationships/hyperlink" Target="https://www.youtube.com/watch?v=qzXGb7RIXmc" TargetMode="External"/><Relationship Id="rId1497" Type="http://schemas.openxmlformats.org/officeDocument/2006/relationships/hyperlink" Target="https://www.youtube.com/watch?v=DL5cLBZou3I" TargetMode="External"/><Relationship Id="rId299" Type="http://schemas.openxmlformats.org/officeDocument/2006/relationships/hyperlink" Target="https://www.youtube.com/watch?v=PjvzuUMMZs4" TargetMode="External"/><Relationship Id="rId727" Type="http://schemas.openxmlformats.org/officeDocument/2006/relationships/hyperlink" Target="https://www.youtube.com/watch?v=ZpdQsUkjwMc" TargetMode="External"/><Relationship Id="rId934" Type="http://schemas.openxmlformats.org/officeDocument/2006/relationships/hyperlink" Target="https://www.youtube.com/watch?v=_vKbwIOfXy0" TargetMode="External"/><Relationship Id="rId1357" Type="http://schemas.openxmlformats.org/officeDocument/2006/relationships/hyperlink" Target="https://www.youtube.com/watch?v=RJSsEA6fpJE" TargetMode="External"/><Relationship Id="rId63" Type="http://schemas.openxmlformats.org/officeDocument/2006/relationships/hyperlink" Target="https://www.youtube.com/watch?v=ryQMb29oX3s" TargetMode="External"/><Relationship Id="rId159" Type="http://schemas.openxmlformats.org/officeDocument/2006/relationships/hyperlink" Target="https://www.youtube.com/watch?v=aXm-YqwVmbs" TargetMode="External"/><Relationship Id="rId366" Type="http://schemas.openxmlformats.org/officeDocument/2006/relationships/hyperlink" Target="https://www.youtube.com/watch?v=MFVzVjuj90E" TargetMode="External"/><Relationship Id="rId573" Type="http://schemas.openxmlformats.org/officeDocument/2006/relationships/hyperlink" Target="https://www.youtube.com/watch?v=0-Ishanuvj8" TargetMode="External"/><Relationship Id="rId780" Type="http://schemas.openxmlformats.org/officeDocument/2006/relationships/hyperlink" Target="https://www.youtube.com/watch?v=J2klGHwzFFo" TargetMode="External"/><Relationship Id="rId1217" Type="http://schemas.openxmlformats.org/officeDocument/2006/relationships/hyperlink" Target="https://www.youtube.com/watch?v=4W3kmjNG_K8" TargetMode="External"/><Relationship Id="rId1424" Type="http://schemas.openxmlformats.org/officeDocument/2006/relationships/hyperlink" Target="https://www.youtube.com/watch?v=sI2xSENomQY" TargetMode="External"/><Relationship Id="rId226" Type="http://schemas.openxmlformats.org/officeDocument/2006/relationships/hyperlink" Target="https://www.youtube.com/watch?v=myZqody8PTw" TargetMode="External"/><Relationship Id="rId433" Type="http://schemas.openxmlformats.org/officeDocument/2006/relationships/hyperlink" Target="https://www.youtube.com/watch?v=30958J1ez4k" TargetMode="External"/><Relationship Id="rId878" Type="http://schemas.openxmlformats.org/officeDocument/2006/relationships/hyperlink" Target="https://www.youtube.com/watch?v=-JT1qlD0wPQ" TargetMode="External"/><Relationship Id="rId1063" Type="http://schemas.openxmlformats.org/officeDocument/2006/relationships/hyperlink" Target="https://www.youtube.com/watch?v=74BW9K7eGtY&amp;t=21s" TargetMode="External"/><Relationship Id="rId1270" Type="http://schemas.openxmlformats.org/officeDocument/2006/relationships/hyperlink" Target="https://www.youtube.com/watch?v=OdRuRzl5pwg" TargetMode="External"/><Relationship Id="rId640" Type="http://schemas.openxmlformats.org/officeDocument/2006/relationships/hyperlink" Target="https://www.youtube.com/watch?v=XcIm7eWfJ_M" TargetMode="External"/><Relationship Id="rId738" Type="http://schemas.openxmlformats.org/officeDocument/2006/relationships/hyperlink" Target="https://www.youtube.com/watch?v=XCXsh2mfb3M" TargetMode="External"/><Relationship Id="rId945" Type="http://schemas.openxmlformats.org/officeDocument/2006/relationships/hyperlink" Target="https://www.youtube.com/watch?v=GB9g4sKWR0M" TargetMode="External"/><Relationship Id="rId1368" Type="http://schemas.openxmlformats.org/officeDocument/2006/relationships/hyperlink" Target="https://www.youtube.com/watch?v=vaRCmUwpmNk" TargetMode="External"/><Relationship Id="rId74" Type="http://schemas.openxmlformats.org/officeDocument/2006/relationships/hyperlink" Target="https://www.youtube.com/watch?v=xANxZaCCD70" TargetMode="External"/><Relationship Id="rId377" Type="http://schemas.openxmlformats.org/officeDocument/2006/relationships/hyperlink" Target="https://www.youtube.com/watch?v=0-LZkVdXTnc" TargetMode="External"/><Relationship Id="rId500" Type="http://schemas.openxmlformats.org/officeDocument/2006/relationships/hyperlink" Target="https://www.youtube.com/watch?v=Ow3nJA8fhhQ" TargetMode="External"/><Relationship Id="rId584" Type="http://schemas.openxmlformats.org/officeDocument/2006/relationships/hyperlink" Target="https://www.youtube.com/watch?v=-fhrU0xoCgk" TargetMode="External"/><Relationship Id="rId805" Type="http://schemas.openxmlformats.org/officeDocument/2006/relationships/hyperlink" Target="https://www.youtube.com/watch?v=QrVLpFoGRb4" TargetMode="External"/><Relationship Id="rId1130" Type="http://schemas.openxmlformats.org/officeDocument/2006/relationships/hyperlink" Target="https://www.youtube.com/watch?v=Z8Wd8i754cU" TargetMode="External"/><Relationship Id="rId1228" Type="http://schemas.openxmlformats.org/officeDocument/2006/relationships/hyperlink" Target="https://www.youtube.com/watch?v=uiJHx80DJcw" TargetMode="External"/><Relationship Id="rId1435" Type="http://schemas.openxmlformats.org/officeDocument/2006/relationships/hyperlink" Target="https://www.youtube.com/watch?v=3ytmTvor21A" TargetMode="External"/><Relationship Id="rId5" Type="http://schemas.openxmlformats.org/officeDocument/2006/relationships/hyperlink" Target="https://www.youtube.com/watch?v=21ZKFBL-Yc0" TargetMode="External"/><Relationship Id="rId237" Type="http://schemas.openxmlformats.org/officeDocument/2006/relationships/hyperlink" Target="https://www.youtube.com/watch?v=rdyZwjy8Wko" TargetMode="External"/><Relationship Id="rId791" Type="http://schemas.openxmlformats.org/officeDocument/2006/relationships/hyperlink" Target="https://www.youtube.com/watch?v=cUULt5zHp0k" TargetMode="External"/><Relationship Id="rId889" Type="http://schemas.openxmlformats.org/officeDocument/2006/relationships/hyperlink" Target="https://www.youtube.com/watch?v=AgRVHML48XM" TargetMode="External"/><Relationship Id="rId1074" Type="http://schemas.openxmlformats.org/officeDocument/2006/relationships/hyperlink" Target="https://www.youtube.com/watch?v=WzACbsbv3Mc" TargetMode="External"/><Relationship Id="rId444" Type="http://schemas.openxmlformats.org/officeDocument/2006/relationships/hyperlink" Target="https://www.youtube.com/watch?v=cshbkDak_p0" TargetMode="External"/><Relationship Id="rId651" Type="http://schemas.openxmlformats.org/officeDocument/2006/relationships/hyperlink" Target="https://www.youtube.com/watch?v=wXSD2PQznXI" TargetMode="External"/><Relationship Id="rId749" Type="http://schemas.openxmlformats.org/officeDocument/2006/relationships/hyperlink" Target="https://www.youtube.com/watch?v=dJ9wpyiJSSI" TargetMode="External"/><Relationship Id="rId1281" Type="http://schemas.openxmlformats.org/officeDocument/2006/relationships/hyperlink" Target="https://www.youtube.com/watch?v=0cvq3rbQ7Dw" TargetMode="External"/><Relationship Id="rId1379" Type="http://schemas.openxmlformats.org/officeDocument/2006/relationships/hyperlink" Target="https://www.youtube.com/watch?v=qqDl6coS7wg" TargetMode="External"/><Relationship Id="rId1502" Type="http://schemas.openxmlformats.org/officeDocument/2006/relationships/hyperlink" Target="https://www.youtube.com/watch?v=GtSbmTRia5Y" TargetMode="External"/><Relationship Id="rId290" Type="http://schemas.openxmlformats.org/officeDocument/2006/relationships/hyperlink" Target="https://www.youtube.com/watch?v=75OFJ9IX4tI" TargetMode="External"/><Relationship Id="rId304" Type="http://schemas.openxmlformats.org/officeDocument/2006/relationships/hyperlink" Target="https://www.youtube.com/watch?v=vKGL9b0x_K8" TargetMode="External"/><Relationship Id="rId388" Type="http://schemas.openxmlformats.org/officeDocument/2006/relationships/hyperlink" Target="https://www.youtube.com/watch?v=yVdcSMOWtxM" TargetMode="External"/><Relationship Id="rId511" Type="http://schemas.openxmlformats.org/officeDocument/2006/relationships/hyperlink" Target="https://www.youtube.com/watch?v=_Anq0CTYGt8" TargetMode="External"/><Relationship Id="rId609" Type="http://schemas.openxmlformats.org/officeDocument/2006/relationships/hyperlink" Target="https://www.youtube.com/watch?v=NhDs3OPqMQ4" TargetMode="External"/><Relationship Id="rId956" Type="http://schemas.openxmlformats.org/officeDocument/2006/relationships/hyperlink" Target="https://www.youtube.com/watch?v=47hxgUfQ8jo" TargetMode="External"/><Relationship Id="rId1141" Type="http://schemas.openxmlformats.org/officeDocument/2006/relationships/hyperlink" Target="https://www.youtube.com/watch?v=BKG8mWyOvuw" TargetMode="External"/><Relationship Id="rId1239" Type="http://schemas.openxmlformats.org/officeDocument/2006/relationships/hyperlink" Target="https://www.youtube.com/watch?v=1k_PbRxkEqo" TargetMode="External"/><Relationship Id="rId85" Type="http://schemas.openxmlformats.org/officeDocument/2006/relationships/hyperlink" Target="https://www.youtube.com/watch?v=ufZ1BZcZzKI" TargetMode="External"/><Relationship Id="rId150" Type="http://schemas.openxmlformats.org/officeDocument/2006/relationships/hyperlink" Target="https://www.youtube.com/watch?v=29-xoooHPaw" TargetMode="External"/><Relationship Id="rId595" Type="http://schemas.openxmlformats.org/officeDocument/2006/relationships/hyperlink" Target="https://www.youtube.com/watch?v=kaJQx-nXg6M" TargetMode="External"/><Relationship Id="rId816" Type="http://schemas.openxmlformats.org/officeDocument/2006/relationships/hyperlink" Target="https://www.youtube.com/watch?v=GDQ-FTObhak" TargetMode="External"/><Relationship Id="rId1001" Type="http://schemas.openxmlformats.org/officeDocument/2006/relationships/hyperlink" Target="https://www.youtube.com/watch?v=JkMKDP2BOlw&amp;t=169s" TargetMode="External"/><Relationship Id="rId1446" Type="http://schemas.openxmlformats.org/officeDocument/2006/relationships/hyperlink" Target="https://www.youtube.com/watch?v=rP79c8rd-jE" TargetMode="External"/><Relationship Id="rId248" Type="http://schemas.openxmlformats.org/officeDocument/2006/relationships/hyperlink" Target="https://www.youtube.com/watch?v=BF7tCmPOjs4" TargetMode="External"/><Relationship Id="rId455" Type="http://schemas.openxmlformats.org/officeDocument/2006/relationships/hyperlink" Target="https://www.youtube.com/watch?v=Th1s8XrKhnk" TargetMode="External"/><Relationship Id="rId662" Type="http://schemas.openxmlformats.org/officeDocument/2006/relationships/hyperlink" Target="https://www.youtube.com/watch?v=liKAbE7beNI" TargetMode="External"/><Relationship Id="rId1085" Type="http://schemas.openxmlformats.org/officeDocument/2006/relationships/hyperlink" Target="https://www.youtube.com/watch?v=mxQpJeckKaU" TargetMode="External"/><Relationship Id="rId1292" Type="http://schemas.openxmlformats.org/officeDocument/2006/relationships/hyperlink" Target="https://www.youtube.com/watch?v=1P_XO3xfTCs" TargetMode="External"/><Relationship Id="rId1306" Type="http://schemas.openxmlformats.org/officeDocument/2006/relationships/hyperlink" Target="https://www.youtube.com/watch?v=_D2sWZSHDqg&amp;t=834s" TargetMode="External"/><Relationship Id="rId1513" Type="http://schemas.openxmlformats.org/officeDocument/2006/relationships/hyperlink" Target="https://www.youtube.com/watch?v=79r5KYH0nBI" TargetMode="External"/><Relationship Id="rId12" Type="http://schemas.openxmlformats.org/officeDocument/2006/relationships/hyperlink" Target="https://www.youtube.com/watch?v=WU456HIXN5U" TargetMode="External"/><Relationship Id="rId108" Type="http://schemas.openxmlformats.org/officeDocument/2006/relationships/hyperlink" Target="https://www.youtube.com/watch?v=m3jwqSSyVkg" TargetMode="External"/><Relationship Id="rId315" Type="http://schemas.openxmlformats.org/officeDocument/2006/relationships/hyperlink" Target="https://www.youtube.com/watch?v=4h6drLmYTr8" TargetMode="External"/><Relationship Id="rId522" Type="http://schemas.openxmlformats.org/officeDocument/2006/relationships/hyperlink" Target="https://www.youtube.com/watch?v=CouNRYMLDmY" TargetMode="External"/><Relationship Id="rId967" Type="http://schemas.openxmlformats.org/officeDocument/2006/relationships/hyperlink" Target="https://www.youtube.com/watch?v=9oRLNbl-DxI" TargetMode="External"/><Relationship Id="rId1152" Type="http://schemas.openxmlformats.org/officeDocument/2006/relationships/hyperlink" Target="https://www.youtube.com/watch?v=ANDhhofT1w0" TargetMode="External"/><Relationship Id="rId96" Type="http://schemas.openxmlformats.org/officeDocument/2006/relationships/hyperlink" Target="https://www.youtube.com/watch?v=QEUeYDEFtsE" TargetMode="External"/><Relationship Id="rId161" Type="http://schemas.openxmlformats.org/officeDocument/2006/relationships/hyperlink" Target="https://www.youtube.com/watch?v=4eM5V0OXNNU" TargetMode="External"/><Relationship Id="rId399" Type="http://schemas.openxmlformats.org/officeDocument/2006/relationships/hyperlink" Target="https://www.youtube.com/watch?v=F95dqGlnggo" TargetMode="External"/><Relationship Id="rId827" Type="http://schemas.openxmlformats.org/officeDocument/2006/relationships/hyperlink" Target="https://www.youtube.com/watch?v=5tMCiwnQlXM" TargetMode="External"/><Relationship Id="rId1012" Type="http://schemas.openxmlformats.org/officeDocument/2006/relationships/hyperlink" Target="https://www.youtube.com/watch?v=8Fyp5gw_HGc&amp;t=19s" TargetMode="External"/><Relationship Id="rId1457" Type="http://schemas.openxmlformats.org/officeDocument/2006/relationships/hyperlink" Target="https://www.youtube.com/watch?v=7IXp156RgtQ" TargetMode="External"/><Relationship Id="rId259" Type="http://schemas.openxmlformats.org/officeDocument/2006/relationships/hyperlink" Target="https://www.youtube.com/watch?v=g-xyM5pVESg" TargetMode="External"/><Relationship Id="rId466" Type="http://schemas.openxmlformats.org/officeDocument/2006/relationships/hyperlink" Target="https://www.youtube.com/watch?v=-rJtFWVJpjA" TargetMode="External"/><Relationship Id="rId673" Type="http://schemas.openxmlformats.org/officeDocument/2006/relationships/hyperlink" Target="https://www.youtube.com/watch?v=MP4mGKSR2-0" TargetMode="External"/><Relationship Id="rId880" Type="http://schemas.openxmlformats.org/officeDocument/2006/relationships/hyperlink" Target="https://www.youtube.com/watch?v=kSNHRGhGt_Y" TargetMode="External"/><Relationship Id="rId1096" Type="http://schemas.openxmlformats.org/officeDocument/2006/relationships/hyperlink" Target="https://www.youtube.com/watch?v=joPLKP546hk" TargetMode="External"/><Relationship Id="rId1317" Type="http://schemas.openxmlformats.org/officeDocument/2006/relationships/hyperlink" Target="https://www.youtube.com/watch?v=JjtvU2xQpaQ" TargetMode="External"/><Relationship Id="rId23" Type="http://schemas.openxmlformats.org/officeDocument/2006/relationships/hyperlink" Target="https://www.youtube.com/watch?v=2UnJMns3fjs" TargetMode="External"/><Relationship Id="rId119" Type="http://schemas.openxmlformats.org/officeDocument/2006/relationships/hyperlink" Target="https://www.youtube.com/watch?v=sc4OOSLMiQQ" TargetMode="External"/><Relationship Id="rId326" Type="http://schemas.openxmlformats.org/officeDocument/2006/relationships/hyperlink" Target="https://www.youtube.com/watch?v=8iuVX1AkV_0" TargetMode="External"/><Relationship Id="rId533" Type="http://schemas.openxmlformats.org/officeDocument/2006/relationships/hyperlink" Target="https://www.youtube.com/watch?v=yYhGJH2NjBA" TargetMode="External"/><Relationship Id="rId978" Type="http://schemas.openxmlformats.org/officeDocument/2006/relationships/hyperlink" Target="https://www.youtube.com/watch?v=iGqKIfGTc-s" TargetMode="External"/><Relationship Id="rId1163" Type="http://schemas.openxmlformats.org/officeDocument/2006/relationships/hyperlink" Target="https://www.youtube.com/watch?v=B1KtIwSP4_U" TargetMode="External"/><Relationship Id="rId1370" Type="http://schemas.openxmlformats.org/officeDocument/2006/relationships/hyperlink" Target="https://www.youtube.com/watch?v=qY_yQIrKwRk" TargetMode="External"/><Relationship Id="rId740" Type="http://schemas.openxmlformats.org/officeDocument/2006/relationships/hyperlink" Target="https://www.youtube.com/watch?v=sTYcLqa56Z4" TargetMode="External"/><Relationship Id="rId838" Type="http://schemas.openxmlformats.org/officeDocument/2006/relationships/hyperlink" Target="https://www.youtube.com/watch?v=KXamV4OZjYs" TargetMode="External"/><Relationship Id="rId1023" Type="http://schemas.openxmlformats.org/officeDocument/2006/relationships/hyperlink" Target="https://www.youtube.com/watch?v=3vhgcNKVRgY" TargetMode="External"/><Relationship Id="rId1468" Type="http://schemas.openxmlformats.org/officeDocument/2006/relationships/hyperlink" Target="https://www.youtube.com/watch?v=8gCMYZ-alVw" TargetMode="External"/><Relationship Id="rId172" Type="http://schemas.openxmlformats.org/officeDocument/2006/relationships/hyperlink" Target="https://www.youtube.com/watch?v=f-XdG6v-RWk" TargetMode="External"/><Relationship Id="rId477" Type="http://schemas.openxmlformats.org/officeDocument/2006/relationships/hyperlink" Target="https://www.youtube.com/watch?v=pfw-rEK12IA" TargetMode="External"/><Relationship Id="rId600" Type="http://schemas.openxmlformats.org/officeDocument/2006/relationships/hyperlink" Target="https://www.youtube.com/watch?v=OHn7cvWw5gE" TargetMode="External"/><Relationship Id="rId684" Type="http://schemas.openxmlformats.org/officeDocument/2006/relationships/hyperlink" Target="https://www.youtube.com/watch?v=vEdOCEkdY9Q" TargetMode="External"/><Relationship Id="rId1230" Type="http://schemas.openxmlformats.org/officeDocument/2006/relationships/hyperlink" Target="https://www.youtube.com/watch?v=XWeFa6jUiPw" TargetMode="External"/><Relationship Id="rId1328" Type="http://schemas.openxmlformats.org/officeDocument/2006/relationships/hyperlink" Target="https://www.youtube.com/watch?v=sZGlmV--sG4" TargetMode="External"/><Relationship Id="rId337" Type="http://schemas.openxmlformats.org/officeDocument/2006/relationships/hyperlink" Target="https://www.youtube.com/watch?v=fQxUVyFqzpA" TargetMode="External"/><Relationship Id="rId891" Type="http://schemas.openxmlformats.org/officeDocument/2006/relationships/hyperlink" Target="https://www.youtube.com/watch?v=2Hmcjz_IH8I" TargetMode="External"/><Relationship Id="rId905" Type="http://schemas.openxmlformats.org/officeDocument/2006/relationships/hyperlink" Target="https://www.youtube.com/watch?v=LEotomBnsQk" TargetMode="External"/><Relationship Id="rId989" Type="http://schemas.openxmlformats.org/officeDocument/2006/relationships/hyperlink" Target="https://www.youtube.com/watch?v=CLCX0mlWjw0" TargetMode="External"/><Relationship Id="rId34" Type="http://schemas.openxmlformats.org/officeDocument/2006/relationships/hyperlink" Target="https://www.youtube.com/watch?v=tkF_3Ixn02I" TargetMode="External"/><Relationship Id="rId544" Type="http://schemas.openxmlformats.org/officeDocument/2006/relationships/hyperlink" Target="https://www.youtube.com/watch?v=s1VIjn0qPQg" TargetMode="External"/><Relationship Id="rId751" Type="http://schemas.openxmlformats.org/officeDocument/2006/relationships/hyperlink" Target="https://www.youtube.com/watch?v=0DBc4TKwgDc" TargetMode="External"/><Relationship Id="rId849" Type="http://schemas.openxmlformats.org/officeDocument/2006/relationships/hyperlink" Target="https://www.youtube.com/watch?v=5iT09vIaZOU" TargetMode="External"/><Relationship Id="rId1174" Type="http://schemas.openxmlformats.org/officeDocument/2006/relationships/hyperlink" Target="https://www.youtube.com/watch?v=zNgyoAjVDhk" TargetMode="External"/><Relationship Id="rId1381" Type="http://schemas.openxmlformats.org/officeDocument/2006/relationships/hyperlink" Target="https://www.youtube.com/watch?v=0RYS6V76lRQ" TargetMode="External"/><Relationship Id="rId1479" Type="http://schemas.openxmlformats.org/officeDocument/2006/relationships/hyperlink" Target="https://www.youtube.com/watch?v=VFJFvcNogFU" TargetMode="External"/><Relationship Id="rId183" Type="http://schemas.openxmlformats.org/officeDocument/2006/relationships/hyperlink" Target="https://www.youtube.com/watch?v=VP5gPVW3XDM" TargetMode="External"/><Relationship Id="rId390" Type="http://schemas.openxmlformats.org/officeDocument/2006/relationships/hyperlink" Target="https://www.youtube.com/watch?v=Yf6-fJ-LcU8" TargetMode="External"/><Relationship Id="rId404" Type="http://schemas.openxmlformats.org/officeDocument/2006/relationships/hyperlink" Target="https://www.youtube.com/watch?v=5YuNKvTZtdM" TargetMode="External"/><Relationship Id="rId611" Type="http://schemas.openxmlformats.org/officeDocument/2006/relationships/hyperlink" Target="https://www.youtube.com/watch?v=7JNUG5Lyals" TargetMode="External"/><Relationship Id="rId1034" Type="http://schemas.openxmlformats.org/officeDocument/2006/relationships/hyperlink" Target="https://www.youtube.com/watch?v=S9RImbEoWYA" TargetMode="External"/><Relationship Id="rId1241" Type="http://schemas.openxmlformats.org/officeDocument/2006/relationships/hyperlink" Target="https://www.youtube.com/watch?v=JZ7LHVZfMwM" TargetMode="External"/><Relationship Id="rId1339" Type="http://schemas.openxmlformats.org/officeDocument/2006/relationships/hyperlink" Target="https://www.youtube.com/watch?v=kvEIBfEnwXM" TargetMode="External"/><Relationship Id="rId250" Type="http://schemas.openxmlformats.org/officeDocument/2006/relationships/hyperlink" Target="https://www.youtube.com/watch?v=UrWQfScMALY" TargetMode="External"/><Relationship Id="rId488" Type="http://schemas.openxmlformats.org/officeDocument/2006/relationships/hyperlink" Target="https://www.youtube.com/watch?v=4gAHt9ki2xY" TargetMode="External"/><Relationship Id="rId695" Type="http://schemas.openxmlformats.org/officeDocument/2006/relationships/hyperlink" Target="https://www.youtube.com/watch?v=5U64D5B9-O0" TargetMode="External"/><Relationship Id="rId709" Type="http://schemas.openxmlformats.org/officeDocument/2006/relationships/hyperlink" Target="https://www.youtube.com/watch?v=hPD7CW4JiSA" TargetMode="External"/><Relationship Id="rId916" Type="http://schemas.openxmlformats.org/officeDocument/2006/relationships/hyperlink" Target="https://www.youtube.com/watch?v=kZVT_WU4Pm4" TargetMode="External"/><Relationship Id="rId1101" Type="http://schemas.openxmlformats.org/officeDocument/2006/relationships/hyperlink" Target="https://www.youtube.com/watch?v=Zr29r9gnq6A" TargetMode="External"/><Relationship Id="rId45" Type="http://schemas.openxmlformats.org/officeDocument/2006/relationships/hyperlink" Target="https://www.youtube.com/watch?v=5LJPOCxc3E8" TargetMode="External"/><Relationship Id="rId110" Type="http://schemas.openxmlformats.org/officeDocument/2006/relationships/hyperlink" Target="https://www.youtube.com/watch?v=QWaXqmcxm94" TargetMode="External"/><Relationship Id="rId348" Type="http://schemas.openxmlformats.org/officeDocument/2006/relationships/hyperlink" Target="https://www.youtube.com/watch?v=MfzPrOKKZVo" TargetMode="External"/><Relationship Id="rId555" Type="http://schemas.openxmlformats.org/officeDocument/2006/relationships/hyperlink" Target="https://www.youtube.com/watch?v=1GLaXQ6Rgcg" TargetMode="External"/><Relationship Id="rId762" Type="http://schemas.openxmlformats.org/officeDocument/2006/relationships/hyperlink" Target="https://www.youtube.com/watch?v=VJZ4LARPMJU&amp;t=79s" TargetMode="External"/><Relationship Id="rId1185" Type="http://schemas.openxmlformats.org/officeDocument/2006/relationships/hyperlink" Target="https://www.youtube.com/watch?v=MqvZxu1TaSQ" TargetMode="External"/><Relationship Id="rId1392" Type="http://schemas.openxmlformats.org/officeDocument/2006/relationships/hyperlink" Target="https://www.youtube.com/watch?v=_xxJKDZyRuE" TargetMode="External"/><Relationship Id="rId1406" Type="http://schemas.openxmlformats.org/officeDocument/2006/relationships/hyperlink" Target="https://www.youtube.com/watch?v=lQph5joRdU8" TargetMode="External"/><Relationship Id="rId194" Type="http://schemas.openxmlformats.org/officeDocument/2006/relationships/hyperlink" Target="https://www.youtube.com/watch?v=gmu_fBglk-A" TargetMode="External"/><Relationship Id="rId208" Type="http://schemas.openxmlformats.org/officeDocument/2006/relationships/hyperlink" Target="https://www.youtube.com/watch?v=MOkWSa69NKA" TargetMode="External"/><Relationship Id="rId415" Type="http://schemas.openxmlformats.org/officeDocument/2006/relationships/hyperlink" Target="https://www.youtube.com/watch?v=gU4jkSa9phY" TargetMode="External"/><Relationship Id="rId622" Type="http://schemas.openxmlformats.org/officeDocument/2006/relationships/hyperlink" Target="https://www.youtube.com/watch?v=zm-fPGwlflY" TargetMode="External"/><Relationship Id="rId1045" Type="http://schemas.openxmlformats.org/officeDocument/2006/relationships/hyperlink" Target="https://www.youtube.com/watch?v=VkyOIj4SQu4" TargetMode="External"/><Relationship Id="rId1252" Type="http://schemas.openxmlformats.org/officeDocument/2006/relationships/hyperlink" Target="https://www.youtube.com/watch?v=LAZPY_rTJLU" TargetMode="External"/><Relationship Id="rId261" Type="http://schemas.openxmlformats.org/officeDocument/2006/relationships/hyperlink" Target="https://www.youtube.com/watch?v=vHGejHQUoio" TargetMode="External"/><Relationship Id="rId499" Type="http://schemas.openxmlformats.org/officeDocument/2006/relationships/hyperlink" Target="https://www.youtube.com/watch?v=Ow3nJA8fhhQ" TargetMode="External"/><Relationship Id="rId927" Type="http://schemas.openxmlformats.org/officeDocument/2006/relationships/hyperlink" Target="https://www.youtube.com/watch?v=fmVDyQnLFe4" TargetMode="External"/><Relationship Id="rId1112" Type="http://schemas.openxmlformats.org/officeDocument/2006/relationships/hyperlink" Target="https://www.youtube.com/watch?v=FgVpxhtCQdA" TargetMode="External"/><Relationship Id="rId56" Type="http://schemas.openxmlformats.org/officeDocument/2006/relationships/hyperlink" Target="https://www.youtube.com/watch?v=N0PD3TuLvoo" TargetMode="External"/><Relationship Id="rId359" Type="http://schemas.openxmlformats.org/officeDocument/2006/relationships/hyperlink" Target="https://www.youtube.com/watch?v=nCmJgIvSqfU" TargetMode="External"/><Relationship Id="rId566" Type="http://schemas.openxmlformats.org/officeDocument/2006/relationships/hyperlink" Target="https://www.youtube.com/watch?v=O5i1SD7KFkI" TargetMode="External"/><Relationship Id="rId773" Type="http://schemas.openxmlformats.org/officeDocument/2006/relationships/hyperlink" Target="https://www.youtube.com/watch?v=xjoBDX3u1Ys" TargetMode="External"/><Relationship Id="rId1196" Type="http://schemas.openxmlformats.org/officeDocument/2006/relationships/hyperlink" Target="https://www.youtube.com/watch?v=ZkrWcJXqbGA" TargetMode="External"/><Relationship Id="rId1417" Type="http://schemas.openxmlformats.org/officeDocument/2006/relationships/hyperlink" Target="https://www.youtube.com/watch?v=VKbVHIgKbbo" TargetMode="External"/><Relationship Id="rId121" Type="http://schemas.openxmlformats.org/officeDocument/2006/relationships/hyperlink" Target="https://www.youtube.com/watch?v=QZxRsM9xvK4" TargetMode="External"/><Relationship Id="rId219" Type="http://schemas.openxmlformats.org/officeDocument/2006/relationships/hyperlink" Target="https://www.youtube.com/watch?v=CtiARMXwI0Q" TargetMode="External"/><Relationship Id="rId426" Type="http://schemas.openxmlformats.org/officeDocument/2006/relationships/hyperlink" Target="https://www.youtube.com/watch?v=8ZJ9Ubv74Fc" TargetMode="External"/><Relationship Id="rId633" Type="http://schemas.openxmlformats.org/officeDocument/2006/relationships/hyperlink" Target="https://www.youtube.com/watch?v=hbcWYVaowqI" TargetMode="External"/><Relationship Id="rId980" Type="http://schemas.openxmlformats.org/officeDocument/2006/relationships/hyperlink" Target="https://www.youtube.com/watch?v=ejkbEib1Otk" TargetMode="External"/><Relationship Id="rId1056" Type="http://schemas.openxmlformats.org/officeDocument/2006/relationships/hyperlink" Target="https://www.youtube.com/watch?v=ozdJ_kTaZcc" TargetMode="External"/><Relationship Id="rId1263" Type="http://schemas.openxmlformats.org/officeDocument/2006/relationships/hyperlink" Target="https://www.youtube.com/watch?v=-c4KLljIDeo" TargetMode="External"/><Relationship Id="rId840" Type="http://schemas.openxmlformats.org/officeDocument/2006/relationships/hyperlink" Target="https://www.youtube.com/watch?v=rbrxzObExNc" TargetMode="External"/><Relationship Id="rId938" Type="http://schemas.openxmlformats.org/officeDocument/2006/relationships/hyperlink" Target="https://www.youtube.com/watch?v=Deab_JE4fv4" TargetMode="External"/><Relationship Id="rId1470" Type="http://schemas.openxmlformats.org/officeDocument/2006/relationships/hyperlink" Target="https://www.youtube.com/watch?v=aPfBxS4huSc" TargetMode="External"/><Relationship Id="rId67" Type="http://schemas.openxmlformats.org/officeDocument/2006/relationships/hyperlink" Target="https://www.youtube.com/watch?v=lzMEDrUFlpw" TargetMode="External"/><Relationship Id="rId272" Type="http://schemas.openxmlformats.org/officeDocument/2006/relationships/hyperlink" Target="https://www.youtube.com/watch?v=qd7yTtTb_Fc" TargetMode="External"/><Relationship Id="rId577" Type="http://schemas.openxmlformats.org/officeDocument/2006/relationships/hyperlink" Target="https://www.youtube.com/watch?v=NQUbNykwFG4" TargetMode="External"/><Relationship Id="rId700" Type="http://schemas.openxmlformats.org/officeDocument/2006/relationships/hyperlink" Target="https://www.youtube.com/watch?v=zKr-cYKprD8" TargetMode="External"/><Relationship Id="rId1123" Type="http://schemas.openxmlformats.org/officeDocument/2006/relationships/hyperlink" Target="https://www.youtube.com/watch?v=8M2LUwJGwHw" TargetMode="External"/><Relationship Id="rId1330" Type="http://schemas.openxmlformats.org/officeDocument/2006/relationships/hyperlink" Target="https://www.youtube.com/watch?v=MAt3aD51sUM" TargetMode="External"/><Relationship Id="rId1428" Type="http://schemas.openxmlformats.org/officeDocument/2006/relationships/hyperlink" Target="https://www.youtube.com/watch?v=inDcB8LwlqI" TargetMode="External"/><Relationship Id="rId132" Type="http://schemas.openxmlformats.org/officeDocument/2006/relationships/hyperlink" Target="https://www.youtube.com/watch?v=mhHQNrL_bkM" TargetMode="External"/><Relationship Id="rId784" Type="http://schemas.openxmlformats.org/officeDocument/2006/relationships/hyperlink" Target="https://www.youtube.com/watch?v=orOA4dPxE98" TargetMode="External"/><Relationship Id="rId991" Type="http://schemas.openxmlformats.org/officeDocument/2006/relationships/hyperlink" Target="https://www.youtube.com/watch?v=5XqO9FCH3Xk" TargetMode="External"/><Relationship Id="rId1067" Type="http://schemas.openxmlformats.org/officeDocument/2006/relationships/hyperlink" Target="https://www.youtube.com/watch?v=2yRygpW0RYY" TargetMode="External"/><Relationship Id="rId437" Type="http://schemas.openxmlformats.org/officeDocument/2006/relationships/hyperlink" Target="https://www.youtube.com/watch?v=dXkhbNnOMy0" TargetMode="External"/><Relationship Id="rId644" Type="http://schemas.openxmlformats.org/officeDocument/2006/relationships/hyperlink" Target="https://www.youtube.com/watch?v=RaNpNJVvWDI" TargetMode="External"/><Relationship Id="rId851" Type="http://schemas.openxmlformats.org/officeDocument/2006/relationships/hyperlink" Target="https://www.youtube.com/watch?v=inpmzGJn2LU" TargetMode="External"/><Relationship Id="rId1274" Type="http://schemas.openxmlformats.org/officeDocument/2006/relationships/hyperlink" Target="https://www.youtube.com/watch?v=p08RUDejFXs" TargetMode="External"/><Relationship Id="rId1481" Type="http://schemas.openxmlformats.org/officeDocument/2006/relationships/hyperlink" Target="https://www.youtube.com/watch?v=JlEmX46IYNY" TargetMode="External"/><Relationship Id="rId283" Type="http://schemas.openxmlformats.org/officeDocument/2006/relationships/hyperlink" Target="https://www.youtube.com/watch?v=k54XQ5I1Nzo" TargetMode="External"/><Relationship Id="rId490" Type="http://schemas.openxmlformats.org/officeDocument/2006/relationships/hyperlink" Target="https://www.youtube.com/watch?v=TbQkh6axHEM" TargetMode="External"/><Relationship Id="rId504" Type="http://schemas.openxmlformats.org/officeDocument/2006/relationships/hyperlink" Target="https://www.youtube.com/watch?v=JNg9hu1QURw" TargetMode="External"/><Relationship Id="rId711" Type="http://schemas.openxmlformats.org/officeDocument/2006/relationships/hyperlink" Target="https://www.youtube.com/watch?v=wKE7d6nLsDM" TargetMode="External"/><Relationship Id="rId949" Type="http://schemas.openxmlformats.org/officeDocument/2006/relationships/hyperlink" Target="https://www.youtube.com/watch?v=VDqAX3plBww" TargetMode="External"/><Relationship Id="rId1134" Type="http://schemas.openxmlformats.org/officeDocument/2006/relationships/hyperlink" Target="https://www.youtube.com/watch?v=aEAK6N982oQ" TargetMode="External"/><Relationship Id="rId1341" Type="http://schemas.openxmlformats.org/officeDocument/2006/relationships/hyperlink" Target="https://www.youtube.com/watch?v=lkDfIrZy2VY" TargetMode="External"/><Relationship Id="rId78" Type="http://schemas.openxmlformats.org/officeDocument/2006/relationships/hyperlink" Target="https://www.youtube.com/watch?v=iS7CE9mrtI4" TargetMode="External"/><Relationship Id="rId143" Type="http://schemas.openxmlformats.org/officeDocument/2006/relationships/hyperlink" Target="https://www.youtube.com/watch?v=MlTxtaiX1xI" TargetMode="External"/><Relationship Id="rId350" Type="http://schemas.openxmlformats.org/officeDocument/2006/relationships/hyperlink" Target="https://www.youtube.com/watch?v=57-MHC42i7g" TargetMode="External"/><Relationship Id="rId588" Type="http://schemas.openxmlformats.org/officeDocument/2006/relationships/hyperlink" Target="https://www.youtube.com/watch?v=yZ08CJsgurU" TargetMode="External"/><Relationship Id="rId795" Type="http://schemas.openxmlformats.org/officeDocument/2006/relationships/hyperlink" Target="https://www.youtube.com/watch?v=C3knBzrgTTY" TargetMode="External"/><Relationship Id="rId809" Type="http://schemas.openxmlformats.org/officeDocument/2006/relationships/hyperlink" Target="https://www.youtube.com/watch?v=c0qRokhkADI" TargetMode="External"/><Relationship Id="rId1201" Type="http://schemas.openxmlformats.org/officeDocument/2006/relationships/hyperlink" Target="https://www.youtube.com/watch?v=ZI3BJk08OWI" TargetMode="External"/><Relationship Id="rId1439" Type="http://schemas.openxmlformats.org/officeDocument/2006/relationships/hyperlink" Target="https://www.youtube.com/watch?v=sEg8fP2ckhI" TargetMode="External"/><Relationship Id="rId9" Type="http://schemas.openxmlformats.org/officeDocument/2006/relationships/hyperlink" Target="https://www.youtube.com/watch?v=7WsGnkGob7A" TargetMode="External"/><Relationship Id="rId210" Type="http://schemas.openxmlformats.org/officeDocument/2006/relationships/hyperlink" Target="https://www.youtube.com/watch?v=k_PhmmAyLFg" TargetMode="External"/><Relationship Id="rId448" Type="http://schemas.openxmlformats.org/officeDocument/2006/relationships/hyperlink" Target="https://www.youtube.com/watch?v=myyrtrylWQs" TargetMode="External"/><Relationship Id="rId655" Type="http://schemas.openxmlformats.org/officeDocument/2006/relationships/hyperlink" Target="https://www.youtube.com/watch?v=7bZemcM70W0" TargetMode="External"/><Relationship Id="rId862" Type="http://schemas.openxmlformats.org/officeDocument/2006/relationships/hyperlink" Target="https://www.youtube.com/watch?v=S2ePhtW_O5A" TargetMode="External"/><Relationship Id="rId1078" Type="http://schemas.openxmlformats.org/officeDocument/2006/relationships/hyperlink" Target="https://www.youtube.com/watch?v=a30EnICYBUA" TargetMode="External"/><Relationship Id="rId1285" Type="http://schemas.openxmlformats.org/officeDocument/2006/relationships/hyperlink" Target="https://www.youtube.com/watch?v=Yb0AWtlb8-g" TargetMode="External"/><Relationship Id="rId1492" Type="http://schemas.openxmlformats.org/officeDocument/2006/relationships/hyperlink" Target="https://www.youtube.com/watch?v=wfQX8QWcWgI" TargetMode="External"/><Relationship Id="rId1506" Type="http://schemas.openxmlformats.org/officeDocument/2006/relationships/hyperlink" Target="https://www.youtube.com/watch?v=ahKeSqFT0Nk" TargetMode="External"/><Relationship Id="rId294" Type="http://schemas.openxmlformats.org/officeDocument/2006/relationships/hyperlink" Target="https://www.youtube.com/watch?v=cKIAV15AZcI" TargetMode="External"/><Relationship Id="rId308" Type="http://schemas.openxmlformats.org/officeDocument/2006/relationships/hyperlink" Target="https://www.youtube.com/watch?v=R7mzbp-9vbk" TargetMode="External"/><Relationship Id="rId515" Type="http://schemas.openxmlformats.org/officeDocument/2006/relationships/hyperlink" Target="https://www.youtube.com/watch?v=qGie_-i1j6o" TargetMode="External"/><Relationship Id="rId722" Type="http://schemas.openxmlformats.org/officeDocument/2006/relationships/hyperlink" Target="https://www.youtube.com/watch?v=QT3p6iGNrkU" TargetMode="External"/><Relationship Id="rId1145" Type="http://schemas.openxmlformats.org/officeDocument/2006/relationships/hyperlink" Target="https://www.youtube.com/watch?v=BsEY7XJTv70" TargetMode="External"/><Relationship Id="rId1352" Type="http://schemas.openxmlformats.org/officeDocument/2006/relationships/hyperlink" Target="https://www.youtube.com/watch?v=bD-uUsBgY-w" TargetMode="External"/><Relationship Id="rId89" Type="http://schemas.openxmlformats.org/officeDocument/2006/relationships/hyperlink" Target="https://www.youtube.com/watch?v=FndfcBhZklU" TargetMode="External"/><Relationship Id="rId154" Type="http://schemas.openxmlformats.org/officeDocument/2006/relationships/hyperlink" Target="https://www.youtube.com/watch?v=FNqQxPkLmPI" TargetMode="External"/><Relationship Id="rId361" Type="http://schemas.openxmlformats.org/officeDocument/2006/relationships/hyperlink" Target="https://www.youtube.com/watch?v=qsCWK-TQVsk" TargetMode="External"/><Relationship Id="rId599" Type="http://schemas.openxmlformats.org/officeDocument/2006/relationships/hyperlink" Target="https://www.youtube.com/watch?v=OHn7cvWw5gE" TargetMode="External"/><Relationship Id="rId1005" Type="http://schemas.openxmlformats.org/officeDocument/2006/relationships/hyperlink" Target="https://www.youtube.com/watch?v=qEJJIhs02cI" TargetMode="External"/><Relationship Id="rId1212" Type="http://schemas.openxmlformats.org/officeDocument/2006/relationships/hyperlink" Target="https://www.youtube.com/watch?v=DrTFGS7SoCg" TargetMode="External"/><Relationship Id="rId459" Type="http://schemas.openxmlformats.org/officeDocument/2006/relationships/hyperlink" Target="https://www.youtube.com/watch?v=Cs9JbmZ0poM" TargetMode="External"/><Relationship Id="rId666" Type="http://schemas.openxmlformats.org/officeDocument/2006/relationships/hyperlink" Target="https://www.youtube.com/watch?v=afXofZLlzB4" TargetMode="External"/><Relationship Id="rId873" Type="http://schemas.openxmlformats.org/officeDocument/2006/relationships/hyperlink" Target="https://www.youtube.com/watch?v=o-395A-OrOQ" TargetMode="External"/><Relationship Id="rId1089" Type="http://schemas.openxmlformats.org/officeDocument/2006/relationships/hyperlink" Target="https://www.youtube.com/watch?v=Aivw6qVhabo" TargetMode="External"/><Relationship Id="rId1296" Type="http://schemas.openxmlformats.org/officeDocument/2006/relationships/hyperlink" Target="https://www.youtube.com/watch?v=F2WG7neA31s" TargetMode="External"/><Relationship Id="rId16" Type="http://schemas.openxmlformats.org/officeDocument/2006/relationships/hyperlink" Target="https://www.youtube.com/watch?v=mjFek0gF97s" TargetMode="External"/><Relationship Id="rId221" Type="http://schemas.openxmlformats.org/officeDocument/2006/relationships/hyperlink" Target="https://www.youtube.com/watch?v=61LvuBJ6Ojs" TargetMode="External"/><Relationship Id="rId319" Type="http://schemas.openxmlformats.org/officeDocument/2006/relationships/hyperlink" Target="https://www.youtube.com/watch?v=Y1SUVA0PU1o" TargetMode="External"/><Relationship Id="rId526" Type="http://schemas.openxmlformats.org/officeDocument/2006/relationships/hyperlink" Target="https://www.youtube.com/watch?v=ziCW-l-SXRM" TargetMode="External"/><Relationship Id="rId1156" Type="http://schemas.openxmlformats.org/officeDocument/2006/relationships/hyperlink" Target="https://www.youtube.com/watch?v=wEalKzas5Ig" TargetMode="External"/><Relationship Id="rId1363" Type="http://schemas.openxmlformats.org/officeDocument/2006/relationships/hyperlink" Target="https://www.youtube.com/watch?v=iwaHs0-q9l8" TargetMode="External"/><Relationship Id="rId733" Type="http://schemas.openxmlformats.org/officeDocument/2006/relationships/hyperlink" Target="https://www.youtube.com/watch?v=qY5oQOirve4" TargetMode="External"/><Relationship Id="rId940" Type="http://schemas.openxmlformats.org/officeDocument/2006/relationships/hyperlink" Target="https://www.youtube.com/watch?v=GiNhw1WJNXc" TargetMode="External"/><Relationship Id="rId1016" Type="http://schemas.openxmlformats.org/officeDocument/2006/relationships/hyperlink" Target="https://www.youtube.com/watch?v=ll-fhgVbj1I" TargetMode="External"/><Relationship Id="rId165" Type="http://schemas.openxmlformats.org/officeDocument/2006/relationships/hyperlink" Target="https://www.youtube.com/watch?v=3pxgnl2fHZg" TargetMode="External"/><Relationship Id="rId372" Type="http://schemas.openxmlformats.org/officeDocument/2006/relationships/hyperlink" Target="https://www.youtube.com/watch?v=oeFU8Lk35BI" TargetMode="External"/><Relationship Id="rId677" Type="http://schemas.openxmlformats.org/officeDocument/2006/relationships/hyperlink" Target="https://www.youtube.com/watch?v=LkTTH9gGQwA" TargetMode="External"/><Relationship Id="rId800" Type="http://schemas.openxmlformats.org/officeDocument/2006/relationships/hyperlink" Target="https://www.youtube.com/watch?v=1-5q-Da6EHQ" TargetMode="External"/><Relationship Id="rId1223" Type="http://schemas.openxmlformats.org/officeDocument/2006/relationships/hyperlink" Target="https://www.youtube.com/watch?v=r0tSX3M-7oM&amp;t=41s" TargetMode="External"/><Relationship Id="rId1430" Type="http://schemas.openxmlformats.org/officeDocument/2006/relationships/hyperlink" Target="https://www.youtube.com/watch?v=1wYg5d-4aVg" TargetMode="External"/><Relationship Id="rId232" Type="http://schemas.openxmlformats.org/officeDocument/2006/relationships/hyperlink" Target="https://www.youtube.com/watch?v=vnw9dW2QgYk" TargetMode="External"/><Relationship Id="rId884" Type="http://schemas.openxmlformats.org/officeDocument/2006/relationships/hyperlink" Target="https://www.youtube.com/watch?v=glBt8I5y1b8" TargetMode="External"/><Relationship Id="rId27" Type="http://schemas.openxmlformats.org/officeDocument/2006/relationships/hyperlink" Target="https://www.youtube.com/watch?v=Smd_3o5vtLo" TargetMode="External"/><Relationship Id="rId537" Type="http://schemas.openxmlformats.org/officeDocument/2006/relationships/hyperlink" Target="https://www.youtube.com/watch?v=k6dsew1B6SE" TargetMode="External"/><Relationship Id="rId744" Type="http://schemas.openxmlformats.org/officeDocument/2006/relationships/hyperlink" Target="https://www.youtube.com/watch?v=kKbQvD24QPY" TargetMode="External"/><Relationship Id="rId951" Type="http://schemas.openxmlformats.org/officeDocument/2006/relationships/hyperlink" Target="https://www.youtube.com/watch?v=Hqx5Pfe-4NI" TargetMode="External"/><Relationship Id="rId1167" Type="http://schemas.openxmlformats.org/officeDocument/2006/relationships/hyperlink" Target="https://www.youtube.com/watch?v=sGXLoCpynsU" TargetMode="External"/><Relationship Id="rId1374" Type="http://schemas.openxmlformats.org/officeDocument/2006/relationships/hyperlink" Target="https://www.youtube.com/watch?v=Fb11XAvWeyE" TargetMode="External"/><Relationship Id="rId80" Type="http://schemas.openxmlformats.org/officeDocument/2006/relationships/hyperlink" Target="https://www.youtube.com/watch?v=THua8SMPtK4" TargetMode="External"/><Relationship Id="rId176" Type="http://schemas.openxmlformats.org/officeDocument/2006/relationships/hyperlink" Target="https://www.youtube.com/watch?v=lXmhJr1LDyI" TargetMode="External"/><Relationship Id="rId383" Type="http://schemas.openxmlformats.org/officeDocument/2006/relationships/hyperlink" Target="https://www.youtube.com/watch?v=EWnc9FdyP7s" TargetMode="External"/><Relationship Id="rId590" Type="http://schemas.openxmlformats.org/officeDocument/2006/relationships/hyperlink" Target="https://www.youtube.com/watch?v=c13ZN5rYckE" TargetMode="External"/><Relationship Id="rId604" Type="http://schemas.openxmlformats.org/officeDocument/2006/relationships/hyperlink" Target="https://www.youtube.com/watch?v=tNKCTknE59M" TargetMode="External"/><Relationship Id="rId811" Type="http://schemas.openxmlformats.org/officeDocument/2006/relationships/hyperlink" Target="https://www.youtube.com/watch?v=AcHVZjv6cAs" TargetMode="External"/><Relationship Id="rId1027" Type="http://schemas.openxmlformats.org/officeDocument/2006/relationships/hyperlink" Target="https://www.youtube.com/watch?v=wYCmU0vaKvc" TargetMode="External"/><Relationship Id="rId1234" Type="http://schemas.openxmlformats.org/officeDocument/2006/relationships/hyperlink" Target="https://www.youtube.com/watch?v=SNAHZpRl3go" TargetMode="External"/><Relationship Id="rId1441" Type="http://schemas.openxmlformats.org/officeDocument/2006/relationships/hyperlink" Target="https://www.youtube.com/watch?v=tmCFtpj6IZc" TargetMode="External"/><Relationship Id="rId243" Type="http://schemas.openxmlformats.org/officeDocument/2006/relationships/hyperlink" Target="https://www.youtube.com/watch?v=67Y76FPHZ-g" TargetMode="External"/><Relationship Id="rId450" Type="http://schemas.openxmlformats.org/officeDocument/2006/relationships/hyperlink" Target="https://www.youtube.com/watch?v=v6x52noLJOo" TargetMode="External"/><Relationship Id="rId688" Type="http://schemas.openxmlformats.org/officeDocument/2006/relationships/hyperlink" Target="https://www.youtube.com/watch?v=Uk3mD3cAFXg" TargetMode="External"/><Relationship Id="rId895" Type="http://schemas.openxmlformats.org/officeDocument/2006/relationships/hyperlink" Target="https://www.youtube.com/watch?v=2U1DVGO8vo4" TargetMode="External"/><Relationship Id="rId909" Type="http://schemas.openxmlformats.org/officeDocument/2006/relationships/hyperlink" Target="https://www.youtube.com/watch?v=Cuelsn9VyZQ" TargetMode="External"/><Relationship Id="rId1080" Type="http://schemas.openxmlformats.org/officeDocument/2006/relationships/hyperlink" Target="https://www.youtube.com/watch?v=Wr_CIMPuH3I" TargetMode="External"/><Relationship Id="rId1301" Type="http://schemas.openxmlformats.org/officeDocument/2006/relationships/hyperlink" Target="https://www.youtube.com/watch?v=9FgUTz996bs" TargetMode="External"/><Relationship Id="rId38" Type="http://schemas.openxmlformats.org/officeDocument/2006/relationships/hyperlink" Target="https://www.youtube.com/watch?v=Wpkt3HpzBTs" TargetMode="External"/><Relationship Id="rId103" Type="http://schemas.openxmlformats.org/officeDocument/2006/relationships/hyperlink" Target="https://www.youtube.com/watch?v=-udb2VYB5uo" TargetMode="External"/><Relationship Id="rId310" Type="http://schemas.openxmlformats.org/officeDocument/2006/relationships/hyperlink" Target="https://www.youtube.com/watch?v=ucgD3lqwZX0" TargetMode="External"/><Relationship Id="rId548" Type="http://schemas.openxmlformats.org/officeDocument/2006/relationships/hyperlink" Target="https://www.youtube.com/watch?v=m9xF54UZFuY" TargetMode="External"/><Relationship Id="rId755" Type="http://schemas.openxmlformats.org/officeDocument/2006/relationships/hyperlink" Target="https://www.youtube.com/watch?v=FQmwAFcJSpw" TargetMode="External"/><Relationship Id="rId962" Type="http://schemas.openxmlformats.org/officeDocument/2006/relationships/hyperlink" Target="https://www.youtube.com/watch?v=-HWLO-7d98U" TargetMode="External"/><Relationship Id="rId1178" Type="http://schemas.openxmlformats.org/officeDocument/2006/relationships/hyperlink" Target="https://www.youtube.com/watch?v=9qgkONu6nbk" TargetMode="External"/><Relationship Id="rId1385" Type="http://schemas.openxmlformats.org/officeDocument/2006/relationships/hyperlink" Target="https://www.youtube.com/watch?v=7AYmPqY5iF4" TargetMode="External"/><Relationship Id="rId91" Type="http://schemas.openxmlformats.org/officeDocument/2006/relationships/hyperlink" Target="https://www.youtube.com/watch?v=20u8yHim1tM" TargetMode="External"/><Relationship Id="rId187" Type="http://schemas.openxmlformats.org/officeDocument/2006/relationships/hyperlink" Target="https://www.youtube.com/watch?v=fjD9BVlmPoA" TargetMode="External"/><Relationship Id="rId394" Type="http://schemas.openxmlformats.org/officeDocument/2006/relationships/hyperlink" Target="https://www.youtube.com/watch?v=wm8QHjKcDf8" TargetMode="External"/><Relationship Id="rId408" Type="http://schemas.openxmlformats.org/officeDocument/2006/relationships/hyperlink" Target="https://www.youtube.com/watch?v=182HueOxCaU" TargetMode="External"/><Relationship Id="rId615" Type="http://schemas.openxmlformats.org/officeDocument/2006/relationships/hyperlink" Target="https://www.youtube.com/watch?v=2RlQdQoP4mE" TargetMode="External"/><Relationship Id="rId822" Type="http://schemas.openxmlformats.org/officeDocument/2006/relationships/hyperlink" Target="https://www.youtube.com/watch?v=F4X3ljkLFP8" TargetMode="External"/><Relationship Id="rId1038" Type="http://schemas.openxmlformats.org/officeDocument/2006/relationships/hyperlink" Target="https://www.youtube.com/watch?v=EfHkupTL5wU" TargetMode="External"/><Relationship Id="rId1245" Type="http://schemas.openxmlformats.org/officeDocument/2006/relationships/hyperlink" Target="https://www.youtube.com/watch?v=HzuZ57Y3-VQ" TargetMode="External"/><Relationship Id="rId1452" Type="http://schemas.openxmlformats.org/officeDocument/2006/relationships/hyperlink" Target="https://www.youtube.com/watch?v=5IYA6g6rNW0" TargetMode="External"/><Relationship Id="rId254" Type="http://schemas.openxmlformats.org/officeDocument/2006/relationships/hyperlink" Target="https://www.youtube.com/watch?v=08Xwx9vsy6w" TargetMode="External"/><Relationship Id="rId699" Type="http://schemas.openxmlformats.org/officeDocument/2006/relationships/hyperlink" Target="https://www.youtube.com/watch?v=zKr-cYKprD8" TargetMode="External"/><Relationship Id="rId1091" Type="http://schemas.openxmlformats.org/officeDocument/2006/relationships/hyperlink" Target="https://www.youtube.com/watch?v=av1BWeMbl1Q" TargetMode="External"/><Relationship Id="rId1105" Type="http://schemas.openxmlformats.org/officeDocument/2006/relationships/hyperlink" Target="https://www.youtube.com/watch?v=R6bvpvI1_uY" TargetMode="External"/><Relationship Id="rId1312" Type="http://schemas.openxmlformats.org/officeDocument/2006/relationships/hyperlink" Target="https://www.youtube.com/watch?v=mScbp58xwJE" TargetMode="External"/><Relationship Id="rId49" Type="http://schemas.openxmlformats.org/officeDocument/2006/relationships/hyperlink" Target="https://www.youtube.com/watch?v=gbWoqwJKhbM" TargetMode="External"/><Relationship Id="rId114" Type="http://schemas.openxmlformats.org/officeDocument/2006/relationships/hyperlink" Target="https://www.youtube.com/watch?v=TGgYE0Ui0co" TargetMode="External"/><Relationship Id="rId461" Type="http://schemas.openxmlformats.org/officeDocument/2006/relationships/hyperlink" Target="https://www.youtube.com/watch?v=xGvABG6vfLg" TargetMode="External"/><Relationship Id="rId559" Type="http://schemas.openxmlformats.org/officeDocument/2006/relationships/hyperlink" Target="https://www.youtube.com/watch?v=EHQ6eLHDs78" TargetMode="External"/><Relationship Id="rId766" Type="http://schemas.openxmlformats.org/officeDocument/2006/relationships/hyperlink" Target="https://www.youtube.com/watch?v=4fTC0cZiBus" TargetMode="External"/><Relationship Id="rId1189" Type="http://schemas.openxmlformats.org/officeDocument/2006/relationships/hyperlink" Target="https://www.youtube.com/watch?v=YtD-Ro9OJRQ" TargetMode="External"/><Relationship Id="rId1396" Type="http://schemas.openxmlformats.org/officeDocument/2006/relationships/hyperlink" Target="https://www.youtube.com/watch?v=vmOlaD1O5rg" TargetMode="External"/><Relationship Id="rId198" Type="http://schemas.openxmlformats.org/officeDocument/2006/relationships/hyperlink" Target="https://www.youtube.com/watch?v=91dtNzk71IA" TargetMode="External"/><Relationship Id="rId321" Type="http://schemas.openxmlformats.org/officeDocument/2006/relationships/hyperlink" Target="https://www.youtube.com/watch?v=yaOVnZ7W-Qc" TargetMode="External"/><Relationship Id="rId419" Type="http://schemas.openxmlformats.org/officeDocument/2006/relationships/hyperlink" Target="https://www.youtube.com/watch?v=zVH1ZOi2_yk" TargetMode="External"/><Relationship Id="rId626" Type="http://schemas.openxmlformats.org/officeDocument/2006/relationships/hyperlink" Target="https://www.youtube.com/watch?v=kpktr2ml8m8" TargetMode="External"/><Relationship Id="rId973" Type="http://schemas.openxmlformats.org/officeDocument/2006/relationships/hyperlink" Target="https://www.youtube.com/watch?v=FTdLV7hcCvI" TargetMode="External"/><Relationship Id="rId1049" Type="http://schemas.openxmlformats.org/officeDocument/2006/relationships/hyperlink" Target="https://www.youtube.com/watch?v=vOOkxcKaZEo" TargetMode="External"/><Relationship Id="rId1256" Type="http://schemas.openxmlformats.org/officeDocument/2006/relationships/hyperlink" Target="https://www.youtube.com/watch?v=lnII4AH2rHw" TargetMode="External"/><Relationship Id="rId833" Type="http://schemas.openxmlformats.org/officeDocument/2006/relationships/hyperlink" Target="https://www.youtube.com/watch?v=bF-3L4O8Nq8" TargetMode="External"/><Relationship Id="rId1116" Type="http://schemas.openxmlformats.org/officeDocument/2006/relationships/hyperlink" Target="https://www.youtube.com/watch?v=n0Ekb7yhf18" TargetMode="External"/><Relationship Id="rId1463" Type="http://schemas.openxmlformats.org/officeDocument/2006/relationships/hyperlink" Target="https://www.youtube.com/watch?v=lyiuoR-2E6I" TargetMode="External"/><Relationship Id="rId265" Type="http://schemas.openxmlformats.org/officeDocument/2006/relationships/hyperlink" Target="https://www.youtube.com/watch?v=kQP4pUPNjqs" TargetMode="External"/><Relationship Id="rId472" Type="http://schemas.openxmlformats.org/officeDocument/2006/relationships/hyperlink" Target="https://www.youtube.com/watch?v=DoYL7K2djDY" TargetMode="External"/><Relationship Id="rId900" Type="http://schemas.openxmlformats.org/officeDocument/2006/relationships/hyperlink" Target="https://www.youtube.com/watch?v=lJLoAHZxMWE" TargetMode="External"/><Relationship Id="rId1323" Type="http://schemas.openxmlformats.org/officeDocument/2006/relationships/hyperlink" Target="https://www.youtube.com/watch?v=Ih4StVOa0Qs" TargetMode="External"/><Relationship Id="rId125" Type="http://schemas.openxmlformats.org/officeDocument/2006/relationships/hyperlink" Target="https://www.youtube.com/watch?v=-3rtVbNkNNQ" TargetMode="External"/><Relationship Id="rId332" Type="http://schemas.openxmlformats.org/officeDocument/2006/relationships/hyperlink" Target="https://www.youtube.com/watch?v=itgdRwuvtN0" TargetMode="External"/><Relationship Id="rId777" Type="http://schemas.openxmlformats.org/officeDocument/2006/relationships/hyperlink" Target="https://www.youtube.com/watch?v=gL_j5YKKN38" TargetMode="External"/><Relationship Id="rId984" Type="http://schemas.openxmlformats.org/officeDocument/2006/relationships/hyperlink" Target="https://www.youtube.com/watch?v=9fu_xDvkBMk" TargetMode="External"/><Relationship Id="rId637" Type="http://schemas.openxmlformats.org/officeDocument/2006/relationships/hyperlink" Target="https://www.youtube.com/watch?v=fwbLw9W9GC8" TargetMode="External"/><Relationship Id="rId844" Type="http://schemas.openxmlformats.org/officeDocument/2006/relationships/hyperlink" Target="https://www.youtube.com/watch?v=mK5DuxKw-I8" TargetMode="External"/><Relationship Id="rId1267" Type="http://schemas.openxmlformats.org/officeDocument/2006/relationships/hyperlink" Target="https://www.youtube.com/watch?v=GP0JLpTLOWU" TargetMode="External"/><Relationship Id="rId1474" Type="http://schemas.openxmlformats.org/officeDocument/2006/relationships/hyperlink" Target="https://www.youtube.com/watch?v=qIQN0DtO2Z8" TargetMode="External"/><Relationship Id="rId276" Type="http://schemas.openxmlformats.org/officeDocument/2006/relationships/hyperlink" Target="https://www.youtube.com/watch?v=agP31XI_FxA" TargetMode="External"/><Relationship Id="rId483" Type="http://schemas.openxmlformats.org/officeDocument/2006/relationships/hyperlink" Target="https://www.youtube.com/watch?v=7WA-8QBd5Tk" TargetMode="External"/><Relationship Id="rId690" Type="http://schemas.openxmlformats.org/officeDocument/2006/relationships/hyperlink" Target="https://www.youtube.com/watch?v=spEEA-o1zlE" TargetMode="External"/><Relationship Id="rId704" Type="http://schemas.openxmlformats.org/officeDocument/2006/relationships/hyperlink" Target="https://www.youtube.com/watch?v=8xbYHg11ROo" TargetMode="External"/><Relationship Id="rId911" Type="http://schemas.openxmlformats.org/officeDocument/2006/relationships/hyperlink" Target="https://www.youtube.com/watch?v=IQCY6tVgZ9s" TargetMode="External"/><Relationship Id="rId1127" Type="http://schemas.openxmlformats.org/officeDocument/2006/relationships/hyperlink" Target="https://www.youtube.com/watch?v=udkwSpjJnGk" TargetMode="External"/><Relationship Id="rId1334" Type="http://schemas.openxmlformats.org/officeDocument/2006/relationships/hyperlink" Target="https://www.youtube.com/watch?v=XfaMChybaCc" TargetMode="External"/><Relationship Id="rId40" Type="http://schemas.openxmlformats.org/officeDocument/2006/relationships/hyperlink" Target="https://www.youtube.com/watch?v=_IcfDP-ezpo" TargetMode="External"/><Relationship Id="rId136" Type="http://schemas.openxmlformats.org/officeDocument/2006/relationships/hyperlink" Target="https://www.youtube.com/watch?v=IAmXafhUmYc" TargetMode="External"/><Relationship Id="rId343" Type="http://schemas.openxmlformats.org/officeDocument/2006/relationships/hyperlink" Target="https://www.youtube.com/watch?v=Au_HvuB2IQc" TargetMode="External"/><Relationship Id="rId550" Type="http://schemas.openxmlformats.org/officeDocument/2006/relationships/hyperlink" Target="https://www.youtube.com/watch?v=srr9jTynwdo" TargetMode="External"/><Relationship Id="rId788" Type="http://schemas.openxmlformats.org/officeDocument/2006/relationships/hyperlink" Target="https://www.youtube.com/watch?v=dlfE6JbvIYI" TargetMode="External"/><Relationship Id="rId995" Type="http://schemas.openxmlformats.org/officeDocument/2006/relationships/hyperlink" Target="https://www.youtube.com/watch?v=KStzrk3h76o" TargetMode="External"/><Relationship Id="rId1180" Type="http://schemas.openxmlformats.org/officeDocument/2006/relationships/hyperlink" Target="https://www.youtube.com/watch?v=k8zAYJDE01E" TargetMode="External"/><Relationship Id="rId1401" Type="http://schemas.openxmlformats.org/officeDocument/2006/relationships/hyperlink" Target="https://www.youtube.com/watch?v=MC9pK4dCHAs" TargetMode="External"/><Relationship Id="rId203" Type="http://schemas.openxmlformats.org/officeDocument/2006/relationships/hyperlink" Target="https://www.youtube.com/watch?v=NPNImjeRrF8" TargetMode="External"/><Relationship Id="rId648" Type="http://schemas.openxmlformats.org/officeDocument/2006/relationships/hyperlink" Target="https://www.youtube.com/watch?v=jQ47l4DT1BY" TargetMode="External"/><Relationship Id="rId855" Type="http://schemas.openxmlformats.org/officeDocument/2006/relationships/hyperlink" Target="https://www.youtube.com/watch?v=aASsLwbe6kY" TargetMode="External"/><Relationship Id="rId1040" Type="http://schemas.openxmlformats.org/officeDocument/2006/relationships/hyperlink" Target="https://www.youtube.com/watch?v=4pkD8CkJiIQ" TargetMode="External"/><Relationship Id="rId1278" Type="http://schemas.openxmlformats.org/officeDocument/2006/relationships/hyperlink" Target="https://www.youtube.com/watch?v=Iz3TO-dXkSI" TargetMode="External"/><Relationship Id="rId1485" Type="http://schemas.openxmlformats.org/officeDocument/2006/relationships/hyperlink" Target="https://www.youtube.com/watch?v=sy6xQyjX7qg" TargetMode="External"/><Relationship Id="rId287" Type="http://schemas.openxmlformats.org/officeDocument/2006/relationships/hyperlink" Target="https://www.youtube.com/watch?v=q1K9wPDzMjU" TargetMode="External"/><Relationship Id="rId410" Type="http://schemas.openxmlformats.org/officeDocument/2006/relationships/hyperlink" Target="https://www.youtube.com/watch?v=t63m6GCrKbw" TargetMode="External"/><Relationship Id="rId494" Type="http://schemas.openxmlformats.org/officeDocument/2006/relationships/hyperlink" Target="https://www.youtube.com/watch?v=jaw4U_s24zo" TargetMode="External"/><Relationship Id="rId508" Type="http://schemas.openxmlformats.org/officeDocument/2006/relationships/hyperlink" Target="https://www.youtube.com/watch?v=xjZO-uNelDI" TargetMode="External"/><Relationship Id="rId715" Type="http://schemas.openxmlformats.org/officeDocument/2006/relationships/hyperlink" Target="https://www.youtube.com/watch?v=dgXtHzSngX0" TargetMode="External"/><Relationship Id="rId922" Type="http://schemas.openxmlformats.org/officeDocument/2006/relationships/hyperlink" Target="https://www.youtube.com/watch?v=9Zummy0j6Ws" TargetMode="External"/><Relationship Id="rId1138" Type="http://schemas.openxmlformats.org/officeDocument/2006/relationships/hyperlink" Target="https://www.youtube.com/watch?v=i24adZlRCZk" TargetMode="External"/><Relationship Id="rId1345" Type="http://schemas.openxmlformats.org/officeDocument/2006/relationships/hyperlink" Target="https://www.youtube.com/watch?v=vzoIHUTieE0" TargetMode="External"/><Relationship Id="rId147" Type="http://schemas.openxmlformats.org/officeDocument/2006/relationships/hyperlink" Target="https://www.youtube.com/watch?v=YFmL65VsWdk" TargetMode="External"/><Relationship Id="rId354" Type="http://schemas.openxmlformats.org/officeDocument/2006/relationships/hyperlink" Target="https://www.youtube.com/watch?v=17Jnr2hr0ro" TargetMode="External"/><Relationship Id="rId799" Type="http://schemas.openxmlformats.org/officeDocument/2006/relationships/hyperlink" Target="https://www.youtube.com/watch?v=1-5q-Da6EHQ" TargetMode="External"/><Relationship Id="rId1191" Type="http://schemas.openxmlformats.org/officeDocument/2006/relationships/hyperlink" Target="https://www.youtube.com/watch?v=m1RnPcyk_e0" TargetMode="External"/><Relationship Id="rId1205" Type="http://schemas.openxmlformats.org/officeDocument/2006/relationships/hyperlink" Target="https://www.youtube.com/watch?v=sLe31yV0Fb4" TargetMode="External"/><Relationship Id="rId51" Type="http://schemas.openxmlformats.org/officeDocument/2006/relationships/hyperlink" Target="https://www.youtube.com/watch?v=RdBz1kIwrqo" TargetMode="External"/><Relationship Id="rId561" Type="http://schemas.openxmlformats.org/officeDocument/2006/relationships/hyperlink" Target="https://www.youtube.com/watch?v=-cC-ErXYdnI" TargetMode="External"/><Relationship Id="rId659" Type="http://schemas.openxmlformats.org/officeDocument/2006/relationships/hyperlink" Target="https://www.youtube.com/watch?v=322EiuTqg7w" TargetMode="External"/><Relationship Id="rId866" Type="http://schemas.openxmlformats.org/officeDocument/2006/relationships/hyperlink" Target="https://www.youtube.com/watch?v=tRgTeYpgv8c" TargetMode="External"/><Relationship Id="rId1289" Type="http://schemas.openxmlformats.org/officeDocument/2006/relationships/hyperlink" Target="https://www.youtube.com/watch?v=-pDxEjRprYM" TargetMode="External"/><Relationship Id="rId1412" Type="http://schemas.openxmlformats.org/officeDocument/2006/relationships/hyperlink" Target="https://www.youtube.com/watch?v=KCUZ6hBgxc0" TargetMode="External"/><Relationship Id="rId1496" Type="http://schemas.openxmlformats.org/officeDocument/2006/relationships/hyperlink" Target="https://www.youtube.com/watch?v=Bx9ffGtMMxo" TargetMode="External"/><Relationship Id="rId214" Type="http://schemas.openxmlformats.org/officeDocument/2006/relationships/hyperlink" Target="https://www.youtube.com/watch?v=Vf5BOYF0S3Y" TargetMode="External"/><Relationship Id="rId298" Type="http://schemas.openxmlformats.org/officeDocument/2006/relationships/hyperlink" Target="https://www.youtube.com/watch?v=T0iutxik1Eg" TargetMode="External"/><Relationship Id="rId421" Type="http://schemas.openxmlformats.org/officeDocument/2006/relationships/hyperlink" Target="https://www.youtube.com/watch?v=F-ZzB9uBQNs" TargetMode="External"/><Relationship Id="rId519" Type="http://schemas.openxmlformats.org/officeDocument/2006/relationships/hyperlink" Target="https://www.youtube.com/watch?v=WQObFfIG62Q" TargetMode="External"/><Relationship Id="rId1051" Type="http://schemas.openxmlformats.org/officeDocument/2006/relationships/hyperlink" Target="https://www.youtube.com/watch?v=aRzq_l_Rmcc" TargetMode="External"/><Relationship Id="rId1149" Type="http://schemas.openxmlformats.org/officeDocument/2006/relationships/hyperlink" Target="https://www.youtube.com/watch?v=C6XbkLOcyVs" TargetMode="External"/><Relationship Id="rId1356" Type="http://schemas.openxmlformats.org/officeDocument/2006/relationships/hyperlink" Target="https://www.youtube.com/watch?v=edQr4IJQuEg" TargetMode="External"/><Relationship Id="rId158" Type="http://schemas.openxmlformats.org/officeDocument/2006/relationships/hyperlink" Target="https://www.youtube.com/watch?v=uDANJcQm-So" TargetMode="External"/><Relationship Id="rId726" Type="http://schemas.openxmlformats.org/officeDocument/2006/relationships/hyperlink" Target="https://www.youtube.com/watch?v=Lg0JLlBHCgA" TargetMode="External"/><Relationship Id="rId933" Type="http://schemas.openxmlformats.org/officeDocument/2006/relationships/hyperlink" Target="https://www.youtube.com/watch?v=_vKbwIOfXy0" TargetMode="External"/><Relationship Id="rId1009" Type="http://schemas.openxmlformats.org/officeDocument/2006/relationships/hyperlink" Target="https://www.youtube.com/watch?v=REfOblHmn6Q" TargetMode="External"/><Relationship Id="rId62" Type="http://schemas.openxmlformats.org/officeDocument/2006/relationships/hyperlink" Target="https://www.youtube.com/watch?v=elqL0Sr_sVU" TargetMode="External"/><Relationship Id="rId365" Type="http://schemas.openxmlformats.org/officeDocument/2006/relationships/hyperlink" Target="https://www.youtube.com/watch?v=MFVzVjuj90E" TargetMode="External"/><Relationship Id="rId572" Type="http://schemas.openxmlformats.org/officeDocument/2006/relationships/hyperlink" Target="https://www.youtube.com/watch?v=Uxcvh2BQu1g" TargetMode="External"/><Relationship Id="rId1216" Type="http://schemas.openxmlformats.org/officeDocument/2006/relationships/hyperlink" Target="https://www.youtube.com/watch?v=1jVMegap8Ws" TargetMode="External"/><Relationship Id="rId1423" Type="http://schemas.openxmlformats.org/officeDocument/2006/relationships/hyperlink" Target="https://www.youtube.com/watch?v=sI2xSENomQY" TargetMode="External"/><Relationship Id="rId225" Type="http://schemas.openxmlformats.org/officeDocument/2006/relationships/hyperlink" Target="https://www.youtube.com/watch?v=myZqody8PTw" TargetMode="External"/><Relationship Id="rId432" Type="http://schemas.openxmlformats.org/officeDocument/2006/relationships/hyperlink" Target="https://www.youtube.com/watch?v=2p91-Fy5A6Q" TargetMode="External"/><Relationship Id="rId877" Type="http://schemas.openxmlformats.org/officeDocument/2006/relationships/hyperlink" Target="https://www.youtube.com/watch?v=-JT1qlD0wPQ" TargetMode="External"/><Relationship Id="rId1062" Type="http://schemas.openxmlformats.org/officeDocument/2006/relationships/hyperlink" Target="https://www.youtube.com/watch?v=log0y9fRklc" TargetMode="External"/><Relationship Id="rId737" Type="http://schemas.openxmlformats.org/officeDocument/2006/relationships/hyperlink" Target="https://www.youtube.com/watch?v=XCXsh2mfb3M" TargetMode="External"/><Relationship Id="rId944" Type="http://schemas.openxmlformats.org/officeDocument/2006/relationships/hyperlink" Target="https://www.youtube.com/watch?v=gF2CbaL7t6g" TargetMode="External"/><Relationship Id="rId1367" Type="http://schemas.openxmlformats.org/officeDocument/2006/relationships/hyperlink" Target="https://www.youtube.com/watch?v=vaRCmUwpmNk" TargetMode="External"/><Relationship Id="rId73" Type="http://schemas.openxmlformats.org/officeDocument/2006/relationships/hyperlink" Target="https://www.youtube.com/watch?v=xANxZaCCD70" TargetMode="External"/><Relationship Id="rId169" Type="http://schemas.openxmlformats.org/officeDocument/2006/relationships/hyperlink" Target="https://www.youtube.com/watch?v=z1wT-GurohQ" TargetMode="External"/><Relationship Id="rId376" Type="http://schemas.openxmlformats.org/officeDocument/2006/relationships/hyperlink" Target="https://www.youtube.com/watch?v=uNPifASaoFM" TargetMode="External"/><Relationship Id="rId583" Type="http://schemas.openxmlformats.org/officeDocument/2006/relationships/hyperlink" Target="https://www.youtube.com/watch?v=-fhrU0xoCgk" TargetMode="External"/><Relationship Id="rId790" Type="http://schemas.openxmlformats.org/officeDocument/2006/relationships/hyperlink" Target="https://www.youtube.com/watch?v=1VZl4rtt2aU" TargetMode="External"/><Relationship Id="rId804" Type="http://schemas.openxmlformats.org/officeDocument/2006/relationships/hyperlink" Target="https://www.youtube.com/watch?v=3zpg3MGhmyI" TargetMode="External"/><Relationship Id="rId1227" Type="http://schemas.openxmlformats.org/officeDocument/2006/relationships/hyperlink" Target="https://www.youtube.com/watch?v=uiJHx80DJcw" TargetMode="External"/><Relationship Id="rId1434" Type="http://schemas.openxmlformats.org/officeDocument/2006/relationships/hyperlink" Target="https://www.youtube.com/watch?v=Owv0FewW5Bo" TargetMode="External"/><Relationship Id="rId4" Type="http://schemas.openxmlformats.org/officeDocument/2006/relationships/hyperlink" Target="https://www.youtube.com/watch?v=jKuCWHsoXmQ" TargetMode="External"/><Relationship Id="rId236" Type="http://schemas.openxmlformats.org/officeDocument/2006/relationships/hyperlink" Target="https://www.youtube.com/watch?v=nbZhVwfCRMU" TargetMode="External"/><Relationship Id="rId443" Type="http://schemas.openxmlformats.org/officeDocument/2006/relationships/hyperlink" Target="https://www.youtube.com/watch?v=cshbkDak_p0" TargetMode="External"/><Relationship Id="rId650" Type="http://schemas.openxmlformats.org/officeDocument/2006/relationships/hyperlink" Target="https://www.youtube.com/watch?v=WkR5PD16sCg" TargetMode="External"/><Relationship Id="rId888" Type="http://schemas.openxmlformats.org/officeDocument/2006/relationships/hyperlink" Target="https://www.youtube.com/watch?v=Kfqplhug-eA" TargetMode="External"/><Relationship Id="rId1073" Type="http://schemas.openxmlformats.org/officeDocument/2006/relationships/hyperlink" Target="https://www.youtube.com/watch?v=WzACbsbv3Mc" TargetMode="External"/><Relationship Id="rId1280" Type="http://schemas.openxmlformats.org/officeDocument/2006/relationships/hyperlink" Target="https://www.youtube.com/watch?v=5Qbkf3waru8" TargetMode="External"/><Relationship Id="rId1501" Type="http://schemas.openxmlformats.org/officeDocument/2006/relationships/hyperlink" Target="https://www.youtube.com/watch?v=GtSbmTRia5Y" TargetMode="External"/><Relationship Id="rId303" Type="http://schemas.openxmlformats.org/officeDocument/2006/relationships/hyperlink" Target="https://www.youtube.com/watch?v=vKGL9b0x_K8" TargetMode="External"/><Relationship Id="rId748" Type="http://schemas.openxmlformats.org/officeDocument/2006/relationships/hyperlink" Target="https://www.youtube.com/watch?v=wzPkggokfLg" TargetMode="External"/><Relationship Id="rId955" Type="http://schemas.openxmlformats.org/officeDocument/2006/relationships/hyperlink" Target="https://www.youtube.com/watch?v=47hxgUfQ8jo" TargetMode="External"/><Relationship Id="rId1140" Type="http://schemas.openxmlformats.org/officeDocument/2006/relationships/hyperlink" Target="https://www.youtube.com/watch?v=KYhdz2LiDLA" TargetMode="External"/><Relationship Id="rId1378" Type="http://schemas.openxmlformats.org/officeDocument/2006/relationships/hyperlink" Target="https://www.youtube.com/watch?v=kcbL1wC9PEg" TargetMode="External"/><Relationship Id="rId84" Type="http://schemas.openxmlformats.org/officeDocument/2006/relationships/hyperlink" Target="https://www.youtube.com/watch?v=LXrKKz7Mld8" TargetMode="External"/><Relationship Id="rId387" Type="http://schemas.openxmlformats.org/officeDocument/2006/relationships/hyperlink" Target="https://www.youtube.com/watch?v=yVdcSMOWtxM" TargetMode="External"/><Relationship Id="rId510" Type="http://schemas.openxmlformats.org/officeDocument/2006/relationships/hyperlink" Target="https://www.youtube.com/watch?v=6oKx_bFPSSA" TargetMode="External"/><Relationship Id="rId594" Type="http://schemas.openxmlformats.org/officeDocument/2006/relationships/hyperlink" Target="https://www.youtube.com/watch?v=FrXBeS9Vj40" TargetMode="External"/><Relationship Id="rId608" Type="http://schemas.openxmlformats.org/officeDocument/2006/relationships/hyperlink" Target="https://www.youtube.com/watch?v=59-D2X_vmlA" TargetMode="External"/><Relationship Id="rId815" Type="http://schemas.openxmlformats.org/officeDocument/2006/relationships/hyperlink" Target="https://www.youtube.com/watch?v=GDQ-FTObhak" TargetMode="External"/><Relationship Id="rId1238" Type="http://schemas.openxmlformats.org/officeDocument/2006/relationships/hyperlink" Target="https://www.youtube.com/watch?v=Vrv16kSoTLQ" TargetMode="External"/><Relationship Id="rId1445" Type="http://schemas.openxmlformats.org/officeDocument/2006/relationships/hyperlink" Target="https://www.youtube.com/watch?v=rP79c8rd-jE" TargetMode="External"/><Relationship Id="rId247" Type="http://schemas.openxmlformats.org/officeDocument/2006/relationships/hyperlink" Target="https://www.youtube.com/watch?v=BF7tCmPOjs4" TargetMode="External"/><Relationship Id="rId899" Type="http://schemas.openxmlformats.org/officeDocument/2006/relationships/hyperlink" Target="https://www.youtube.com/watch?v=lJLoAHZxMWE" TargetMode="External"/><Relationship Id="rId1000" Type="http://schemas.openxmlformats.org/officeDocument/2006/relationships/hyperlink" Target="https://www.youtube.com/watch?v=1UT4aCq24wA" TargetMode="External"/><Relationship Id="rId1084" Type="http://schemas.openxmlformats.org/officeDocument/2006/relationships/hyperlink" Target="https://www.youtube.com/watch?v=N20dY0-9Nio" TargetMode="External"/><Relationship Id="rId1305" Type="http://schemas.openxmlformats.org/officeDocument/2006/relationships/hyperlink" Target="https://www.youtube.com/watch?v=_D2sWZSHDqg&amp;t=834s" TargetMode="External"/><Relationship Id="rId107" Type="http://schemas.openxmlformats.org/officeDocument/2006/relationships/hyperlink" Target="https://www.youtube.com/watch?v=m3jwqSSyVkg" TargetMode="External"/><Relationship Id="rId454" Type="http://schemas.openxmlformats.org/officeDocument/2006/relationships/hyperlink" Target="https://www.youtube.com/watch?v=7RTlRYpr7o8" TargetMode="External"/><Relationship Id="rId661" Type="http://schemas.openxmlformats.org/officeDocument/2006/relationships/hyperlink" Target="https://www.youtube.com/watch?v=liKAbE7beNI" TargetMode="External"/><Relationship Id="rId759" Type="http://schemas.openxmlformats.org/officeDocument/2006/relationships/hyperlink" Target="https://www.youtube.com/watch?v=_OTzuNIDOOA" TargetMode="External"/><Relationship Id="rId966" Type="http://schemas.openxmlformats.org/officeDocument/2006/relationships/hyperlink" Target="https://www.youtube.com/watch?v=pIn71L7Kv9Q" TargetMode="External"/><Relationship Id="rId1291" Type="http://schemas.openxmlformats.org/officeDocument/2006/relationships/hyperlink" Target="https://www.youtube.com/watch?v=1P_XO3xfTCs" TargetMode="External"/><Relationship Id="rId1389" Type="http://schemas.openxmlformats.org/officeDocument/2006/relationships/hyperlink" Target="https://www.youtube.com/watch?v=OI3nL5YCIO8" TargetMode="External"/><Relationship Id="rId1512" Type="http://schemas.openxmlformats.org/officeDocument/2006/relationships/hyperlink" Target="https://www.youtube.com/watch?v=9QSUsKZfoQA&amp;t=156s" TargetMode="External"/><Relationship Id="rId11" Type="http://schemas.openxmlformats.org/officeDocument/2006/relationships/hyperlink" Target="https://www.youtube.com/watch?v=WU456HIXN5U" TargetMode="External"/><Relationship Id="rId314" Type="http://schemas.openxmlformats.org/officeDocument/2006/relationships/hyperlink" Target="https://www.youtube.com/watch?v=d9KgrM48iGg" TargetMode="External"/><Relationship Id="rId398" Type="http://schemas.openxmlformats.org/officeDocument/2006/relationships/hyperlink" Target="https://www.youtube.com/watch?v=ja-cxuo3ugc" TargetMode="External"/><Relationship Id="rId521" Type="http://schemas.openxmlformats.org/officeDocument/2006/relationships/hyperlink" Target="https://www.youtube.com/watch?v=CouNRYMLDmY" TargetMode="External"/><Relationship Id="rId619" Type="http://schemas.openxmlformats.org/officeDocument/2006/relationships/hyperlink" Target="https://www.youtube.com/watch?v=t5AEphve0P8" TargetMode="External"/><Relationship Id="rId1151" Type="http://schemas.openxmlformats.org/officeDocument/2006/relationships/hyperlink" Target="https://www.youtube.com/watch?v=ANDhhofT1w0" TargetMode="External"/><Relationship Id="rId1249" Type="http://schemas.openxmlformats.org/officeDocument/2006/relationships/hyperlink" Target="https://www.youtube.com/watch?v=6M1Mp5tvk-E" TargetMode="External"/><Relationship Id="rId95" Type="http://schemas.openxmlformats.org/officeDocument/2006/relationships/hyperlink" Target="https://www.youtube.com/watch?v=QEUeYDEFtsE" TargetMode="External"/><Relationship Id="rId160" Type="http://schemas.openxmlformats.org/officeDocument/2006/relationships/hyperlink" Target="https://www.youtube.com/watch?v=aXm-YqwVmbs" TargetMode="External"/><Relationship Id="rId826" Type="http://schemas.openxmlformats.org/officeDocument/2006/relationships/hyperlink" Target="https://www.youtube.com/watch?v=JDOBTQ94-S4" TargetMode="External"/><Relationship Id="rId1011" Type="http://schemas.openxmlformats.org/officeDocument/2006/relationships/hyperlink" Target="https://www.youtube.com/watch?v=8Fyp5gw_HGc&amp;t=19s" TargetMode="External"/><Relationship Id="rId1109" Type="http://schemas.openxmlformats.org/officeDocument/2006/relationships/hyperlink" Target="https://www.youtube.com/watch?v=3dYP3FhD3Po" TargetMode="External"/><Relationship Id="rId1456" Type="http://schemas.openxmlformats.org/officeDocument/2006/relationships/hyperlink" Target="https://www.youtube.com/watch?v=s9g49kgd9ao" TargetMode="External"/><Relationship Id="rId258" Type="http://schemas.openxmlformats.org/officeDocument/2006/relationships/hyperlink" Target="https://www.youtube.com/watch?v=SS0UQNsxhus" TargetMode="External"/><Relationship Id="rId465" Type="http://schemas.openxmlformats.org/officeDocument/2006/relationships/hyperlink" Target="https://www.youtube.com/watch?v=-rJtFWVJpjA" TargetMode="External"/><Relationship Id="rId672" Type="http://schemas.openxmlformats.org/officeDocument/2006/relationships/hyperlink" Target="https://www.youtube.com/watch?v=Xk3tQcQ1QcQ" TargetMode="External"/><Relationship Id="rId1095" Type="http://schemas.openxmlformats.org/officeDocument/2006/relationships/hyperlink" Target="https://www.youtube.com/watch?v=joPLKP546hk" TargetMode="External"/><Relationship Id="rId1316" Type="http://schemas.openxmlformats.org/officeDocument/2006/relationships/hyperlink" Target="https://www.youtube.com/watch?v=qzXGb7RIXmc" TargetMode="External"/><Relationship Id="rId22" Type="http://schemas.openxmlformats.org/officeDocument/2006/relationships/hyperlink" Target="https://www.youtube.com/watch?v=jMgGGixmfus" TargetMode="External"/><Relationship Id="rId118" Type="http://schemas.openxmlformats.org/officeDocument/2006/relationships/hyperlink" Target="https://www.youtube.com/watch?v=ByaheAphduQ" TargetMode="External"/><Relationship Id="rId325" Type="http://schemas.openxmlformats.org/officeDocument/2006/relationships/hyperlink" Target="https://www.youtube.com/watch?v=8iuVX1AkV_0" TargetMode="External"/><Relationship Id="rId532" Type="http://schemas.openxmlformats.org/officeDocument/2006/relationships/hyperlink" Target="https://www.youtube.com/watch?v=zyTsxv3NJzA" TargetMode="External"/><Relationship Id="rId977" Type="http://schemas.openxmlformats.org/officeDocument/2006/relationships/hyperlink" Target="https://www.youtube.com/watch?v=iGqKIfGTc-s" TargetMode="External"/><Relationship Id="rId1162" Type="http://schemas.openxmlformats.org/officeDocument/2006/relationships/hyperlink" Target="https://www.youtube.com/watch?v=vTz9mFEgYQU" TargetMode="External"/><Relationship Id="rId171" Type="http://schemas.openxmlformats.org/officeDocument/2006/relationships/hyperlink" Target="https://www.youtube.com/watch?v=f-XdG6v-RWk" TargetMode="External"/><Relationship Id="rId837" Type="http://schemas.openxmlformats.org/officeDocument/2006/relationships/hyperlink" Target="https://www.youtube.com/watch?v=KXamV4OZjYs" TargetMode="External"/><Relationship Id="rId1022" Type="http://schemas.openxmlformats.org/officeDocument/2006/relationships/hyperlink" Target="https://www.youtube.com/watch?v=NeCQOUox8zc" TargetMode="External"/><Relationship Id="rId1467" Type="http://schemas.openxmlformats.org/officeDocument/2006/relationships/hyperlink" Target="https://www.youtube.com/watch?v=8gCMYZ-alVw" TargetMode="External"/><Relationship Id="rId269" Type="http://schemas.openxmlformats.org/officeDocument/2006/relationships/hyperlink" Target="https://www.youtube.com/watch?v=7jIfpSOnmK8" TargetMode="External"/><Relationship Id="rId476" Type="http://schemas.openxmlformats.org/officeDocument/2006/relationships/hyperlink" Target="https://www.youtube.com/watch?v=QPVDHJcsv5U" TargetMode="External"/><Relationship Id="rId683" Type="http://schemas.openxmlformats.org/officeDocument/2006/relationships/hyperlink" Target="https://www.youtube.com/watch?v=vEdOCEkdY9Q" TargetMode="External"/><Relationship Id="rId890" Type="http://schemas.openxmlformats.org/officeDocument/2006/relationships/hyperlink" Target="https://www.youtube.com/watch?v=AgRVHML48XM" TargetMode="External"/><Relationship Id="rId904" Type="http://schemas.openxmlformats.org/officeDocument/2006/relationships/hyperlink" Target="https://www.youtube.com/watch?v=t5tjD9qq-98" TargetMode="External"/><Relationship Id="rId1327" Type="http://schemas.openxmlformats.org/officeDocument/2006/relationships/hyperlink" Target="https://www.youtube.com/watch?v=sZGlmV--sG4" TargetMode="External"/><Relationship Id="rId33" Type="http://schemas.openxmlformats.org/officeDocument/2006/relationships/hyperlink" Target="https://www.youtube.com/watch?v=tkF_3Ixn02I" TargetMode="External"/><Relationship Id="rId129" Type="http://schemas.openxmlformats.org/officeDocument/2006/relationships/hyperlink" Target="https://www.youtube.com/watch?v=28dLjjiriJA" TargetMode="External"/><Relationship Id="rId336" Type="http://schemas.openxmlformats.org/officeDocument/2006/relationships/hyperlink" Target="https://www.youtube.com/watch?v=UuJzHq-Ont4" TargetMode="External"/><Relationship Id="rId543" Type="http://schemas.openxmlformats.org/officeDocument/2006/relationships/hyperlink" Target="https://www.youtube.com/watch?v=s1VIjn0qPQg" TargetMode="External"/><Relationship Id="rId988" Type="http://schemas.openxmlformats.org/officeDocument/2006/relationships/hyperlink" Target="https://www.youtube.com/watch?v=C-AklzjB96w" TargetMode="External"/><Relationship Id="rId1173" Type="http://schemas.openxmlformats.org/officeDocument/2006/relationships/hyperlink" Target="https://www.youtube.com/watch?v=zNgyoAjVDhk" TargetMode="External"/><Relationship Id="rId1380" Type="http://schemas.openxmlformats.org/officeDocument/2006/relationships/hyperlink" Target="https://www.youtube.com/watch?v=qqDl6coS7wg" TargetMode="External"/><Relationship Id="rId182" Type="http://schemas.openxmlformats.org/officeDocument/2006/relationships/hyperlink" Target="https://www.youtube.com/watch?v=G3NpQQMh8jQ" TargetMode="External"/><Relationship Id="rId403" Type="http://schemas.openxmlformats.org/officeDocument/2006/relationships/hyperlink" Target="https://www.youtube.com/watch?v=5YuNKvTZtdM" TargetMode="External"/><Relationship Id="rId750" Type="http://schemas.openxmlformats.org/officeDocument/2006/relationships/hyperlink" Target="https://www.youtube.com/watch?v=dJ9wpyiJSSI" TargetMode="External"/><Relationship Id="rId848" Type="http://schemas.openxmlformats.org/officeDocument/2006/relationships/hyperlink" Target="https://www.youtube.com/watch?v=dzUx3zUv_yw" TargetMode="External"/><Relationship Id="rId1033" Type="http://schemas.openxmlformats.org/officeDocument/2006/relationships/hyperlink" Target="https://www.youtube.com/watch?v=S9RImbEoWYA" TargetMode="External"/><Relationship Id="rId1478" Type="http://schemas.openxmlformats.org/officeDocument/2006/relationships/hyperlink" Target="https://www.youtube.com/watch?v=ZyApm_PJ-W8&amp;t=65s" TargetMode="External"/><Relationship Id="rId487" Type="http://schemas.openxmlformats.org/officeDocument/2006/relationships/hyperlink" Target="https://www.youtube.com/watch?v=4gAHt9ki2xY" TargetMode="External"/><Relationship Id="rId610" Type="http://schemas.openxmlformats.org/officeDocument/2006/relationships/hyperlink" Target="https://www.youtube.com/watch?v=NhDs3OPqMQ4" TargetMode="External"/><Relationship Id="rId694" Type="http://schemas.openxmlformats.org/officeDocument/2006/relationships/hyperlink" Target="https://www.youtube.com/watch?v=M8Xez56Bg9c" TargetMode="External"/><Relationship Id="rId708" Type="http://schemas.openxmlformats.org/officeDocument/2006/relationships/hyperlink" Target="https://www.youtube.com/watch?v=JkoZriLo3fA" TargetMode="External"/><Relationship Id="rId915" Type="http://schemas.openxmlformats.org/officeDocument/2006/relationships/hyperlink" Target="https://www.youtube.com/watch?v=kZVT_WU4Pm4" TargetMode="External"/><Relationship Id="rId1240" Type="http://schemas.openxmlformats.org/officeDocument/2006/relationships/hyperlink" Target="https://www.youtube.com/watch?v=1k_PbRxkEqo" TargetMode="External"/><Relationship Id="rId1338" Type="http://schemas.openxmlformats.org/officeDocument/2006/relationships/hyperlink" Target="https://www.youtube.com/watch?v=rt5w2HzSWc0" TargetMode="External"/><Relationship Id="rId347" Type="http://schemas.openxmlformats.org/officeDocument/2006/relationships/hyperlink" Target="https://www.youtube.com/watch?v=MfzPrOKKZVo" TargetMode="External"/><Relationship Id="rId999" Type="http://schemas.openxmlformats.org/officeDocument/2006/relationships/hyperlink" Target="https://www.youtube.com/watch?v=1UT4aCq24wA" TargetMode="External"/><Relationship Id="rId1100" Type="http://schemas.openxmlformats.org/officeDocument/2006/relationships/hyperlink" Target="https://www.youtube.com/watch?v=N1wkN3CKqHY" TargetMode="External"/><Relationship Id="rId1184" Type="http://schemas.openxmlformats.org/officeDocument/2006/relationships/hyperlink" Target="https://www.youtube.com/watch?v=B3K5KRgT0oE" TargetMode="External"/><Relationship Id="rId1405" Type="http://schemas.openxmlformats.org/officeDocument/2006/relationships/hyperlink" Target="https://www.youtube.com/watch?v=lQph5joRdU8" TargetMode="External"/><Relationship Id="rId44" Type="http://schemas.openxmlformats.org/officeDocument/2006/relationships/hyperlink" Target="https://www.youtube.com/watch?v=Uq2PJjcHiqI" TargetMode="External"/><Relationship Id="rId554" Type="http://schemas.openxmlformats.org/officeDocument/2006/relationships/hyperlink" Target="https://www.youtube.com/watch?v=AuVaei10Du0" TargetMode="External"/><Relationship Id="rId761" Type="http://schemas.openxmlformats.org/officeDocument/2006/relationships/hyperlink" Target="https://www.youtube.com/watch?v=VJZ4LARPMJU&amp;t=79s" TargetMode="External"/><Relationship Id="rId859" Type="http://schemas.openxmlformats.org/officeDocument/2006/relationships/hyperlink" Target="https://www.youtube.com/watch?v=PWZrF-TGsWo" TargetMode="External"/><Relationship Id="rId1391" Type="http://schemas.openxmlformats.org/officeDocument/2006/relationships/hyperlink" Target="https://www.youtube.com/watch?v=_xxJKDZyRuE" TargetMode="External"/><Relationship Id="rId1489" Type="http://schemas.openxmlformats.org/officeDocument/2006/relationships/hyperlink" Target="https://www.youtube.com/watch?v=s4vjcCAXvVI" TargetMode="External"/><Relationship Id="rId193" Type="http://schemas.openxmlformats.org/officeDocument/2006/relationships/hyperlink" Target="https://www.youtube.com/watch?v=gmu_fBglk-A" TargetMode="External"/><Relationship Id="rId207" Type="http://schemas.openxmlformats.org/officeDocument/2006/relationships/hyperlink" Target="https://www.youtube.com/watch?v=MOkWSa69NKA" TargetMode="External"/><Relationship Id="rId414" Type="http://schemas.openxmlformats.org/officeDocument/2006/relationships/hyperlink" Target="https://www.youtube.com/watch?v=RKYffxIB9EM" TargetMode="External"/><Relationship Id="rId498" Type="http://schemas.openxmlformats.org/officeDocument/2006/relationships/hyperlink" Target="https://www.youtube.com/watch?v=d9iObjKR5yI" TargetMode="External"/><Relationship Id="rId621" Type="http://schemas.openxmlformats.org/officeDocument/2006/relationships/hyperlink" Target="https://www.youtube.com/watch?v=zm-fPGwlflY" TargetMode="External"/><Relationship Id="rId1044" Type="http://schemas.openxmlformats.org/officeDocument/2006/relationships/hyperlink" Target="https://www.youtube.com/watch?v=xkyySDtO5HU" TargetMode="External"/><Relationship Id="rId1251" Type="http://schemas.openxmlformats.org/officeDocument/2006/relationships/hyperlink" Target="https://www.youtube.com/watch?v=LAZPY_rTJLU" TargetMode="External"/><Relationship Id="rId1349" Type="http://schemas.openxmlformats.org/officeDocument/2006/relationships/hyperlink" Target="https://www.youtube.com/watch?v=1UnsEQPK3PQ" TargetMode="External"/><Relationship Id="rId260" Type="http://schemas.openxmlformats.org/officeDocument/2006/relationships/hyperlink" Target="https://www.youtube.com/watch?v=g-xyM5pVESg" TargetMode="External"/><Relationship Id="rId719" Type="http://schemas.openxmlformats.org/officeDocument/2006/relationships/hyperlink" Target="https://www.youtube.com/watch?v=I6Nwopg3FIw" TargetMode="External"/><Relationship Id="rId926" Type="http://schemas.openxmlformats.org/officeDocument/2006/relationships/hyperlink" Target="https://www.youtube.com/watch?v=ZwiLQGKP--A" TargetMode="External"/><Relationship Id="rId1111" Type="http://schemas.openxmlformats.org/officeDocument/2006/relationships/hyperlink" Target="https://www.youtube.com/watch?v=FgVpxhtCQdA" TargetMode="External"/><Relationship Id="rId55" Type="http://schemas.openxmlformats.org/officeDocument/2006/relationships/hyperlink" Target="https://www.youtube.com/watch?v=N0PD3TuLvoo" TargetMode="External"/><Relationship Id="rId120" Type="http://schemas.openxmlformats.org/officeDocument/2006/relationships/hyperlink" Target="https://www.youtube.com/watch?v=sc4OOSLMiQQ" TargetMode="External"/><Relationship Id="rId358" Type="http://schemas.openxmlformats.org/officeDocument/2006/relationships/hyperlink" Target="https://www.youtube.com/watch?v=MBzty84VgRo" TargetMode="External"/><Relationship Id="rId565" Type="http://schemas.openxmlformats.org/officeDocument/2006/relationships/hyperlink" Target="https://www.youtube.com/watch?v=O5i1SD7KFkI" TargetMode="External"/><Relationship Id="rId772" Type="http://schemas.openxmlformats.org/officeDocument/2006/relationships/hyperlink" Target="https://www.youtube.com/watch?v=yB7P6V4_zUw" TargetMode="External"/><Relationship Id="rId1195" Type="http://schemas.openxmlformats.org/officeDocument/2006/relationships/hyperlink" Target="https://www.youtube.com/watch?v=ZkrWcJXqbGA" TargetMode="External"/><Relationship Id="rId1209" Type="http://schemas.openxmlformats.org/officeDocument/2006/relationships/hyperlink" Target="https://www.youtube.com/watch?v=EKyX0QsZVJc" TargetMode="External"/><Relationship Id="rId1416" Type="http://schemas.openxmlformats.org/officeDocument/2006/relationships/hyperlink" Target="https://www.youtube.com/watch?v=DBYSIkWsAOI" TargetMode="External"/><Relationship Id="rId218" Type="http://schemas.openxmlformats.org/officeDocument/2006/relationships/hyperlink" Target="https://www.youtube.com/watch?v=apOba1F4MT4" TargetMode="External"/><Relationship Id="rId425" Type="http://schemas.openxmlformats.org/officeDocument/2006/relationships/hyperlink" Target="https://www.youtube.com/watch?v=8ZJ9Ubv74Fc" TargetMode="External"/><Relationship Id="rId632" Type="http://schemas.openxmlformats.org/officeDocument/2006/relationships/hyperlink" Target="https://www.youtube.com/watch?v=G-AjF_4Jc1I" TargetMode="External"/><Relationship Id="rId1055" Type="http://schemas.openxmlformats.org/officeDocument/2006/relationships/hyperlink" Target="https://www.youtube.com/watch?v=ozdJ_kTaZcc" TargetMode="External"/><Relationship Id="rId1262" Type="http://schemas.openxmlformats.org/officeDocument/2006/relationships/hyperlink" Target="https://www.youtube.com/watch?v=IS6hRiM7WuU" TargetMode="External"/><Relationship Id="rId271" Type="http://schemas.openxmlformats.org/officeDocument/2006/relationships/hyperlink" Target="https://www.youtube.com/watch?v=qd7yTtTb_Fc" TargetMode="External"/><Relationship Id="rId937" Type="http://schemas.openxmlformats.org/officeDocument/2006/relationships/hyperlink" Target="https://www.youtube.com/watch?v=Deab_JE4fv4" TargetMode="External"/><Relationship Id="rId1122" Type="http://schemas.openxmlformats.org/officeDocument/2006/relationships/hyperlink" Target="https://www.youtube.com/watch?v=NaCx35vC5wg" TargetMode="External"/><Relationship Id="rId66" Type="http://schemas.openxmlformats.org/officeDocument/2006/relationships/hyperlink" Target="https://www.youtube.com/watch?v=BEz8X5SUwjY" TargetMode="External"/><Relationship Id="rId131" Type="http://schemas.openxmlformats.org/officeDocument/2006/relationships/hyperlink" Target="https://www.youtube.com/watch?v=mhHQNrL_bkM" TargetMode="External"/><Relationship Id="rId369" Type="http://schemas.openxmlformats.org/officeDocument/2006/relationships/hyperlink" Target="https://www.youtube.com/watch?v=zqnotAbf-Cc" TargetMode="External"/><Relationship Id="rId576" Type="http://schemas.openxmlformats.org/officeDocument/2006/relationships/hyperlink" Target="https://www.youtube.com/watch?v=j84sUcOTBRM" TargetMode="External"/><Relationship Id="rId783" Type="http://schemas.openxmlformats.org/officeDocument/2006/relationships/hyperlink" Target="https://www.youtube.com/watch?v=orOA4dPxE98" TargetMode="External"/><Relationship Id="rId990" Type="http://schemas.openxmlformats.org/officeDocument/2006/relationships/hyperlink" Target="https://www.youtube.com/watch?v=CLCX0mlWjw0" TargetMode="External"/><Relationship Id="rId1427" Type="http://schemas.openxmlformats.org/officeDocument/2006/relationships/hyperlink" Target="https://www.youtube.com/watch?v=inDcB8LwlqI" TargetMode="External"/><Relationship Id="rId229" Type="http://schemas.openxmlformats.org/officeDocument/2006/relationships/hyperlink" Target="https://www.youtube.com/watch?v=eKtCOiQbVX0" TargetMode="External"/><Relationship Id="rId436" Type="http://schemas.openxmlformats.org/officeDocument/2006/relationships/hyperlink" Target="https://www.youtube.com/watch?v=nEEhdprZ-EE" TargetMode="External"/><Relationship Id="rId643" Type="http://schemas.openxmlformats.org/officeDocument/2006/relationships/hyperlink" Target="https://www.youtube.com/watch?v=RaNpNJVvWDI" TargetMode="External"/><Relationship Id="rId1066" Type="http://schemas.openxmlformats.org/officeDocument/2006/relationships/hyperlink" Target="https://www.youtube.com/watch?v=gzOZ5Lo3n9Y" TargetMode="External"/><Relationship Id="rId1273" Type="http://schemas.openxmlformats.org/officeDocument/2006/relationships/hyperlink" Target="https://www.youtube.com/watch?v=p08RUDejFXs" TargetMode="External"/><Relationship Id="rId1480" Type="http://schemas.openxmlformats.org/officeDocument/2006/relationships/hyperlink" Target="https://www.youtube.com/watch?v=VFJFvcNogFU" TargetMode="External"/><Relationship Id="rId850" Type="http://schemas.openxmlformats.org/officeDocument/2006/relationships/hyperlink" Target="https://www.youtube.com/watch?v=5iT09vIaZOU" TargetMode="External"/><Relationship Id="rId948" Type="http://schemas.openxmlformats.org/officeDocument/2006/relationships/hyperlink" Target="https://www.youtube.com/watch?v=AB0KeX_0T2I" TargetMode="External"/><Relationship Id="rId1133" Type="http://schemas.openxmlformats.org/officeDocument/2006/relationships/hyperlink" Target="https://www.youtube.com/watch?v=aEAK6N982oQ" TargetMode="External"/><Relationship Id="rId77" Type="http://schemas.openxmlformats.org/officeDocument/2006/relationships/hyperlink" Target="https://www.youtube.com/watch?v=iS7CE9mrtI4" TargetMode="External"/><Relationship Id="rId282" Type="http://schemas.openxmlformats.org/officeDocument/2006/relationships/hyperlink" Target="https://www.youtube.com/watch?v=OBViSvvLu-s" TargetMode="External"/><Relationship Id="rId503" Type="http://schemas.openxmlformats.org/officeDocument/2006/relationships/hyperlink" Target="https://www.youtube.com/watch?v=JNg9hu1QURw" TargetMode="External"/><Relationship Id="rId587" Type="http://schemas.openxmlformats.org/officeDocument/2006/relationships/hyperlink" Target="https://www.youtube.com/watch?v=yZ08CJsgurU" TargetMode="External"/><Relationship Id="rId710" Type="http://schemas.openxmlformats.org/officeDocument/2006/relationships/hyperlink" Target="https://www.youtube.com/watch?v=hPD7CW4JiSA" TargetMode="External"/><Relationship Id="rId808" Type="http://schemas.openxmlformats.org/officeDocument/2006/relationships/hyperlink" Target="https://www.youtube.com/watch?v=yCrftsxElf8" TargetMode="External"/><Relationship Id="rId1340" Type="http://schemas.openxmlformats.org/officeDocument/2006/relationships/hyperlink" Target="https://www.youtube.com/watch?v=kvEIBfEnwXM" TargetMode="External"/><Relationship Id="rId1438" Type="http://schemas.openxmlformats.org/officeDocument/2006/relationships/hyperlink" Target="https://www.youtube.com/watch?v=tPgOVeqnOcc" TargetMode="External"/><Relationship Id="rId8" Type="http://schemas.openxmlformats.org/officeDocument/2006/relationships/hyperlink" Target="https://www.youtube.com/watch?v=FytdS2vMJfU" TargetMode="External"/><Relationship Id="rId142" Type="http://schemas.openxmlformats.org/officeDocument/2006/relationships/hyperlink" Target="https://www.youtube.com/watch?v=OpsoPcAUMbw" TargetMode="External"/><Relationship Id="rId447" Type="http://schemas.openxmlformats.org/officeDocument/2006/relationships/hyperlink" Target="https://www.youtube.com/watch?v=myyrtrylWQs" TargetMode="External"/><Relationship Id="rId794" Type="http://schemas.openxmlformats.org/officeDocument/2006/relationships/hyperlink" Target="https://www.youtube.com/watch?v=BNly0XIZX6c" TargetMode="External"/><Relationship Id="rId1077" Type="http://schemas.openxmlformats.org/officeDocument/2006/relationships/hyperlink" Target="https://www.youtube.com/watch?v=a30EnICYBUA" TargetMode="External"/><Relationship Id="rId1200" Type="http://schemas.openxmlformats.org/officeDocument/2006/relationships/hyperlink" Target="https://www.youtube.com/watch?v=j53ZVDx4pYc" TargetMode="External"/><Relationship Id="rId654" Type="http://schemas.openxmlformats.org/officeDocument/2006/relationships/hyperlink" Target="https://www.youtube.com/watch?v=p4NkqPPh2fk" TargetMode="External"/><Relationship Id="rId861" Type="http://schemas.openxmlformats.org/officeDocument/2006/relationships/hyperlink" Target="https://www.youtube.com/watch?v=S2ePhtW_O5A" TargetMode="External"/><Relationship Id="rId959" Type="http://schemas.openxmlformats.org/officeDocument/2006/relationships/hyperlink" Target="https://www.youtube.com/watch?v=Xsq9jAEpAY8" TargetMode="External"/><Relationship Id="rId1284" Type="http://schemas.openxmlformats.org/officeDocument/2006/relationships/hyperlink" Target="https://www.youtube.com/watch?v=69M5XJQEYX4" TargetMode="External"/><Relationship Id="rId1491" Type="http://schemas.openxmlformats.org/officeDocument/2006/relationships/hyperlink" Target="https://www.youtube.com/watch?v=wfQX8QWcWgI" TargetMode="External"/><Relationship Id="rId1505" Type="http://schemas.openxmlformats.org/officeDocument/2006/relationships/hyperlink" Target="https://www.youtube.com/watch?v=ahKeSqFT0Nk" TargetMode="External"/><Relationship Id="rId293" Type="http://schemas.openxmlformats.org/officeDocument/2006/relationships/hyperlink" Target="https://www.youtube.com/watch?v=cKIAV15AZcI" TargetMode="External"/><Relationship Id="rId307" Type="http://schemas.openxmlformats.org/officeDocument/2006/relationships/hyperlink" Target="https://www.youtube.com/watch?v=R7mzbp-9vbk" TargetMode="External"/><Relationship Id="rId514" Type="http://schemas.openxmlformats.org/officeDocument/2006/relationships/hyperlink" Target="https://www.youtube.com/watch?v=_xIbCmTtK8s" TargetMode="External"/><Relationship Id="rId721" Type="http://schemas.openxmlformats.org/officeDocument/2006/relationships/hyperlink" Target="https://www.youtube.com/watch?v=QT3p6iGNrkU" TargetMode="External"/><Relationship Id="rId1144" Type="http://schemas.openxmlformats.org/officeDocument/2006/relationships/hyperlink" Target="https://www.youtube.com/watch?v=bGDeGR7DrFw" TargetMode="External"/><Relationship Id="rId1351" Type="http://schemas.openxmlformats.org/officeDocument/2006/relationships/hyperlink" Target="https://www.youtube.com/watch?v=bD-uUsBgY-w" TargetMode="External"/><Relationship Id="rId1449" Type="http://schemas.openxmlformats.org/officeDocument/2006/relationships/hyperlink" Target="https://www.youtube.com/watch?v=OmWUkxANoEk" TargetMode="External"/><Relationship Id="rId88" Type="http://schemas.openxmlformats.org/officeDocument/2006/relationships/hyperlink" Target="https://www.youtube.com/watch?v=rNhQIKC2jPM" TargetMode="External"/><Relationship Id="rId153" Type="http://schemas.openxmlformats.org/officeDocument/2006/relationships/hyperlink" Target="https://www.youtube.com/watch?v=FNqQxPkLmPI" TargetMode="External"/><Relationship Id="rId360" Type="http://schemas.openxmlformats.org/officeDocument/2006/relationships/hyperlink" Target="https://www.youtube.com/watch?v=nCmJgIvSqfU" TargetMode="External"/><Relationship Id="rId598" Type="http://schemas.openxmlformats.org/officeDocument/2006/relationships/hyperlink" Target="https://www.youtube.com/watch?v=fyMRRD_YeRI" TargetMode="External"/><Relationship Id="rId819" Type="http://schemas.openxmlformats.org/officeDocument/2006/relationships/hyperlink" Target="https://www.youtube.com/watch?v=OAcu0ZHtcXc" TargetMode="External"/><Relationship Id="rId1004" Type="http://schemas.openxmlformats.org/officeDocument/2006/relationships/hyperlink" Target="https://www.youtube.com/watch?v=a6bj2Qddmzk" TargetMode="External"/><Relationship Id="rId1211" Type="http://schemas.openxmlformats.org/officeDocument/2006/relationships/hyperlink" Target="https://www.youtube.com/watch?v=DrTFGS7SoCg" TargetMode="External"/><Relationship Id="rId220" Type="http://schemas.openxmlformats.org/officeDocument/2006/relationships/hyperlink" Target="https://www.youtube.com/watch?v=CtiARMXwI0Q" TargetMode="External"/><Relationship Id="rId458" Type="http://schemas.openxmlformats.org/officeDocument/2006/relationships/hyperlink" Target="https://www.youtube.com/watch?v=oYXPvuD_ejM" TargetMode="External"/><Relationship Id="rId665" Type="http://schemas.openxmlformats.org/officeDocument/2006/relationships/hyperlink" Target="https://www.youtube.com/watch?v=afXofZLlzB4" TargetMode="External"/><Relationship Id="rId872" Type="http://schemas.openxmlformats.org/officeDocument/2006/relationships/hyperlink" Target="https://www.youtube.com/watch?v=7gTT37SeSUc" TargetMode="External"/><Relationship Id="rId1088" Type="http://schemas.openxmlformats.org/officeDocument/2006/relationships/hyperlink" Target="https://www.youtube.com/watch?v=3dgPn1KOovw" TargetMode="External"/><Relationship Id="rId1295" Type="http://schemas.openxmlformats.org/officeDocument/2006/relationships/hyperlink" Target="https://www.youtube.com/watch?v=F2WG7neA31s" TargetMode="External"/><Relationship Id="rId1309" Type="http://schemas.openxmlformats.org/officeDocument/2006/relationships/hyperlink" Target="https://www.youtube.com/watch?v=N6IDjOR1OY0" TargetMode="External"/><Relationship Id="rId15" Type="http://schemas.openxmlformats.org/officeDocument/2006/relationships/hyperlink" Target="https://www.youtube.com/watch?v=mjFek0gF97s" TargetMode="External"/><Relationship Id="rId318" Type="http://schemas.openxmlformats.org/officeDocument/2006/relationships/hyperlink" Target="https://www.youtube.com/watch?v=2uOiM67vK6A" TargetMode="External"/><Relationship Id="rId525" Type="http://schemas.openxmlformats.org/officeDocument/2006/relationships/hyperlink" Target="https://www.youtube.com/watch?v=ziCW-l-SXRM" TargetMode="External"/><Relationship Id="rId732" Type="http://schemas.openxmlformats.org/officeDocument/2006/relationships/hyperlink" Target="https://www.youtube.com/watch?v=w2e5eqI49cE" TargetMode="External"/><Relationship Id="rId1155" Type="http://schemas.openxmlformats.org/officeDocument/2006/relationships/hyperlink" Target="https://www.youtube.com/watch?v=wEalKzas5Ig" TargetMode="External"/><Relationship Id="rId1362" Type="http://schemas.openxmlformats.org/officeDocument/2006/relationships/hyperlink" Target="https://www.youtube.com/watch?v=_CKZQa18hcY" TargetMode="External"/><Relationship Id="rId99" Type="http://schemas.openxmlformats.org/officeDocument/2006/relationships/hyperlink" Target="https://www.youtube.com/watch?v=8qjQH_-WzyE" TargetMode="External"/><Relationship Id="rId164" Type="http://schemas.openxmlformats.org/officeDocument/2006/relationships/hyperlink" Target="https://www.youtube.com/watch?v=knJJGEYwaZw" TargetMode="External"/><Relationship Id="rId371" Type="http://schemas.openxmlformats.org/officeDocument/2006/relationships/hyperlink" Target="https://www.youtube.com/watch?v=oeFU8Lk35BI" TargetMode="External"/><Relationship Id="rId1015" Type="http://schemas.openxmlformats.org/officeDocument/2006/relationships/hyperlink" Target="https://www.youtube.com/watch?v=ll-fhgVbj1I" TargetMode="External"/><Relationship Id="rId1222" Type="http://schemas.openxmlformats.org/officeDocument/2006/relationships/hyperlink" Target="https://www.youtube.com/watch?v=RfiT3REVHxQ" TargetMode="External"/><Relationship Id="rId469" Type="http://schemas.openxmlformats.org/officeDocument/2006/relationships/hyperlink" Target="https://www.youtube.com/watch?v=KBA7GLExw3o" TargetMode="External"/><Relationship Id="rId676" Type="http://schemas.openxmlformats.org/officeDocument/2006/relationships/hyperlink" Target="https://www.youtube.com/watch?v=55sjF1l4Hu0" TargetMode="External"/><Relationship Id="rId883" Type="http://schemas.openxmlformats.org/officeDocument/2006/relationships/hyperlink" Target="https://www.youtube.com/watch?v=glBt8I5y1b8" TargetMode="External"/><Relationship Id="rId1099" Type="http://schemas.openxmlformats.org/officeDocument/2006/relationships/hyperlink" Target="https://www.youtube.com/watch?v=N1wkN3CKqHY" TargetMode="External"/><Relationship Id="rId26" Type="http://schemas.openxmlformats.org/officeDocument/2006/relationships/hyperlink" Target="https://www.youtube.com/watch?v=KVDRl_wLqdM" TargetMode="External"/><Relationship Id="rId231" Type="http://schemas.openxmlformats.org/officeDocument/2006/relationships/hyperlink" Target="https://www.youtube.com/watch?v=vnw9dW2QgYk" TargetMode="External"/><Relationship Id="rId329" Type="http://schemas.openxmlformats.org/officeDocument/2006/relationships/hyperlink" Target="https://www.youtube.com/watch?v=Um1LJAfSPoo" TargetMode="External"/><Relationship Id="rId536" Type="http://schemas.openxmlformats.org/officeDocument/2006/relationships/hyperlink" Target="https://www.youtube.com/watch?v=R_G2Gd70LiY" TargetMode="External"/><Relationship Id="rId1166" Type="http://schemas.openxmlformats.org/officeDocument/2006/relationships/hyperlink" Target="https://www.youtube.com/watch?v=nUfn2eRsHgo" TargetMode="External"/><Relationship Id="rId1373" Type="http://schemas.openxmlformats.org/officeDocument/2006/relationships/hyperlink" Target="https://www.youtube.com/watch?v=Fb11XAvWeyE" TargetMode="External"/><Relationship Id="rId175" Type="http://schemas.openxmlformats.org/officeDocument/2006/relationships/hyperlink" Target="https://www.youtube.com/watch?v=lXmhJr1LDyI" TargetMode="External"/><Relationship Id="rId743" Type="http://schemas.openxmlformats.org/officeDocument/2006/relationships/hyperlink" Target="https://www.youtube.com/watch?v=kKbQvD24QPY" TargetMode="External"/><Relationship Id="rId950" Type="http://schemas.openxmlformats.org/officeDocument/2006/relationships/hyperlink" Target="https://www.youtube.com/watch?v=VDqAX3plBww" TargetMode="External"/><Relationship Id="rId1026" Type="http://schemas.openxmlformats.org/officeDocument/2006/relationships/hyperlink" Target="https://www.youtube.com/watch?v=gPdm-EF13GU" TargetMode="External"/><Relationship Id="rId382" Type="http://schemas.openxmlformats.org/officeDocument/2006/relationships/hyperlink" Target="https://www.youtube.com/watch?v=pAHRrR6eeDU" TargetMode="External"/><Relationship Id="rId603" Type="http://schemas.openxmlformats.org/officeDocument/2006/relationships/hyperlink" Target="https://www.youtube.com/watch?v=tNKCTknE59M" TargetMode="External"/><Relationship Id="rId687" Type="http://schemas.openxmlformats.org/officeDocument/2006/relationships/hyperlink" Target="https://www.youtube.com/watch?v=Uk3mD3cAFXg" TargetMode="External"/><Relationship Id="rId810" Type="http://schemas.openxmlformats.org/officeDocument/2006/relationships/hyperlink" Target="https://www.youtube.com/watch?v=c0qRokhkADI" TargetMode="External"/><Relationship Id="rId908" Type="http://schemas.openxmlformats.org/officeDocument/2006/relationships/hyperlink" Target="https://www.youtube.com/watch?v=tpUBWJjtzrA" TargetMode="External"/><Relationship Id="rId1233" Type="http://schemas.openxmlformats.org/officeDocument/2006/relationships/hyperlink" Target="https://www.youtube.com/watch?v=SNAHZpRl3go" TargetMode="External"/><Relationship Id="rId1440" Type="http://schemas.openxmlformats.org/officeDocument/2006/relationships/hyperlink" Target="https://www.youtube.com/watch?v=sEg8fP2ckhI" TargetMode="External"/><Relationship Id="rId242" Type="http://schemas.openxmlformats.org/officeDocument/2006/relationships/hyperlink" Target="https://www.youtube.com/watch?v=vSLKEwGRgbY" TargetMode="External"/><Relationship Id="rId894" Type="http://schemas.openxmlformats.org/officeDocument/2006/relationships/hyperlink" Target="https://www.youtube.com/watch?v=xuKnWRKpLyM" TargetMode="External"/><Relationship Id="rId1177" Type="http://schemas.openxmlformats.org/officeDocument/2006/relationships/hyperlink" Target="https://www.youtube.com/watch?v=9qgkONu6nbk" TargetMode="External"/><Relationship Id="rId1300" Type="http://schemas.openxmlformats.org/officeDocument/2006/relationships/hyperlink" Target="https://www.youtube.com/watch?v=mcxquOK_mY8" TargetMode="External"/><Relationship Id="rId37" Type="http://schemas.openxmlformats.org/officeDocument/2006/relationships/hyperlink" Target="https://www.youtube.com/watch?v=Wpkt3HpzBTs" TargetMode="External"/><Relationship Id="rId102" Type="http://schemas.openxmlformats.org/officeDocument/2006/relationships/hyperlink" Target="https://www.youtube.com/watch?v=vHWsmGyjOk0" TargetMode="External"/><Relationship Id="rId547" Type="http://schemas.openxmlformats.org/officeDocument/2006/relationships/hyperlink" Target="https://www.youtube.com/watch?v=m9xF54UZFuY" TargetMode="External"/><Relationship Id="rId754" Type="http://schemas.openxmlformats.org/officeDocument/2006/relationships/hyperlink" Target="https://www.youtube.com/watch?v=AjEKOFHh4yM" TargetMode="External"/><Relationship Id="rId961" Type="http://schemas.openxmlformats.org/officeDocument/2006/relationships/hyperlink" Target="https://www.youtube.com/watch?v=-HWLO-7d98U" TargetMode="External"/><Relationship Id="rId1384" Type="http://schemas.openxmlformats.org/officeDocument/2006/relationships/hyperlink" Target="https://www.youtube.com/watch?v=gtJ9OzJIB_c" TargetMode="External"/><Relationship Id="rId90" Type="http://schemas.openxmlformats.org/officeDocument/2006/relationships/hyperlink" Target="https://www.youtube.com/watch?v=FndfcBhZklU" TargetMode="External"/><Relationship Id="rId186" Type="http://schemas.openxmlformats.org/officeDocument/2006/relationships/hyperlink" Target="https://www.youtube.com/watch?v=0uPW7Jf9y7o" TargetMode="External"/><Relationship Id="rId393" Type="http://schemas.openxmlformats.org/officeDocument/2006/relationships/hyperlink" Target="https://www.youtube.com/watch?v=wm8QHjKcDf8" TargetMode="External"/><Relationship Id="rId407" Type="http://schemas.openxmlformats.org/officeDocument/2006/relationships/hyperlink" Target="https://www.youtube.com/watch?v=182HueOxCaU" TargetMode="External"/><Relationship Id="rId614" Type="http://schemas.openxmlformats.org/officeDocument/2006/relationships/hyperlink" Target="https://www.youtube.com/watch?v=T-iBVjoTxpY" TargetMode="External"/><Relationship Id="rId821" Type="http://schemas.openxmlformats.org/officeDocument/2006/relationships/hyperlink" Target="https://www.youtube.com/watch?v=F4X3ljkLFP8" TargetMode="External"/><Relationship Id="rId1037" Type="http://schemas.openxmlformats.org/officeDocument/2006/relationships/hyperlink" Target="https://www.youtube.com/watch?v=EfHkupTL5wU" TargetMode="External"/><Relationship Id="rId1244" Type="http://schemas.openxmlformats.org/officeDocument/2006/relationships/hyperlink" Target="https://www.youtube.com/watch?v=-pTe3fDFF7U" TargetMode="External"/><Relationship Id="rId1451" Type="http://schemas.openxmlformats.org/officeDocument/2006/relationships/hyperlink" Target="https://www.youtube.com/watch?v=5IYA6g6rNW0" TargetMode="External"/><Relationship Id="rId253" Type="http://schemas.openxmlformats.org/officeDocument/2006/relationships/hyperlink" Target="https://www.youtube.com/watch?v=08Xwx9vsy6w" TargetMode="External"/><Relationship Id="rId460" Type="http://schemas.openxmlformats.org/officeDocument/2006/relationships/hyperlink" Target="https://www.youtube.com/watch?v=Cs9JbmZ0poM" TargetMode="External"/><Relationship Id="rId698" Type="http://schemas.openxmlformats.org/officeDocument/2006/relationships/hyperlink" Target="https://www.youtube.com/watch?v=fKsfq4rFzbA" TargetMode="External"/><Relationship Id="rId919" Type="http://schemas.openxmlformats.org/officeDocument/2006/relationships/hyperlink" Target="https://www.youtube.com/watch?v=KdiEMEbTV1M" TargetMode="External"/><Relationship Id="rId1090" Type="http://schemas.openxmlformats.org/officeDocument/2006/relationships/hyperlink" Target="https://www.youtube.com/watch?v=Aivw6qVhabo" TargetMode="External"/><Relationship Id="rId1104" Type="http://schemas.openxmlformats.org/officeDocument/2006/relationships/hyperlink" Target="https://www.youtube.com/watch?v=eVhJjqlSE8s" TargetMode="External"/><Relationship Id="rId1311" Type="http://schemas.openxmlformats.org/officeDocument/2006/relationships/hyperlink" Target="https://www.youtube.com/watch?v=mScbp58xwJE" TargetMode="External"/><Relationship Id="rId48" Type="http://schemas.openxmlformats.org/officeDocument/2006/relationships/hyperlink" Target="https://www.youtube.com/watch?v=LdrmgXtd_rs" TargetMode="External"/><Relationship Id="rId113" Type="http://schemas.openxmlformats.org/officeDocument/2006/relationships/hyperlink" Target="https://www.youtube.com/watch?v=TGgYE0Ui0co" TargetMode="External"/><Relationship Id="rId320" Type="http://schemas.openxmlformats.org/officeDocument/2006/relationships/hyperlink" Target="https://www.youtube.com/watch?v=Y1SUVA0PU1o" TargetMode="External"/><Relationship Id="rId558" Type="http://schemas.openxmlformats.org/officeDocument/2006/relationships/hyperlink" Target="https://www.youtube.com/watch?v=FKg_FjS3qZw" TargetMode="External"/><Relationship Id="rId765" Type="http://schemas.openxmlformats.org/officeDocument/2006/relationships/hyperlink" Target="https://www.youtube.com/watch?v=4fTC0cZiBus" TargetMode="External"/><Relationship Id="rId972" Type="http://schemas.openxmlformats.org/officeDocument/2006/relationships/hyperlink" Target="https://www.youtube.com/watch?v=G2ke7Higm-Y" TargetMode="External"/><Relationship Id="rId1188" Type="http://schemas.openxmlformats.org/officeDocument/2006/relationships/hyperlink" Target="https://www.youtube.com/watch?v=SmB_GUlrfzk" TargetMode="External"/><Relationship Id="rId1395" Type="http://schemas.openxmlformats.org/officeDocument/2006/relationships/hyperlink" Target="https://www.youtube.com/watch?v=vmOlaD1O5rg" TargetMode="External"/><Relationship Id="rId1409" Type="http://schemas.openxmlformats.org/officeDocument/2006/relationships/hyperlink" Target="https://www.youtube.com/watch?v=Zused4CGMw4" TargetMode="External"/><Relationship Id="rId197" Type="http://schemas.openxmlformats.org/officeDocument/2006/relationships/hyperlink" Target="https://www.youtube.com/watch?v=91dtNzk71IA" TargetMode="External"/><Relationship Id="rId418" Type="http://schemas.openxmlformats.org/officeDocument/2006/relationships/hyperlink" Target="https://www.youtube.com/watch?v=y-v-Ijc7W3Y" TargetMode="External"/><Relationship Id="rId625" Type="http://schemas.openxmlformats.org/officeDocument/2006/relationships/hyperlink" Target="https://www.youtube.com/watch?v=kpktr2ml8m8" TargetMode="External"/><Relationship Id="rId832" Type="http://schemas.openxmlformats.org/officeDocument/2006/relationships/hyperlink" Target="https://www.youtube.com/watch?v=o4_iAmYXDzg" TargetMode="External"/><Relationship Id="rId1048" Type="http://schemas.openxmlformats.org/officeDocument/2006/relationships/hyperlink" Target="https://www.youtube.com/watch?v=GCo89ggyUKw" TargetMode="External"/><Relationship Id="rId1255" Type="http://schemas.openxmlformats.org/officeDocument/2006/relationships/hyperlink" Target="https://www.youtube.com/watch?v=lnII4AH2rHw" TargetMode="External"/><Relationship Id="rId1462" Type="http://schemas.openxmlformats.org/officeDocument/2006/relationships/hyperlink" Target="https://www.youtube.com/watch?v=3Pat7agSMJU&amp;t=22s" TargetMode="External"/><Relationship Id="rId264" Type="http://schemas.openxmlformats.org/officeDocument/2006/relationships/hyperlink" Target="https://www.youtube.com/watch?v=3f7b_ZE5B1Y" TargetMode="External"/><Relationship Id="rId471" Type="http://schemas.openxmlformats.org/officeDocument/2006/relationships/hyperlink" Target="https://www.youtube.com/watch?v=DoYL7K2djDY" TargetMode="External"/><Relationship Id="rId1115" Type="http://schemas.openxmlformats.org/officeDocument/2006/relationships/hyperlink" Target="https://www.youtube.com/watch?v=n0Ekb7yhf18" TargetMode="External"/><Relationship Id="rId1322" Type="http://schemas.openxmlformats.org/officeDocument/2006/relationships/hyperlink" Target="https://www.youtube.com/watch?v=strZVEaixcs" TargetMode="External"/><Relationship Id="rId59" Type="http://schemas.openxmlformats.org/officeDocument/2006/relationships/hyperlink" Target="https://www.youtube.com/watch?v=dp7l5qmLHJI" TargetMode="External"/><Relationship Id="rId124" Type="http://schemas.openxmlformats.org/officeDocument/2006/relationships/hyperlink" Target="https://www.youtube.com/watch?v=s3LVHHEe2vc" TargetMode="External"/><Relationship Id="rId569" Type="http://schemas.openxmlformats.org/officeDocument/2006/relationships/hyperlink" Target="https://www.youtube.com/watch?v=JbxzX8kwig4" TargetMode="External"/><Relationship Id="rId776" Type="http://schemas.openxmlformats.org/officeDocument/2006/relationships/hyperlink" Target="https://www.youtube.com/watch?v=hFK3wIxZt3g" TargetMode="External"/><Relationship Id="rId983" Type="http://schemas.openxmlformats.org/officeDocument/2006/relationships/hyperlink" Target="https://www.youtube.com/watch?v=9fu_xDvkBMk" TargetMode="External"/><Relationship Id="rId1199" Type="http://schemas.openxmlformats.org/officeDocument/2006/relationships/hyperlink" Target="https://www.youtube.com/watch?v=j53ZVDx4pYc" TargetMode="External"/><Relationship Id="rId331" Type="http://schemas.openxmlformats.org/officeDocument/2006/relationships/hyperlink" Target="https://www.youtube.com/watch?v=itgdRwuvtN0" TargetMode="External"/><Relationship Id="rId429" Type="http://schemas.openxmlformats.org/officeDocument/2006/relationships/hyperlink" Target="https://www.youtube.com/watch?v=gKt4SG-pAmw" TargetMode="External"/><Relationship Id="rId636" Type="http://schemas.openxmlformats.org/officeDocument/2006/relationships/hyperlink" Target="https://www.youtube.com/watch?v=olQlPZuEWLY" TargetMode="External"/><Relationship Id="rId1059" Type="http://schemas.openxmlformats.org/officeDocument/2006/relationships/hyperlink" Target="https://www.youtube.com/watch?v=_nyKGkDh6WM" TargetMode="External"/><Relationship Id="rId1266" Type="http://schemas.openxmlformats.org/officeDocument/2006/relationships/hyperlink" Target="https://www.youtube.com/watch?v=6KN0GnYv6xQ" TargetMode="External"/><Relationship Id="rId1473" Type="http://schemas.openxmlformats.org/officeDocument/2006/relationships/hyperlink" Target="https://www.youtube.com/watch?v=qIQN0DtO2Z8" TargetMode="External"/><Relationship Id="rId843" Type="http://schemas.openxmlformats.org/officeDocument/2006/relationships/hyperlink" Target="https://www.youtube.com/watch?v=mK5DuxKw-I8" TargetMode="External"/><Relationship Id="rId1126" Type="http://schemas.openxmlformats.org/officeDocument/2006/relationships/hyperlink" Target="https://www.youtube.com/watch?v=4VaCcFKHkSY" TargetMode="External"/><Relationship Id="rId275" Type="http://schemas.openxmlformats.org/officeDocument/2006/relationships/hyperlink" Target="https://www.youtube.com/watch?v=agP31XI_FxA" TargetMode="External"/><Relationship Id="rId482" Type="http://schemas.openxmlformats.org/officeDocument/2006/relationships/hyperlink" Target="https://www.youtube.com/watch?v=bEc29vVNLOc" TargetMode="External"/><Relationship Id="rId703" Type="http://schemas.openxmlformats.org/officeDocument/2006/relationships/hyperlink" Target="https://www.youtube.com/watch?v=8xbYHg11ROo" TargetMode="External"/><Relationship Id="rId910" Type="http://schemas.openxmlformats.org/officeDocument/2006/relationships/hyperlink" Target="https://www.youtube.com/watch?v=Cuelsn9VyZQ" TargetMode="External"/><Relationship Id="rId1333" Type="http://schemas.openxmlformats.org/officeDocument/2006/relationships/hyperlink" Target="https://www.youtube.com/watch?v=XfaMChybaCc" TargetMode="External"/><Relationship Id="rId135" Type="http://schemas.openxmlformats.org/officeDocument/2006/relationships/hyperlink" Target="https://www.youtube.com/watch?v=IAmXafhUmYc" TargetMode="External"/><Relationship Id="rId342" Type="http://schemas.openxmlformats.org/officeDocument/2006/relationships/hyperlink" Target="https://www.youtube.com/watch?v=2Ew9deAuPwU" TargetMode="External"/><Relationship Id="rId787" Type="http://schemas.openxmlformats.org/officeDocument/2006/relationships/hyperlink" Target="https://www.youtube.com/watch?v=dlfE6JbvIYI" TargetMode="External"/><Relationship Id="rId994" Type="http://schemas.openxmlformats.org/officeDocument/2006/relationships/hyperlink" Target="https://www.youtube.com/watch?v=4xWwhXcAjhU" TargetMode="External"/><Relationship Id="rId1400" Type="http://schemas.openxmlformats.org/officeDocument/2006/relationships/hyperlink" Target="https://www.youtube.com/watch?v=SNpVBfgzPmo" TargetMode="External"/><Relationship Id="rId202" Type="http://schemas.openxmlformats.org/officeDocument/2006/relationships/hyperlink" Target="https://www.youtube.com/watch?v=nmbYnYYpa6g" TargetMode="External"/><Relationship Id="rId647" Type="http://schemas.openxmlformats.org/officeDocument/2006/relationships/hyperlink" Target="https://www.youtube.com/watch?v=jQ47l4DT1BY" TargetMode="External"/><Relationship Id="rId854" Type="http://schemas.openxmlformats.org/officeDocument/2006/relationships/hyperlink" Target="https://www.youtube.com/watch?v=wXoImJcJYxQ" TargetMode="External"/><Relationship Id="rId1277" Type="http://schemas.openxmlformats.org/officeDocument/2006/relationships/hyperlink" Target="https://www.youtube.com/watch?v=Iz3TO-dXkSI" TargetMode="External"/><Relationship Id="rId1484" Type="http://schemas.openxmlformats.org/officeDocument/2006/relationships/hyperlink" Target="https://www.youtube.com/watch?v=SPD35eCSgDk" TargetMode="External"/><Relationship Id="rId286" Type="http://schemas.openxmlformats.org/officeDocument/2006/relationships/hyperlink" Target="https://www.youtube.com/watch?v=vdwHHPZwNEo" TargetMode="External"/><Relationship Id="rId493" Type="http://schemas.openxmlformats.org/officeDocument/2006/relationships/hyperlink" Target="https://www.youtube.com/watch?v=jaw4U_s24zo" TargetMode="External"/><Relationship Id="rId507" Type="http://schemas.openxmlformats.org/officeDocument/2006/relationships/hyperlink" Target="https://www.youtube.com/watch?v=xjZO-uNelDI" TargetMode="External"/><Relationship Id="rId714" Type="http://schemas.openxmlformats.org/officeDocument/2006/relationships/hyperlink" Target="https://www.youtube.com/watch?v=dlQfycnk550" TargetMode="External"/><Relationship Id="rId921" Type="http://schemas.openxmlformats.org/officeDocument/2006/relationships/hyperlink" Target="https://www.youtube.com/watch?v=9Zummy0j6Ws" TargetMode="External"/><Relationship Id="rId1137" Type="http://schemas.openxmlformats.org/officeDocument/2006/relationships/hyperlink" Target="https://www.youtube.com/watch?v=i24adZlRCZk" TargetMode="External"/><Relationship Id="rId1344" Type="http://schemas.openxmlformats.org/officeDocument/2006/relationships/hyperlink" Target="https://www.youtube.com/watch?v=vB9JqlUiYUk" TargetMode="External"/><Relationship Id="rId50" Type="http://schemas.openxmlformats.org/officeDocument/2006/relationships/hyperlink" Target="https://www.youtube.com/watch?v=gbWoqwJKhbM" TargetMode="External"/><Relationship Id="rId146" Type="http://schemas.openxmlformats.org/officeDocument/2006/relationships/hyperlink" Target="https://www.youtube.com/watch?v=4yz6ZL-TC94" TargetMode="External"/><Relationship Id="rId353" Type="http://schemas.openxmlformats.org/officeDocument/2006/relationships/hyperlink" Target="https://www.youtube.com/watch?v=17Jnr2hr0ro" TargetMode="External"/><Relationship Id="rId560" Type="http://schemas.openxmlformats.org/officeDocument/2006/relationships/hyperlink" Target="https://www.youtube.com/watch?v=EHQ6eLHDs78" TargetMode="External"/><Relationship Id="rId798" Type="http://schemas.openxmlformats.org/officeDocument/2006/relationships/hyperlink" Target="https://www.youtube.com/watch?v=w1UAQGgnz4A" TargetMode="External"/><Relationship Id="rId1190" Type="http://schemas.openxmlformats.org/officeDocument/2006/relationships/hyperlink" Target="https://www.youtube.com/watch?v=YtD-Ro9OJRQ" TargetMode="External"/><Relationship Id="rId1204" Type="http://schemas.openxmlformats.org/officeDocument/2006/relationships/hyperlink" Target="https://www.youtube.com/watch?v=84agoVdaycE" TargetMode="External"/><Relationship Id="rId1411" Type="http://schemas.openxmlformats.org/officeDocument/2006/relationships/hyperlink" Target="https://www.youtube.com/watch?v=KCUZ6hBgxc0" TargetMode="External"/><Relationship Id="rId213" Type="http://schemas.openxmlformats.org/officeDocument/2006/relationships/hyperlink" Target="https://www.youtube.com/watch?v=Vf5BOYF0S3Y" TargetMode="External"/><Relationship Id="rId420" Type="http://schemas.openxmlformats.org/officeDocument/2006/relationships/hyperlink" Target="https://www.youtube.com/watch?v=zVH1ZOi2_yk" TargetMode="External"/><Relationship Id="rId658" Type="http://schemas.openxmlformats.org/officeDocument/2006/relationships/hyperlink" Target="https://www.youtube.com/watch?v=GpEk4HU0r2Y" TargetMode="External"/><Relationship Id="rId865" Type="http://schemas.openxmlformats.org/officeDocument/2006/relationships/hyperlink" Target="https://www.youtube.com/watch?v=tRgTeYpgv8c" TargetMode="External"/><Relationship Id="rId1050" Type="http://schemas.openxmlformats.org/officeDocument/2006/relationships/hyperlink" Target="https://www.youtube.com/watch?v=vOOkxcKaZEo" TargetMode="External"/><Relationship Id="rId1288" Type="http://schemas.openxmlformats.org/officeDocument/2006/relationships/hyperlink" Target="https://www.youtube.com/watch?v=1Gop0_4D5pE" TargetMode="External"/><Relationship Id="rId1495" Type="http://schemas.openxmlformats.org/officeDocument/2006/relationships/hyperlink" Target="https://www.youtube.com/watch?v=Bx9ffGtMMxo" TargetMode="External"/><Relationship Id="rId1509" Type="http://schemas.openxmlformats.org/officeDocument/2006/relationships/hyperlink" Target="https://www.youtube.com/watch?v=9jjsiAFVdXc" TargetMode="External"/><Relationship Id="rId297" Type="http://schemas.openxmlformats.org/officeDocument/2006/relationships/hyperlink" Target="https://www.youtube.com/watch?v=T0iutxik1Eg" TargetMode="External"/><Relationship Id="rId518" Type="http://schemas.openxmlformats.org/officeDocument/2006/relationships/hyperlink" Target="https://www.youtube.com/watch?v=VwTbkm1NN4Y" TargetMode="External"/><Relationship Id="rId725" Type="http://schemas.openxmlformats.org/officeDocument/2006/relationships/hyperlink" Target="https://www.youtube.com/watch?v=Lg0JLlBHCgA" TargetMode="External"/><Relationship Id="rId932" Type="http://schemas.openxmlformats.org/officeDocument/2006/relationships/hyperlink" Target="https://www.youtube.com/watch?v=WfJvOgXp9SM" TargetMode="External"/><Relationship Id="rId1148" Type="http://schemas.openxmlformats.org/officeDocument/2006/relationships/hyperlink" Target="https://www.youtube.com/watch?v=Kfvmj7QyAfQ" TargetMode="External"/><Relationship Id="rId1355" Type="http://schemas.openxmlformats.org/officeDocument/2006/relationships/hyperlink" Target="https://www.youtube.com/watch?v=edQr4IJQuEg" TargetMode="External"/><Relationship Id="rId157" Type="http://schemas.openxmlformats.org/officeDocument/2006/relationships/hyperlink" Target="https://www.youtube.com/watch?v=uDANJcQm-So" TargetMode="External"/><Relationship Id="rId364" Type="http://schemas.openxmlformats.org/officeDocument/2006/relationships/hyperlink" Target="https://www.youtube.com/watch?v=r5r1yU9O2ag" TargetMode="External"/><Relationship Id="rId1008" Type="http://schemas.openxmlformats.org/officeDocument/2006/relationships/hyperlink" Target="https://www.youtube.com/watch?v=v2dy-2T9kRE" TargetMode="External"/><Relationship Id="rId1215" Type="http://schemas.openxmlformats.org/officeDocument/2006/relationships/hyperlink" Target="https://www.youtube.com/watch?v=1jVMegap8Ws" TargetMode="External"/><Relationship Id="rId1422" Type="http://schemas.openxmlformats.org/officeDocument/2006/relationships/hyperlink" Target="https://www.youtube.com/watch?v=wKoUB00RmE0" TargetMode="External"/><Relationship Id="rId61" Type="http://schemas.openxmlformats.org/officeDocument/2006/relationships/hyperlink" Target="https://www.youtube.com/watch?v=elqL0Sr_sVU" TargetMode="External"/><Relationship Id="rId571" Type="http://schemas.openxmlformats.org/officeDocument/2006/relationships/hyperlink" Target="https://www.youtube.com/watch?v=Uxcvh2BQu1g" TargetMode="External"/><Relationship Id="rId669" Type="http://schemas.openxmlformats.org/officeDocument/2006/relationships/hyperlink" Target="https://www.youtube.com/watch?v=zgOMSgegwGk" TargetMode="External"/><Relationship Id="rId876" Type="http://schemas.openxmlformats.org/officeDocument/2006/relationships/hyperlink" Target="https://www.youtube.com/watch?v=qYA9DVNkOCA" TargetMode="External"/><Relationship Id="rId1299" Type="http://schemas.openxmlformats.org/officeDocument/2006/relationships/hyperlink" Target="https://www.youtube.com/watch?v=mcxquOK_mY8" TargetMode="External"/><Relationship Id="rId19" Type="http://schemas.openxmlformats.org/officeDocument/2006/relationships/hyperlink" Target="https://www.youtube.com/watch?v=Kxuiy8OL30w" TargetMode="External"/><Relationship Id="rId224" Type="http://schemas.openxmlformats.org/officeDocument/2006/relationships/hyperlink" Target="https://www.youtube.com/watch?v=nQhpJFt2KG8" TargetMode="External"/><Relationship Id="rId431" Type="http://schemas.openxmlformats.org/officeDocument/2006/relationships/hyperlink" Target="https://www.youtube.com/watch?v=2p91-Fy5A6Q" TargetMode="External"/><Relationship Id="rId529" Type="http://schemas.openxmlformats.org/officeDocument/2006/relationships/hyperlink" Target="https://www.youtube.com/watch?v=hH3jbt-s4aY" TargetMode="External"/><Relationship Id="rId736" Type="http://schemas.openxmlformats.org/officeDocument/2006/relationships/hyperlink" Target="https://www.youtube.com/watch?v=yMRw4TF7CAk" TargetMode="External"/><Relationship Id="rId1061" Type="http://schemas.openxmlformats.org/officeDocument/2006/relationships/hyperlink" Target="https://www.youtube.com/watch?v=log0y9fRklc" TargetMode="External"/><Relationship Id="rId1159" Type="http://schemas.openxmlformats.org/officeDocument/2006/relationships/hyperlink" Target="https://www.youtube.com/watch?v=HmKETjjGv0E" TargetMode="External"/><Relationship Id="rId1366" Type="http://schemas.openxmlformats.org/officeDocument/2006/relationships/hyperlink" Target="https://www.youtube.com/watch?v=lkO1JaN7BoQ" TargetMode="External"/><Relationship Id="rId168" Type="http://schemas.openxmlformats.org/officeDocument/2006/relationships/hyperlink" Target="https://www.youtube.com/watch?v=TEUt7CVuFbI" TargetMode="External"/><Relationship Id="rId943" Type="http://schemas.openxmlformats.org/officeDocument/2006/relationships/hyperlink" Target="https://www.youtube.com/watch?v=gF2CbaL7t6g" TargetMode="External"/><Relationship Id="rId1019" Type="http://schemas.openxmlformats.org/officeDocument/2006/relationships/hyperlink" Target="https://www.youtube.com/watch?v=NMCXHN1fW9k" TargetMode="External"/><Relationship Id="rId72" Type="http://schemas.openxmlformats.org/officeDocument/2006/relationships/hyperlink" Target="https://www.youtube.com/watch?v=ycnvyB8pDEM" TargetMode="External"/><Relationship Id="rId375" Type="http://schemas.openxmlformats.org/officeDocument/2006/relationships/hyperlink" Target="https://www.youtube.com/watch?v=uNPifASaoFM" TargetMode="External"/><Relationship Id="rId582" Type="http://schemas.openxmlformats.org/officeDocument/2006/relationships/hyperlink" Target="https://www.youtube.com/watch?v=fzzIeVO7-qk" TargetMode="External"/><Relationship Id="rId803" Type="http://schemas.openxmlformats.org/officeDocument/2006/relationships/hyperlink" Target="https://www.youtube.com/watch?v=3zpg3MGhmyI" TargetMode="External"/><Relationship Id="rId1226" Type="http://schemas.openxmlformats.org/officeDocument/2006/relationships/hyperlink" Target="https://www.youtube.com/watch?v=9hi4MG3BU0Y" TargetMode="External"/><Relationship Id="rId1433" Type="http://schemas.openxmlformats.org/officeDocument/2006/relationships/hyperlink" Target="https://www.youtube.com/watch?v=Owv0FewW5Bo" TargetMode="External"/><Relationship Id="rId3" Type="http://schemas.openxmlformats.org/officeDocument/2006/relationships/hyperlink" Target="https://www.youtube.com/watch?v=jKuCWHsoXmQ" TargetMode="External"/><Relationship Id="rId235" Type="http://schemas.openxmlformats.org/officeDocument/2006/relationships/hyperlink" Target="https://www.youtube.com/watch?v=nbZhVwfCRMU" TargetMode="External"/><Relationship Id="rId442" Type="http://schemas.openxmlformats.org/officeDocument/2006/relationships/hyperlink" Target="https://www.youtube.com/watch?v=mLEhBqCBBYE" TargetMode="External"/><Relationship Id="rId887" Type="http://schemas.openxmlformats.org/officeDocument/2006/relationships/hyperlink" Target="https://www.youtube.com/watch?v=Kfqplhug-eA" TargetMode="External"/><Relationship Id="rId1072" Type="http://schemas.openxmlformats.org/officeDocument/2006/relationships/hyperlink" Target="https://www.youtube.com/watch?v=bMOOUhzJreA" TargetMode="External"/><Relationship Id="rId1500" Type="http://schemas.openxmlformats.org/officeDocument/2006/relationships/hyperlink" Target="https://www.youtube.com/watch?v=dHQ-HMVdPyE" TargetMode="External"/><Relationship Id="rId302" Type="http://schemas.openxmlformats.org/officeDocument/2006/relationships/hyperlink" Target="https://www.youtube.com/watch?v=HdBCunbR_jE" TargetMode="External"/><Relationship Id="rId747" Type="http://schemas.openxmlformats.org/officeDocument/2006/relationships/hyperlink" Target="https://www.youtube.com/watch?v=wzPkggokfLg" TargetMode="External"/><Relationship Id="rId954" Type="http://schemas.openxmlformats.org/officeDocument/2006/relationships/hyperlink" Target="https://www.youtube.com/watch?v=rAWCL2ENS90" TargetMode="External"/><Relationship Id="rId1377" Type="http://schemas.openxmlformats.org/officeDocument/2006/relationships/hyperlink" Target="https://www.youtube.com/watch?v=kcbL1wC9PEg" TargetMode="External"/><Relationship Id="rId83" Type="http://schemas.openxmlformats.org/officeDocument/2006/relationships/hyperlink" Target="https://www.youtube.com/watch?v=LXrKKz7Mld8" TargetMode="External"/><Relationship Id="rId179" Type="http://schemas.openxmlformats.org/officeDocument/2006/relationships/hyperlink" Target="https://www.youtube.com/watch?v=O0wEzvYOTJw" TargetMode="External"/><Relationship Id="rId386" Type="http://schemas.openxmlformats.org/officeDocument/2006/relationships/hyperlink" Target="https://www.youtube.com/watch?v=LI3VwCn-0WI" TargetMode="External"/><Relationship Id="rId593" Type="http://schemas.openxmlformats.org/officeDocument/2006/relationships/hyperlink" Target="https://www.youtube.com/watch?v=FrXBeS9Vj40" TargetMode="External"/><Relationship Id="rId607" Type="http://schemas.openxmlformats.org/officeDocument/2006/relationships/hyperlink" Target="https://www.youtube.com/watch?v=59-D2X_vmlA" TargetMode="External"/><Relationship Id="rId814" Type="http://schemas.openxmlformats.org/officeDocument/2006/relationships/hyperlink" Target="https://www.youtube.com/watch?v=P1Eurn7tEJM" TargetMode="External"/><Relationship Id="rId1237" Type="http://schemas.openxmlformats.org/officeDocument/2006/relationships/hyperlink" Target="https://www.youtube.com/watch?v=Vrv16kSoTLQ" TargetMode="External"/><Relationship Id="rId1444" Type="http://schemas.openxmlformats.org/officeDocument/2006/relationships/hyperlink" Target="https://www.youtube.com/watch?v=Ul-faWS75vA" TargetMode="External"/><Relationship Id="rId246" Type="http://schemas.openxmlformats.org/officeDocument/2006/relationships/hyperlink" Target="https://www.youtube.com/watch?v=qDcBHNXLxdc" TargetMode="External"/><Relationship Id="rId453" Type="http://schemas.openxmlformats.org/officeDocument/2006/relationships/hyperlink" Target="https://www.youtube.com/watch?v=7RTlRYpr7o8" TargetMode="External"/><Relationship Id="rId660" Type="http://schemas.openxmlformats.org/officeDocument/2006/relationships/hyperlink" Target="https://www.youtube.com/watch?v=322EiuTqg7w" TargetMode="External"/><Relationship Id="rId898" Type="http://schemas.openxmlformats.org/officeDocument/2006/relationships/hyperlink" Target="https://www.youtube.com/watch?v=xhcu0nbcfy0" TargetMode="External"/><Relationship Id="rId1083" Type="http://schemas.openxmlformats.org/officeDocument/2006/relationships/hyperlink" Target="https://www.youtube.com/watch?v=N20dY0-9Nio" TargetMode="External"/><Relationship Id="rId1290" Type="http://schemas.openxmlformats.org/officeDocument/2006/relationships/hyperlink" Target="https://www.youtube.com/watch?v=-pDxEjRprYM" TargetMode="External"/><Relationship Id="rId1304" Type="http://schemas.openxmlformats.org/officeDocument/2006/relationships/hyperlink" Target="https://www.youtube.com/watch?v=DVcN5QXGA_w" TargetMode="External"/><Relationship Id="rId1511" Type="http://schemas.openxmlformats.org/officeDocument/2006/relationships/hyperlink" Target="https://www.youtube.com/watch?v=9QSUsKZfoQA&amp;t=156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FytdS2vMJfU" TargetMode="External"/><Relationship Id="rId13" Type="http://schemas.openxmlformats.org/officeDocument/2006/relationships/hyperlink" Target="https://www.youtube.com/watch?v=PcNDlU0LyJk" TargetMode="External"/><Relationship Id="rId18" Type="http://schemas.openxmlformats.org/officeDocument/2006/relationships/hyperlink" Target="https://www.youtube.com/watch?v=0_EJXPWJN4E" TargetMode="External"/><Relationship Id="rId26" Type="http://schemas.openxmlformats.org/officeDocument/2006/relationships/hyperlink" Target="https://www.youtube.com/watch?v=KVDRl_wLqdM" TargetMode="External"/><Relationship Id="rId39" Type="http://schemas.openxmlformats.org/officeDocument/2006/relationships/drawing" Target="../drawings/drawing3.xml"/><Relationship Id="rId3" Type="http://schemas.openxmlformats.org/officeDocument/2006/relationships/hyperlink" Target="https://www.youtube.com/watch?v=jKuCWHsoXmQ" TargetMode="External"/><Relationship Id="rId21" Type="http://schemas.openxmlformats.org/officeDocument/2006/relationships/hyperlink" Target="https://www.youtube.com/watch?v=jMgGGixmfus" TargetMode="External"/><Relationship Id="rId34" Type="http://schemas.openxmlformats.org/officeDocument/2006/relationships/hyperlink" Target="https://www.youtube.com/watch?v=ByaheAphduQ" TargetMode="External"/><Relationship Id="rId7" Type="http://schemas.openxmlformats.org/officeDocument/2006/relationships/hyperlink" Target="https://www.youtube.com/watch?v=FytdS2vMJfU" TargetMode="External"/><Relationship Id="rId12" Type="http://schemas.openxmlformats.org/officeDocument/2006/relationships/hyperlink" Target="https://www.youtube.com/watch?v=WU456HIXN5U" TargetMode="External"/><Relationship Id="rId17" Type="http://schemas.openxmlformats.org/officeDocument/2006/relationships/hyperlink" Target="https://www.youtube.com/watch?v=0_EJXPWJN4E" TargetMode="External"/><Relationship Id="rId25" Type="http://schemas.openxmlformats.org/officeDocument/2006/relationships/hyperlink" Target="https://www.youtube.com/watch?v=KVDRl_wLqdM" TargetMode="External"/><Relationship Id="rId33" Type="http://schemas.openxmlformats.org/officeDocument/2006/relationships/hyperlink" Target="https://www.youtube.com/watch?v=ByaheAphduQ" TargetMode="External"/><Relationship Id="rId38" Type="http://schemas.openxmlformats.org/officeDocument/2006/relationships/hyperlink" Target="https://www.youtube.com/watch?v=YFmL65VsWdk" TargetMode="External"/><Relationship Id="rId2" Type="http://schemas.openxmlformats.org/officeDocument/2006/relationships/hyperlink" Target="https://www.youtube.com/watch?v=RD7JpM4UrUA" TargetMode="External"/><Relationship Id="rId16" Type="http://schemas.openxmlformats.org/officeDocument/2006/relationships/hyperlink" Target="https://www.youtube.com/watch?v=mjFek0gF97s" TargetMode="External"/><Relationship Id="rId20" Type="http://schemas.openxmlformats.org/officeDocument/2006/relationships/hyperlink" Target="https://www.youtube.com/watch?v=Kxuiy8OL30w" TargetMode="External"/><Relationship Id="rId29" Type="http://schemas.openxmlformats.org/officeDocument/2006/relationships/hyperlink" Target="https://www.youtube.com/watch?v=iBwpK4_JtEw" TargetMode="External"/><Relationship Id="rId1" Type="http://schemas.openxmlformats.org/officeDocument/2006/relationships/hyperlink" Target="https://www.youtube.com/watch?v=RD7JpM4UrUA" TargetMode="External"/><Relationship Id="rId6" Type="http://schemas.openxmlformats.org/officeDocument/2006/relationships/hyperlink" Target="https://www.youtube.com/watch?v=21ZKFBL-Yc0" TargetMode="External"/><Relationship Id="rId11" Type="http://schemas.openxmlformats.org/officeDocument/2006/relationships/hyperlink" Target="https://www.youtube.com/watch?v=WU456HIXN5U" TargetMode="External"/><Relationship Id="rId24" Type="http://schemas.openxmlformats.org/officeDocument/2006/relationships/hyperlink" Target="https://www.youtube.com/watch?v=2UnJMns3fjs" TargetMode="External"/><Relationship Id="rId32" Type="http://schemas.openxmlformats.org/officeDocument/2006/relationships/hyperlink" Target="https://www.youtube.com/watch?v=NCOKqHoIW7M" TargetMode="External"/><Relationship Id="rId37" Type="http://schemas.openxmlformats.org/officeDocument/2006/relationships/hyperlink" Target="https://www.youtube.com/watch?v=YFmL65VsWdk" TargetMode="External"/><Relationship Id="rId5" Type="http://schemas.openxmlformats.org/officeDocument/2006/relationships/hyperlink" Target="https://www.youtube.com/watch?v=21ZKFBL-Yc0" TargetMode="External"/><Relationship Id="rId15" Type="http://schemas.openxmlformats.org/officeDocument/2006/relationships/hyperlink" Target="https://www.youtube.com/watch?v=mjFek0gF97s" TargetMode="External"/><Relationship Id="rId23" Type="http://schemas.openxmlformats.org/officeDocument/2006/relationships/hyperlink" Target="https://www.youtube.com/watch?v=2UnJMns3fjs" TargetMode="External"/><Relationship Id="rId28" Type="http://schemas.openxmlformats.org/officeDocument/2006/relationships/hyperlink" Target="https://www.youtube.com/watch?v=Smd_3o5vtLo" TargetMode="External"/><Relationship Id="rId36" Type="http://schemas.openxmlformats.org/officeDocument/2006/relationships/hyperlink" Target="https://www.youtube.com/watch?v=s3LVHHEe2vc" TargetMode="External"/><Relationship Id="rId10" Type="http://schemas.openxmlformats.org/officeDocument/2006/relationships/hyperlink" Target="https://www.youtube.com/watch?v=7WsGnkGob7A" TargetMode="External"/><Relationship Id="rId19" Type="http://schemas.openxmlformats.org/officeDocument/2006/relationships/hyperlink" Target="https://www.youtube.com/watch?v=Kxuiy8OL30w" TargetMode="External"/><Relationship Id="rId31" Type="http://schemas.openxmlformats.org/officeDocument/2006/relationships/hyperlink" Target="https://www.youtube.com/watch?v=NCOKqHoIW7M" TargetMode="External"/><Relationship Id="rId4" Type="http://schemas.openxmlformats.org/officeDocument/2006/relationships/hyperlink" Target="https://www.youtube.com/watch?v=jKuCWHsoXmQ" TargetMode="External"/><Relationship Id="rId9" Type="http://schemas.openxmlformats.org/officeDocument/2006/relationships/hyperlink" Target="https://www.youtube.com/watch?v=7WsGnkGob7A" TargetMode="External"/><Relationship Id="rId14" Type="http://schemas.openxmlformats.org/officeDocument/2006/relationships/hyperlink" Target="https://www.youtube.com/watch?v=PcNDlU0LyJk" TargetMode="External"/><Relationship Id="rId22" Type="http://schemas.openxmlformats.org/officeDocument/2006/relationships/hyperlink" Target="https://www.youtube.com/watch?v=jMgGGixmfus" TargetMode="External"/><Relationship Id="rId27" Type="http://schemas.openxmlformats.org/officeDocument/2006/relationships/hyperlink" Target="https://www.youtube.com/watch?v=Smd_3o5vtLo" TargetMode="External"/><Relationship Id="rId30" Type="http://schemas.openxmlformats.org/officeDocument/2006/relationships/hyperlink" Target="https://www.youtube.com/watch?v=iBwpK4_JtEw" TargetMode="External"/><Relationship Id="rId35" Type="http://schemas.openxmlformats.org/officeDocument/2006/relationships/hyperlink" Target="https://www.youtube.com/watch?v=s3LVHHEe2vc"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youtube.com/watch?v=RdBz1kIwrqo" TargetMode="External"/><Relationship Id="rId13" Type="http://schemas.openxmlformats.org/officeDocument/2006/relationships/hyperlink" Target="https://www.youtube.com/watch?v=C3_6Ub1GnfA" TargetMode="External"/><Relationship Id="rId3" Type="http://schemas.openxmlformats.org/officeDocument/2006/relationships/hyperlink" Target="https://www.youtube.com/watch?v=Uq2PJjcHiqI" TargetMode="External"/><Relationship Id="rId7" Type="http://schemas.openxmlformats.org/officeDocument/2006/relationships/hyperlink" Target="https://www.youtube.com/watch?v=RdBz1kIwrqo" TargetMode="External"/><Relationship Id="rId12" Type="http://schemas.openxmlformats.org/officeDocument/2006/relationships/hyperlink" Target="https://www.youtube.com/watch?v=N0PD3TuLvoo" TargetMode="External"/><Relationship Id="rId2" Type="http://schemas.openxmlformats.org/officeDocument/2006/relationships/hyperlink" Target="https://www.youtube.com/watch?v=_IcfDP-ezpo" TargetMode="External"/><Relationship Id="rId1" Type="http://schemas.openxmlformats.org/officeDocument/2006/relationships/hyperlink" Target="https://www.youtube.com/watch?v=_IcfDP-ezpo" TargetMode="External"/><Relationship Id="rId6" Type="http://schemas.openxmlformats.org/officeDocument/2006/relationships/hyperlink" Target="https://www.youtube.com/watch?v=5LJPOCxc3E8" TargetMode="External"/><Relationship Id="rId11" Type="http://schemas.openxmlformats.org/officeDocument/2006/relationships/hyperlink" Target="https://www.youtube.com/watch?v=N0PD3TuLvoo" TargetMode="External"/><Relationship Id="rId5" Type="http://schemas.openxmlformats.org/officeDocument/2006/relationships/hyperlink" Target="https://www.youtube.com/watch?v=5LJPOCxc3E8" TargetMode="External"/><Relationship Id="rId15" Type="http://schemas.openxmlformats.org/officeDocument/2006/relationships/drawing" Target="../drawings/drawing4.xml"/><Relationship Id="rId10" Type="http://schemas.openxmlformats.org/officeDocument/2006/relationships/hyperlink" Target="https://www.youtube.com/watch?v=WsjxXfklatk" TargetMode="External"/><Relationship Id="rId4" Type="http://schemas.openxmlformats.org/officeDocument/2006/relationships/hyperlink" Target="https://www.youtube.com/watch?v=Uq2PJjcHiqI" TargetMode="External"/><Relationship Id="rId9" Type="http://schemas.openxmlformats.org/officeDocument/2006/relationships/hyperlink" Target="https://www.youtube.com/watch?v=WsjxXfklatk" TargetMode="External"/><Relationship Id="rId14" Type="http://schemas.openxmlformats.org/officeDocument/2006/relationships/hyperlink" Target="https://www.youtube.com/watch?v=C3_6Ub1GnfA"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9"/>
  <sheetViews>
    <sheetView topLeftCell="A25" workbookViewId="0"/>
  </sheetViews>
  <sheetFormatPr defaultColWidth="12.5703125" defaultRowHeight="15" customHeight="1"/>
  <cols>
    <col min="1" max="1" width="17.85546875" customWidth="1"/>
    <col min="2" max="2" width="20.140625" customWidth="1"/>
    <col min="4" max="4" width="25.7109375" customWidth="1"/>
    <col min="5" max="5" width="16.5703125" customWidth="1"/>
    <col min="6" max="6" width="31.42578125" customWidth="1"/>
  </cols>
  <sheetData>
    <row r="1" spans="1:6">
      <c r="A1" s="1" t="s">
        <v>0</v>
      </c>
      <c r="B1" s="2" t="s">
        <v>1</v>
      </c>
      <c r="C1" s="3"/>
      <c r="D1" s="3"/>
      <c r="E1" s="3"/>
      <c r="F1" s="3"/>
    </row>
    <row r="2" spans="1:6">
      <c r="A2" s="1" t="s">
        <v>3</v>
      </c>
      <c r="B2" s="2" t="s">
        <v>4</v>
      </c>
      <c r="C2" s="3"/>
      <c r="D2" s="3"/>
      <c r="E2" s="3"/>
      <c r="F2" s="3"/>
    </row>
    <row r="3" spans="1:6">
      <c r="A3" s="1" t="s">
        <v>5</v>
      </c>
      <c r="B3" s="2" t="s">
        <v>6</v>
      </c>
      <c r="C3" s="3"/>
      <c r="D3" s="3"/>
      <c r="E3" s="3"/>
      <c r="F3" s="3"/>
    </row>
    <row r="4" spans="1:6">
      <c r="A4" s="1" t="s">
        <v>7</v>
      </c>
      <c r="B4" s="2" t="s">
        <v>8</v>
      </c>
      <c r="C4" s="3"/>
      <c r="D4" s="3"/>
      <c r="E4" s="3"/>
      <c r="F4" s="3"/>
    </row>
    <row r="5" spans="1:6">
      <c r="A5" s="1" t="s">
        <v>9</v>
      </c>
      <c r="B5" s="3"/>
      <c r="C5" s="3"/>
      <c r="D5" s="3"/>
      <c r="E5" s="3"/>
      <c r="F5" s="3"/>
    </row>
    <row r="6" spans="1:6">
      <c r="A6" s="3"/>
      <c r="B6" s="2" t="s">
        <v>10</v>
      </c>
      <c r="C6" s="2" t="s">
        <v>11</v>
      </c>
      <c r="D6" s="2" t="s">
        <v>12</v>
      </c>
      <c r="E6" s="2" t="s">
        <v>13</v>
      </c>
      <c r="F6" s="2" t="s">
        <v>14</v>
      </c>
    </row>
    <row r="7" spans="1:6">
      <c r="A7" s="3"/>
      <c r="B7" s="2" t="s">
        <v>15</v>
      </c>
      <c r="C7" s="2" t="s">
        <v>16</v>
      </c>
      <c r="D7" s="2" t="s">
        <v>17</v>
      </c>
      <c r="E7" s="2" t="s">
        <v>18</v>
      </c>
      <c r="F7" s="2" t="s">
        <v>19</v>
      </c>
    </row>
    <row r="8" spans="1:6">
      <c r="A8" s="3"/>
      <c r="B8" s="2" t="s">
        <v>20</v>
      </c>
      <c r="C8" s="2" t="s">
        <v>16</v>
      </c>
      <c r="D8" s="2" t="s">
        <v>21</v>
      </c>
      <c r="E8" s="2" t="s">
        <v>22</v>
      </c>
      <c r="F8" s="2" t="s">
        <v>19</v>
      </c>
    </row>
    <row r="9" spans="1:6">
      <c r="A9" s="3"/>
      <c r="B9" s="2" t="s">
        <v>23</v>
      </c>
      <c r="C9" s="2" t="s">
        <v>16</v>
      </c>
      <c r="D9" s="6" t="s">
        <v>24</v>
      </c>
      <c r="E9" s="2" t="s">
        <v>27</v>
      </c>
      <c r="F9" s="2" t="s">
        <v>19</v>
      </c>
    </row>
    <row r="10" spans="1:6">
      <c r="A10" s="3"/>
      <c r="B10" s="2" t="s">
        <v>28</v>
      </c>
      <c r="C10" s="2" t="s">
        <v>29</v>
      </c>
      <c r="D10" s="2" t="s">
        <v>30</v>
      </c>
      <c r="E10" s="2" t="s">
        <v>31</v>
      </c>
      <c r="F10" s="2" t="s">
        <v>19</v>
      </c>
    </row>
    <row r="11" spans="1:6">
      <c r="A11" s="3"/>
      <c r="B11" s="6" t="s">
        <v>32</v>
      </c>
      <c r="C11" s="3"/>
      <c r="D11" s="6" t="s">
        <v>33</v>
      </c>
      <c r="E11" s="2" t="s">
        <v>34</v>
      </c>
      <c r="F11" s="2" t="s">
        <v>35</v>
      </c>
    </row>
    <row r="12" spans="1:6">
      <c r="A12" s="1" t="s">
        <v>36</v>
      </c>
      <c r="B12" s="3"/>
      <c r="C12" s="3"/>
      <c r="D12" s="3"/>
      <c r="E12" s="3"/>
      <c r="F12" s="3"/>
    </row>
    <row r="13" spans="1:6">
      <c r="A13" s="3"/>
      <c r="B13" s="2" t="s">
        <v>37</v>
      </c>
      <c r="C13" s="3"/>
      <c r="D13" s="3"/>
      <c r="E13" s="3"/>
      <c r="F13" s="3"/>
    </row>
    <row r="14" spans="1:6">
      <c r="A14" s="3"/>
      <c r="B14" s="3"/>
      <c r="C14" s="3"/>
      <c r="D14" s="3"/>
      <c r="E14" s="3"/>
      <c r="F14" s="3"/>
    </row>
    <row r="15" spans="1:6">
      <c r="A15" s="1" t="s">
        <v>38</v>
      </c>
      <c r="B15" s="6" t="s">
        <v>39</v>
      </c>
      <c r="C15" s="3"/>
      <c r="D15" s="3"/>
      <c r="E15" s="3"/>
      <c r="F15" s="3"/>
    </row>
    <row r="16" spans="1:6">
      <c r="A16" s="2"/>
      <c r="B16" s="9" t="s">
        <v>41</v>
      </c>
      <c r="C16" s="3"/>
      <c r="D16" s="3"/>
      <c r="E16" s="3"/>
      <c r="F16" s="3"/>
    </row>
    <row r="17" spans="1:6">
      <c r="A17" s="2"/>
      <c r="B17" s="9"/>
      <c r="C17" s="3"/>
      <c r="D17" s="3"/>
      <c r="E17" s="3"/>
      <c r="F17" s="3"/>
    </row>
    <row r="18" spans="1:6">
      <c r="A18" s="2"/>
      <c r="B18" s="9"/>
      <c r="C18" s="3"/>
      <c r="D18" s="3"/>
      <c r="E18" s="3"/>
      <c r="F18" s="3"/>
    </row>
    <row r="19" spans="1:6">
      <c r="A19" s="1" t="s">
        <v>47</v>
      </c>
      <c r="B19" s="9"/>
      <c r="C19" s="3"/>
      <c r="D19" s="3"/>
      <c r="E19" s="3"/>
      <c r="F19" s="3"/>
    </row>
    <row r="20" spans="1:6">
      <c r="A20" s="2">
        <v>1</v>
      </c>
      <c r="B20" s="9" t="s">
        <v>48</v>
      </c>
      <c r="C20" s="3"/>
      <c r="D20" s="3"/>
      <c r="E20" s="3"/>
      <c r="F20" s="3"/>
    </row>
    <row r="21" spans="1:6">
      <c r="A21" s="2">
        <v>2</v>
      </c>
      <c r="B21" s="9" t="s">
        <v>50</v>
      </c>
      <c r="C21" s="3"/>
      <c r="D21" s="3"/>
      <c r="E21" s="3"/>
      <c r="F21" s="3"/>
    </row>
    <row r="22" spans="1:6">
      <c r="A22" s="2">
        <v>3</v>
      </c>
      <c r="B22" s="9" t="s">
        <v>52</v>
      </c>
      <c r="C22" s="3"/>
      <c r="D22" s="3"/>
      <c r="E22" s="3"/>
      <c r="F22" s="3"/>
    </row>
    <row r="23" spans="1:6">
      <c r="A23" s="2">
        <v>4</v>
      </c>
      <c r="B23" s="9" t="s">
        <v>53</v>
      </c>
      <c r="C23" s="3"/>
      <c r="D23" s="3"/>
      <c r="E23" s="3"/>
      <c r="F23" s="3"/>
    </row>
    <row r="24" spans="1:6">
      <c r="A24" s="2">
        <v>5</v>
      </c>
      <c r="B24" s="9" t="s">
        <v>54</v>
      </c>
      <c r="C24" s="3"/>
      <c r="D24" s="3"/>
      <c r="E24" s="3"/>
      <c r="F24" s="3"/>
    </row>
    <row r="25" spans="1:6">
      <c r="A25" s="2">
        <v>6</v>
      </c>
      <c r="B25" s="9" t="s">
        <v>55</v>
      </c>
      <c r="C25" s="3"/>
      <c r="D25" s="3"/>
      <c r="E25" s="3"/>
      <c r="F25" s="3"/>
    </row>
    <row r="26" spans="1:6">
      <c r="A26" s="2">
        <v>7</v>
      </c>
      <c r="B26" s="2" t="s">
        <v>56</v>
      </c>
      <c r="C26" s="3"/>
      <c r="D26" s="3"/>
      <c r="E26" s="3"/>
      <c r="F26" s="3"/>
    </row>
    <row r="27" spans="1:6">
      <c r="A27" s="2">
        <v>8</v>
      </c>
      <c r="B27" s="2" t="s">
        <v>57</v>
      </c>
      <c r="C27" s="3"/>
      <c r="D27" s="3"/>
      <c r="E27" s="3"/>
      <c r="F27" s="3"/>
    </row>
    <row r="28" spans="1:6">
      <c r="A28" s="2">
        <v>9</v>
      </c>
      <c r="B28" s="2" t="s">
        <v>58</v>
      </c>
      <c r="C28" s="3"/>
      <c r="D28" s="3"/>
      <c r="E28" s="3"/>
      <c r="F28" s="3"/>
    </row>
    <row r="29" spans="1:6">
      <c r="A29" s="2">
        <v>10</v>
      </c>
      <c r="B29" s="2" t="s">
        <v>59</v>
      </c>
      <c r="C29" s="3"/>
      <c r="D29" s="3"/>
      <c r="E29" s="3"/>
      <c r="F29" s="3"/>
    </row>
    <row r="30" spans="1:6">
      <c r="A30" s="2">
        <v>11</v>
      </c>
      <c r="B30" s="2" t="s">
        <v>59</v>
      </c>
      <c r="C30" s="3"/>
      <c r="D30" s="3"/>
      <c r="E30" s="3"/>
      <c r="F30" s="3"/>
    </row>
    <row r="31" spans="1:6">
      <c r="A31" s="2">
        <v>12</v>
      </c>
      <c r="B31" s="2" t="s">
        <v>60</v>
      </c>
      <c r="C31" s="3"/>
      <c r="D31" s="3"/>
      <c r="E31" s="3"/>
      <c r="F31" s="3"/>
    </row>
    <row r="32" spans="1:6">
      <c r="A32" s="2">
        <v>13</v>
      </c>
      <c r="B32" s="2" t="s">
        <v>61</v>
      </c>
      <c r="C32" s="3"/>
      <c r="D32" s="3"/>
      <c r="E32" s="3"/>
      <c r="F32" s="3"/>
    </row>
    <row r="33" spans="1:6">
      <c r="A33" s="3"/>
      <c r="B33" s="2"/>
      <c r="C33" s="3"/>
      <c r="D33" s="3"/>
      <c r="E33" s="3"/>
      <c r="F33" s="3"/>
    </row>
    <row r="34" spans="1:6">
      <c r="A34" s="3"/>
      <c r="B34" s="12" t="s">
        <v>62</v>
      </c>
      <c r="C34" s="3"/>
      <c r="D34" s="3"/>
      <c r="E34" s="3"/>
      <c r="F34" s="3"/>
    </row>
    <row r="35" spans="1:6">
      <c r="A35" s="3"/>
      <c r="B35" s="9" t="s">
        <v>64</v>
      </c>
      <c r="C35" s="3"/>
      <c r="D35" s="3"/>
      <c r="E35" s="3"/>
      <c r="F35" s="3"/>
    </row>
    <row r="36" spans="1:6">
      <c r="A36" s="3"/>
      <c r="B36" s="9" t="s">
        <v>65</v>
      </c>
      <c r="C36" s="3"/>
      <c r="D36" s="3"/>
      <c r="E36" s="3"/>
      <c r="F36" s="3"/>
    </row>
    <row r="37" spans="1:6">
      <c r="A37" s="3"/>
      <c r="B37" s="9" t="s">
        <v>66</v>
      </c>
      <c r="C37" s="3"/>
      <c r="D37" s="3"/>
      <c r="E37" s="3"/>
      <c r="F37" s="3"/>
    </row>
    <row r="38" spans="1:6">
      <c r="A38" s="3"/>
      <c r="B38" s="9" t="s">
        <v>69</v>
      </c>
      <c r="C38" s="3"/>
      <c r="D38" s="3"/>
      <c r="E38" s="3"/>
      <c r="F38" s="3"/>
    </row>
    <row r="39" spans="1:6">
      <c r="A39" s="3"/>
      <c r="B39" s="3"/>
      <c r="C39" s="3"/>
      <c r="D39" s="3"/>
      <c r="E39" s="3"/>
      <c r="F39" s="3"/>
    </row>
    <row r="40" spans="1:6">
      <c r="A40" s="2" t="s">
        <v>70</v>
      </c>
      <c r="B40" s="15">
        <v>43005</v>
      </c>
      <c r="C40" s="3"/>
      <c r="D40" s="3"/>
      <c r="E40" s="3"/>
      <c r="F40" s="3"/>
    </row>
    <row r="41" spans="1:6">
      <c r="A41" s="2" t="s">
        <v>79</v>
      </c>
      <c r="B41" s="3"/>
      <c r="C41" s="3"/>
      <c r="D41" s="3"/>
      <c r="E41" s="3"/>
      <c r="F41" s="3"/>
    </row>
    <row r="42" spans="1:6">
      <c r="A42" s="3"/>
      <c r="B42" s="3"/>
      <c r="C42" s="3"/>
      <c r="D42" s="3"/>
      <c r="E42" s="3"/>
      <c r="F42" s="3"/>
    </row>
    <row r="43" spans="1:6">
      <c r="A43" s="3"/>
      <c r="B43" s="3"/>
      <c r="C43" s="3"/>
      <c r="D43" s="3"/>
      <c r="E43" s="3"/>
      <c r="F43" s="3"/>
    </row>
    <row r="44" spans="1:6">
      <c r="A44" s="3"/>
      <c r="B44" s="3"/>
      <c r="C44" s="3"/>
      <c r="D44" s="3"/>
      <c r="E44" s="3"/>
      <c r="F44" s="3"/>
    </row>
    <row r="45" spans="1:6">
      <c r="A45" s="3"/>
      <c r="B45" s="3"/>
      <c r="C45" s="3"/>
      <c r="D45" s="3"/>
      <c r="E45" s="3"/>
      <c r="F45" s="3"/>
    </row>
    <row r="46" spans="1:6">
      <c r="A46" s="3"/>
      <c r="B46" s="3"/>
      <c r="C46" s="3"/>
      <c r="D46" s="3"/>
      <c r="E46" s="3"/>
      <c r="F46" s="3"/>
    </row>
    <row r="47" spans="1:6">
      <c r="A47" s="3"/>
      <c r="B47" s="3"/>
      <c r="C47" s="3"/>
      <c r="D47" s="3"/>
      <c r="E47" s="3"/>
      <c r="F47" s="3"/>
    </row>
    <row r="48" spans="1:6">
      <c r="A48" s="3"/>
      <c r="B48" s="3"/>
      <c r="C48" s="3"/>
      <c r="D48" s="3"/>
      <c r="E48" s="3"/>
      <c r="F48" s="3"/>
    </row>
    <row r="49" spans="1:6">
      <c r="A49" s="3"/>
      <c r="B49" s="3"/>
      <c r="C49" s="3"/>
      <c r="D49" s="3"/>
      <c r="E49" s="3"/>
      <c r="F4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0"/>
  <sheetViews>
    <sheetView workbookViewId="0"/>
  </sheetViews>
  <sheetFormatPr defaultColWidth="12.5703125" defaultRowHeight="15" customHeight="1"/>
  <cols>
    <col min="1" max="1" width="4.28515625" customWidth="1"/>
    <col min="2" max="2" width="6.42578125" customWidth="1"/>
    <col min="3" max="4" width="3.5703125" customWidth="1"/>
    <col min="5" max="5" width="49.7109375" customWidth="1"/>
    <col min="6" max="6" width="8.42578125" hidden="1" customWidth="1"/>
    <col min="7" max="7" width="14.28515625" hidden="1" customWidth="1"/>
    <col min="8" max="8" width="28.42578125" customWidth="1"/>
    <col min="9" max="9" width="14.28515625" customWidth="1"/>
    <col min="10" max="10" width="8.42578125" customWidth="1"/>
    <col min="11" max="11" width="7.42578125" customWidth="1"/>
    <col min="12" max="12" width="9.7109375" customWidth="1"/>
    <col min="13" max="13" width="6.140625" customWidth="1"/>
    <col min="14" max="14" width="5.42578125" customWidth="1"/>
    <col min="15" max="16" width="8.42578125" customWidth="1"/>
    <col min="17" max="17" width="20.85546875" customWidth="1"/>
    <col min="18" max="18" width="6.5703125" customWidth="1"/>
    <col min="19" max="19" width="6.42578125" customWidth="1"/>
    <col min="20" max="21" width="7.5703125" customWidth="1"/>
    <col min="22" max="22" width="6.85546875" customWidth="1"/>
    <col min="23" max="25" width="7.5703125" customWidth="1"/>
    <col min="26" max="26" width="49" customWidth="1"/>
    <col min="27" max="28" width="7.5703125" customWidth="1"/>
  </cols>
  <sheetData>
    <row r="1" spans="1:28">
      <c r="A1" s="5" t="s">
        <v>2</v>
      </c>
      <c r="B1" s="5" t="s">
        <v>25</v>
      </c>
      <c r="C1" s="7" t="s">
        <v>26</v>
      </c>
      <c r="D1" s="8" t="s">
        <v>40</v>
      </c>
      <c r="E1" s="10" t="s">
        <v>44</v>
      </c>
      <c r="F1" s="10" t="s">
        <v>49</v>
      </c>
      <c r="G1" s="11" t="s">
        <v>51</v>
      </c>
      <c r="H1" s="10" t="s">
        <v>63</v>
      </c>
      <c r="I1" s="13" t="s">
        <v>46</v>
      </c>
      <c r="J1" s="11" t="s">
        <v>67</v>
      </c>
      <c r="K1" s="14" t="s">
        <v>68</v>
      </c>
      <c r="L1" s="11" t="s">
        <v>74</v>
      </c>
      <c r="M1" s="11" t="s">
        <v>75</v>
      </c>
      <c r="N1" s="10" t="s">
        <v>76</v>
      </c>
      <c r="O1" s="10" t="s">
        <v>77</v>
      </c>
      <c r="P1" s="11" t="s">
        <v>78</v>
      </c>
      <c r="Q1" s="13" t="s">
        <v>80</v>
      </c>
      <c r="R1" s="13" t="s">
        <v>81</v>
      </c>
      <c r="S1" s="10" t="s">
        <v>82</v>
      </c>
      <c r="T1" s="10" t="s">
        <v>83</v>
      </c>
      <c r="U1" s="10" t="s">
        <v>84</v>
      </c>
      <c r="V1" s="10" t="s">
        <v>85</v>
      </c>
      <c r="W1" s="10" t="s">
        <v>86</v>
      </c>
      <c r="X1" s="11" t="s">
        <v>87</v>
      </c>
      <c r="Y1" s="10" t="s">
        <v>88</v>
      </c>
      <c r="Z1" s="10" t="s">
        <v>89</v>
      </c>
      <c r="AA1" s="10" t="s">
        <v>90</v>
      </c>
      <c r="AB1" s="10" t="s">
        <v>91</v>
      </c>
    </row>
    <row r="2" spans="1:28">
      <c r="A2" s="8">
        <v>1</v>
      </c>
      <c r="B2" s="8" t="s">
        <v>92</v>
      </c>
      <c r="C2" s="8"/>
      <c r="D2" s="8" t="s">
        <v>93</v>
      </c>
      <c r="E2" s="16" t="s">
        <v>94</v>
      </c>
      <c r="F2" s="17" t="s">
        <v>95</v>
      </c>
      <c r="G2" s="18" t="s">
        <v>96</v>
      </c>
      <c r="H2" s="19"/>
      <c r="I2" s="20"/>
      <c r="J2" s="8">
        <f>7*1000</f>
        <v>7000</v>
      </c>
      <c r="K2" s="21">
        <v>9.6296296296296303E-3</v>
      </c>
      <c r="L2" s="22" t="s">
        <v>113</v>
      </c>
      <c r="M2" s="8"/>
      <c r="N2" s="8"/>
      <c r="O2" s="8"/>
      <c r="P2" s="23">
        <v>42989</v>
      </c>
      <c r="Q2" s="8"/>
      <c r="R2" s="8" t="s">
        <v>42</v>
      </c>
      <c r="S2" s="8" t="s">
        <v>42</v>
      </c>
      <c r="T2" s="8" t="s">
        <v>42</v>
      </c>
      <c r="U2" s="8" t="s">
        <v>71</v>
      </c>
      <c r="V2" s="8" t="s">
        <v>117</v>
      </c>
      <c r="W2" s="8" t="s">
        <v>71</v>
      </c>
      <c r="X2" s="8" t="s">
        <v>45</v>
      </c>
      <c r="Y2" s="8" t="s">
        <v>71</v>
      </c>
      <c r="Z2" s="8"/>
      <c r="AA2" s="8">
        <v>2</v>
      </c>
    </row>
    <row r="3" spans="1:28">
      <c r="A3" s="8">
        <v>2</v>
      </c>
      <c r="B3" s="8" t="s">
        <v>92</v>
      </c>
      <c r="C3" s="8"/>
      <c r="D3" s="8" t="s">
        <v>118</v>
      </c>
      <c r="E3" s="16" t="s">
        <v>119</v>
      </c>
      <c r="F3" s="17" t="s">
        <v>120</v>
      </c>
      <c r="G3" s="18" t="s">
        <v>122</v>
      </c>
      <c r="H3" s="19"/>
      <c r="I3" s="20"/>
      <c r="J3" s="8">
        <f>4*1000</f>
        <v>4000</v>
      </c>
      <c r="K3" s="21">
        <v>1.0289351851851852E-2</v>
      </c>
      <c r="L3" s="22" t="s">
        <v>113</v>
      </c>
      <c r="M3" s="8"/>
      <c r="N3" s="8"/>
      <c r="O3" s="8"/>
      <c r="P3" s="23">
        <v>42989</v>
      </c>
      <c r="Q3" s="8"/>
      <c r="R3" s="8" t="s">
        <v>42</v>
      </c>
      <c r="S3" s="8" t="s">
        <v>42</v>
      </c>
      <c r="T3" s="8" t="s">
        <v>42</v>
      </c>
      <c r="U3" s="8" t="s">
        <v>71</v>
      </c>
      <c r="V3" s="8" t="s">
        <v>117</v>
      </c>
      <c r="W3" s="8" t="s">
        <v>71</v>
      </c>
      <c r="X3" s="8" t="s">
        <v>45</v>
      </c>
      <c r="Y3" s="8" t="s">
        <v>71</v>
      </c>
      <c r="Z3" s="8"/>
      <c r="AA3" s="8">
        <v>2</v>
      </c>
    </row>
    <row r="4" spans="1:28">
      <c r="A4" s="8">
        <v>3</v>
      </c>
      <c r="B4" s="8" t="s">
        <v>92</v>
      </c>
      <c r="C4" s="8"/>
      <c r="D4" s="8" t="s">
        <v>125</v>
      </c>
      <c r="E4" s="16" t="s">
        <v>126</v>
      </c>
      <c r="F4" s="17" t="s">
        <v>127</v>
      </c>
      <c r="G4" s="18">
        <v>826</v>
      </c>
      <c r="H4" s="19"/>
      <c r="I4" s="20"/>
      <c r="J4" s="8">
        <f>826</f>
        <v>826</v>
      </c>
      <c r="K4" s="21">
        <v>2.1643518518518518E-3</v>
      </c>
      <c r="L4" s="22" t="s">
        <v>113</v>
      </c>
      <c r="M4" s="8"/>
      <c r="N4" s="8"/>
      <c r="O4" s="8"/>
      <c r="P4" s="23">
        <v>42990</v>
      </c>
      <c r="Q4" s="8"/>
      <c r="R4" s="8" t="s">
        <v>42</v>
      </c>
      <c r="S4" s="8" t="s">
        <v>42</v>
      </c>
      <c r="T4" s="8" t="s">
        <v>42</v>
      </c>
      <c r="U4" s="8" t="s">
        <v>71</v>
      </c>
      <c r="V4" s="8" t="s">
        <v>117</v>
      </c>
      <c r="W4" s="8" t="s">
        <v>71</v>
      </c>
      <c r="X4" s="8" t="s">
        <v>45</v>
      </c>
      <c r="Y4" s="8" t="s">
        <v>71</v>
      </c>
      <c r="Z4" s="8"/>
      <c r="AA4" s="8">
        <v>2</v>
      </c>
    </row>
    <row r="5" spans="1:28">
      <c r="A5" s="8">
        <v>4</v>
      </c>
      <c r="B5" s="8" t="s">
        <v>92</v>
      </c>
      <c r="C5" s="8"/>
      <c r="D5" s="8" t="s">
        <v>130</v>
      </c>
      <c r="E5" s="16" t="s">
        <v>131</v>
      </c>
      <c r="F5" s="17" t="s">
        <v>134</v>
      </c>
      <c r="G5" s="18" t="s">
        <v>135</v>
      </c>
      <c r="H5" s="19"/>
      <c r="I5" s="20"/>
      <c r="J5" s="8">
        <f>10*1000</f>
        <v>10000</v>
      </c>
      <c r="K5" s="21">
        <v>9.7222222222222209E-4</v>
      </c>
      <c r="L5" s="22" t="s">
        <v>113</v>
      </c>
      <c r="M5" s="8"/>
      <c r="N5" s="8"/>
      <c r="O5" s="8"/>
      <c r="P5" s="23">
        <v>42990</v>
      </c>
      <c r="Q5" s="8"/>
      <c r="R5" s="8" t="s">
        <v>42</v>
      </c>
      <c r="S5" s="8" t="s">
        <v>42</v>
      </c>
      <c r="T5" s="8" t="s">
        <v>137</v>
      </c>
      <c r="U5" s="8" t="s">
        <v>45</v>
      </c>
      <c r="V5" s="8" t="s">
        <v>117</v>
      </c>
      <c r="W5" s="8" t="s">
        <v>45</v>
      </c>
      <c r="X5" s="8" t="s">
        <v>45</v>
      </c>
      <c r="Y5" s="8" t="s">
        <v>45</v>
      </c>
      <c r="Z5" s="8"/>
      <c r="AA5" s="8">
        <v>1</v>
      </c>
    </row>
    <row r="6" spans="1:28">
      <c r="A6" s="8">
        <v>5</v>
      </c>
      <c r="B6" s="8" t="s">
        <v>92</v>
      </c>
      <c r="C6" s="8"/>
      <c r="D6" s="8" t="s">
        <v>138</v>
      </c>
      <c r="E6" s="16" t="s">
        <v>139</v>
      </c>
      <c r="F6" s="17" t="s">
        <v>140</v>
      </c>
      <c r="G6" s="18">
        <v>749</v>
      </c>
      <c r="H6" s="19"/>
      <c r="I6" s="20"/>
      <c r="J6" s="8">
        <f>749</f>
        <v>749</v>
      </c>
      <c r="K6" s="21">
        <v>4.0509259259259258E-4</v>
      </c>
      <c r="L6" s="22" t="s">
        <v>113</v>
      </c>
      <c r="M6" s="8"/>
      <c r="N6" s="8"/>
      <c r="O6" s="8"/>
      <c r="P6" s="23">
        <v>42990</v>
      </c>
      <c r="Q6" s="8"/>
      <c r="R6" s="8" t="s">
        <v>42</v>
      </c>
      <c r="S6" s="8" t="s">
        <v>42</v>
      </c>
      <c r="T6" s="8" t="s">
        <v>137</v>
      </c>
      <c r="U6" s="8" t="s">
        <v>45</v>
      </c>
      <c r="V6" s="8" t="s">
        <v>117</v>
      </c>
      <c r="W6" s="8" t="s">
        <v>45</v>
      </c>
      <c r="X6" s="8" t="s">
        <v>45</v>
      </c>
      <c r="Y6" s="8" t="s">
        <v>45</v>
      </c>
      <c r="Z6" s="8"/>
      <c r="AA6" s="8">
        <v>1</v>
      </c>
    </row>
    <row r="7" spans="1:28">
      <c r="A7" s="8">
        <v>6</v>
      </c>
      <c r="B7" s="8" t="s">
        <v>92</v>
      </c>
      <c r="C7" s="8"/>
      <c r="D7" s="8" t="s">
        <v>141</v>
      </c>
      <c r="E7" s="16" t="s">
        <v>142</v>
      </c>
      <c r="F7" s="17" t="s">
        <v>143</v>
      </c>
      <c r="G7" s="18" t="s">
        <v>144</v>
      </c>
      <c r="H7" s="24"/>
      <c r="I7" s="20"/>
      <c r="J7" s="8">
        <f>1.7*1000</f>
        <v>1700</v>
      </c>
      <c r="K7" s="21">
        <v>3.9930555555555561E-3</v>
      </c>
      <c r="L7" s="22" t="s">
        <v>113</v>
      </c>
      <c r="M7" s="8"/>
      <c r="N7" s="8"/>
      <c r="O7" s="8"/>
      <c r="P7" s="23">
        <v>42990</v>
      </c>
      <c r="Q7" s="8"/>
      <c r="R7" s="8" t="s">
        <v>42</v>
      </c>
      <c r="S7" s="8" t="s">
        <v>42</v>
      </c>
      <c r="T7" s="8" t="s">
        <v>42</v>
      </c>
      <c r="U7" s="8" t="s">
        <v>71</v>
      </c>
      <c r="V7" s="8" t="s">
        <v>117</v>
      </c>
      <c r="W7" s="8" t="s">
        <v>45</v>
      </c>
      <c r="X7" s="8" t="s">
        <v>45</v>
      </c>
      <c r="Y7" s="8" t="s">
        <v>45</v>
      </c>
      <c r="Z7" s="8" t="s">
        <v>146</v>
      </c>
      <c r="AA7" s="8">
        <v>1</v>
      </c>
    </row>
    <row r="8" spans="1:28">
      <c r="A8" s="8">
        <v>7</v>
      </c>
      <c r="B8" s="8" t="s">
        <v>92</v>
      </c>
      <c r="C8" s="8"/>
      <c r="D8" s="8" t="s">
        <v>147</v>
      </c>
      <c r="E8" s="16" t="s">
        <v>148</v>
      </c>
      <c r="F8" s="17" t="s">
        <v>149</v>
      </c>
      <c r="G8" s="18" t="s">
        <v>150</v>
      </c>
      <c r="H8" s="19"/>
      <c r="I8" s="20"/>
      <c r="J8" s="8">
        <f>5.1*1000</f>
        <v>5100</v>
      </c>
      <c r="K8" s="21">
        <v>3.3680555555555551E-3</v>
      </c>
      <c r="L8" s="22" t="s">
        <v>113</v>
      </c>
      <c r="M8" s="8"/>
      <c r="N8" s="8"/>
      <c r="O8" s="8"/>
      <c r="P8" s="23">
        <v>42990</v>
      </c>
      <c r="Q8" s="8"/>
      <c r="R8" s="8" t="s">
        <v>42</v>
      </c>
      <c r="S8" s="8" t="s">
        <v>42</v>
      </c>
      <c r="T8" s="8" t="s">
        <v>42</v>
      </c>
      <c r="U8" s="8" t="s">
        <v>71</v>
      </c>
      <c r="V8" s="8" t="s">
        <v>117</v>
      </c>
      <c r="W8" s="8" t="s">
        <v>71</v>
      </c>
      <c r="X8" s="8" t="s">
        <v>45</v>
      </c>
      <c r="Y8" s="8" t="s">
        <v>45</v>
      </c>
      <c r="Z8" s="8"/>
      <c r="AA8" s="8">
        <v>1</v>
      </c>
    </row>
    <row r="9" spans="1:28">
      <c r="A9" s="8">
        <v>8</v>
      </c>
      <c r="B9" s="8" t="s">
        <v>92</v>
      </c>
      <c r="C9" s="8"/>
      <c r="D9" s="8" t="s">
        <v>152</v>
      </c>
      <c r="E9" s="16" t="s">
        <v>153</v>
      </c>
      <c r="F9" s="17" t="s">
        <v>154</v>
      </c>
      <c r="G9" s="18" t="s">
        <v>155</v>
      </c>
      <c r="H9" s="19"/>
      <c r="I9" s="20"/>
      <c r="J9" s="8">
        <f>1.9*1000</f>
        <v>1900</v>
      </c>
      <c r="K9" s="21">
        <v>1.037037037037037E-2</v>
      </c>
      <c r="L9" s="22" t="s">
        <v>113</v>
      </c>
      <c r="M9" s="8"/>
      <c r="N9" s="8"/>
      <c r="O9" s="8"/>
      <c r="P9" s="23">
        <v>42990</v>
      </c>
      <c r="Q9" s="8"/>
      <c r="R9" s="8" t="s">
        <v>158</v>
      </c>
      <c r="S9" s="8" t="s">
        <v>42</v>
      </c>
      <c r="T9" s="8" t="s">
        <v>42</v>
      </c>
      <c r="U9" s="8" t="s">
        <v>71</v>
      </c>
      <c r="V9" s="8" t="s">
        <v>117</v>
      </c>
      <c r="W9" s="8" t="s">
        <v>71</v>
      </c>
      <c r="X9" s="8" t="s">
        <v>45</v>
      </c>
      <c r="Y9" s="8" t="s">
        <v>45</v>
      </c>
      <c r="Z9" s="8" t="s">
        <v>159</v>
      </c>
      <c r="AA9" s="25">
        <v>3</v>
      </c>
    </row>
    <row r="10" spans="1:28">
      <c r="A10" s="8">
        <v>9</v>
      </c>
      <c r="B10" s="8" t="s">
        <v>92</v>
      </c>
      <c r="C10" s="8"/>
      <c r="D10" s="8" t="s">
        <v>161</v>
      </c>
      <c r="E10" s="16" t="s">
        <v>162</v>
      </c>
      <c r="F10" s="17" t="s">
        <v>163</v>
      </c>
      <c r="G10" s="18" t="s">
        <v>144</v>
      </c>
      <c r="H10" s="19"/>
      <c r="I10" s="20"/>
      <c r="J10" s="8">
        <f>1.7*1000</f>
        <v>1700</v>
      </c>
      <c r="K10" s="21">
        <v>3.472222222222222E-3</v>
      </c>
      <c r="L10" s="22" t="s">
        <v>113</v>
      </c>
      <c r="M10" s="8"/>
      <c r="N10" s="8"/>
      <c r="O10" s="8"/>
      <c r="P10" s="23">
        <v>42990</v>
      </c>
      <c r="Q10" s="26"/>
      <c r="R10" s="8" t="s">
        <v>42</v>
      </c>
      <c r="S10" s="8" t="s">
        <v>42</v>
      </c>
      <c r="T10" s="8" t="s">
        <v>42</v>
      </c>
      <c r="U10" s="8" t="s">
        <v>71</v>
      </c>
      <c r="V10" s="8" t="s">
        <v>117</v>
      </c>
      <c r="W10" s="8" t="s">
        <v>45</v>
      </c>
      <c r="X10" s="8" t="s">
        <v>45</v>
      </c>
      <c r="Y10" s="8" t="s">
        <v>71</v>
      </c>
      <c r="Z10" s="8" t="s">
        <v>167</v>
      </c>
    </row>
    <row r="11" spans="1:28">
      <c r="A11" s="8">
        <v>10</v>
      </c>
      <c r="B11" s="8" t="s">
        <v>92</v>
      </c>
      <c r="C11" s="8"/>
      <c r="D11" s="8" t="s">
        <v>168</v>
      </c>
      <c r="E11" s="16" t="s">
        <v>169</v>
      </c>
      <c r="F11" s="17" t="s">
        <v>170</v>
      </c>
      <c r="G11" s="18">
        <v>490</v>
      </c>
      <c r="H11" s="19"/>
      <c r="I11" s="20"/>
      <c r="J11" s="8">
        <f>490</f>
        <v>490</v>
      </c>
      <c r="K11" s="21">
        <v>3.0324074074074073E-3</v>
      </c>
      <c r="L11" s="22" t="s">
        <v>113</v>
      </c>
      <c r="M11" s="8"/>
      <c r="N11" s="8"/>
      <c r="O11" s="8"/>
      <c r="P11" s="23">
        <v>42990</v>
      </c>
      <c r="Q11" s="8"/>
      <c r="R11" s="8" t="s">
        <v>42</v>
      </c>
      <c r="S11" s="8" t="s">
        <v>42</v>
      </c>
      <c r="T11" s="8" t="s">
        <v>42</v>
      </c>
      <c r="U11" s="8" t="s">
        <v>71</v>
      </c>
      <c r="V11" s="8" t="s">
        <v>117</v>
      </c>
      <c r="W11" s="8" t="s">
        <v>71</v>
      </c>
      <c r="X11" s="8" t="s">
        <v>45</v>
      </c>
      <c r="Y11" s="8" t="s">
        <v>71</v>
      </c>
      <c r="Z11" s="8"/>
    </row>
    <row r="12" spans="1:28">
      <c r="A12" s="8">
        <v>11</v>
      </c>
      <c r="B12" s="8" t="s">
        <v>92</v>
      </c>
      <c r="C12" s="8"/>
      <c r="D12" s="8" t="s">
        <v>174</v>
      </c>
      <c r="E12" s="16" t="s">
        <v>175</v>
      </c>
      <c r="F12" s="17" t="s">
        <v>176</v>
      </c>
      <c r="G12" s="18">
        <v>551</v>
      </c>
      <c r="H12" s="19"/>
      <c r="I12" s="20"/>
      <c r="J12" s="8">
        <f>551</f>
        <v>551</v>
      </c>
      <c r="K12" s="21">
        <v>2.4189814814814816E-3</v>
      </c>
      <c r="L12" s="22" t="s">
        <v>113</v>
      </c>
      <c r="M12" s="8"/>
      <c r="N12" s="8"/>
      <c r="O12" s="8"/>
      <c r="P12" s="23">
        <v>42991</v>
      </c>
      <c r="Q12" s="8"/>
      <c r="R12" s="8" t="s">
        <v>42</v>
      </c>
      <c r="S12" s="8" t="s">
        <v>42</v>
      </c>
      <c r="T12" s="8" t="s">
        <v>42</v>
      </c>
      <c r="U12" s="8" t="s">
        <v>71</v>
      </c>
      <c r="V12" s="8" t="s">
        <v>117</v>
      </c>
      <c r="W12" s="8" t="s">
        <v>71</v>
      </c>
      <c r="X12" s="8" t="s">
        <v>45</v>
      </c>
      <c r="Y12" s="8" t="s">
        <v>45</v>
      </c>
      <c r="Z12" s="8" t="s">
        <v>146</v>
      </c>
    </row>
    <row r="13" spans="1:28">
      <c r="A13" s="8">
        <v>12</v>
      </c>
      <c r="B13" s="8" t="s">
        <v>92</v>
      </c>
      <c r="C13" s="8"/>
      <c r="D13" s="8" t="s">
        <v>177</v>
      </c>
      <c r="E13" s="16" t="s">
        <v>180</v>
      </c>
      <c r="F13" s="17" t="s">
        <v>181</v>
      </c>
      <c r="G13" s="18">
        <v>384</v>
      </c>
      <c r="H13" s="20"/>
      <c r="I13" s="19"/>
      <c r="J13" s="19">
        <v>384</v>
      </c>
      <c r="K13" s="21">
        <v>2.2222222222222222E-3</v>
      </c>
      <c r="L13" s="22" t="s">
        <v>113</v>
      </c>
      <c r="M13" s="8"/>
      <c r="N13" s="8"/>
      <c r="O13" s="8"/>
      <c r="P13" s="23">
        <v>42991</v>
      </c>
      <c r="Q13" s="8"/>
      <c r="R13" s="8" t="s">
        <v>42</v>
      </c>
      <c r="S13" s="8" t="s">
        <v>42</v>
      </c>
      <c r="T13" s="8" t="s">
        <v>42</v>
      </c>
      <c r="U13" s="8" t="s">
        <v>71</v>
      </c>
      <c r="V13" s="8" t="s">
        <v>117</v>
      </c>
      <c r="W13" s="8" t="s">
        <v>71</v>
      </c>
      <c r="X13" s="8" t="s">
        <v>45</v>
      </c>
      <c r="Y13" s="8" t="s">
        <v>45</v>
      </c>
      <c r="Z13" s="8" t="s">
        <v>146</v>
      </c>
    </row>
    <row r="14" spans="1:28">
      <c r="A14" s="8">
        <v>13</v>
      </c>
      <c r="B14" s="8" t="s">
        <v>92</v>
      </c>
      <c r="C14" s="8"/>
      <c r="D14" s="8" t="s">
        <v>182</v>
      </c>
      <c r="E14" s="16" t="s">
        <v>183</v>
      </c>
      <c r="F14" s="17" t="s">
        <v>184</v>
      </c>
      <c r="G14" s="18" t="s">
        <v>187</v>
      </c>
      <c r="H14" s="8"/>
      <c r="I14" s="20"/>
      <c r="J14" s="8">
        <f>1.5*1000</f>
        <v>1500</v>
      </c>
      <c r="K14" s="21">
        <v>3.530092592592592E-3</v>
      </c>
      <c r="L14" s="22" t="s">
        <v>113</v>
      </c>
      <c r="M14" s="8"/>
      <c r="N14" s="8"/>
      <c r="O14" s="8"/>
      <c r="P14" s="23">
        <v>42991</v>
      </c>
      <c r="Q14" s="8"/>
      <c r="R14" s="8" t="s">
        <v>42</v>
      </c>
      <c r="S14" s="8" t="s">
        <v>42</v>
      </c>
      <c r="T14" s="8" t="s">
        <v>42</v>
      </c>
      <c r="U14" s="8" t="s">
        <v>71</v>
      </c>
      <c r="V14" s="8" t="s">
        <v>117</v>
      </c>
      <c r="W14" s="8" t="s">
        <v>71</v>
      </c>
      <c r="X14" s="8" t="s">
        <v>45</v>
      </c>
      <c r="Y14" s="8" t="s">
        <v>45</v>
      </c>
      <c r="Z14" s="8" t="s">
        <v>146</v>
      </c>
    </row>
    <row r="15" spans="1:28">
      <c r="A15" s="8">
        <v>14</v>
      </c>
      <c r="B15" s="8" t="s">
        <v>92</v>
      </c>
      <c r="C15" s="8"/>
      <c r="D15" s="8" t="s">
        <v>190</v>
      </c>
      <c r="E15" s="16" t="s">
        <v>191</v>
      </c>
      <c r="F15" s="17" t="s">
        <v>192</v>
      </c>
      <c r="G15" s="18">
        <v>595</v>
      </c>
      <c r="H15" s="19"/>
      <c r="I15" s="20"/>
      <c r="J15" s="8">
        <f>595</f>
        <v>595</v>
      </c>
      <c r="K15" s="21">
        <v>4.0740740740740746E-3</v>
      </c>
      <c r="L15" s="22" t="s">
        <v>113</v>
      </c>
      <c r="M15" s="8"/>
      <c r="N15" s="8"/>
      <c r="O15" s="8"/>
      <c r="P15" s="23">
        <v>42991</v>
      </c>
      <c r="Q15" s="8"/>
      <c r="R15" s="8" t="s">
        <v>42</v>
      </c>
      <c r="S15" s="8" t="s">
        <v>42</v>
      </c>
      <c r="T15" s="8" t="s">
        <v>42</v>
      </c>
      <c r="U15" s="8" t="s">
        <v>71</v>
      </c>
      <c r="V15" s="8" t="s">
        <v>117</v>
      </c>
      <c r="W15" s="8" t="s">
        <v>71</v>
      </c>
      <c r="X15" s="8" t="s">
        <v>45</v>
      </c>
      <c r="Y15" s="8" t="s">
        <v>45</v>
      </c>
      <c r="Z15" s="8" t="s">
        <v>146</v>
      </c>
    </row>
    <row r="16" spans="1:28">
      <c r="A16" s="8">
        <v>15</v>
      </c>
      <c r="B16" s="8" t="s">
        <v>92</v>
      </c>
      <c r="C16" s="8"/>
      <c r="D16" s="8" t="s">
        <v>194</v>
      </c>
      <c r="E16" s="16" t="s">
        <v>195</v>
      </c>
      <c r="F16" s="17" t="s">
        <v>196</v>
      </c>
      <c r="G16" s="18">
        <v>477</v>
      </c>
      <c r="H16" s="19"/>
      <c r="I16" s="20"/>
      <c r="J16" s="8">
        <f>477</f>
        <v>477</v>
      </c>
      <c r="K16" s="21">
        <v>2.673611111111111E-3</v>
      </c>
      <c r="L16" s="22" t="s">
        <v>113</v>
      </c>
      <c r="M16" s="8"/>
      <c r="N16" s="8"/>
      <c r="O16" s="8"/>
      <c r="P16" s="23">
        <v>42991</v>
      </c>
      <c r="Q16" s="8"/>
      <c r="R16" s="8" t="s">
        <v>42</v>
      </c>
      <c r="S16" s="8" t="s">
        <v>42</v>
      </c>
      <c r="T16" s="8" t="s">
        <v>42</v>
      </c>
      <c r="U16" s="8" t="s">
        <v>71</v>
      </c>
      <c r="V16" s="8" t="s">
        <v>117</v>
      </c>
      <c r="W16" s="8" t="s">
        <v>71</v>
      </c>
      <c r="X16" s="8" t="s">
        <v>45</v>
      </c>
      <c r="Y16" s="8" t="s">
        <v>45</v>
      </c>
      <c r="Z16" s="8"/>
    </row>
    <row r="17" spans="1:26">
      <c r="A17" s="8">
        <v>16</v>
      </c>
      <c r="B17" s="8" t="s">
        <v>92</v>
      </c>
      <c r="C17" s="8"/>
      <c r="D17" s="8" t="s">
        <v>198</v>
      </c>
      <c r="E17" s="16" t="s">
        <v>199</v>
      </c>
      <c r="F17" s="17" t="s">
        <v>200</v>
      </c>
      <c r="G17" s="18">
        <v>506</v>
      </c>
      <c r="H17" s="19"/>
      <c r="I17" s="20"/>
      <c r="J17" s="8">
        <f>506</f>
        <v>506</v>
      </c>
      <c r="K17" s="21">
        <v>5.7175925925925927E-3</v>
      </c>
      <c r="L17" s="22" t="s">
        <v>113</v>
      </c>
      <c r="M17" s="8"/>
      <c r="N17" s="8"/>
      <c r="O17" s="8"/>
      <c r="P17" s="23">
        <v>42991</v>
      </c>
      <c r="Q17" s="8"/>
      <c r="R17" s="8" t="s">
        <v>42</v>
      </c>
      <c r="S17" s="8" t="s">
        <v>42</v>
      </c>
      <c r="T17" s="8" t="s">
        <v>42</v>
      </c>
      <c r="U17" s="8" t="s">
        <v>71</v>
      </c>
      <c r="V17" s="8" t="s">
        <v>117</v>
      </c>
      <c r="W17" s="8" t="s">
        <v>71</v>
      </c>
      <c r="X17" s="8" t="s">
        <v>45</v>
      </c>
      <c r="Y17" s="8" t="s">
        <v>45</v>
      </c>
      <c r="Z17" s="8" t="s">
        <v>203</v>
      </c>
    </row>
    <row r="18" spans="1:26">
      <c r="A18" s="8">
        <v>17</v>
      </c>
      <c r="B18" s="8" t="s">
        <v>92</v>
      </c>
      <c r="C18" s="8"/>
      <c r="D18" s="8" t="s">
        <v>204</v>
      </c>
      <c r="E18" s="16" t="s">
        <v>207</v>
      </c>
      <c r="F18" s="17" t="s">
        <v>209</v>
      </c>
      <c r="G18" s="18">
        <v>343</v>
      </c>
      <c r="H18" s="19"/>
      <c r="I18" s="20"/>
      <c r="J18" s="8">
        <f>343</f>
        <v>343</v>
      </c>
      <c r="K18" s="21">
        <v>2.7430555555555559E-3</v>
      </c>
      <c r="L18" s="22" t="s">
        <v>113</v>
      </c>
      <c r="M18" s="8"/>
      <c r="N18" s="8"/>
      <c r="O18" s="8"/>
      <c r="P18" s="8"/>
      <c r="Q18" s="8"/>
      <c r="R18" s="8"/>
      <c r="S18" s="8"/>
      <c r="T18" s="8"/>
      <c r="U18" s="8"/>
      <c r="V18" s="8"/>
      <c r="W18" s="8"/>
      <c r="X18" s="8"/>
      <c r="Y18" s="8"/>
      <c r="Z18" s="8"/>
    </row>
    <row r="19" spans="1:26">
      <c r="A19" s="8">
        <v>18</v>
      </c>
      <c r="B19" s="8" t="s">
        <v>92</v>
      </c>
      <c r="C19" s="8"/>
      <c r="D19" s="8" t="s">
        <v>211</v>
      </c>
      <c r="E19" s="16" t="s">
        <v>212</v>
      </c>
      <c r="F19" s="17" t="s">
        <v>213</v>
      </c>
      <c r="G19" s="18" t="s">
        <v>214</v>
      </c>
      <c r="H19" s="19"/>
      <c r="I19" s="20"/>
      <c r="J19" s="8">
        <f>1*1000</f>
        <v>1000</v>
      </c>
      <c r="K19" s="21">
        <v>2.4652777777777776E-3</v>
      </c>
      <c r="L19" s="22" t="s">
        <v>113</v>
      </c>
      <c r="M19" s="8"/>
      <c r="N19" s="8"/>
      <c r="O19" s="8"/>
      <c r="P19" s="8"/>
      <c r="Q19" s="8"/>
      <c r="R19" s="8"/>
      <c r="S19" s="8"/>
      <c r="T19" s="8"/>
      <c r="U19" s="8"/>
      <c r="V19" s="8"/>
      <c r="W19" s="8"/>
      <c r="X19" s="8"/>
      <c r="Y19" s="8"/>
      <c r="Z19" s="8"/>
    </row>
    <row r="20" spans="1:26">
      <c r="A20" s="8">
        <v>19</v>
      </c>
      <c r="B20" s="8" t="s">
        <v>92</v>
      </c>
      <c r="C20" s="8"/>
      <c r="D20" s="8" t="s">
        <v>217</v>
      </c>
      <c r="E20" s="16" t="s">
        <v>218</v>
      </c>
      <c r="F20" s="17" t="s">
        <v>219</v>
      </c>
      <c r="G20" s="18">
        <v>378</v>
      </c>
      <c r="H20" s="19"/>
      <c r="I20" s="20"/>
      <c r="J20" s="8">
        <f>378</f>
        <v>378</v>
      </c>
      <c r="K20" s="21">
        <v>1.1226851851851851E-3</v>
      </c>
      <c r="L20" s="22" t="s">
        <v>113</v>
      </c>
      <c r="M20" s="8"/>
      <c r="N20" s="8"/>
      <c r="O20" s="8"/>
      <c r="P20" s="8"/>
      <c r="Q20" s="8"/>
      <c r="R20" s="8"/>
      <c r="S20" s="8"/>
      <c r="T20" s="8"/>
      <c r="U20" s="8"/>
      <c r="V20" s="8"/>
      <c r="W20" s="8"/>
      <c r="X20" s="8"/>
      <c r="Y20" s="8"/>
      <c r="Z20" s="8"/>
    </row>
    <row r="21" spans="1:26">
      <c r="A21" s="8">
        <v>20</v>
      </c>
      <c r="B21" s="8" t="s">
        <v>220</v>
      </c>
      <c r="C21" s="8"/>
      <c r="D21" s="8" t="s">
        <v>221</v>
      </c>
      <c r="E21" s="16" t="s">
        <v>222</v>
      </c>
      <c r="F21" s="17" t="s">
        <v>225</v>
      </c>
      <c r="G21" s="18" t="s">
        <v>226</v>
      </c>
      <c r="H21" s="19"/>
      <c r="I21" s="20"/>
      <c r="J21" s="8">
        <f>8.5*1000</f>
        <v>8500</v>
      </c>
      <c r="K21" s="21">
        <v>7.1874999999999994E-3</v>
      </c>
      <c r="L21" s="22" t="s">
        <v>113</v>
      </c>
      <c r="M21" s="8"/>
      <c r="N21" s="8"/>
      <c r="O21" s="8"/>
      <c r="P21" s="8"/>
      <c r="Q21" s="8"/>
      <c r="R21" s="8"/>
      <c r="S21" s="8"/>
      <c r="T21" s="8"/>
      <c r="U21" s="8"/>
      <c r="V21" s="8"/>
      <c r="W21" s="8"/>
      <c r="X21" s="8"/>
      <c r="Y21" s="8"/>
      <c r="Z21" s="8"/>
    </row>
    <row r="22" spans="1:26">
      <c r="A22" s="8">
        <v>21</v>
      </c>
      <c r="B22" s="8"/>
      <c r="C22" s="8"/>
      <c r="D22" s="8" t="s">
        <v>229</v>
      </c>
      <c r="E22" s="16" t="s">
        <v>230</v>
      </c>
      <c r="F22" s="17" t="s">
        <v>231</v>
      </c>
      <c r="G22" s="18" t="s">
        <v>232</v>
      </c>
      <c r="H22" s="19"/>
      <c r="I22" s="20"/>
      <c r="J22" s="8">
        <f>3.2*1000</f>
        <v>3200</v>
      </c>
      <c r="K22" s="21">
        <v>1.3078703703703705E-3</v>
      </c>
      <c r="L22" s="22" t="s">
        <v>113</v>
      </c>
      <c r="M22" s="21"/>
      <c r="N22" s="21"/>
      <c r="O22" s="8"/>
      <c r="P22" s="8"/>
      <c r="Q22" s="8"/>
      <c r="R22" s="8"/>
      <c r="S22" s="8"/>
      <c r="T22" s="8"/>
      <c r="U22" s="8"/>
      <c r="V22" s="8"/>
      <c r="W22" s="8"/>
      <c r="X22" s="8"/>
      <c r="Y22" s="8"/>
      <c r="Z22" s="8"/>
    </row>
    <row r="23" spans="1:26">
      <c r="A23" s="8">
        <v>22</v>
      </c>
      <c r="B23" s="8" t="s">
        <v>220</v>
      </c>
      <c r="C23" s="8"/>
      <c r="D23" s="8" t="s">
        <v>235</v>
      </c>
      <c r="E23" s="16" t="s">
        <v>236</v>
      </c>
      <c r="F23" s="17" t="s">
        <v>237</v>
      </c>
      <c r="G23" s="18" t="s">
        <v>238</v>
      </c>
      <c r="H23" s="19"/>
      <c r="I23" s="20"/>
      <c r="J23" s="8">
        <f>4.9*1000</f>
        <v>4900</v>
      </c>
      <c r="K23" s="21">
        <v>9.2939814814814812E-3</v>
      </c>
      <c r="L23" s="22" t="s">
        <v>113</v>
      </c>
      <c r="M23" s="21"/>
      <c r="N23" s="21"/>
      <c r="O23" s="8"/>
      <c r="P23" s="8"/>
      <c r="Q23" s="8"/>
      <c r="R23" s="8"/>
      <c r="S23" s="8"/>
      <c r="T23" s="8"/>
      <c r="U23" s="8"/>
      <c r="V23" s="8"/>
      <c r="W23" s="8"/>
      <c r="X23" s="8"/>
      <c r="Y23" s="8"/>
      <c r="Z23" s="8"/>
    </row>
    <row r="24" spans="1:26">
      <c r="A24" s="8">
        <v>23</v>
      </c>
      <c r="B24" s="8" t="s">
        <v>220</v>
      </c>
      <c r="C24" s="8"/>
      <c r="D24" s="8" t="s">
        <v>242</v>
      </c>
      <c r="E24" s="16" t="s">
        <v>243</v>
      </c>
      <c r="F24" s="17" t="s">
        <v>244</v>
      </c>
      <c r="G24" s="18" t="s">
        <v>210</v>
      </c>
      <c r="H24" s="19"/>
      <c r="I24" s="20"/>
      <c r="J24" s="8">
        <f>3.6*1000</f>
        <v>3600</v>
      </c>
      <c r="K24" s="21">
        <v>7.4768518518518526E-3</v>
      </c>
      <c r="L24" s="22" t="s">
        <v>113</v>
      </c>
      <c r="M24" s="21"/>
      <c r="N24" s="21"/>
      <c r="O24" s="25"/>
      <c r="P24" s="8"/>
      <c r="Q24" s="8"/>
      <c r="R24" s="8"/>
      <c r="S24" s="8"/>
      <c r="T24" s="8"/>
      <c r="U24" s="8"/>
      <c r="V24" s="8"/>
      <c r="W24" s="8"/>
      <c r="X24" s="8"/>
      <c r="Y24" s="8"/>
      <c r="Z24" s="8"/>
    </row>
    <row r="25" spans="1:26">
      <c r="A25" s="8">
        <v>24</v>
      </c>
      <c r="B25" s="8"/>
      <c r="C25" s="8"/>
      <c r="D25" s="8" t="s">
        <v>246</v>
      </c>
      <c r="E25" s="16" t="s">
        <v>247</v>
      </c>
      <c r="F25" s="17" t="s">
        <v>248</v>
      </c>
      <c r="G25" s="18" t="s">
        <v>249</v>
      </c>
      <c r="H25" s="19"/>
      <c r="I25" s="20"/>
      <c r="J25" s="8">
        <f>2.4*1000</f>
        <v>2400</v>
      </c>
      <c r="K25" s="21">
        <v>8.2523148148148148E-3</v>
      </c>
      <c r="L25" s="22" t="s">
        <v>113</v>
      </c>
      <c r="M25" s="21"/>
      <c r="N25" s="21"/>
      <c r="O25" s="25"/>
      <c r="P25" s="8"/>
      <c r="Q25" s="8"/>
      <c r="R25" s="8"/>
      <c r="S25" s="8"/>
      <c r="T25" s="8"/>
      <c r="U25" s="8"/>
      <c r="V25" s="8"/>
      <c r="W25" s="8"/>
      <c r="X25" s="8"/>
      <c r="Y25" s="8"/>
      <c r="Z25" s="8"/>
    </row>
    <row r="26" spans="1:26">
      <c r="A26" s="8">
        <v>25</v>
      </c>
      <c r="B26" s="8"/>
      <c r="C26" s="8"/>
      <c r="D26" s="8" t="s">
        <v>252</v>
      </c>
      <c r="E26" s="16" t="s">
        <v>253</v>
      </c>
      <c r="F26" s="17" t="s">
        <v>255</v>
      </c>
      <c r="G26" s="18" t="s">
        <v>256</v>
      </c>
      <c r="H26" s="19"/>
      <c r="I26" s="20"/>
      <c r="J26" s="8">
        <f>2.1*1000</f>
        <v>2100</v>
      </c>
      <c r="K26" s="21">
        <v>9.618055555555555E-3</v>
      </c>
      <c r="L26" s="22" t="s">
        <v>113</v>
      </c>
      <c r="M26" s="21"/>
      <c r="N26" s="21"/>
      <c r="O26" s="25"/>
      <c r="P26" s="8"/>
      <c r="Q26" s="8"/>
      <c r="R26" s="8"/>
      <c r="S26" s="8"/>
      <c r="T26" s="8"/>
      <c r="U26" s="8"/>
      <c r="V26" s="8"/>
      <c r="W26" s="8"/>
      <c r="X26" s="8"/>
      <c r="Y26" s="8"/>
      <c r="Z26" s="8"/>
    </row>
    <row r="27" spans="1:26">
      <c r="A27" s="8">
        <v>26</v>
      </c>
      <c r="B27" s="8" t="s">
        <v>220</v>
      </c>
      <c r="C27" s="8"/>
      <c r="D27" s="8" t="s">
        <v>259</v>
      </c>
      <c r="E27" s="16" t="s">
        <v>260</v>
      </c>
      <c r="F27" s="17" t="s">
        <v>263</v>
      </c>
      <c r="G27" s="18" t="s">
        <v>264</v>
      </c>
      <c r="H27" s="19"/>
      <c r="I27" s="20"/>
      <c r="J27" s="8">
        <f>14*1000</f>
        <v>14000</v>
      </c>
      <c r="K27" s="21">
        <v>7.4884259259259262E-3</v>
      </c>
      <c r="L27" s="22" t="s">
        <v>113</v>
      </c>
      <c r="M27" s="21"/>
      <c r="N27" s="21"/>
      <c r="O27" s="25"/>
      <c r="P27" s="8"/>
      <c r="Q27" s="8"/>
      <c r="R27" s="8"/>
      <c r="S27" s="8"/>
      <c r="T27" s="8"/>
      <c r="U27" s="8"/>
      <c r="V27" s="8"/>
      <c r="W27" s="8"/>
      <c r="X27" s="8"/>
      <c r="Y27" s="8"/>
      <c r="Z27" s="8"/>
    </row>
    <row r="28" spans="1:26">
      <c r="A28" s="8">
        <v>27</v>
      </c>
      <c r="B28" s="8" t="s">
        <v>220</v>
      </c>
      <c r="C28" s="8"/>
      <c r="D28" s="8" t="s">
        <v>266</v>
      </c>
      <c r="E28" s="16" t="s">
        <v>267</v>
      </c>
      <c r="F28" s="17" t="s">
        <v>269</v>
      </c>
      <c r="G28" s="18" t="s">
        <v>270</v>
      </c>
      <c r="H28" s="19"/>
      <c r="I28" s="20"/>
      <c r="J28" s="8">
        <f>15*1000</f>
        <v>15000</v>
      </c>
      <c r="K28" s="21">
        <v>3.2407407407407406E-3</v>
      </c>
      <c r="L28" s="22" t="s">
        <v>113</v>
      </c>
      <c r="M28" s="21"/>
      <c r="N28" s="21"/>
      <c r="O28" s="25"/>
      <c r="P28" s="8"/>
      <c r="Q28" s="8"/>
      <c r="R28" s="8"/>
      <c r="S28" s="8"/>
      <c r="T28" s="8"/>
      <c r="U28" s="8"/>
      <c r="V28" s="8"/>
      <c r="W28" s="8"/>
      <c r="X28" s="8"/>
      <c r="Y28" s="8"/>
      <c r="Z28" s="24" t="s">
        <v>272</v>
      </c>
    </row>
    <row r="29" spans="1:26">
      <c r="A29" s="8">
        <v>28</v>
      </c>
      <c r="B29" s="8" t="s">
        <v>220</v>
      </c>
      <c r="C29" s="8"/>
      <c r="D29" s="8" t="s">
        <v>273</v>
      </c>
      <c r="E29" s="16" t="s">
        <v>274</v>
      </c>
      <c r="F29" s="17" t="s">
        <v>275</v>
      </c>
      <c r="G29" s="18" t="s">
        <v>276</v>
      </c>
      <c r="H29" s="19"/>
      <c r="I29" s="20"/>
      <c r="J29" s="8">
        <f>9.3*1000</f>
        <v>9300</v>
      </c>
      <c r="K29" s="21">
        <v>8.0671296296296307E-3</v>
      </c>
      <c r="L29" s="22" t="s">
        <v>113</v>
      </c>
      <c r="M29" s="21"/>
      <c r="N29" s="21"/>
      <c r="O29" s="25"/>
      <c r="P29" s="8"/>
      <c r="Q29" s="8"/>
      <c r="R29" s="8"/>
      <c r="S29" s="8"/>
      <c r="T29" s="8"/>
      <c r="U29" s="8"/>
      <c r="V29" s="8"/>
      <c r="W29" s="8"/>
      <c r="X29" s="8"/>
      <c r="Y29" s="8"/>
      <c r="Z29" s="8"/>
    </row>
    <row r="30" spans="1:26">
      <c r="A30" s="8">
        <v>29</v>
      </c>
      <c r="B30" s="8" t="s">
        <v>220</v>
      </c>
      <c r="C30" s="8"/>
      <c r="D30" s="8" t="s">
        <v>278</v>
      </c>
      <c r="E30" s="16" t="s">
        <v>279</v>
      </c>
      <c r="F30" s="17" t="s">
        <v>281</v>
      </c>
      <c r="G30" s="18" t="s">
        <v>282</v>
      </c>
      <c r="H30" s="19"/>
      <c r="I30" s="20"/>
      <c r="J30" s="8">
        <f>35*1000</f>
        <v>35000</v>
      </c>
      <c r="K30" s="21">
        <v>7.6851851851851847E-3</v>
      </c>
      <c r="L30" s="22" t="s">
        <v>113</v>
      </c>
      <c r="M30" s="21"/>
      <c r="N30" s="21"/>
      <c r="O30" s="8"/>
      <c r="P30" s="8"/>
      <c r="Q30" s="8"/>
      <c r="R30" s="8"/>
      <c r="S30" s="8"/>
      <c r="T30" s="8"/>
      <c r="U30" s="8"/>
      <c r="V30" s="8"/>
      <c r="W30" s="8"/>
      <c r="X30" s="8"/>
      <c r="Y30" s="8"/>
      <c r="Z30" s="8"/>
    </row>
    <row r="31" spans="1:26">
      <c r="A31" s="8">
        <v>30</v>
      </c>
      <c r="B31" s="8"/>
      <c r="C31" s="8"/>
      <c r="D31" s="8" t="s">
        <v>285</v>
      </c>
      <c r="E31" s="16" t="s">
        <v>286</v>
      </c>
      <c r="F31" s="17" t="s">
        <v>288</v>
      </c>
      <c r="G31" s="18" t="s">
        <v>290</v>
      </c>
      <c r="H31" s="19"/>
      <c r="I31" s="20"/>
      <c r="J31" s="8">
        <f>6.9*1000</f>
        <v>6900</v>
      </c>
      <c r="K31" s="21">
        <v>5.208333333333333E-3</v>
      </c>
      <c r="L31" s="22" t="s">
        <v>113</v>
      </c>
      <c r="M31" s="21"/>
      <c r="N31" s="21"/>
      <c r="O31" s="8"/>
      <c r="P31" s="8"/>
      <c r="Q31" s="8"/>
      <c r="R31" s="8"/>
      <c r="S31" s="8"/>
      <c r="T31" s="8"/>
      <c r="U31" s="8"/>
      <c r="V31" s="8"/>
      <c r="W31" s="8"/>
      <c r="X31" s="8"/>
      <c r="Y31" s="8"/>
      <c r="Z31" s="8"/>
    </row>
    <row r="32" spans="1:26">
      <c r="A32" s="8">
        <v>31</v>
      </c>
      <c r="B32" s="8"/>
      <c r="C32" s="8"/>
      <c r="D32" s="8" t="s">
        <v>293</v>
      </c>
      <c r="E32" s="16" t="s">
        <v>295</v>
      </c>
      <c r="F32" s="17" t="s">
        <v>296</v>
      </c>
      <c r="G32" s="18">
        <v>645</v>
      </c>
      <c r="H32" s="19"/>
      <c r="I32" s="20"/>
      <c r="J32" s="8">
        <f>645</f>
        <v>645</v>
      </c>
      <c r="K32" s="21">
        <v>4.8611111111111112E-3</v>
      </c>
      <c r="L32" s="22" t="s">
        <v>113</v>
      </c>
      <c r="M32" s="21"/>
      <c r="N32" s="21"/>
      <c r="O32" s="8"/>
      <c r="P32" s="8"/>
      <c r="Q32" s="8"/>
      <c r="R32" s="8"/>
      <c r="S32" s="8"/>
      <c r="T32" s="8"/>
      <c r="U32" s="8"/>
      <c r="V32" s="8"/>
      <c r="W32" s="8"/>
      <c r="X32" s="8"/>
      <c r="Y32" s="8"/>
      <c r="Z32" s="8"/>
    </row>
    <row r="33" spans="1:26">
      <c r="A33" s="8">
        <v>32</v>
      </c>
      <c r="B33" s="8"/>
      <c r="C33" s="8"/>
      <c r="D33" s="8" t="s">
        <v>302</v>
      </c>
      <c r="E33" s="16" t="s">
        <v>304</v>
      </c>
      <c r="F33" s="17" t="s">
        <v>306</v>
      </c>
      <c r="G33" s="18">
        <v>282</v>
      </c>
      <c r="H33" s="19"/>
      <c r="I33" s="20"/>
      <c r="J33" s="8">
        <f>282</f>
        <v>282</v>
      </c>
      <c r="K33" s="21">
        <v>1.2037037037037038E-3</v>
      </c>
      <c r="L33" s="22" t="s">
        <v>113</v>
      </c>
      <c r="M33" s="21"/>
      <c r="N33" s="21"/>
      <c r="O33" s="8"/>
      <c r="P33" s="8"/>
      <c r="Q33" s="8"/>
      <c r="R33" s="8"/>
      <c r="S33" s="8"/>
      <c r="T33" s="8"/>
      <c r="U33" s="8"/>
      <c r="V33" s="8"/>
      <c r="W33" s="8"/>
      <c r="X33" s="8"/>
      <c r="Y33" s="8"/>
      <c r="Z33" s="8"/>
    </row>
    <row r="34" spans="1:26">
      <c r="A34" s="8">
        <v>33</v>
      </c>
      <c r="B34" s="8"/>
      <c r="C34" s="8"/>
      <c r="D34" s="8" t="s">
        <v>308</v>
      </c>
      <c r="E34" s="16" t="s">
        <v>309</v>
      </c>
      <c r="F34" s="17" t="s">
        <v>310</v>
      </c>
      <c r="G34" s="18">
        <v>732</v>
      </c>
      <c r="H34" s="19"/>
      <c r="I34" s="20"/>
      <c r="J34" s="8">
        <f>732</f>
        <v>732</v>
      </c>
      <c r="K34" s="21">
        <v>7.3379629629629628E-3</v>
      </c>
      <c r="L34" s="22" t="s">
        <v>113</v>
      </c>
      <c r="M34" s="21"/>
      <c r="N34" s="21"/>
      <c r="O34" s="8"/>
      <c r="P34" s="8"/>
      <c r="Q34" s="8"/>
      <c r="R34" s="8"/>
      <c r="S34" s="8"/>
      <c r="T34" s="8"/>
      <c r="U34" s="8"/>
      <c r="V34" s="8"/>
      <c r="W34" s="8"/>
      <c r="X34" s="8"/>
      <c r="Y34" s="8"/>
      <c r="Z34" s="8"/>
    </row>
    <row r="35" spans="1:26">
      <c r="A35" s="8">
        <v>34</v>
      </c>
      <c r="B35" s="8"/>
      <c r="C35" s="8"/>
      <c r="D35" s="8" t="s">
        <v>312</v>
      </c>
      <c r="E35" s="16" t="s">
        <v>313</v>
      </c>
      <c r="F35" s="17" t="s">
        <v>314</v>
      </c>
      <c r="G35" s="18">
        <v>459</v>
      </c>
      <c r="H35" s="19"/>
      <c r="I35" s="20"/>
      <c r="J35" s="8">
        <f>459</f>
        <v>459</v>
      </c>
      <c r="K35" s="21">
        <v>7.6388888888888886E-3</v>
      </c>
      <c r="L35" s="22" t="s">
        <v>113</v>
      </c>
      <c r="M35" s="21"/>
      <c r="N35" s="21"/>
      <c r="O35" s="8"/>
      <c r="P35" s="8"/>
      <c r="Q35" s="8"/>
      <c r="R35" s="8"/>
      <c r="S35" s="8"/>
      <c r="T35" s="8"/>
      <c r="U35" s="8"/>
      <c r="V35" s="8"/>
      <c r="W35" s="8"/>
      <c r="X35" s="8"/>
      <c r="Y35" s="8"/>
      <c r="Z35" s="8"/>
    </row>
    <row r="36" spans="1:26">
      <c r="A36" s="8">
        <v>35</v>
      </c>
      <c r="B36" s="8"/>
      <c r="C36" s="8"/>
      <c r="D36" s="8" t="s">
        <v>316</v>
      </c>
      <c r="E36" s="16" t="s">
        <v>317</v>
      </c>
      <c r="F36" s="17" t="s">
        <v>318</v>
      </c>
      <c r="G36" s="18">
        <v>419</v>
      </c>
      <c r="H36" s="19"/>
      <c r="I36" s="20"/>
      <c r="J36" s="8">
        <f>419</f>
        <v>419</v>
      </c>
      <c r="K36" s="21">
        <v>5.9490740740740745E-3</v>
      </c>
      <c r="L36" s="22" t="s">
        <v>113</v>
      </c>
      <c r="M36" s="21"/>
      <c r="N36" s="21"/>
      <c r="O36" s="8"/>
      <c r="P36" s="8"/>
      <c r="Q36" s="8"/>
      <c r="R36" s="8"/>
      <c r="S36" s="8"/>
      <c r="T36" s="8"/>
      <c r="U36" s="8"/>
      <c r="V36" s="8"/>
      <c r="W36" s="8"/>
      <c r="X36" s="8"/>
      <c r="Y36" s="8"/>
      <c r="Z36" s="8"/>
    </row>
    <row r="37" spans="1:26">
      <c r="A37" s="8">
        <v>36</v>
      </c>
      <c r="B37" s="8"/>
      <c r="C37" s="8"/>
      <c r="D37" s="8" t="s">
        <v>319</v>
      </c>
      <c r="E37" s="16" t="s">
        <v>320</v>
      </c>
      <c r="F37" s="17" t="s">
        <v>323</v>
      </c>
      <c r="G37" s="18">
        <v>755</v>
      </c>
      <c r="H37" s="19"/>
      <c r="I37" s="20"/>
      <c r="J37" s="8">
        <f>755</f>
        <v>755</v>
      </c>
      <c r="K37" s="21">
        <v>8.3449074074074085E-3</v>
      </c>
      <c r="L37" s="22" t="s">
        <v>113</v>
      </c>
      <c r="M37" s="21"/>
      <c r="N37" s="21"/>
      <c r="O37" s="8"/>
      <c r="P37" s="8"/>
      <c r="Q37" s="8"/>
      <c r="R37" s="8"/>
      <c r="S37" s="8"/>
      <c r="T37" s="8"/>
      <c r="U37" s="8"/>
      <c r="V37" s="8"/>
      <c r="W37" s="8"/>
      <c r="X37" s="8"/>
      <c r="Y37" s="8"/>
      <c r="Z37" s="8"/>
    </row>
    <row r="38" spans="1:26">
      <c r="A38" s="8">
        <v>37</v>
      </c>
      <c r="B38" s="8"/>
      <c r="C38" s="8"/>
      <c r="D38" s="8" t="s">
        <v>325</v>
      </c>
      <c r="E38" s="16" t="s">
        <v>326</v>
      </c>
      <c r="F38" s="17" t="s">
        <v>327</v>
      </c>
      <c r="G38" s="18">
        <v>773</v>
      </c>
      <c r="H38" s="19"/>
      <c r="I38" s="20"/>
      <c r="J38" s="8">
        <f>773</f>
        <v>773</v>
      </c>
      <c r="K38" s="21">
        <v>9.5486111111111101E-3</v>
      </c>
      <c r="L38" s="22" t="s">
        <v>113</v>
      </c>
      <c r="M38" s="21"/>
      <c r="N38" s="21"/>
      <c r="O38" s="8"/>
      <c r="P38" s="8"/>
      <c r="Q38" s="8"/>
      <c r="R38" s="8"/>
      <c r="S38" s="8"/>
      <c r="T38" s="8"/>
      <c r="U38" s="8"/>
      <c r="V38" s="8"/>
      <c r="W38" s="8"/>
      <c r="X38" s="8"/>
      <c r="Y38" s="8"/>
      <c r="Z38" s="8"/>
    </row>
    <row r="39" spans="1:26">
      <c r="A39" s="8">
        <v>38</v>
      </c>
      <c r="B39" s="8"/>
      <c r="C39" s="8"/>
      <c r="D39" s="8" t="s">
        <v>331</v>
      </c>
      <c r="E39" s="16" t="s">
        <v>332</v>
      </c>
      <c r="F39" s="17" t="s">
        <v>333</v>
      </c>
      <c r="G39" s="18">
        <v>427</v>
      </c>
      <c r="H39" s="19"/>
      <c r="I39" s="20"/>
      <c r="J39" s="8">
        <f>427</f>
        <v>427</v>
      </c>
      <c r="K39" s="21">
        <v>3.3564814814814811E-3</v>
      </c>
      <c r="L39" s="22" t="s">
        <v>113</v>
      </c>
      <c r="M39" s="21"/>
      <c r="N39" s="21"/>
      <c r="O39" s="8"/>
      <c r="P39" s="8"/>
      <c r="Q39" s="8"/>
      <c r="R39" s="8"/>
      <c r="S39" s="8"/>
      <c r="T39" s="8"/>
      <c r="U39" s="8"/>
      <c r="V39" s="8"/>
      <c r="W39" s="8"/>
      <c r="X39" s="8"/>
      <c r="Y39" s="8"/>
      <c r="Z39" s="8"/>
    </row>
    <row r="40" spans="1:26">
      <c r="A40" s="8">
        <v>39</v>
      </c>
      <c r="B40" s="7" t="s">
        <v>92</v>
      </c>
      <c r="C40" s="7" t="s">
        <v>335</v>
      </c>
      <c r="D40" s="8" t="s">
        <v>336</v>
      </c>
      <c r="E40" s="16" t="s">
        <v>337</v>
      </c>
      <c r="F40" s="17" t="s">
        <v>338</v>
      </c>
      <c r="G40" s="18" t="s">
        <v>339</v>
      </c>
      <c r="H40" s="19"/>
      <c r="I40" s="20"/>
      <c r="J40" s="8">
        <f>5.9*1000</f>
        <v>5900</v>
      </c>
      <c r="K40" s="21">
        <v>6.5740740740740733E-3</v>
      </c>
      <c r="L40" s="22" t="s">
        <v>113</v>
      </c>
      <c r="M40" s="21"/>
      <c r="N40" s="21"/>
      <c r="O40" s="8"/>
      <c r="P40" s="8"/>
      <c r="Q40" s="8"/>
      <c r="R40" s="8"/>
      <c r="S40" s="8"/>
      <c r="T40" s="8"/>
      <c r="U40" s="8"/>
      <c r="V40" s="8"/>
      <c r="W40" s="8"/>
      <c r="X40" s="8"/>
      <c r="Y40" s="8"/>
      <c r="Z40" s="8"/>
    </row>
    <row r="41" spans="1:26">
      <c r="A41" s="8">
        <v>40</v>
      </c>
      <c r="B41" s="8"/>
      <c r="C41" s="8"/>
      <c r="D41" s="8" t="s">
        <v>342</v>
      </c>
      <c r="E41" s="16" t="s">
        <v>343</v>
      </c>
      <c r="F41" s="17" t="s">
        <v>344</v>
      </c>
      <c r="G41" s="18" t="s">
        <v>350</v>
      </c>
      <c r="H41" s="19"/>
      <c r="I41" s="20"/>
      <c r="J41" s="8">
        <f>3*1000</f>
        <v>3000</v>
      </c>
      <c r="K41" s="21">
        <v>3.1944444444444442E-3</v>
      </c>
      <c r="L41" s="22" t="s">
        <v>113</v>
      </c>
      <c r="M41" s="21"/>
      <c r="N41" s="21"/>
      <c r="O41" s="8"/>
      <c r="P41" s="8"/>
      <c r="Q41" s="8"/>
      <c r="R41" s="8"/>
      <c r="S41" s="8"/>
      <c r="T41" s="8"/>
      <c r="U41" s="8"/>
      <c r="V41" s="8"/>
      <c r="W41" s="8"/>
      <c r="X41" s="8"/>
      <c r="Y41" s="8"/>
      <c r="Z41" s="8"/>
    </row>
    <row r="42" spans="1:26">
      <c r="A42" s="8">
        <v>41</v>
      </c>
      <c r="B42" s="8"/>
      <c r="C42" s="8"/>
      <c r="D42" s="8" t="s">
        <v>354</v>
      </c>
      <c r="E42" s="16" t="s">
        <v>355</v>
      </c>
      <c r="F42" s="17" t="s">
        <v>356</v>
      </c>
      <c r="G42" s="18" t="s">
        <v>357</v>
      </c>
      <c r="H42" s="19"/>
      <c r="I42" s="20"/>
      <c r="J42" s="8">
        <f>3.3*1000</f>
        <v>3300</v>
      </c>
      <c r="K42" s="21">
        <v>8.8657407407407417E-3</v>
      </c>
      <c r="L42" s="22" t="s">
        <v>113</v>
      </c>
      <c r="M42" s="21"/>
      <c r="N42" s="21"/>
      <c r="O42" s="8"/>
      <c r="P42" s="8"/>
      <c r="Q42" s="8"/>
      <c r="R42" s="8"/>
      <c r="S42" s="8"/>
      <c r="T42" s="8"/>
      <c r="U42" s="8"/>
      <c r="V42" s="8"/>
      <c r="W42" s="8"/>
      <c r="X42" s="8"/>
      <c r="Y42" s="8"/>
      <c r="Z42" s="8"/>
    </row>
    <row r="43" spans="1:26">
      <c r="A43" s="8">
        <v>42</v>
      </c>
      <c r="B43" s="8"/>
      <c r="C43" s="8"/>
      <c r="D43" s="8" t="s">
        <v>360</v>
      </c>
      <c r="E43" s="16" t="s">
        <v>361</v>
      </c>
      <c r="F43" s="17" t="s">
        <v>363</v>
      </c>
      <c r="G43" s="18" t="s">
        <v>144</v>
      </c>
      <c r="H43" s="19"/>
      <c r="I43" s="20"/>
      <c r="J43" s="8">
        <f>1.7*1000</f>
        <v>1700</v>
      </c>
      <c r="K43" s="21">
        <v>5.1967592592592595E-3</v>
      </c>
      <c r="L43" s="22" t="s">
        <v>113</v>
      </c>
      <c r="M43" s="21"/>
      <c r="N43" s="21"/>
      <c r="O43" s="8"/>
      <c r="P43" s="8"/>
      <c r="Q43" s="8"/>
      <c r="R43" s="8"/>
      <c r="S43" s="8"/>
      <c r="T43" s="8"/>
      <c r="U43" s="8"/>
      <c r="V43" s="8"/>
      <c r="W43" s="8"/>
      <c r="X43" s="8"/>
      <c r="Y43" s="8"/>
      <c r="Z43" s="8"/>
    </row>
    <row r="44" spans="1:26">
      <c r="A44" s="8">
        <v>43</v>
      </c>
      <c r="B44" s="8"/>
      <c r="C44" s="8"/>
      <c r="D44" s="8" t="s">
        <v>364</v>
      </c>
      <c r="E44" s="16" t="s">
        <v>365</v>
      </c>
      <c r="F44" s="17" t="s">
        <v>367</v>
      </c>
      <c r="G44" s="18" t="s">
        <v>214</v>
      </c>
      <c r="H44" s="19"/>
      <c r="I44" s="20"/>
      <c r="J44" s="8">
        <f>1*1000</f>
        <v>1000</v>
      </c>
      <c r="K44" s="21">
        <v>3.4490740740740745E-3</v>
      </c>
      <c r="L44" s="22" t="s">
        <v>113</v>
      </c>
      <c r="M44" s="21"/>
      <c r="N44" s="21"/>
      <c r="O44" s="8"/>
      <c r="P44" s="8"/>
      <c r="Q44" s="8"/>
      <c r="R44" s="8"/>
      <c r="S44" s="8"/>
      <c r="T44" s="8"/>
      <c r="U44" s="8"/>
      <c r="V44" s="8"/>
      <c r="W44" s="8"/>
      <c r="X44" s="8"/>
      <c r="Y44" s="8"/>
      <c r="Z44" s="8"/>
    </row>
    <row r="45" spans="1:26">
      <c r="A45" s="8">
        <v>44</v>
      </c>
      <c r="B45" s="8"/>
      <c r="C45" s="8"/>
      <c r="D45" s="8" t="s">
        <v>370</v>
      </c>
      <c r="E45" s="16" t="s">
        <v>371</v>
      </c>
      <c r="F45" s="17" t="s">
        <v>372</v>
      </c>
      <c r="G45" s="18" t="s">
        <v>374</v>
      </c>
      <c r="H45" s="19"/>
      <c r="I45" s="20"/>
      <c r="J45" s="8">
        <f t="shared" ref="J45:J46" si="0">1.3*1000</f>
        <v>1300</v>
      </c>
      <c r="K45" s="21">
        <v>5.3240740740740748E-3</v>
      </c>
      <c r="L45" s="22" t="s">
        <v>113</v>
      </c>
      <c r="M45" s="21"/>
      <c r="N45" s="21"/>
      <c r="O45" s="8"/>
      <c r="P45" s="8"/>
      <c r="Q45" s="8"/>
      <c r="R45" s="8"/>
      <c r="S45" s="8"/>
      <c r="T45" s="8"/>
      <c r="U45" s="8"/>
      <c r="V45" s="8"/>
      <c r="W45" s="8"/>
      <c r="X45" s="8"/>
      <c r="Y45" s="8"/>
      <c r="Z45" s="8"/>
    </row>
    <row r="46" spans="1:26">
      <c r="A46" s="8">
        <v>45</v>
      </c>
      <c r="B46" s="8"/>
      <c r="C46" s="8"/>
      <c r="D46" s="8" t="s">
        <v>375</v>
      </c>
      <c r="E46" s="16" t="s">
        <v>377</v>
      </c>
      <c r="F46" s="17" t="s">
        <v>379</v>
      </c>
      <c r="G46" s="18" t="s">
        <v>374</v>
      </c>
      <c r="H46" s="19"/>
      <c r="I46" s="20"/>
      <c r="J46" s="8">
        <f t="shared" si="0"/>
        <v>1300</v>
      </c>
      <c r="K46" s="21">
        <v>8.2407407407407412E-3</v>
      </c>
      <c r="L46" s="22" t="s">
        <v>113</v>
      </c>
      <c r="M46" s="21"/>
      <c r="N46" s="21"/>
      <c r="O46" s="8"/>
      <c r="P46" s="8"/>
      <c r="Q46" s="8"/>
      <c r="R46" s="8"/>
      <c r="S46" s="8"/>
      <c r="T46" s="8"/>
      <c r="U46" s="8"/>
      <c r="V46" s="8"/>
      <c r="W46" s="8"/>
      <c r="X46" s="8"/>
      <c r="Y46" s="8"/>
      <c r="Z46" s="8"/>
    </row>
    <row r="47" spans="1:26">
      <c r="A47" s="8">
        <v>46</v>
      </c>
      <c r="B47" s="8"/>
      <c r="C47" s="8"/>
      <c r="D47" s="8" t="s">
        <v>381</v>
      </c>
      <c r="E47" s="16" t="s">
        <v>382</v>
      </c>
      <c r="F47" s="17" t="s">
        <v>384</v>
      </c>
      <c r="G47" s="18">
        <v>940</v>
      </c>
      <c r="H47" s="19"/>
      <c r="I47" s="20"/>
      <c r="J47" s="8">
        <f>940</f>
        <v>940</v>
      </c>
      <c r="K47" s="21">
        <v>2.5925925925925925E-3</v>
      </c>
      <c r="L47" s="22" t="s">
        <v>113</v>
      </c>
      <c r="M47" s="21"/>
      <c r="N47" s="21"/>
      <c r="O47" s="8"/>
      <c r="P47" s="8"/>
      <c r="Q47" s="8"/>
      <c r="R47" s="8"/>
      <c r="S47" s="8"/>
      <c r="T47" s="8"/>
      <c r="U47" s="8"/>
      <c r="V47" s="8"/>
      <c r="W47" s="8"/>
      <c r="X47" s="8"/>
      <c r="Y47" s="8"/>
      <c r="Z47" s="8"/>
    </row>
    <row r="48" spans="1:26">
      <c r="A48" s="8">
        <v>47</v>
      </c>
      <c r="B48" s="8"/>
      <c r="C48" s="8"/>
      <c r="D48" s="8" t="s">
        <v>386</v>
      </c>
      <c r="E48" s="16" t="s">
        <v>387</v>
      </c>
      <c r="F48" s="17" t="s">
        <v>389</v>
      </c>
      <c r="G48" s="18">
        <v>864</v>
      </c>
      <c r="H48" s="19"/>
      <c r="I48" s="20"/>
      <c r="J48" s="8">
        <f>864</f>
        <v>864</v>
      </c>
      <c r="K48" s="21">
        <v>4.1898148148148146E-3</v>
      </c>
      <c r="L48" s="22" t="s">
        <v>113</v>
      </c>
      <c r="M48" s="21"/>
      <c r="N48" s="21"/>
      <c r="O48" s="8"/>
      <c r="P48" s="8"/>
      <c r="Q48" s="8"/>
      <c r="R48" s="8"/>
      <c r="S48" s="8"/>
      <c r="T48" s="8"/>
      <c r="U48" s="8"/>
      <c r="V48" s="8"/>
      <c r="W48" s="8"/>
      <c r="X48" s="8"/>
      <c r="Y48" s="8"/>
      <c r="Z48" s="8"/>
    </row>
    <row r="49" spans="1:26">
      <c r="A49" s="8">
        <v>48</v>
      </c>
      <c r="B49" s="8"/>
      <c r="C49" s="8"/>
      <c r="D49" s="8" t="s">
        <v>392</v>
      </c>
      <c r="E49" s="16" t="s">
        <v>394</v>
      </c>
      <c r="F49" s="17" t="s">
        <v>395</v>
      </c>
      <c r="G49" s="18" t="s">
        <v>396</v>
      </c>
      <c r="H49" s="19"/>
      <c r="I49" s="20"/>
      <c r="J49" s="8">
        <f>1.1*1000</f>
        <v>1100</v>
      </c>
      <c r="K49" s="21">
        <v>3.2986111111111111E-3</v>
      </c>
      <c r="L49" s="22" t="s">
        <v>113</v>
      </c>
      <c r="M49" s="21"/>
      <c r="N49" s="21"/>
      <c r="O49" s="8"/>
      <c r="P49" s="8"/>
      <c r="Q49" s="8"/>
      <c r="R49" s="8"/>
      <c r="S49" s="8"/>
      <c r="T49" s="8"/>
      <c r="U49" s="8"/>
      <c r="V49" s="8"/>
      <c r="W49" s="8"/>
      <c r="X49" s="8"/>
      <c r="Y49" s="8"/>
      <c r="Z49" s="8"/>
    </row>
    <row r="50" spans="1:26">
      <c r="A50" s="8">
        <v>49</v>
      </c>
      <c r="B50" s="8"/>
      <c r="C50" s="8"/>
      <c r="D50" s="8" t="s">
        <v>400</v>
      </c>
      <c r="E50" s="16" t="s">
        <v>401</v>
      </c>
      <c r="F50" s="17" t="s">
        <v>402</v>
      </c>
      <c r="G50" s="18" t="s">
        <v>187</v>
      </c>
      <c r="H50" s="19"/>
      <c r="I50" s="20"/>
      <c r="J50" s="8">
        <f>1.5*1000</f>
        <v>1500</v>
      </c>
      <c r="K50" s="21">
        <v>8.9467592592592585E-3</v>
      </c>
      <c r="L50" s="22" t="s">
        <v>113</v>
      </c>
      <c r="M50" s="21"/>
      <c r="N50" s="21"/>
      <c r="O50" s="8"/>
      <c r="P50" s="8"/>
      <c r="Q50" s="8"/>
      <c r="R50" s="8"/>
      <c r="S50" s="8"/>
      <c r="T50" s="8"/>
      <c r="U50" s="8"/>
      <c r="V50" s="8"/>
      <c r="W50" s="8"/>
      <c r="X50" s="8"/>
      <c r="Y50" s="8"/>
      <c r="Z50" s="8"/>
    </row>
    <row r="51" spans="1:26">
      <c r="A51" s="8">
        <v>50</v>
      </c>
      <c r="B51" s="8"/>
      <c r="C51" s="8"/>
      <c r="D51" s="8" t="s">
        <v>407</v>
      </c>
      <c r="E51" s="16" t="s">
        <v>408</v>
      </c>
      <c r="F51" s="17" t="s">
        <v>409</v>
      </c>
      <c r="G51" s="18" t="s">
        <v>144</v>
      </c>
      <c r="H51" s="19"/>
      <c r="I51" s="20"/>
      <c r="J51" s="8">
        <f>1.7*1000</f>
        <v>1700</v>
      </c>
      <c r="K51" s="21">
        <v>1.0266203703703703E-2</v>
      </c>
      <c r="L51" s="22" t="s">
        <v>113</v>
      </c>
      <c r="M51" s="21"/>
      <c r="N51" s="21"/>
      <c r="O51" s="8"/>
      <c r="P51" s="8"/>
      <c r="Q51" s="8"/>
      <c r="R51" s="8"/>
      <c r="S51" s="8"/>
      <c r="T51" s="8"/>
      <c r="U51" s="8"/>
      <c r="V51" s="8"/>
      <c r="W51" s="8"/>
      <c r="X51" s="8"/>
      <c r="Y51" s="8"/>
      <c r="Z51" s="8"/>
    </row>
    <row r="52" spans="1:26">
      <c r="A52" s="8">
        <v>51</v>
      </c>
      <c r="B52" s="8"/>
      <c r="C52" s="8"/>
      <c r="D52" s="8" t="s">
        <v>411</v>
      </c>
      <c r="E52" s="16" t="s">
        <v>412</v>
      </c>
      <c r="F52" s="17" t="s">
        <v>414</v>
      </c>
      <c r="G52" s="18">
        <v>679</v>
      </c>
      <c r="H52" s="19"/>
      <c r="I52" s="20"/>
      <c r="J52" s="8">
        <f>679</f>
        <v>679</v>
      </c>
      <c r="K52" s="21">
        <v>6.0879629629629643E-3</v>
      </c>
      <c r="L52" s="22" t="s">
        <v>113</v>
      </c>
      <c r="M52" s="21"/>
      <c r="N52" s="21"/>
      <c r="O52" s="8"/>
      <c r="P52" s="8"/>
      <c r="Q52" s="8"/>
      <c r="R52" s="8"/>
      <c r="S52" s="8"/>
      <c r="T52" s="8"/>
      <c r="U52" s="8"/>
      <c r="V52" s="8"/>
      <c r="W52" s="8"/>
      <c r="X52" s="8"/>
      <c r="Y52" s="8"/>
      <c r="Z52" s="8"/>
    </row>
    <row r="53" spans="1:26">
      <c r="A53" s="8">
        <v>52</v>
      </c>
      <c r="B53" s="8"/>
      <c r="C53" s="8"/>
      <c r="D53" s="8" t="s">
        <v>415</v>
      </c>
      <c r="E53" s="16" t="s">
        <v>416</v>
      </c>
      <c r="F53" s="17" t="s">
        <v>417</v>
      </c>
      <c r="G53" s="18">
        <v>928</v>
      </c>
      <c r="H53" s="19"/>
      <c r="I53" s="20"/>
      <c r="J53" s="8">
        <f>928</f>
        <v>928</v>
      </c>
      <c r="K53" s="21">
        <v>0.01</v>
      </c>
      <c r="L53" s="22" t="s">
        <v>113</v>
      </c>
      <c r="M53" s="21"/>
      <c r="N53" s="21"/>
      <c r="O53" s="8"/>
      <c r="P53" s="8"/>
      <c r="Q53" s="8"/>
      <c r="R53" s="8"/>
      <c r="S53" s="8"/>
      <c r="T53" s="8"/>
      <c r="U53" s="8"/>
      <c r="V53" s="8"/>
      <c r="W53" s="8"/>
      <c r="X53" s="8"/>
      <c r="Y53" s="8"/>
      <c r="Z53" s="8"/>
    </row>
    <row r="54" spans="1:26">
      <c r="A54" s="8">
        <v>53</v>
      </c>
      <c r="B54" s="8"/>
      <c r="C54" s="8"/>
      <c r="D54" s="8" t="s">
        <v>418</v>
      </c>
      <c r="E54" s="16" t="s">
        <v>419</v>
      </c>
      <c r="F54" s="17" t="s">
        <v>420</v>
      </c>
      <c r="G54" s="18">
        <v>961</v>
      </c>
      <c r="H54" s="19"/>
      <c r="I54" s="20"/>
      <c r="J54" s="8">
        <f>961</f>
        <v>961</v>
      </c>
      <c r="K54" s="21">
        <v>8.9814814814814809E-3</v>
      </c>
      <c r="L54" s="22" t="s">
        <v>113</v>
      </c>
      <c r="M54" s="21"/>
      <c r="N54" s="21"/>
      <c r="O54" s="8"/>
      <c r="P54" s="8"/>
      <c r="Q54" s="8"/>
      <c r="R54" s="8"/>
      <c r="S54" s="8"/>
      <c r="T54" s="8"/>
      <c r="U54" s="8"/>
      <c r="V54" s="8"/>
      <c r="W54" s="8"/>
      <c r="X54" s="8"/>
      <c r="Y54" s="8"/>
      <c r="Z54" s="8"/>
    </row>
    <row r="55" spans="1:26">
      <c r="A55" s="8">
        <v>54</v>
      </c>
      <c r="B55" s="8"/>
      <c r="C55" s="8"/>
      <c r="D55" s="8" t="s">
        <v>421</v>
      </c>
      <c r="E55" s="16" t="s">
        <v>422</v>
      </c>
      <c r="F55" s="17" t="s">
        <v>423</v>
      </c>
      <c r="G55" s="18" t="s">
        <v>374</v>
      </c>
      <c r="H55" s="19"/>
      <c r="I55" s="20"/>
      <c r="J55" s="8">
        <f>1.3*1000</f>
        <v>1300</v>
      </c>
      <c r="K55" s="21">
        <v>9.3171296296296283E-3</v>
      </c>
      <c r="L55" s="22" t="s">
        <v>113</v>
      </c>
      <c r="M55" s="21"/>
      <c r="N55" s="21"/>
      <c r="O55" s="8"/>
      <c r="P55" s="8"/>
      <c r="Q55" s="8"/>
      <c r="R55" s="8"/>
      <c r="S55" s="8"/>
      <c r="T55" s="8"/>
      <c r="U55" s="8"/>
      <c r="V55" s="8"/>
      <c r="W55" s="8"/>
      <c r="X55" s="8"/>
      <c r="Y55" s="8"/>
      <c r="Z55" s="8"/>
    </row>
    <row r="56" spans="1:26">
      <c r="A56" s="8">
        <v>55</v>
      </c>
      <c r="B56" s="8"/>
      <c r="C56" s="8"/>
      <c r="D56" s="8" t="s">
        <v>424</v>
      </c>
      <c r="E56" s="16" t="s">
        <v>425</v>
      </c>
      <c r="F56" s="17" t="s">
        <v>426</v>
      </c>
      <c r="G56" s="18">
        <v>959</v>
      </c>
      <c r="H56" s="19"/>
      <c r="I56" s="20"/>
      <c r="J56" s="8">
        <f>959</f>
        <v>959</v>
      </c>
      <c r="K56" s="21">
        <v>9.0740740740740729E-3</v>
      </c>
      <c r="L56" s="22" t="s">
        <v>113</v>
      </c>
      <c r="M56" s="21"/>
      <c r="N56" s="21"/>
      <c r="O56" s="8"/>
      <c r="P56" s="8"/>
      <c r="Q56" s="8"/>
      <c r="R56" s="8"/>
      <c r="S56" s="8"/>
      <c r="T56" s="8"/>
      <c r="U56" s="8"/>
      <c r="V56" s="8"/>
      <c r="W56" s="8"/>
      <c r="X56" s="8"/>
      <c r="Y56" s="8"/>
      <c r="Z56" s="8"/>
    </row>
    <row r="57" spans="1:26">
      <c r="A57" s="8">
        <v>56</v>
      </c>
      <c r="B57" s="8"/>
      <c r="C57" s="8"/>
      <c r="D57" s="8" t="s">
        <v>427</v>
      </c>
      <c r="E57" s="16" t="s">
        <v>428</v>
      </c>
      <c r="F57" s="17" t="s">
        <v>429</v>
      </c>
      <c r="G57" s="18" t="s">
        <v>396</v>
      </c>
      <c r="H57" s="19"/>
      <c r="I57" s="20"/>
      <c r="J57" s="8">
        <f>1.1*1000</f>
        <v>1100</v>
      </c>
      <c r="K57" s="21">
        <v>5.185185185185185E-3</v>
      </c>
      <c r="L57" s="22" t="s">
        <v>113</v>
      </c>
      <c r="M57" s="21"/>
      <c r="N57" s="21"/>
      <c r="O57" s="8"/>
      <c r="P57" s="8"/>
      <c r="Q57" s="8"/>
      <c r="R57" s="8"/>
      <c r="S57" s="8"/>
      <c r="T57" s="8"/>
      <c r="U57" s="8"/>
      <c r="V57" s="8"/>
      <c r="W57" s="8"/>
      <c r="X57" s="8"/>
      <c r="Y57" s="8"/>
      <c r="Z57" s="8"/>
    </row>
    <row r="58" spans="1:26">
      <c r="A58" s="8">
        <v>57</v>
      </c>
      <c r="B58" s="8"/>
      <c r="C58" s="8"/>
      <c r="D58" s="8" t="s">
        <v>430</v>
      </c>
      <c r="E58" s="16" t="s">
        <v>431</v>
      </c>
      <c r="F58" s="17" t="s">
        <v>432</v>
      </c>
      <c r="G58" s="18" t="s">
        <v>214</v>
      </c>
      <c r="H58" s="19"/>
      <c r="I58" s="20"/>
      <c r="J58" s="8">
        <f>1*1000</f>
        <v>1000</v>
      </c>
      <c r="K58" s="21">
        <v>8.5995370370370357E-3</v>
      </c>
      <c r="L58" s="22" t="s">
        <v>113</v>
      </c>
      <c r="M58" s="21"/>
      <c r="N58" s="21"/>
      <c r="O58" s="8"/>
      <c r="P58" s="8"/>
      <c r="Q58" s="8"/>
      <c r="R58" s="8"/>
      <c r="S58" s="8"/>
      <c r="T58" s="8"/>
      <c r="U58" s="8"/>
      <c r="V58" s="8"/>
      <c r="W58" s="8"/>
      <c r="X58" s="8"/>
      <c r="Y58" s="8"/>
      <c r="Z58" s="8"/>
    </row>
    <row r="59" spans="1:26">
      <c r="A59" s="8">
        <v>58</v>
      </c>
      <c r="B59" s="8"/>
      <c r="C59" s="8"/>
      <c r="D59" s="8" t="s">
        <v>433</v>
      </c>
      <c r="E59" s="16" t="s">
        <v>434</v>
      </c>
      <c r="F59" s="17" t="s">
        <v>417</v>
      </c>
      <c r="G59" s="18" t="s">
        <v>187</v>
      </c>
      <c r="H59" s="19"/>
      <c r="I59" s="20"/>
      <c r="J59" s="8">
        <f>1.5*1000</f>
        <v>1500</v>
      </c>
      <c r="K59" s="21">
        <v>0.01</v>
      </c>
      <c r="L59" s="22" t="s">
        <v>113</v>
      </c>
      <c r="M59" s="21"/>
      <c r="N59" s="21"/>
      <c r="O59" s="8"/>
      <c r="P59" s="8"/>
      <c r="Q59" s="8"/>
      <c r="R59" s="8"/>
      <c r="S59" s="8"/>
      <c r="T59" s="8"/>
      <c r="U59" s="8"/>
      <c r="V59" s="8"/>
      <c r="W59" s="8"/>
      <c r="X59" s="8"/>
      <c r="Y59" s="8"/>
      <c r="Z59" s="8"/>
    </row>
    <row r="60" spans="1:26">
      <c r="A60" s="8">
        <v>59</v>
      </c>
      <c r="B60" s="8" t="s">
        <v>92</v>
      </c>
      <c r="C60" s="8"/>
      <c r="D60" s="8" t="s">
        <v>205</v>
      </c>
      <c r="E60" s="16" t="s">
        <v>206</v>
      </c>
      <c r="F60" s="27" t="s">
        <v>208</v>
      </c>
      <c r="G60" s="18" t="s">
        <v>210</v>
      </c>
      <c r="H60" s="19"/>
      <c r="I60" s="20"/>
      <c r="J60" s="8">
        <f>3.6*1000</f>
        <v>3600</v>
      </c>
      <c r="K60" s="21">
        <v>3.6516203703703703E-2</v>
      </c>
      <c r="L60" s="22" t="s">
        <v>113</v>
      </c>
      <c r="M60" s="8"/>
      <c r="N60" s="8"/>
      <c r="O60" s="8"/>
      <c r="P60" s="23">
        <v>42989</v>
      </c>
      <c r="Q60" s="23"/>
      <c r="R60" s="23" t="s">
        <v>42</v>
      </c>
      <c r="S60" s="8" t="s">
        <v>42</v>
      </c>
      <c r="T60" s="8" t="s">
        <v>42</v>
      </c>
      <c r="U60" s="8" t="s">
        <v>71</v>
      </c>
      <c r="V60" s="8" t="s">
        <v>71</v>
      </c>
      <c r="W60" s="8" t="s">
        <v>71</v>
      </c>
      <c r="X60" s="8" t="s">
        <v>45</v>
      </c>
      <c r="Y60" s="8" t="s">
        <v>71</v>
      </c>
      <c r="Z60" s="8"/>
    </row>
    <row r="61" spans="1:26">
      <c r="A61" s="8">
        <v>60</v>
      </c>
      <c r="B61" s="8"/>
      <c r="C61" s="8"/>
      <c r="D61" s="8" t="s">
        <v>435</v>
      </c>
      <c r="E61" s="16" t="s">
        <v>436</v>
      </c>
      <c r="F61" s="17" t="s">
        <v>437</v>
      </c>
      <c r="G61" s="18" t="s">
        <v>438</v>
      </c>
      <c r="H61" s="19"/>
      <c r="I61" s="20"/>
      <c r="J61" s="8">
        <f>2.3*1000</f>
        <v>2300</v>
      </c>
      <c r="K61" s="21">
        <v>5.6018518518518518E-3</v>
      </c>
      <c r="L61" s="22" t="s">
        <v>307</v>
      </c>
      <c r="M61" s="8"/>
      <c r="N61" s="8"/>
      <c r="O61" s="8"/>
      <c r="P61" s="8"/>
      <c r="Q61" s="8"/>
      <c r="R61" s="8"/>
      <c r="S61" s="8"/>
      <c r="T61" s="8"/>
      <c r="U61" s="8"/>
      <c r="V61" s="8"/>
      <c r="W61" s="8"/>
      <c r="X61" s="8"/>
      <c r="Y61" s="8"/>
      <c r="Z61" s="8"/>
    </row>
    <row r="62" spans="1:26">
      <c r="A62" s="8">
        <v>61</v>
      </c>
      <c r="B62" s="8"/>
      <c r="C62" s="8"/>
      <c r="D62" s="8" t="s">
        <v>439</v>
      </c>
      <c r="E62" s="16" t="s">
        <v>440</v>
      </c>
      <c r="F62" s="17" t="s">
        <v>441</v>
      </c>
      <c r="G62" s="18">
        <v>709</v>
      </c>
      <c r="H62" s="19"/>
      <c r="I62" s="20"/>
      <c r="J62" s="8">
        <f>709</f>
        <v>709</v>
      </c>
      <c r="K62" s="21">
        <v>2.0138888888888888E-3</v>
      </c>
      <c r="L62" s="22" t="s">
        <v>307</v>
      </c>
      <c r="M62" s="8"/>
      <c r="N62" s="8"/>
      <c r="O62" s="8"/>
      <c r="P62" s="8"/>
      <c r="Q62" s="8"/>
      <c r="R62" s="8"/>
      <c r="S62" s="8"/>
      <c r="T62" s="8"/>
      <c r="U62" s="8"/>
      <c r="V62" s="8"/>
      <c r="W62" s="8"/>
      <c r="X62" s="8"/>
      <c r="Y62" s="8"/>
      <c r="Z62" s="8"/>
    </row>
    <row r="63" spans="1:26">
      <c r="A63" s="8">
        <v>62</v>
      </c>
      <c r="B63" s="8" t="s">
        <v>92</v>
      </c>
      <c r="C63" s="8"/>
      <c r="D63" s="8" t="s">
        <v>297</v>
      </c>
      <c r="E63" s="16" t="s">
        <v>298</v>
      </c>
      <c r="F63" s="27" t="s">
        <v>300</v>
      </c>
      <c r="G63" s="18" t="s">
        <v>301</v>
      </c>
      <c r="H63" s="19"/>
      <c r="I63" s="20"/>
      <c r="J63" s="8">
        <f>6.1*1000</f>
        <v>6100</v>
      </c>
      <c r="K63" s="21">
        <v>3.6041666666666666E-2</v>
      </c>
      <c r="L63" s="22" t="s">
        <v>307</v>
      </c>
      <c r="M63" s="8"/>
      <c r="N63" s="8"/>
      <c r="O63" s="8"/>
      <c r="P63" s="23">
        <v>42997</v>
      </c>
      <c r="Q63" s="8"/>
      <c r="R63" s="8" t="s">
        <v>42</v>
      </c>
      <c r="S63" s="8" t="s">
        <v>42</v>
      </c>
      <c r="T63" s="8" t="s">
        <v>42</v>
      </c>
      <c r="U63" s="8" t="s">
        <v>71</v>
      </c>
      <c r="V63" s="8" t="s">
        <v>71</v>
      </c>
      <c r="W63" s="8" t="s">
        <v>71</v>
      </c>
      <c r="X63" s="8" t="s">
        <v>45</v>
      </c>
      <c r="Y63" s="8" t="s">
        <v>45</v>
      </c>
      <c r="Z63" s="8"/>
    </row>
    <row r="64" spans="1:26">
      <c r="A64" s="8">
        <v>63</v>
      </c>
      <c r="B64" s="8"/>
      <c r="C64" s="8"/>
      <c r="D64" s="8" t="s">
        <v>442</v>
      </c>
      <c r="E64" s="16" t="s">
        <v>443</v>
      </c>
      <c r="F64" s="17" t="s">
        <v>444</v>
      </c>
      <c r="G64" s="18" t="s">
        <v>445</v>
      </c>
      <c r="H64" s="19"/>
      <c r="I64" s="20"/>
      <c r="J64" s="8">
        <f>1.2*1000</f>
        <v>1200</v>
      </c>
      <c r="K64" s="21">
        <v>1.1446759259259261E-2</v>
      </c>
      <c r="L64" s="22" t="s">
        <v>307</v>
      </c>
      <c r="M64" s="8"/>
      <c r="N64" s="8"/>
      <c r="O64" s="8"/>
      <c r="P64" s="8"/>
      <c r="Q64" s="8"/>
      <c r="R64" s="8"/>
      <c r="S64" s="8"/>
      <c r="T64" s="8"/>
      <c r="U64" s="8"/>
      <c r="V64" s="8"/>
      <c r="W64" s="8"/>
      <c r="X64" s="8"/>
      <c r="Y64" s="8"/>
      <c r="Z64" s="8"/>
    </row>
    <row r="65" spans="1:26">
      <c r="A65" s="8">
        <v>64</v>
      </c>
      <c r="B65" s="8"/>
      <c r="C65" s="8"/>
      <c r="D65" s="8" t="s">
        <v>446</v>
      </c>
      <c r="E65" s="16" t="s">
        <v>447</v>
      </c>
      <c r="F65" s="17" t="s">
        <v>448</v>
      </c>
      <c r="G65" s="18">
        <v>694</v>
      </c>
      <c r="H65" s="19"/>
      <c r="I65" s="20"/>
      <c r="J65" s="8">
        <f>694</f>
        <v>694</v>
      </c>
      <c r="K65" s="21">
        <v>9.1203703703703707E-3</v>
      </c>
      <c r="L65" s="22" t="s">
        <v>307</v>
      </c>
      <c r="M65" s="8"/>
      <c r="N65" s="8"/>
      <c r="O65" s="8"/>
      <c r="P65" s="8"/>
      <c r="Q65" s="8"/>
      <c r="R65" s="8"/>
      <c r="S65" s="8"/>
      <c r="T65" s="8"/>
      <c r="U65" s="8"/>
      <c r="V65" s="8"/>
      <c r="W65" s="8"/>
      <c r="X65" s="8"/>
      <c r="Y65" s="8"/>
      <c r="Z65" s="8"/>
    </row>
    <row r="66" spans="1:26">
      <c r="A66" s="8">
        <v>65</v>
      </c>
      <c r="B66" s="8"/>
      <c r="C66" s="8"/>
      <c r="D66" s="8" t="s">
        <v>449</v>
      </c>
      <c r="E66" s="16" t="s">
        <v>450</v>
      </c>
      <c r="F66" s="17" t="s">
        <v>451</v>
      </c>
      <c r="G66" s="18">
        <v>588</v>
      </c>
      <c r="H66" s="19"/>
      <c r="I66" s="20"/>
      <c r="J66" s="8">
        <f>588</f>
        <v>588</v>
      </c>
      <c r="K66" s="21">
        <v>7.1990740740740739E-3</v>
      </c>
      <c r="L66" s="22" t="s">
        <v>307</v>
      </c>
      <c r="M66" s="8"/>
      <c r="N66" s="8"/>
      <c r="O66" s="8"/>
      <c r="P66" s="8"/>
      <c r="Q66" s="8"/>
      <c r="R66" s="8"/>
      <c r="S66" s="8"/>
      <c r="T66" s="8"/>
      <c r="U66" s="8"/>
      <c r="V66" s="8"/>
      <c r="W66" s="8"/>
      <c r="X66" s="8"/>
      <c r="Y66" s="8"/>
      <c r="Z66" s="8"/>
    </row>
    <row r="67" spans="1:26">
      <c r="A67" s="8">
        <v>66</v>
      </c>
      <c r="B67" s="8"/>
      <c r="C67" s="8"/>
      <c r="D67" s="8" t="s">
        <v>452</v>
      </c>
      <c r="E67" s="16" t="s">
        <v>453</v>
      </c>
      <c r="F67" s="27" t="s">
        <v>454</v>
      </c>
      <c r="G67" s="18" t="s">
        <v>455</v>
      </c>
      <c r="H67" s="19"/>
      <c r="I67" s="20"/>
      <c r="J67" s="8">
        <f>2.9*1000</f>
        <v>2900</v>
      </c>
      <c r="K67" s="21">
        <v>2.7766203703703706E-2</v>
      </c>
      <c r="L67" s="22" t="s">
        <v>307</v>
      </c>
      <c r="M67" s="8"/>
      <c r="N67" s="8"/>
      <c r="O67" s="8"/>
      <c r="P67" s="8"/>
      <c r="Q67" s="8"/>
      <c r="R67" s="8"/>
      <c r="S67" s="8"/>
      <c r="T67" s="8"/>
      <c r="U67" s="8"/>
      <c r="V67" s="8"/>
      <c r="W67" s="8"/>
      <c r="X67" s="8"/>
      <c r="Y67" s="8"/>
      <c r="Z67" s="8"/>
    </row>
    <row r="68" spans="1:26">
      <c r="A68" s="8">
        <v>67</v>
      </c>
      <c r="B68" s="8"/>
      <c r="C68" s="8"/>
      <c r="D68" s="8" t="s">
        <v>456</v>
      </c>
      <c r="E68" s="16" t="s">
        <v>457</v>
      </c>
      <c r="F68" s="17" t="s">
        <v>458</v>
      </c>
      <c r="G68" s="18">
        <v>575</v>
      </c>
      <c r="H68" s="19"/>
      <c r="I68" s="20"/>
      <c r="J68" s="8">
        <f>575</f>
        <v>575</v>
      </c>
      <c r="K68" s="21">
        <v>5.0347222222222225E-3</v>
      </c>
      <c r="L68" s="22" t="s">
        <v>307</v>
      </c>
      <c r="M68" s="8"/>
      <c r="N68" s="8"/>
      <c r="O68" s="8"/>
      <c r="P68" s="8"/>
      <c r="Q68" s="8"/>
      <c r="R68" s="8"/>
      <c r="S68" s="8"/>
      <c r="T68" s="8"/>
      <c r="U68" s="8"/>
      <c r="V68" s="8"/>
      <c r="W68" s="8"/>
      <c r="X68" s="8"/>
      <c r="Y68" s="8"/>
      <c r="Z68" s="8"/>
    </row>
    <row r="69" spans="1:26">
      <c r="A69" s="8">
        <v>68</v>
      </c>
      <c r="B69" s="8"/>
      <c r="C69" s="8"/>
      <c r="D69" s="8" t="s">
        <v>459</v>
      </c>
      <c r="E69" s="16" t="s">
        <v>460</v>
      </c>
      <c r="F69" s="27" t="s">
        <v>461</v>
      </c>
      <c r="G69" s="18" t="s">
        <v>462</v>
      </c>
      <c r="H69" s="19"/>
      <c r="I69" s="20"/>
      <c r="J69" s="8">
        <f t="shared" ref="J69:J70" si="1">2.5*1000</f>
        <v>2500</v>
      </c>
      <c r="K69" s="21">
        <v>2.4166666666666666E-2</v>
      </c>
      <c r="L69" s="22" t="s">
        <v>307</v>
      </c>
      <c r="M69" s="8"/>
      <c r="N69" s="8"/>
      <c r="O69" s="8"/>
      <c r="P69" s="8"/>
      <c r="Q69" s="8"/>
      <c r="R69" s="8"/>
      <c r="S69" s="8"/>
      <c r="T69" s="8"/>
      <c r="U69" s="8"/>
      <c r="V69" s="8"/>
      <c r="W69" s="8"/>
      <c r="X69" s="8"/>
      <c r="Y69" s="8"/>
      <c r="Z69" s="8"/>
    </row>
    <row r="70" spans="1:26">
      <c r="A70" s="8">
        <v>69</v>
      </c>
      <c r="B70" s="8"/>
      <c r="C70" s="8"/>
      <c r="D70" s="8" t="s">
        <v>463</v>
      </c>
      <c r="E70" s="16" t="s">
        <v>464</v>
      </c>
      <c r="F70" s="27" t="s">
        <v>465</v>
      </c>
      <c r="G70" s="18" t="s">
        <v>462</v>
      </c>
      <c r="H70" s="19"/>
      <c r="I70" s="20"/>
      <c r="J70" s="8">
        <f t="shared" si="1"/>
        <v>2500</v>
      </c>
      <c r="K70" s="21">
        <v>3.5428240740740739E-2</v>
      </c>
      <c r="L70" s="22" t="s">
        <v>307</v>
      </c>
      <c r="M70" s="8"/>
      <c r="N70" s="8"/>
      <c r="O70" s="8"/>
      <c r="P70" s="8"/>
      <c r="Q70" s="8"/>
      <c r="R70" s="8"/>
      <c r="S70" s="8"/>
      <c r="T70" s="8"/>
      <c r="U70" s="8"/>
      <c r="V70" s="8"/>
      <c r="W70" s="8"/>
      <c r="X70" s="8"/>
      <c r="Y70" s="8"/>
      <c r="Z70" s="8"/>
    </row>
    <row r="71" spans="1:26">
      <c r="A71" s="8">
        <v>70</v>
      </c>
      <c r="B71" s="8"/>
      <c r="C71" s="8"/>
      <c r="D71" s="8" t="s">
        <v>466</v>
      </c>
      <c r="E71" s="16" t="s">
        <v>467</v>
      </c>
      <c r="F71" s="17" t="s">
        <v>468</v>
      </c>
      <c r="G71" s="18">
        <v>568</v>
      </c>
      <c r="H71" s="19"/>
      <c r="I71" s="20"/>
      <c r="J71" s="8">
        <f>568</f>
        <v>568</v>
      </c>
      <c r="K71" s="21">
        <v>3.5185185185185185E-3</v>
      </c>
      <c r="L71" s="22" t="s">
        <v>307</v>
      </c>
      <c r="M71" s="8"/>
      <c r="N71" s="8"/>
      <c r="O71" s="8"/>
      <c r="P71" s="8"/>
      <c r="Q71" s="8"/>
      <c r="R71" s="8"/>
      <c r="S71" s="8"/>
      <c r="T71" s="8"/>
      <c r="U71" s="8"/>
      <c r="V71" s="8"/>
      <c r="W71" s="8"/>
      <c r="X71" s="8"/>
      <c r="Y71" s="8"/>
      <c r="Z71" s="8"/>
    </row>
    <row r="72" spans="1:26">
      <c r="A72" s="8">
        <v>71</v>
      </c>
      <c r="B72" s="8"/>
      <c r="C72" s="8"/>
      <c r="D72" s="8" t="s">
        <v>469</v>
      </c>
      <c r="E72" s="16" t="s">
        <v>470</v>
      </c>
      <c r="F72" s="17" t="s">
        <v>471</v>
      </c>
      <c r="G72" s="18" t="s">
        <v>396</v>
      </c>
      <c r="H72" s="19"/>
      <c r="I72" s="20"/>
      <c r="J72" s="8">
        <f>1.1*1000</f>
        <v>1100</v>
      </c>
      <c r="K72" s="21">
        <v>8.5532407407407415E-3</v>
      </c>
      <c r="L72" s="22" t="s">
        <v>307</v>
      </c>
      <c r="M72" s="8"/>
      <c r="N72" s="8"/>
      <c r="O72" s="8"/>
      <c r="P72" s="8"/>
      <c r="Q72" s="8"/>
      <c r="R72" s="8"/>
      <c r="S72" s="8"/>
      <c r="T72" s="8"/>
      <c r="U72" s="8"/>
      <c r="V72" s="8"/>
      <c r="W72" s="8"/>
      <c r="X72" s="8"/>
      <c r="Y72" s="8"/>
      <c r="Z72" s="8"/>
    </row>
    <row r="73" spans="1:26">
      <c r="A73" s="8">
        <v>72</v>
      </c>
      <c r="B73" s="8"/>
      <c r="C73" s="8"/>
      <c r="D73" s="8" t="s">
        <v>472</v>
      </c>
      <c r="E73" s="16" t="s">
        <v>473</v>
      </c>
      <c r="F73" s="17" t="s">
        <v>474</v>
      </c>
      <c r="G73" s="18">
        <v>868</v>
      </c>
      <c r="H73" s="19"/>
      <c r="I73" s="20"/>
      <c r="J73" s="8">
        <f>868</f>
        <v>868</v>
      </c>
      <c r="K73" s="21">
        <v>1.091435185185185E-2</v>
      </c>
      <c r="L73" s="22" t="s">
        <v>307</v>
      </c>
      <c r="M73" s="8"/>
      <c r="N73" s="8"/>
      <c r="O73" s="8"/>
      <c r="P73" s="8"/>
      <c r="Q73" s="8"/>
      <c r="R73" s="8"/>
      <c r="S73" s="8"/>
      <c r="T73" s="8"/>
      <c r="U73" s="8"/>
      <c r="V73" s="8"/>
      <c r="W73" s="8"/>
      <c r="X73" s="8"/>
      <c r="Y73" s="8"/>
      <c r="Z73" s="8"/>
    </row>
    <row r="74" spans="1:26">
      <c r="A74" s="8">
        <v>73</v>
      </c>
      <c r="B74" s="8"/>
      <c r="C74" s="8"/>
      <c r="D74" s="8" t="s">
        <v>475</v>
      </c>
      <c r="E74" s="16" t="s">
        <v>476</v>
      </c>
      <c r="F74" s="29" t="s">
        <v>477</v>
      </c>
      <c r="G74" s="18" t="s">
        <v>478</v>
      </c>
      <c r="H74" s="19"/>
      <c r="I74" s="20"/>
      <c r="J74" s="8">
        <f>28*1000</f>
        <v>28000</v>
      </c>
      <c r="K74" s="21">
        <v>6.7152777777777783E-2</v>
      </c>
      <c r="L74" s="22" t="s">
        <v>307</v>
      </c>
      <c r="M74" s="8"/>
      <c r="N74" s="8"/>
      <c r="O74" s="8"/>
      <c r="P74" s="8"/>
      <c r="Q74" s="8"/>
      <c r="R74" s="8"/>
      <c r="S74" s="8"/>
      <c r="T74" s="8"/>
      <c r="U74" s="8"/>
      <c r="V74" s="8"/>
      <c r="W74" s="8"/>
      <c r="X74" s="8"/>
      <c r="Y74" s="8"/>
      <c r="Z74" s="8"/>
    </row>
    <row r="75" spans="1:26">
      <c r="A75" s="8">
        <v>74</v>
      </c>
      <c r="B75" s="8" t="s">
        <v>92</v>
      </c>
      <c r="C75" s="8"/>
      <c r="D75" s="8" t="s">
        <v>347</v>
      </c>
      <c r="E75" s="16" t="s">
        <v>348</v>
      </c>
      <c r="F75" s="29" t="s">
        <v>349</v>
      </c>
      <c r="G75" s="18" t="s">
        <v>351</v>
      </c>
      <c r="H75" s="19"/>
      <c r="I75" s="20"/>
      <c r="J75" s="8">
        <f>4.4*1000</f>
        <v>4400</v>
      </c>
      <c r="K75" s="21">
        <v>4.2280092592592598E-2</v>
      </c>
      <c r="L75" s="22" t="s">
        <v>307</v>
      </c>
      <c r="M75" s="8"/>
      <c r="N75" s="8"/>
      <c r="O75" s="8"/>
      <c r="P75" s="8"/>
      <c r="Q75" s="8"/>
      <c r="R75" s="8" t="s">
        <v>42</v>
      </c>
      <c r="S75" s="8" t="s">
        <v>352</v>
      </c>
      <c r="T75" s="8" t="s">
        <v>42</v>
      </c>
      <c r="U75" s="8" t="s">
        <v>71</v>
      </c>
      <c r="V75" s="8" t="s">
        <v>71</v>
      </c>
      <c r="W75" s="8" t="s">
        <v>71</v>
      </c>
      <c r="X75" s="8" t="s">
        <v>45</v>
      </c>
      <c r="Y75" s="8" t="s">
        <v>71</v>
      </c>
      <c r="Z75" s="8"/>
    </row>
    <row r="76" spans="1:26">
      <c r="A76" s="8">
        <v>75</v>
      </c>
      <c r="B76" s="8"/>
      <c r="C76" s="8"/>
      <c r="D76" s="8" t="s">
        <v>479</v>
      </c>
      <c r="E76" s="16" t="s">
        <v>480</v>
      </c>
      <c r="F76" s="29" t="s">
        <v>481</v>
      </c>
      <c r="G76" s="18" t="s">
        <v>482</v>
      </c>
      <c r="H76" s="19"/>
      <c r="I76" s="20"/>
      <c r="J76" s="8">
        <f>7.3*1000</f>
        <v>7300</v>
      </c>
      <c r="K76" s="21">
        <v>4.8854166666666664E-2</v>
      </c>
      <c r="L76" s="22" t="s">
        <v>307</v>
      </c>
      <c r="M76" s="8"/>
      <c r="N76" s="8"/>
      <c r="O76" s="8"/>
      <c r="P76" s="8"/>
      <c r="Q76" s="8"/>
      <c r="R76" s="8"/>
      <c r="S76" s="8"/>
      <c r="T76" s="8"/>
      <c r="U76" s="8"/>
      <c r="V76" s="8"/>
      <c r="W76" s="8"/>
      <c r="X76" s="8"/>
      <c r="Y76" s="8"/>
      <c r="Z76" s="8"/>
    </row>
    <row r="77" spans="1:26">
      <c r="A77" s="8">
        <v>76</v>
      </c>
      <c r="B77" s="8"/>
      <c r="C77" s="8"/>
      <c r="D77" s="8" t="s">
        <v>483</v>
      </c>
      <c r="E77" s="16" t="s">
        <v>484</v>
      </c>
      <c r="F77" s="27" t="s">
        <v>485</v>
      </c>
      <c r="G77" s="18" t="s">
        <v>486</v>
      </c>
      <c r="H77" s="19"/>
      <c r="I77" s="20"/>
      <c r="J77" s="8">
        <f>7.9*1000</f>
        <v>7900</v>
      </c>
      <c r="K77" s="21">
        <v>2.476851851851852E-2</v>
      </c>
      <c r="L77" s="22" t="s">
        <v>307</v>
      </c>
      <c r="M77" s="8"/>
      <c r="N77" s="8"/>
      <c r="O77" s="8"/>
      <c r="P77" s="8"/>
      <c r="Q77" s="8"/>
      <c r="R77" s="8"/>
      <c r="S77" s="8"/>
      <c r="T77" s="8"/>
      <c r="U77" s="8"/>
      <c r="V77" s="8"/>
      <c r="W77" s="8"/>
      <c r="X77" s="8"/>
      <c r="Y77" s="8"/>
      <c r="Z77" s="8"/>
    </row>
    <row r="78" spans="1:26">
      <c r="A78" s="8">
        <v>77</v>
      </c>
      <c r="B78" s="8"/>
      <c r="C78" s="8"/>
      <c r="D78" s="8" t="s">
        <v>487</v>
      </c>
      <c r="E78" s="16" t="s">
        <v>488</v>
      </c>
      <c r="F78" s="27" t="s">
        <v>489</v>
      </c>
      <c r="G78" s="18" t="s">
        <v>490</v>
      </c>
      <c r="H78" s="19"/>
      <c r="I78" s="20"/>
      <c r="J78" s="8">
        <f>11*1000</f>
        <v>11000</v>
      </c>
      <c r="K78" s="21">
        <v>3.75462962962963E-2</v>
      </c>
      <c r="L78" s="22" t="s">
        <v>307</v>
      </c>
      <c r="M78" s="8"/>
      <c r="N78" s="8"/>
      <c r="O78" s="8"/>
      <c r="P78" s="8"/>
      <c r="Q78" s="8"/>
      <c r="R78" s="8"/>
      <c r="S78" s="8"/>
      <c r="T78" s="8"/>
      <c r="U78" s="8"/>
      <c r="V78" s="8"/>
      <c r="W78" s="8"/>
      <c r="X78" s="8"/>
      <c r="Y78" s="8"/>
      <c r="Z78" s="8"/>
    </row>
    <row r="79" spans="1:26">
      <c r="A79" s="8">
        <v>78</v>
      </c>
      <c r="B79" s="8"/>
      <c r="C79" s="8"/>
      <c r="D79" s="8" t="s">
        <v>491</v>
      </c>
      <c r="E79" s="16" t="s">
        <v>492</v>
      </c>
      <c r="F79" s="27" t="s">
        <v>493</v>
      </c>
      <c r="G79" s="18" t="s">
        <v>494</v>
      </c>
      <c r="H79" s="19"/>
      <c r="I79" s="20"/>
      <c r="J79" s="8">
        <f>6.6*1000</f>
        <v>6600</v>
      </c>
      <c r="K79" s="21">
        <v>2.4131944444444445E-2</v>
      </c>
      <c r="L79" s="22" t="s">
        <v>307</v>
      </c>
      <c r="M79" s="8"/>
      <c r="N79" s="8"/>
      <c r="O79" s="8"/>
      <c r="P79" s="8"/>
      <c r="Q79" s="8"/>
      <c r="R79" s="8"/>
      <c r="S79" s="8"/>
      <c r="T79" s="8"/>
      <c r="U79" s="8"/>
      <c r="V79" s="8"/>
      <c r="W79" s="8"/>
      <c r="X79" s="8"/>
      <c r="Y79" s="8"/>
      <c r="Z79" s="8"/>
    </row>
    <row r="80" spans="1:26">
      <c r="A80" s="8">
        <v>79</v>
      </c>
      <c r="B80" s="8"/>
      <c r="C80" s="8"/>
      <c r="D80" s="8" t="s">
        <v>495</v>
      </c>
      <c r="E80" s="16" t="s">
        <v>496</v>
      </c>
      <c r="F80" s="27" t="s">
        <v>497</v>
      </c>
      <c r="G80" s="18" t="s">
        <v>498</v>
      </c>
      <c r="H80" s="19"/>
      <c r="I80" s="20"/>
      <c r="J80" s="8">
        <f>5.8*1000</f>
        <v>5800</v>
      </c>
      <c r="K80" s="21">
        <v>3.2534722222222222E-2</v>
      </c>
      <c r="L80" s="22" t="s">
        <v>307</v>
      </c>
      <c r="M80" s="8"/>
      <c r="N80" s="8"/>
      <c r="O80" s="8"/>
      <c r="P80" s="8"/>
      <c r="Q80" s="8"/>
      <c r="R80" s="8"/>
      <c r="S80" s="8"/>
      <c r="T80" s="8"/>
      <c r="U80" s="8"/>
      <c r="V80" s="8"/>
      <c r="W80" s="8"/>
      <c r="X80" s="8"/>
      <c r="Y80" s="8"/>
      <c r="Z80" s="8"/>
    </row>
    <row r="81" spans="1:26">
      <c r="A81" s="8">
        <v>80</v>
      </c>
      <c r="B81" s="8"/>
      <c r="C81" s="8"/>
      <c r="D81" s="8" t="s">
        <v>499</v>
      </c>
      <c r="E81" s="16" t="s">
        <v>500</v>
      </c>
      <c r="F81" s="17" t="s">
        <v>501</v>
      </c>
      <c r="G81" s="18" t="s">
        <v>502</v>
      </c>
      <c r="H81" s="19"/>
      <c r="I81" s="20"/>
      <c r="J81" s="8">
        <f>4.5*1000</f>
        <v>4500</v>
      </c>
      <c r="K81" s="21">
        <v>9.8958333333333329E-3</v>
      </c>
      <c r="L81" s="22" t="s">
        <v>307</v>
      </c>
      <c r="M81" s="8"/>
      <c r="N81" s="8"/>
      <c r="O81" s="8"/>
      <c r="P81" s="8"/>
      <c r="Q81" s="8"/>
      <c r="R81" s="8"/>
      <c r="S81" s="8"/>
      <c r="T81" s="8"/>
      <c r="U81" s="8"/>
      <c r="V81" s="8"/>
      <c r="W81" s="8"/>
      <c r="X81" s="8"/>
      <c r="Y81" s="8"/>
      <c r="Z81" s="8"/>
    </row>
    <row r="82" spans="1:26">
      <c r="A82" s="8">
        <v>81</v>
      </c>
      <c r="B82" s="8"/>
      <c r="C82" s="8"/>
      <c r="D82" s="8" t="s">
        <v>503</v>
      </c>
      <c r="E82" s="16" t="s">
        <v>504</v>
      </c>
      <c r="F82" s="17" t="s">
        <v>505</v>
      </c>
      <c r="G82" s="18" t="s">
        <v>506</v>
      </c>
      <c r="H82" s="19"/>
      <c r="I82" s="20"/>
      <c r="J82" s="8">
        <f>2*1000</f>
        <v>2000</v>
      </c>
      <c r="K82" s="21">
        <v>2.7893518518518519E-3</v>
      </c>
      <c r="L82" s="22" t="s">
        <v>307</v>
      </c>
      <c r="M82" s="8"/>
      <c r="N82" s="8"/>
      <c r="O82" s="8"/>
      <c r="P82" s="8"/>
      <c r="Q82" s="8"/>
      <c r="R82" s="8"/>
      <c r="S82" s="8"/>
      <c r="T82" s="8"/>
      <c r="U82" s="8"/>
      <c r="V82" s="8"/>
      <c r="W82" s="8"/>
      <c r="X82" s="8"/>
      <c r="Y82" s="8"/>
      <c r="Z82" s="8"/>
    </row>
    <row r="83" spans="1:26">
      <c r="A83" s="8">
        <v>82</v>
      </c>
      <c r="B83" s="8"/>
      <c r="C83" s="8"/>
      <c r="D83" s="8" t="s">
        <v>507</v>
      </c>
      <c r="E83" s="16" t="s">
        <v>508</v>
      </c>
      <c r="F83" s="17" t="s">
        <v>509</v>
      </c>
      <c r="G83" s="18" t="s">
        <v>510</v>
      </c>
      <c r="H83" s="19"/>
      <c r="I83" s="20"/>
      <c r="J83" s="8">
        <f>3.7*1000</f>
        <v>3700</v>
      </c>
      <c r="K83" s="21">
        <v>1.1875000000000002E-2</v>
      </c>
      <c r="L83" s="22" t="s">
        <v>307</v>
      </c>
      <c r="M83" s="8"/>
      <c r="N83" s="8"/>
      <c r="O83" s="8"/>
      <c r="P83" s="8"/>
      <c r="Q83" s="8"/>
      <c r="R83" s="8"/>
      <c r="S83" s="8"/>
      <c r="T83" s="8"/>
      <c r="U83" s="8"/>
      <c r="V83" s="8"/>
      <c r="W83" s="8"/>
      <c r="X83" s="8"/>
      <c r="Y83" s="8"/>
      <c r="Z83" s="8"/>
    </row>
    <row r="84" spans="1:26">
      <c r="A84" s="8">
        <v>83</v>
      </c>
      <c r="B84" s="8"/>
      <c r="C84" s="8"/>
      <c r="D84" s="8" t="s">
        <v>511</v>
      </c>
      <c r="E84" s="16" t="s">
        <v>512</v>
      </c>
      <c r="F84" s="17" t="s">
        <v>513</v>
      </c>
      <c r="G84" s="18">
        <v>965</v>
      </c>
      <c r="H84" s="19"/>
      <c r="I84" s="20"/>
      <c r="J84" s="8">
        <f>965</f>
        <v>965</v>
      </c>
      <c r="K84" s="21">
        <v>1.6087962962962963E-3</v>
      </c>
      <c r="L84" s="22" t="s">
        <v>307</v>
      </c>
      <c r="M84" s="8"/>
      <c r="N84" s="8"/>
      <c r="O84" s="8"/>
      <c r="P84" s="8"/>
      <c r="Q84" s="8"/>
      <c r="R84" s="8"/>
      <c r="S84" s="8"/>
      <c r="T84" s="8"/>
      <c r="U84" s="8"/>
      <c r="V84" s="8"/>
      <c r="W84" s="8"/>
      <c r="X84" s="8"/>
      <c r="Y84" s="8"/>
      <c r="Z84" s="8"/>
    </row>
    <row r="85" spans="1:26">
      <c r="A85" s="8">
        <v>84</v>
      </c>
      <c r="B85" s="8"/>
      <c r="C85" s="8"/>
      <c r="D85" s="8" t="s">
        <v>514</v>
      </c>
      <c r="E85" s="16" t="s">
        <v>515</v>
      </c>
      <c r="F85" s="29" t="s">
        <v>516</v>
      </c>
      <c r="G85" s="18" t="s">
        <v>517</v>
      </c>
      <c r="H85" s="19"/>
      <c r="I85" s="20"/>
      <c r="J85" s="8">
        <f>3.9*1000</f>
        <v>3900</v>
      </c>
      <c r="K85" s="21">
        <v>4.2152777777777782E-2</v>
      </c>
      <c r="L85" s="22" t="s">
        <v>307</v>
      </c>
      <c r="M85" s="8"/>
      <c r="N85" s="8"/>
      <c r="O85" s="8"/>
      <c r="P85" s="8"/>
      <c r="Q85" s="8"/>
      <c r="R85" s="8"/>
      <c r="S85" s="8"/>
      <c r="T85" s="8"/>
      <c r="U85" s="8"/>
      <c r="V85" s="8"/>
      <c r="W85" s="8"/>
      <c r="X85" s="8"/>
      <c r="Y85" s="8"/>
      <c r="Z85" s="8"/>
    </row>
    <row r="86" spans="1:26">
      <c r="A86" s="8">
        <v>85</v>
      </c>
      <c r="B86" s="8"/>
      <c r="C86" s="8"/>
      <c r="D86" s="8" t="s">
        <v>518</v>
      </c>
      <c r="E86" s="16" t="s">
        <v>519</v>
      </c>
      <c r="F86" s="17" t="s">
        <v>520</v>
      </c>
      <c r="G86" s="18" t="s">
        <v>521</v>
      </c>
      <c r="H86" s="19"/>
      <c r="I86" s="20"/>
      <c r="J86" s="8">
        <f>3.5*1000</f>
        <v>3500</v>
      </c>
      <c r="K86" s="21">
        <v>7.0949074074074074E-3</v>
      </c>
      <c r="L86" s="22" t="s">
        <v>307</v>
      </c>
      <c r="M86" s="8"/>
      <c r="N86" s="8"/>
      <c r="O86" s="8"/>
      <c r="P86" s="8"/>
      <c r="Q86" s="8"/>
      <c r="R86" s="8"/>
      <c r="S86" s="8"/>
      <c r="T86" s="8"/>
      <c r="U86" s="8"/>
      <c r="V86" s="8"/>
      <c r="W86" s="8"/>
      <c r="X86" s="8"/>
      <c r="Y86" s="8"/>
      <c r="Z86" s="8"/>
    </row>
    <row r="87" spans="1:26">
      <c r="A87" s="8">
        <v>86</v>
      </c>
      <c r="B87" s="8"/>
      <c r="C87" s="8"/>
      <c r="D87" s="8" t="s">
        <v>522</v>
      </c>
      <c r="E87" s="16" t="s">
        <v>523</v>
      </c>
      <c r="F87" s="27" t="s">
        <v>524</v>
      </c>
      <c r="G87" s="18" t="s">
        <v>525</v>
      </c>
      <c r="H87" s="19"/>
      <c r="I87" s="20"/>
      <c r="J87" s="8">
        <f>7.4*1000</f>
        <v>7400</v>
      </c>
      <c r="K87" s="21">
        <v>2.7337962962962963E-2</v>
      </c>
      <c r="L87" s="22" t="s">
        <v>307</v>
      </c>
      <c r="M87" s="8"/>
      <c r="N87" s="8"/>
      <c r="O87" s="8"/>
      <c r="P87" s="8"/>
      <c r="Q87" s="8"/>
      <c r="R87" s="8"/>
      <c r="S87" s="8"/>
      <c r="T87" s="8"/>
      <c r="U87" s="8"/>
      <c r="V87" s="8"/>
      <c r="W87" s="8"/>
      <c r="X87" s="8"/>
      <c r="Y87" s="8"/>
      <c r="Z87" s="8"/>
    </row>
    <row r="88" spans="1:26">
      <c r="A88" s="8">
        <v>87</v>
      </c>
      <c r="B88" s="8"/>
      <c r="C88" s="8"/>
      <c r="D88" s="8" t="s">
        <v>526</v>
      </c>
      <c r="E88" s="16" t="s">
        <v>527</v>
      </c>
      <c r="F88" s="17" t="s">
        <v>528</v>
      </c>
      <c r="G88" s="18" t="s">
        <v>122</v>
      </c>
      <c r="H88" s="19"/>
      <c r="I88" s="20"/>
      <c r="J88" s="8">
        <f>4*1000</f>
        <v>4000</v>
      </c>
      <c r="K88" s="21">
        <v>1.068287037037037E-2</v>
      </c>
      <c r="L88" s="22" t="s">
        <v>307</v>
      </c>
      <c r="M88" s="8"/>
      <c r="N88" s="8"/>
      <c r="O88" s="8"/>
      <c r="P88" s="8"/>
      <c r="Q88" s="8"/>
      <c r="R88" s="8"/>
      <c r="S88" s="8"/>
      <c r="T88" s="8"/>
      <c r="U88" s="8"/>
      <c r="V88" s="8"/>
      <c r="W88" s="8"/>
      <c r="X88" s="8"/>
      <c r="Y88" s="8"/>
      <c r="Z88" s="8"/>
    </row>
    <row r="89" spans="1:26">
      <c r="A89" s="8">
        <v>88</v>
      </c>
      <c r="B89" s="8"/>
      <c r="C89" s="8"/>
      <c r="D89" s="8" t="s">
        <v>529</v>
      </c>
      <c r="E89" s="16" t="s">
        <v>530</v>
      </c>
      <c r="F89" s="27" t="s">
        <v>531</v>
      </c>
      <c r="G89" s="18" t="s">
        <v>532</v>
      </c>
      <c r="H89" s="19"/>
      <c r="I89" s="20"/>
      <c r="J89" s="8">
        <f>4.1*1000</f>
        <v>4100</v>
      </c>
      <c r="K89" s="21">
        <v>1.8055555555555557E-2</v>
      </c>
      <c r="L89" s="22" t="s">
        <v>307</v>
      </c>
      <c r="M89" s="8"/>
      <c r="N89" s="8"/>
      <c r="O89" s="8"/>
      <c r="P89" s="8"/>
      <c r="Q89" s="8"/>
      <c r="R89" s="8"/>
      <c r="S89" s="8"/>
      <c r="T89" s="8"/>
      <c r="U89" s="8"/>
      <c r="V89" s="8"/>
      <c r="W89" s="8"/>
      <c r="X89" s="8"/>
      <c r="Y89" s="8"/>
      <c r="Z89" s="8"/>
    </row>
    <row r="90" spans="1:26">
      <c r="A90" s="8">
        <v>89</v>
      </c>
      <c r="B90" s="8"/>
      <c r="C90" s="8"/>
      <c r="D90" s="8" t="s">
        <v>533</v>
      </c>
      <c r="E90" s="16" t="s">
        <v>534</v>
      </c>
      <c r="F90" s="27" t="s">
        <v>535</v>
      </c>
      <c r="G90" s="18" t="s">
        <v>270</v>
      </c>
      <c r="H90" s="19"/>
      <c r="I90" s="20"/>
      <c r="J90" s="8">
        <f>15*1000</f>
        <v>15000</v>
      </c>
      <c r="K90" s="21">
        <v>4.02662037037037E-2</v>
      </c>
      <c r="L90" s="22" t="s">
        <v>307</v>
      </c>
      <c r="M90" s="8"/>
      <c r="N90" s="8"/>
      <c r="O90" s="8"/>
      <c r="P90" s="8"/>
      <c r="Q90" s="8"/>
      <c r="R90" s="8" t="s">
        <v>43</v>
      </c>
      <c r="S90" s="8" t="s">
        <v>71</v>
      </c>
      <c r="T90" s="8" t="s">
        <v>71</v>
      </c>
      <c r="U90" s="8"/>
      <c r="V90" s="8"/>
      <c r="W90" s="8"/>
      <c r="X90" s="8"/>
      <c r="Y90" s="8"/>
      <c r="Z90" s="8" t="s">
        <v>536</v>
      </c>
    </row>
    <row r="91" spans="1:26">
      <c r="A91" s="8">
        <v>90</v>
      </c>
      <c r="B91" s="8"/>
      <c r="C91" s="8"/>
      <c r="D91" s="8" t="s">
        <v>537</v>
      </c>
      <c r="E91" s="16" t="s">
        <v>538</v>
      </c>
      <c r="F91" s="17" t="s">
        <v>127</v>
      </c>
      <c r="G91" s="18" t="s">
        <v>351</v>
      </c>
      <c r="H91" s="19"/>
      <c r="I91" s="20"/>
      <c r="J91" s="8">
        <f>4.4*1000</f>
        <v>4400</v>
      </c>
      <c r="K91" s="21">
        <v>2.1643518518518518E-3</v>
      </c>
      <c r="L91" s="22" t="s">
        <v>307</v>
      </c>
      <c r="M91" s="8"/>
      <c r="N91" s="8"/>
      <c r="O91" s="8"/>
      <c r="P91" s="8"/>
      <c r="Q91" s="8"/>
      <c r="R91" s="8"/>
      <c r="S91" s="8"/>
      <c r="T91" s="8"/>
      <c r="U91" s="8"/>
      <c r="V91" s="8"/>
      <c r="W91" s="8"/>
      <c r="X91" s="8"/>
      <c r="Y91" s="8"/>
      <c r="Z91" s="25"/>
    </row>
    <row r="92" spans="1:26">
      <c r="A92" s="8">
        <v>91</v>
      </c>
      <c r="B92" s="8"/>
      <c r="C92" s="8"/>
      <c r="D92" s="8" t="s">
        <v>539</v>
      </c>
      <c r="E92" s="16" t="s">
        <v>540</v>
      </c>
      <c r="F92" s="27" t="s">
        <v>541</v>
      </c>
      <c r="G92" s="18" t="s">
        <v>542</v>
      </c>
      <c r="H92" s="19"/>
      <c r="I92" s="20"/>
      <c r="J92" s="8">
        <f>44*1000</f>
        <v>44000</v>
      </c>
      <c r="K92" s="21">
        <v>2.4074074074074071E-2</v>
      </c>
      <c r="L92" s="22" t="s">
        <v>307</v>
      </c>
      <c r="M92" s="8"/>
      <c r="N92" s="8"/>
      <c r="O92" s="8"/>
      <c r="P92" s="8"/>
      <c r="Q92" s="8"/>
      <c r="R92" s="8"/>
      <c r="S92" s="8"/>
      <c r="T92" s="8"/>
      <c r="U92" s="8"/>
      <c r="V92" s="8"/>
      <c r="W92" s="8"/>
      <c r="X92" s="8"/>
      <c r="Y92" s="8"/>
      <c r="Z92" s="25"/>
    </row>
    <row r="93" spans="1:26">
      <c r="A93" s="8">
        <v>92</v>
      </c>
      <c r="B93" s="8"/>
      <c r="C93" s="8"/>
      <c r="D93" s="8" t="s">
        <v>543</v>
      </c>
      <c r="E93" s="16" t="s">
        <v>544</v>
      </c>
      <c r="F93" s="27" t="s">
        <v>545</v>
      </c>
      <c r="G93" s="18" t="s">
        <v>546</v>
      </c>
      <c r="H93" s="19"/>
      <c r="I93" s="20"/>
      <c r="J93" s="8">
        <f>6.3*1000</f>
        <v>6300</v>
      </c>
      <c r="K93" s="21">
        <v>2.6006944444444447E-2</v>
      </c>
      <c r="L93" s="22" t="s">
        <v>307</v>
      </c>
      <c r="M93" s="8"/>
      <c r="N93" s="8"/>
      <c r="O93" s="8"/>
      <c r="P93" s="8"/>
      <c r="Q93" s="8"/>
      <c r="R93" s="8"/>
      <c r="S93" s="8"/>
      <c r="T93" s="8"/>
      <c r="U93" s="8"/>
      <c r="V93" s="8"/>
      <c r="W93" s="8"/>
      <c r="X93" s="8"/>
      <c r="Y93" s="8"/>
      <c r="Z93" s="25"/>
    </row>
    <row r="94" spans="1:26">
      <c r="A94" s="8">
        <v>93</v>
      </c>
      <c r="B94" s="8"/>
      <c r="C94" s="8"/>
      <c r="D94" s="8" t="s">
        <v>547</v>
      </c>
      <c r="E94" s="16" t="s">
        <v>548</v>
      </c>
      <c r="F94" s="27" t="s">
        <v>549</v>
      </c>
      <c r="G94" s="18">
        <v>986</v>
      </c>
      <c r="H94" s="19"/>
      <c r="I94" s="20"/>
      <c r="J94" s="8">
        <f>986</f>
        <v>986</v>
      </c>
      <c r="K94" s="21">
        <v>3.5682870370370372E-2</v>
      </c>
      <c r="L94" s="22" t="s">
        <v>307</v>
      </c>
      <c r="M94" s="8"/>
      <c r="N94" s="8"/>
      <c r="O94" s="8"/>
      <c r="P94" s="8"/>
      <c r="Q94" s="8"/>
      <c r="R94" s="8"/>
      <c r="S94" s="8"/>
      <c r="T94" s="8"/>
      <c r="U94" s="8"/>
      <c r="V94" s="8"/>
      <c r="W94" s="8"/>
      <c r="X94" s="8"/>
      <c r="Y94" s="8"/>
      <c r="Z94" s="25"/>
    </row>
    <row r="95" spans="1:26">
      <c r="A95" s="8">
        <v>94</v>
      </c>
      <c r="B95" s="8"/>
      <c r="C95" s="8"/>
      <c r="D95" s="8" t="s">
        <v>550</v>
      </c>
      <c r="E95" s="16" t="s">
        <v>551</v>
      </c>
      <c r="F95" s="29" t="s">
        <v>552</v>
      </c>
      <c r="G95" s="18" t="s">
        <v>462</v>
      </c>
      <c r="H95" s="19"/>
      <c r="I95" s="20"/>
      <c r="J95" s="8">
        <f>2.5*1000</f>
        <v>2500</v>
      </c>
      <c r="K95" s="21">
        <v>6.6493055555555555E-2</v>
      </c>
      <c r="L95" s="22" t="s">
        <v>307</v>
      </c>
      <c r="M95" s="8"/>
      <c r="N95" s="8"/>
      <c r="O95" s="8"/>
      <c r="P95" s="8"/>
      <c r="Q95" s="8"/>
      <c r="R95" s="8"/>
      <c r="S95" s="8"/>
      <c r="T95" s="8"/>
      <c r="U95" s="8"/>
      <c r="V95" s="8"/>
      <c r="W95" s="8"/>
      <c r="X95" s="8"/>
      <c r="Y95" s="8"/>
      <c r="Z95" s="25"/>
    </row>
    <row r="96" spans="1:26">
      <c r="A96" s="8">
        <v>95</v>
      </c>
      <c r="B96" s="8"/>
      <c r="C96" s="8"/>
      <c r="D96" s="8" t="s">
        <v>553</v>
      </c>
      <c r="E96" s="16" t="s">
        <v>554</v>
      </c>
      <c r="F96" s="17" t="s">
        <v>555</v>
      </c>
      <c r="G96" s="18" t="s">
        <v>187</v>
      </c>
      <c r="H96" s="19"/>
      <c r="I96" s="20"/>
      <c r="J96" s="8">
        <f>1.5*1000</f>
        <v>1500</v>
      </c>
      <c r="K96" s="21">
        <v>5.9027777777777776E-3</v>
      </c>
      <c r="L96" s="22" t="s">
        <v>307</v>
      </c>
      <c r="M96" s="8"/>
      <c r="N96" s="8"/>
      <c r="O96" s="8"/>
      <c r="P96" s="8"/>
      <c r="Q96" s="8"/>
      <c r="R96" s="8"/>
      <c r="S96" s="8"/>
      <c r="T96" s="8"/>
      <c r="U96" s="8"/>
      <c r="V96" s="8"/>
      <c r="W96" s="8"/>
      <c r="X96" s="8"/>
      <c r="Y96" s="8"/>
      <c r="Z96" s="25"/>
    </row>
    <row r="97" spans="1:26">
      <c r="A97" s="8">
        <v>96</v>
      </c>
      <c r="B97" s="8"/>
      <c r="C97" s="8"/>
      <c r="D97" s="8" t="s">
        <v>556</v>
      </c>
      <c r="E97" s="16" t="s">
        <v>557</v>
      </c>
      <c r="F97" s="17" t="s">
        <v>558</v>
      </c>
      <c r="G97" s="18" t="s">
        <v>445</v>
      </c>
      <c r="H97" s="19"/>
      <c r="I97" s="20"/>
      <c r="J97" s="8">
        <f>1.2*1000</f>
        <v>1200</v>
      </c>
      <c r="K97" s="21">
        <v>1.1655092592592594E-2</v>
      </c>
      <c r="L97" s="22" t="s">
        <v>307</v>
      </c>
      <c r="M97" s="8"/>
      <c r="N97" s="8"/>
      <c r="O97" s="8"/>
      <c r="P97" s="8"/>
      <c r="Q97" s="8"/>
      <c r="R97" s="8"/>
      <c r="S97" s="8"/>
      <c r="T97" s="8"/>
      <c r="U97" s="8"/>
      <c r="V97" s="8"/>
      <c r="W97" s="8"/>
      <c r="X97" s="8"/>
      <c r="Y97" s="8"/>
      <c r="Z97" s="25"/>
    </row>
    <row r="98" spans="1:26">
      <c r="A98" s="8">
        <v>97</v>
      </c>
      <c r="B98" s="8"/>
      <c r="C98" s="8"/>
      <c r="D98" s="8" t="s">
        <v>559</v>
      </c>
      <c r="E98" s="16" t="s">
        <v>560</v>
      </c>
      <c r="F98" s="27" t="s">
        <v>561</v>
      </c>
      <c r="G98" s="18" t="s">
        <v>155</v>
      </c>
      <c r="H98" s="19"/>
      <c r="I98" s="20"/>
      <c r="J98" s="8">
        <f>1.9*1000</f>
        <v>1900</v>
      </c>
      <c r="K98" s="21">
        <v>2.1087962962962961E-2</v>
      </c>
      <c r="L98" s="22" t="s">
        <v>307</v>
      </c>
      <c r="M98" s="8"/>
      <c r="N98" s="8"/>
      <c r="O98" s="8"/>
      <c r="P98" s="8"/>
      <c r="Q98" s="8"/>
      <c r="R98" s="8"/>
      <c r="S98" s="8"/>
      <c r="T98" s="8"/>
      <c r="U98" s="8"/>
      <c r="V98" s="8"/>
      <c r="W98" s="8"/>
      <c r="X98" s="8"/>
      <c r="Y98" s="8"/>
      <c r="Z98" s="25"/>
    </row>
    <row r="99" spans="1:26">
      <c r="A99" s="8">
        <v>98</v>
      </c>
      <c r="B99" s="8"/>
      <c r="C99" s="8"/>
      <c r="D99" s="8" t="s">
        <v>562</v>
      </c>
      <c r="E99" s="16" t="s">
        <v>563</v>
      </c>
      <c r="F99" s="27" t="s">
        <v>564</v>
      </c>
      <c r="G99" s="18" t="s">
        <v>438</v>
      </c>
      <c r="H99" s="19"/>
      <c r="I99" s="20"/>
      <c r="J99" s="8">
        <f>2.3*1000</f>
        <v>2300</v>
      </c>
      <c r="K99" s="21">
        <v>3.4467592592592591E-2</v>
      </c>
      <c r="L99" s="22" t="s">
        <v>307</v>
      </c>
      <c r="M99" s="8"/>
      <c r="N99" s="8"/>
      <c r="O99" s="8"/>
      <c r="P99" s="8"/>
      <c r="Q99" s="8"/>
      <c r="R99" s="8"/>
      <c r="S99" s="8"/>
      <c r="T99" s="8"/>
      <c r="U99" s="8"/>
      <c r="V99" s="8"/>
      <c r="W99" s="8"/>
      <c r="X99" s="8"/>
      <c r="Y99" s="8"/>
      <c r="Z99" s="25"/>
    </row>
    <row r="100" spans="1:26">
      <c r="A100" s="8">
        <v>99</v>
      </c>
      <c r="B100" s="8"/>
      <c r="C100" s="8"/>
      <c r="D100" s="8" t="s">
        <v>565</v>
      </c>
      <c r="E100" s="16" t="s">
        <v>566</v>
      </c>
      <c r="F100" s="27" t="s">
        <v>567</v>
      </c>
      <c r="G100" s="18" t="s">
        <v>568</v>
      </c>
      <c r="H100" s="19"/>
      <c r="I100" s="20"/>
      <c r="J100" s="8">
        <f>1.4*1000</f>
        <v>1400</v>
      </c>
      <c r="K100" s="21">
        <v>2.8483796296296295E-2</v>
      </c>
      <c r="L100" s="22" t="s">
        <v>307</v>
      </c>
      <c r="M100" s="8"/>
      <c r="N100" s="8"/>
      <c r="O100" s="8"/>
      <c r="P100" s="8"/>
      <c r="Q100" s="8"/>
      <c r="R100" s="8"/>
      <c r="S100" s="8"/>
      <c r="T100" s="8"/>
      <c r="U100" s="8"/>
      <c r="V100" s="8"/>
      <c r="W100" s="8"/>
      <c r="X100" s="8"/>
      <c r="Y100" s="8"/>
      <c r="Z100" s="25"/>
    </row>
    <row r="101" spans="1:26">
      <c r="A101" s="8">
        <v>100</v>
      </c>
      <c r="B101" s="8"/>
      <c r="C101" s="8"/>
      <c r="D101" s="8" t="s">
        <v>569</v>
      </c>
      <c r="E101" s="16" t="s">
        <v>570</v>
      </c>
      <c r="F101" s="27" t="s">
        <v>571</v>
      </c>
      <c r="G101" s="18" t="s">
        <v>510</v>
      </c>
      <c r="H101" s="19"/>
      <c r="I101" s="20"/>
      <c r="J101" s="8">
        <f>3.7*1000</f>
        <v>3700</v>
      </c>
      <c r="K101" s="21">
        <v>2.4837962962962964E-2</v>
      </c>
      <c r="L101" s="22" t="s">
        <v>307</v>
      </c>
      <c r="M101" s="8"/>
      <c r="N101" s="8"/>
      <c r="O101" s="8"/>
      <c r="P101" s="8"/>
      <c r="Q101" s="8"/>
      <c r="R101" s="8"/>
      <c r="S101" s="8"/>
      <c r="T101" s="8"/>
      <c r="U101" s="8"/>
      <c r="V101" s="8"/>
      <c r="W101" s="8"/>
      <c r="X101" s="8"/>
      <c r="Y101" s="8"/>
      <c r="Z101" s="25"/>
    </row>
    <row r="102" spans="1:26">
      <c r="A102" s="8">
        <v>101</v>
      </c>
      <c r="B102" s="8"/>
      <c r="C102" s="8"/>
      <c r="D102" s="8" t="s">
        <v>572</v>
      </c>
      <c r="E102" s="16" t="s">
        <v>573</v>
      </c>
      <c r="F102" s="29" t="s">
        <v>574</v>
      </c>
      <c r="G102" s="18" t="s">
        <v>575</v>
      </c>
      <c r="H102" s="19"/>
      <c r="I102" s="20"/>
      <c r="J102" s="8">
        <f>22*1000</f>
        <v>22000</v>
      </c>
      <c r="K102" s="21">
        <v>4.5879629629629631E-2</v>
      </c>
      <c r="L102" s="22" t="s">
        <v>307</v>
      </c>
      <c r="M102" s="8"/>
      <c r="N102" s="8"/>
      <c r="O102" s="8"/>
      <c r="P102" s="8"/>
      <c r="Q102" s="8"/>
      <c r="R102" s="8"/>
      <c r="S102" s="8"/>
      <c r="T102" s="8"/>
      <c r="U102" s="8"/>
      <c r="V102" s="8"/>
      <c r="W102" s="8"/>
      <c r="X102" s="8"/>
      <c r="Y102" s="8"/>
      <c r="Z102" s="25"/>
    </row>
    <row r="103" spans="1:26">
      <c r="A103" s="8">
        <v>102</v>
      </c>
      <c r="B103" s="8"/>
      <c r="C103" s="8"/>
      <c r="D103" s="8" t="s">
        <v>576</v>
      </c>
      <c r="E103" s="16" t="s">
        <v>577</v>
      </c>
      <c r="F103" s="17" t="s">
        <v>578</v>
      </c>
      <c r="G103" s="18" t="s">
        <v>374</v>
      </c>
      <c r="H103" s="19"/>
      <c r="I103" s="20"/>
      <c r="J103" s="8">
        <f>1.3*1000</f>
        <v>1300</v>
      </c>
      <c r="K103" s="21">
        <v>1.1990740740740739E-2</v>
      </c>
      <c r="L103" s="22" t="s">
        <v>307</v>
      </c>
      <c r="M103" s="8"/>
      <c r="N103" s="8"/>
      <c r="O103" s="8"/>
      <c r="P103" s="8"/>
      <c r="Q103" s="8"/>
      <c r="R103" s="8"/>
      <c r="S103" s="8"/>
      <c r="T103" s="8"/>
      <c r="U103" s="8"/>
      <c r="V103" s="8"/>
      <c r="W103" s="8"/>
      <c r="X103" s="8"/>
      <c r="Y103" s="8"/>
      <c r="Z103" s="25"/>
    </row>
    <row r="104" spans="1:26">
      <c r="A104" s="8">
        <v>103</v>
      </c>
      <c r="B104" s="8"/>
      <c r="C104" s="8"/>
      <c r="D104" s="8" t="s">
        <v>579</v>
      </c>
      <c r="E104" s="16" t="s">
        <v>580</v>
      </c>
      <c r="F104" s="29" t="s">
        <v>581</v>
      </c>
      <c r="G104" s="18" t="s">
        <v>486</v>
      </c>
      <c r="H104" s="19"/>
      <c r="I104" s="20"/>
      <c r="J104" s="8">
        <f>7.9*1000</f>
        <v>7900</v>
      </c>
      <c r="K104" s="21">
        <v>9.7002314814814805E-2</v>
      </c>
      <c r="L104" s="22" t="s">
        <v>307</v>
      </c>
      <c r="M104" s="8"/>
      <c r="N104" s="8"/>
      <c r="O104" s="8"/>
      <c r="P104" s="8"/>
      <c r="Q104" s="8"/>
      <c r="R104" s="8"/>
      <c r="S104" s="8"/>
      <c r="T104" s="8"/>
      <c r="U104" s="8"/>
      <c r="V104" s="8"/>
      <c r="W104" s="8"/>
      <c r="X104" s="8"/>
      <c r="Y104" s="8"/>
      <c r="Z104" s="25"/>
    </row>
    <row r="105" spans="1:26">
      <c r="A105" s="8">
        <v>104</v>
      </c>
      <c r="B105" s="8"/>
      <c r="C105" s="8"/>
      <c r="D105" s="8" t="s">
        <v>582</v>
      </c>
      <c r="E105" s="16" t="s">
        <v>583</v>
      </c>
      <c r="F105" s="27" t="s">
        <v>584</v>
      </c>
      <c r="G105" s="18" t="s">
        <v>122</v>
      </c>
      <c r="H105" s="19"/>
      <c r="I105" s="20"/>
      <c r="J105" s="8">
        <f>4*1000</f>
        <v>4000</v>
      </c>
      <c r="K105" s="21">
        <v>2.3530092592592592E-2</v>
      </c>
      <c r="L105" s="22" t="s">
        <v>307</v>
      </c>
      <c r="M105" s="8"/>
      <c r="N105" s="8"/>
      <c r="O105" s="8"/>
      <c r="P105" s="8"/>
      <c r="Q105" s="8"/>
      <c r="R105" s="8"/>
      <c r="S105" s="8"/>
      <c r="T105" s="8"/>
      <c r="U105" s="8"/>
      <c r="V105" s="8"/>
      <c r="W105" s="8"/>
      <c r="X105" s="8"/>
      <c r="Y105" s="8"/>
      <c r="Z105" s="25"/>
    </row>
    <row r="106" spans="1:26">
      <c r="A106" s="8">
        <v>105</v>
      </c>
      <c r="B106" s="8"/>
      <c r="C106" s="8"/>
      <c r="D106" s="8" t="s">
        <v>585</v>
      </c>
      <c r="E106" s="16" t="s">
        <v>586</v>
      </c>
      <c r="F106" s="29" t="s">
        <v>587</v>
      </c>
      <c r="G106" s="18" t="s">
        <v>210</v>
      </c>
      <c r="H106" s="19"/>
      <c r="I106" s="20"/>
      <c r="J106" s="8">
        <f>3.6*1000</f>
        <v>3600</v>
      </c>
      <c r="K106" s="21">
        <v>8.9583333333333334E-2</v>
      </c>
      <c r="L106" s="22" t="s">
        <v>307</v>
      </c>
      <c r="M106" s="8"/>
      <c r="N106" s="8"/>
      <c r="O106" s="8"/>
      <c r="P106" s="8"/>
      <c r="Q106" s="8"/>
      <c r="R106" s="8"/>
      <c r="S106" s="8"/>
      <c r="T106" s="8"/>
      <c r="U106" s="8"/>
      <c r="V106" s="8"/>
      <c r="W106" s="8"/>
      <c r="X106" s="8"/>
      <c r="Y106" s="8"/>
      <c r="Z106" s="25"/>
    </row>
    <row r="107" spans="1:26">
      <c r="A107" s="8">
        <v>106</v>
      </c>
      <c r="B107" s="8"/>
      <c r="C107" s="8"/>
      <c r="D107" s="8" t="s">
        <v>588</v>
      </c>
      <c r="E107" s="16" t="s">
        <v>589</v>
      </c>
      <c r="F107" s="29" t="s">
        <v>590</v>
      </c>
      <c r="G107" s="18" t="s">
        <v>490</v>
      </c>
      <c r="H107" s="19"/>
      <c r="I107" s="20"/>
      <c r="J107" s="8">
        <f t="shared" ref="J107:J108" si="2">11*1000</f>
        <v>11000</v>
      </c>
      <c r="K107" s="21">
        <v>5.4884259259259265E-2</v>
      </c>
      <c r="L107" s="22" t="s">
        <v>307</v>
      </c>
      <c r="M107" s="8"/>
      <c r="N107" s="8"/>
      <c r="O107" s="8"/>
      <c r="P107" s="8"/>
      <c r="Q107" s="8"/>
      <c r="R107" s="8"/>
      <c r="S107" s="8"/>
      <c r="T107" s="8"/>
      <c r="U107" s="8"/>
      <c r="V107" s="8"/>
      <c r="W107" s="8"/>
      <c r="X107" s="8"/>
      <c r="Y107" s="8"/>
      <c r="Z107" s="25"/>
    </row>
    <row r="108" spans="1:26">
      <c r="A108" s="8">
        <v>107</v>
      </c>
      <c r="B108" s="8"/>
      <c r="C108" s="8"/>
      <c r="D108" s="8" t="s">
        <v>591</v>
      </c>
      <c r="E108" s="16" t="s">
        <v>592</v>
      </c>
      <c r="F108" s="29" t="s">
        <v>593</v>
      </c>
      <c r="G108" s="18" t="s">
        <v>490</v>
      </c>
      <c r="H108" s="19"/>
      <c r="I108" s="20"/>
      <c r="J108" s="8">
        <f t="shared" si="2"/>
        <v>11000</v>
      </c>
      <c r="K108" s="21">
        <v>8.446759259259258E-2</v>
      </c>
      <c r="L108" s="22" t="s">
        <v>307</v>
      </c>
      <c r="M108" s="8"/>
      <c r="N108" s="8"/>
      <c r="O108" s="8"/>
      <c r="P108" s="8"/>
      <c r="Q108" s="8"/>
      <c r="R108" s="8"/>
      <c r="S108" s="8"/>
      <c r="T108" s="8"/>
      <c r="U108" s="8"/>
      <c r="V108" s="8"/>
      <c r="W108" s="8"/>
      <c r="X108" s="8"/>
      <c r="Y108" s="8"/>
      <c r="Z108" s="25"/>
    </row>
    <row r="109" spans="1:26">
      <c r="A109" s="8">
        <v>108</v>
      </c>
      <c r="B109" s="8"/>
      <c r="C109" s="8"/>
      <c r="D109" s="8" t="s">
        <v>594</v>
      </c>
      <c r="E109" s="16" t="s">
        <v>595</v>
      </c>
      <c r="F109" s="29" t="s">
        <v>596</v>
      </c>
      <c r="G109" s="18" t="s">
        <v>597</v>
      </c>
      <c r="H109" s="19"/>
      <c r="I109" s="20"/>
      <c r="J109" s="8">
        <f>2.6*1000</f>
        <v>2600</v>
      </c>
      <c r="K109" s="21">
        <v>5.2893518518518513E-2</v>
      </c>
      <c r="L109" s="22" t="s">
        <v>307</v>
      </c>
      <c r="M109" s="8"/>
      <c r="N109" s="8"/>
      <c r="O109" s="8"/>
      <c r="P109" s="8"/>
      <c r="Q109" s="8"/>
      <c r="R109" s="8"/>
      <c r="S109" s="8"/>
      <c r="T109" s="8"/>
      <c r="U109" s="8"/>
      <c r="V109" s="8"/>
      <c r="W109" s="8"/>
      <c r="X109" s="8"/>
      <c r="Y109" s="8"/>
      <c r="Z109" s="25"/>
    </row>
    <row r="110" spans="1:26">
      <c r="A110" s="8">
        <v>109</v>
      </c>
      <c r="B110" s="8"/>
      <c r="C110" s="8"/>
      <c r="D110" s="8" t="s">
        <v>598</v>
      </c>
      <c r="E110" s="16" t="s">
        <v>599</v>
      </c>
      <c r="F110" s="27" t="s">
        <v>600</v>
      </c>
      <c r="G110" s="18" t="s">
        <v>568</v>
      </c>
      <c r="H110" s="19"/>
      <c r="I110" s="20"/>
      <c r="J110" s="8">
        <f>1.4*1000</f>
        <v>1400</v>
      </c>
      <c r="K110" s="21">
        <v>3.1817129629629633E-2</v>
      </c>
      <c r="L110" s="22" t="s">
        <v>307</v>
      </c>
      <c r="M110" s="8"/>
      <c r="N110" s="8"/>
      <c r="O110" s="8"/>
      <c r="P110" s="8"/>
      <c r="Q110" s="8"/>
      <c r="R110" s="8"/>
      <c r="S110" s="8"/>
      <c r="T110" s="8"/>
      <c r="U110" s="8"/>
      <c r="V110" s="8"/>
      <c r="W110" s="8"/>
      <c r="X110" s="8"/>
      <c r="Y110" s="8"/>
      <c r="Z110" s="25"/>
    </row>
    <row r="111" spans="1:26">
      <c r="A111" s="8">
        <v>110</v>
      </c>
      <c r="B111" s="8"/>
      <c r="C111" s="8"/>
      <c r="D111" s="8" t="s">
        <v>601</v>
      </c>
      <c r="E111" s="16" t="s">
        <v>602</v>
      </c>
      <c r="F111" s="29" t="s">
        <v>603</v>
      </c>
      <c r="G111" s="18" t="s">
        <v>270</v>
      </c>
      <c r="H111" s="19"/>
      <c r="I111" s="20"/>
      <c r="J111" s="8">
        <f>15*1000</f>
        <v>15000</v>
      </c>
      <c r="K111" s="21">
        <v>0.10678240740740741</v>
      </c>
      <c r="L111" s="22" t="s">
        <v>307</v>
      </c>
      <c r="M111" s="8"/>
      <c r="N111" s="8"/>
      <c r="O111" s="8"/>
      <c r="P111" s="8"/>
      <c r="Q111" s="8"/>
      <c r="R111" s="8"/>
      <c r="S111" s="8"/>
      <c r="T111" s="8"/>
      <c r="U111" s="8"/>
      <c r="V111" s="8"/>
      <c r="W111" s="8"/>
      <c r="X111" s="8"/>
      <c r="Y111" s="8"/>
      <c r="Z111" s="25"/>
    </row>
    <row r="112" spans="1:26">
      <c r="A112" s="8">
        <v>111</v>
      </c>
      <c r="B112" s="8"/>
      <c r="C112" s="8"/>
      <c r="D112" s="8" t="s">
        <v>604</v>
      </c>
      <c r="E112" s="16" t="s">
        <v>605</v>
      </c>
      <c r="F112" s="17" t="s">
        <v>606</v>
      </c>
      <c r="G112" s="18">
        <v>888</v>
      </c>
      <c r="H112" s="19"/>
      <c r="I112" s="20"/>
      <c r="J112" s="8">
        <f>888</f>
        <v>888</v>
      </c>
      <c r="K112" s="21">
        <v>4.3055555555555555E-3</v>
      </c>
      <c r="L112" s="22" t="s">
        <v>307</v>
      </c>
      <c r="M112" s="8"/>
      <c r="N112" s="8"/>
      <c r="O112" s="8"/>
      <c r="P112" s="8"/>
      <c r="Q112" s="8"/>
      <c r="R112" s="8"/>
      <c r="S112" s="8"/>
      <c r="T112" s="8"/>
      <c r="U112" s="8"/>
      <c r="V112" s="8"/>
      <c r="W112" s="8"/>
      <c r="X112" s="8"/>
      <c r="Y112" s="8"/>
      <c r="Z112" s="25"/>
    </row>
    <row r="113" spans="1:26">
      <c r="A113" s="8">
        <v>112</v>
      </c>
      <c r="B113" s="8"/>
      <c r="C113" s="8"/>
      <c r="D113" s="8" t="s">
        <v>607</v>
      </c>
      <c r="E113" s="16" t="s">
        <v>608</v>
      </c>
      <c r="F113" s="27" t="s">
        <v>609</v>
      </c>
      <c r="G113" s="18">
        <v>466</v>
      </c>
      <c r="H113" s="19"/>
      <c r="I113" s="20"/>
      <c r="J113" s="8">
        <f>466</f>
        <v>466</v>
      </c>
      <c r="K113" s="21">
        <v>2.6064814814814815E-2</v>
      </c>
      <c r="L113" s="22" t="s">
        <v>307</v>
      </c>
      <c r="M113" s="8"/>
      <c r="N113" s="8"/>
      <c r="O113" s="8"/>
      <c r="P113" s="8"/>
      <c r="Q113" s="8"/>
      <c r="R113" s="8"/>
      <c r="S113" s="8"/>
      <c r="T113" s="8"/>
      <c r="U113" s="8"/>
      <c r="V113" s="8"/>
      <c r="W113" s="8"/>
      <c r="X113" s="8"/>
      <c r="Y113" s="8"/>
      <c r="Z113" s="25"/>
    </row>
    <row r="114" spans="1:26">
      <c r="A114" s="8">
        <v>113</v>
      </c>
      <c r="B114" s="8"/>
      <c r="C114" s="8"/>
      <c r="D114" s="8" t="s">
        <v>610</v>
      </c>
      <c r="E114" s="16" t="s">
        <v>611</v>
      </c>
      <c r="F114" s="27" t="s">
        <v>612</v>
      </c>
      <c r="G114" s="18" t="s">
        <v>214</v>
      </c>
      <c r="H114" s="19"/>
      <c r="I114" s="20"/>
      <c r="J114" s="8">
        <f>1*1000</f>
        <v>1000</v>
      </c>
      <c r="K114" s="21">
        <v>2.3506944444444445E-2</v>
      </c>
      <c r="L114" s="22" t="s">
        <v>307</v>
      </c>
      <c r="M114" s="8"/>
      <c r="N114" s="8"/>
      <c r="O114" s="8"/>
      <c r="P114" s="8"/>
      <c r="Q114" s="8"/>
      <c r="R114" s="8"/>
      <c r="S114" s="8"/>
      <c r="T114" s="8"/>
      <c r="U114" s="8"/>
      <c r="V114" s="8"/>
      <c r="W114" s="8"/>
      <c r="X114" s="8"/>
      <c r="Y114" s="8"/>
      <c r="Z114" s="25"/>
    </row>
    <row r="115" spans="1:26">
      <c r="A115" s="8">
        <v>114</v>
      </c>
      <c r="B115" s="8"/>
      <c r="C115" s="8"/>
      <c r="D115" s="8" t="s">
        <v>613</v>
      </c>
      <c r="E115" s="16" t="s">
        <v>614</v>
      </c>
      <c r="F115" s="17" t="s">
        <v>615</v>
      </c>
      <c r="G115" s="18" t="s">
        <v>568</v>
      </c>
      <c r="H115" s="19"/>
      <c r="I115" s="20"/>
      <c r="J115" s="8">
        <f>1.4*1000</f>
        <v>1400</v>
      </c>
      <c r="K115" s="21">
        <v>1.1608796296296296E-2</v>
      </c>
      <c r="L115" s="22" t="s">
        <v>307</v>
      </c>
      <c r="M115" s="8"/>
      <c r="N115" s="8"/>
      <c r="O115" s="8"/>
      <c r="P115" s="8"/>
      <c r="Q115" s="8"/>
      <c r="R115" s="8"/>
      <c r="S115" s="8"/>
      <c r="T115" s="8"/>
      <c r="U115" s="8"/>
      <c r="V115" s="8"/>
      <c r="W115" s="8"/>
      <c r="X115" s="8"/>
      <c r="Y115" s="8"/>
      <c r="Z115" s="25"/>
    </row>
    <row r="116" spans="1:26">
      <c r="A116" s="8">
        <v>115</v>
      </c>
      <c r="B116" s="8"/>
      <c r="C116" s="8"/>
      <c r="D116" s="8" t="s">
        <v>616</v>
      </c>
      <c r="E116" s="16" t="s">
        <v>617</v>
      </c>
      <c r="F116" s="27" t="s">
        <v>618</v>
      </c>
      <c r="G116" s="18">
        <v>602</v>
      </c>
      <c r="H116" s="19"/>
      <c r="I116" s="20"/>
      <c r="J116" s="8">
        <f>602</f>
        <v>602</v>
      </c>
      <c r="K116" s="21">
        <v>2.1805555555555554E-2</v>
      </c>
      <c r="L116" s="22" t="s">
        <v>307</v>
      </c>
      <c r="M116" s="8"/>
      <c r="N116" s="8"/>
      <c r="O116" s="8"/>
      <c r="P116" s="8"/>
      <c r="Q116" s="8"/>
      <c r="R116" s="8"/>
      <c r="S116" s="8"/>
      <c r="T116" s="8"/>
      <c r="U116" s="8"/>
      <c r="V116" s="8"/>
      <c r="W116" s="8"/>
      <c r="X116" s="8"/>
      <c r="Y116" s="8"/>
      <c r="Z116" s="25"/>
    </row>
    <row r="117" spans="1:26">
      <c r="A117" s="8">
        <v>116</v>
      </c>
      <c r="B117" s="8"/>
      <c r="C117" s="8"/>
      <c r="D117" s="8" t="s">
        <v>619</v>
      </c>
      <c r="E117" s="16" t="s">
        <v>620</v>
      </c>
      <c r="F117" s="27" t="s">
        <v>621</v>
      </c>
      <c r="G117" s="18">
        <v>317</v>
      </c>
      <c r="H117" s="19"/>
      <c r="I117" s="20"/>
      <c r="J117" s="8">
        <f>317</f>
        <v>317</v>
      </c>
      <c r="K117" s="21">
        <v>2.9108796296296296E-2</v>
      </c>
      <c r="L117" s="22" t="s">
        <v>307</v>
      </c>
      <c r="M117" s="8"/>
      <c r="N117" s="8"/>
      <c r="O117" s="8"/>
      <c r="P117" s="8"/>
      <c r="Q117" s="8"/>
      <c r="R117" s="8"/>
      <c r="S117" s="8"/>
      <c r="T117" s="8"/>
      <c r="U117" s="8"/>
      <c r="V117" s="8"/>
      <c r="W117" s="8"/>
      <c r="X117" s="8"/>
      <c r="Y117" s="8"/>
      <c r="Z117" s="25"/>
    </row>
    <row r="118" spans="1:26">
      <c r="A118" s="8">
        <v>117</v>
      </c>
      <c r="B118" s="8"/>
      <c r="C118" s="8"/>
      <c r="D118" s="8" t="s">
        <v>622</v>
      </c>
      <c r="E118" s="16" t="s">
        <v>623</v>
      </c>
      <c r="F118" s="17" t="s">
        <v>624</v>
      </c>
      <c r="G118" s="18">
        <v>756</v>
      </c>
      <c r="H118" s="19"/>
      <c r="I118" s="20"/>
      <c r="J118" s="8">
        <f>756</f>
        <v>756</v>
      </c>
      <c r="K118" s="21">
        <v>1.3333333333333334E-2</v>
      </c>
      <c r="L118" s="22" t="s">
        <v>307</v>
      </c>
      <c r="M118" s="8"/>
      <c r="N118" s="8"/>
      <c r="O118" s="8"/>
      <c r="P118" s="8"/>
      <c r="Q118" s="8"/>
      <c r="R118" s="8"/>
      <c r="S118" s="8"/>
      <c r="T118" s="8"/>
      <c r="U118" s="8"/>
      <c r="V118" s="8"/>
      <c r="W118" s="8"/>
      <c r="X118" s="8"/>
      <c r="Y118" s="8"/>
      <c r="Z118" s="25"/>
    </row>
    <row r="119" spans="1:26">
      <c r="A119" s="8">
        <v>118</v>
      </c>
      <c r="B119" s="8"/>
      <c r="C119" s="8"/>
      <c r="D119" s="8" t="s">
        <v>625</v>
      </c>
      <c r="E119" s="16" t="s">
        <v>626</v>
      </c>
      <c r="F119" s="17" t="s">
        <v>627</v>
      </c>
      <c r="G119" s="18">
        <v>493</v>
      </c>
      <c r="H119" s="19"/>
      <c r="I119" s="20"/>
      <c r="J119" s="8">
        <f>493</f>
        <v>493</v>
      </c>
      <c r="K119" s="21">
        <v>1.2581018518518519E-2</v>
      </c>
      <c r="L119" s="22" t="s">
        <v>307</v>
      </c>
      <c r="M119" s="8"/>
      <c r="N119" s="8"/>
      <c r="O119" s="8"/>
      <c r="P119" s="8"/>
      <c r="Q119" s="8"/>
      <c r="R119" s="8"/>
      <c r="S119" s="8"/>
      <c r="T119" s="8"/>
      <c r="U119" s="8"/>
      <c r="V119" s="8"/>
      <c r="W119" s="8"/>
      <c r="X119" s="8"/>
      <c r="Y119" s="8"/>
      <c r="Z119" s="25"/>
    </row>
    <row r="120" spans="1:26">
      <c r="A120" s="8">
        <v>119</v>
      </c>
      <c r="B120" s="8"/>
      <c r="C120" s="8"/>
      <c r="D120" s="8" t="s">
        <v>628</v>
      </c>
      <c r="E120" s="16" t="s">
        <v>629</v>
      </c>
      <c r="F120" s="27" t="s">
        <v>630</v>
      </c>
      <c r="G120" s="18" t="s">
        <v>214</v>
      </c>
      <c r="H120" s="19"/>
      <c r="I120" s="20"/>
      <c r="J120" s="8">
        <f>1*1000</f>
        <v>1000</v>
      </c>
      <c r="K120" s="21">
        <v>3.6481481481481483E-2</v>
      </c>
      <c r="L120" s="22" t="s">
        <v>307</v>
      </c>
      <c r="M120" s="8"/>
      <c r="N120" s="8"/>
      <c r="O120" s="8"/>
      <c r="P120" s="8"/>
      <c r="Q120" s="8"/>
      <c r="R120" s="8"/>
      <c r="S120" s="8"/>
      <c r="T120" s="8"/>
      <c r="U120" s="8"/>
      <c r="V120" s="8"/>
      <c r="W120" s="8"/>
      <c r="X120" s="8"/>
      <c r="Y120" s="8"/>
      <c r="Z120" s="25"/>
    </row>
    <row r="121" spans="1:26">
      <c r="A121" s="8">
        <v>120</v>
      </c>
      <c r="B121" s="8"/>
      <c r="C121" s="8"/>
      <c r="D121" s="8" t="s">
        <v>631</v>
      </c>
      <c r="E121" s="16" t="s">
        <v>632</v>
      </c>
      <c r="F121" s="27" t="s">
        <v>633</v>
      </c>
      <c r="G121" s="18">
        <v>619</v>
      </c>
      <c r="H121" s="19"/>
      <c r="I121" s="20"/>
      <c r="J121" s="8">
        <f>619</f>
        <v>619</v>
      </c>
      <c r="K121" s="21">
        <v>3.5949074074074071E-2</v>
      </c>
      <c r="L121" s="22" t="s">
        <v>307</v>
      </c>
      <c r="M121" s="8"/>
      <c r="N121" s="8"/>
      <c r="O121" s="8"/>
      <c r="P121" s="8"/>
      <c r="Q121" s="8"/>
      <c r="R121" s="8"/>
      <c r="S121" s="8"/>
      <c r="T121" s="8"/>
      <c r="U121" s="8"/>
      <c r="V121" s="8"/>
      <c r="W121" s="8"/>
      <c r="X121" s="8"/>
      <c r="Y121" s="8"/>
      <c r="Z121" s="25"/>
    </row>
    <row r="122" spans="1:26">
      <c r="A122" s="8">
        <v>121</v>
      </c>
      <c r="B122" s="8"/>
      <c r="C122" s="8"/>
      <c r="D122" s="8" t="s">
        <v>634</v>
      </c>
      <c r="E122" s="16" t="s">
        <v>635</v>
      </c>
      <c r="F122" s="27" t="s">
        <v>636</v>
      </c>
      <c r="G122" s="18">
        <v>658</v>
      </c>
      <c r="H122" s="19"/>
      <c r="I122" s="20"/>
      <c r="J122" s="8">
        <f>658</f>
        <v>658</v>
      </c>
      <c r="K122" s="21">
        <v>3.7592592592592594E-2</v>
      </c>
      <c r="L122" s="22" t="s">
        <v>307</v>
      </c>
      <c r="M122" s="8"/>
      <c r="N122" s="8"/>
      <c r="O122" s="8"/>
      <c r="P122" s="8"/>
      <c r="Q122" s="8"/>
      <c r="R122" s="8"/>
      <c r="S122" s="8"/>
      <c r="T122" s="8"/>
      <c r="U122" s="8"/>
      <c r="V122" s="8"/>
      <c r="W122" s="8"/>
      <c r="X122" s="8"/>
      <c r="Y122" s="8"/>
      <c r="Z122" s="25"/>
    </row>
    <row r="123" spans="1:26">
      <c r="A123" s="8">
        <v>122</v>
      </c>
      <c r="B123" s="8"/>
      <c r="C123" s="8"/>
      <c r="D123" s="8" t="s">
        <v>637</v>
      </c>
      <c r="E123" s="16" t="s">
        <v>638</v>
      </c>
      <c r="F123" s="29" t="s">
        <v>639</v>
      </c>
      <c r="G123" s="18" t="s">
        <v>187</v>
      </c>
      <c r="H123" s="19"/>
      <c r="I123" s="20"/>
      <c r="J123" s="8">
        <f>1.5*1000</f>
        <v>1500</v>
      </c>
      <c r="K123" s="21">
        <v>4.7395833333333331E-2</v>
      </c>
      <c r="L123" s="22" t="s">
        <v>307</v>
      </c>
      <c r="M123" s="8"/>
      <c r="N123" s="8"/>
      <c r="O123" s="8"/>
      <c r="P123" s="8"/>
      <c r="Q123" s="8"/>
      <c r="R123" s="8"/>
      <c r="S123" s="8"/>
      <c r="T123" s="8"/>
      <c r="U123" s="8"/>
      <c r="V123" s="8"/>
      <c r="W123" s="8"/>
      <c r="X123" s="8"/>
      <c r="Y123" s="8"/>
      <c r="Z123" s="25"/>
    </row>
    <row r="124" spans="1:26">
      <c r="A124" s="8">
        <v>123</v>
      </c>
      <c r="B124" s="8"/>
      <c r="C124" s="8"/>
      <c r="D124" s="8" t="s">
        <v>640</v>
      </c>
      <c r="E124" s="16" t="s">
        <v>641</v>
      </c>
      <c r="F124" s="29" t="s">
        <v>642</v>
      </c>
      <c r="G124" s="18" t="s">
        <v>256</v>
      </c>
      <c r="H124" s="19"/>
      <c r="I124" s="20"/>
      <c r="J124" s="8">
        <f>2.1*1000</f>
        <v>2100</v>
      </c>
      <c r="K124" s="21">
        <v>4.7511574074074074E-2</v>
      </c>
      <c r="L124" s="22" t="s">
        <v>307</v>
      </c>
      <c r="M124" s="8"/>
      <c r="N124" s="8"/>
      <c r="O124" s="8"/>
      <c r="P124" s="8"/>
      <c r="Q124" s="8"/>
      <c r="R124" s="8"/>
      <c r="S124" s="8"/>
      <c r="T124" s="8"/>
      <c r="U124" s="8"/>
      <c r="V124" s="8"/>
      <c r="W124" s="8"/>
      <c r="X124" s="8"/>
      <c r="Y124" s="8"/>
      <c r="Z124" s="25"/>
    </row>
    <row r="125" spans="1:26">
      <c r="A125" s="8">
        <v>124</v>
      </c>
      <c r="B125" s="8"/>
      <c r="C125" s="8"/>
      <c r="D125" s="8" t="s">
        <v>643</v>
      </c>
      <c r="E125" s="16" t="s">
        <v>644</v>
      </c>
      <c r="F125" s="17" t="s">
        <v>645</v>
      </c>
      <c r="G125" s="18" t="s">
        <v>396</v>
      </c>
      <c r="H125" s="19"/>
      <c r="I125" s="20"/>
      <c r="J125" s="8">
        <f>1.1*1000</f>
        <v>1100</v>
      </c>
      <c r="K125" s="21">
        <v>1.5659722222222224E-2</v>
      </c>
      <c r="L125" s="22" t="s">
        <v>307</v>
      </c>
      <c r="M125" s="8"/>
      <c r="N125" s="8"/>
      <c r="O125" s="8"/>
      <c r="P125" s="8"/>
      <c r="Q125" s="8"/>
      <c r="R125" s="8"/>
      <c r="S125" s="8"/>
      <c r="T125" s="8"/>
      <c r="U125" s="8"/>
      <c r="V125" s="8"/>
      <c r="W125" s="8"/>
      <c r="X125" s="8"/>
      <c r="Y125" s="8"/>
      <c r="Z125" s="25"/>
    </row>
    <row r="126" spans="1:26">
      <c r="A126" s="8">
        <v>125</v>
      </c>
      <c r="B126" s="8"/>
      <c r="C126" s="8"/>
      <c r="D126" s="8" t="s">
        <v>646</v>
      </c>
      <c r="E126" s="16" t="s">
        <v>647</v>
      </c>
      <c r="F126" s="29" t="s">
        <v>648</v>
      </c>
      <c r="G126" s="18" t="s">
        <v>438</v>
      </c>
      <c r="H126" s="19"/>
      <c r="I126" s="20"/>
      <c r="J126" s="8">
        <f>2.3*1000</f>
        <v>2300</v>
      </c>
      <c r="K126" s="21">
        <v>5.4293981481481485E-2</v>
      </c>
      <c r="L126" s="22" t="s">
        <v>307</v>
      </c>
      <c r="M126" s="8"/>
      <c r="N126" s="8"/>
      <c r="O126" s="8"/>
      <c r="P126" s="8"/>
      <c r="Q126" s="8"/>
      <c r="R126" s="8"/>
      <c r="S126" s="8"/>
      <c r="T126" s="8"/>
      <c r="U126" s="8"/>
      <c r="V126" s="8"/>
      <c r="W126" s="8"/>
      <c r="X126" s="8"/>
      <c r="Y126" s="8"/>
      <c r="Z126" s="25"/>
    </row>
    <row r="127" spans="1:26">
      <c r="A127" s="8">
        <v>126</v>
      </c>
      <c r="B127" s="8"/>
      <c r="C127" s="8"/>
      <c r="D127" s="8" t="s">
        <v>649</v>
      </c>
      <c r="E127" s="16" t="s">
        <v>650</v>
      </c>
      <c r="F127" s="27" t="s">
        <v>651</v>
      </c>
      <c r="G127" s="18" t="s">
        <v>256</v>
      </c>
      <c r="H127" s="19"/>
      <c r="I127" s="20"/>
      <c r="J127" s="8">
        <f>2.1*1000</f>
        <v>2100</v>
      </c>
      <c r="K127" s="21">
        <v>2.6249999999999999E-2</v>
      </c>
      <c r="L127" s="22" t="s">
        <v>307</v>
      </c>
      <c r="M127" s="8"/>
      <c r="N127" s="8"/>
      <c r="O127" s="8"/>
      <c r="P127" s="8"/>
      <c r="Q127" s="8"/>
      <c r="R127" s="8"/>
      <c r="S127" s="8"/>
      <c r="T127" s="8"/>
      <c r="U127" s="8"/>
      <c r="V127" s="8"/>
      <c r="W127" s="8"/>
      <c r="X127" s="8"/>
      <c r="Y127" s="8"/>
      <c r="Z127" s="25"/>
    </row>
    <row r="128" spans="1:26">
      <c r="A128" s="8">
        <v>127</v>
      </c>
      <c r="B128" s="8"/>
      <c r="C128" s="8"/>
      <c r="D128" s="8" t="s">
        <v>652</v>
      </c>
      <c r="E128" s="16" t="s">
        <v>653</v>
      </c>
      <c r="F128" s="27" t="s">
        <v>654</v>
      </c>
      <c r="G128" s="18" t="s">
        <v>249</v>
      </c>
      <c r="H128" s="19"/>
      <c r="I128" s="20"/>
      <c r="J128" s="8">
        <f>2.4*1000</f>
        <v>2400</v>
      </c>
      <c r="K128" s="21">
        <v>2.8645833333333332E-2</v>
      </c>
      <c r="L128" s="22" t="s">
        <v>307</v>
      </c>
      <c r="M128" s="8"/>
      <c r="N128" s="8"/>
      <c r="O128" s="8"/>
      <c r="P128" s="8"/>
      <c r="Q128" s="8"/>
      <c r="R128" s="8"/>
      <c r="S128" s="8"/>
      <c r="T128" s="8"/>
      <c r="U128" s="8"/>
      <c r="V128" s="8"/>
      <c r="W128" s="8"/>
      <c r="X128" s="8"/>
      <c r="Y128" s="8"/>
      <c r="Z128" s="25"/>
    </row>
    <row r="129" spans="1:26">
      <c r="A129" s="8">
        <v>128</v>
      </c>
      <c r="B129" s="8"/>
      <c r="C129" s="8"/>
      <c r="D129" s="8" t="s">
        <v>655</v>
      </c>
      <c r="E129" s="16" t="s">
        <v>656</v>
      </c>
      <c r="F129" s="27" t="s">
        <v>657</v>
      </c>
      <c r="G129" s="18" t="s">
        <v>568</v>
      </c>
      <c r="H129" s="19"/>
      <c r="I129" s="20"/>
      <c r="J129" s="8">
        <f>1.4*1000</f>
        <v>1400</v>
      </c>
      <c r="K129" s="21">
        <v>3.318287037037037E-2</v>
      </c>
      <c r="L129" s="22" t="s">
        <v>307</v>
      </c>
      <c r="M129" s="8"/>
      <c r="N129" s="8"/>
      <c r="O129" s="8"/>
      <c r="P129" s="8"/>
      <c r="Q129" s="8"/>
      <c r="R129" s="8"/>
      <c r="S129" s="8"/>
      <c r="T129" s="8"/>
      <c r="U129" s="8"/>
      <c r="V129" s="8"/>
      <c r="W129" s="8"/>
      <c r="X129" s="8"/>
      <c r="Y129" s="8"/>
      <c r="Z129" s="25"/>
    </row>
    <row r="130" spans="1:26">
      <c r="A130" s="8">
        <v>129</v>
      </c>
      <c r="B130" s="8"/>
      <c r="C130" s="8"/>
      <c r="D130" s="8" t="s">
        <v>658</v>
      </c>
      <c r="E130" s="16" t="s">
        <v>659</v>
      </c>
      <c r="F130" s="17" t="s">
        <v>660</v>
      </c>
      <c r="G130" s="18" t="s">
        <v>661</v>
      </c>
      <c r="H130" s="19"/>
      <c r="I130" s="20"/>
      <c r="J130" s="8">
        <f>19*1000</f>
        <v>19000</v>
      </c>
      <c r="K130" s="21">
        <v>1.1620370370370371E-2</v>
      </c>
      <c r="L130" s="22" t="s">
        <v>307</v>
      </c>
      <c r="M130" s="8"/>
      <c r="N130" s="8"/>
      <c r="O130" s="8"/>
      <c r="P130" s="8"/>
      <c r="Q130" s="8"/>
      <c r="R130" s="8"/>
      <c r="S130" s="8"/>
      <c r="T130" s="8"/>
      <c r="U130" s="8"/>
      <c r="V130" s="8"/>
      <c r="W130" s="8"/>
      <c r="X130" s="8"/>
      <c r="Y130" s="8"/>
      <c r="Z130" s="25"/>
    </row>
    <row r="131" spans="1:26">
      <c r="A131" s="8">
        <v>130</v>
      </c>
      <c r="B131" s="8"/>
      <c r="C131" s="8"/>
      <c r="D131" s="8" t="s">
        <v>662</v>
      </c>
      <c r="E131" s="16" t="s">
        <v>663</v>
      </c>
      <c r="F131" s="17" t="s">
        <v>664</v>
      </c>
      <c r="G131" s="18">
        <v>651</v>
      </c>
      <c r="H131" s="19"/>
      <c r="I131" s="20"/>
      <c r="J131" s="8">
        <f>651</f>
        <v>651</v>
      </c>
      <c r="K131" s="21">
        <v>3.9814814814814817E-3</v>
      </c>
      <c r="L131" s="22" t="s">
        <v>307</v>
      </c>
      <c r="M131" s="8"/>
      <c r="N131" s="8"/>
      <c r="O131" s="8"/>
      <c r="P131" s="8"/>
      <c r="Q131" s="8"/>
      <c r="R131" s="8"/>
      <c r="S131" s="8"/>
      <c r="T131" s="8"/>
      <c r="U131" s="8"/>
      <c r="V131" s="8"/>
      <c r="W131" s="8"/>
      <c r="X131" s="8"/>
      <c r="Y131" s="8"/>
      <c r="Z131" s="25"/>
    </row>
    <row r="132" spans="1:26">
      <c r="A132" s="8">
        <v>131</v>
      </c>
      <c r="B132" s="8"/>
      <c r="C132" s="8"/>
      <c r="D132" s="8" t="s">
        <v>665</v>
      </c>
      <c r="E132" s="16" t="s">
        <v>666</v>
      </c>
      <c r="F132" s="17" t="s">
        <v>667</v>
      </c>
      <c r="G132" s="18">
        <v>667</v>
      </c>
      <c r="H132" s="19"/>
      <c r="I132" s="20"/>
      <c r="J132" s="8">
        <f>667</f>
        <v>667</v>
      </c>
      <c r="K132" s="21">
        <v>3.0092592592592588E-3</v>
      </c>
      <c r="L132" s="22" t="s">
        <v>307</v>
      </c>
      <c r="M132" s="8"/>
      <c r="N132" s="8"/>
      <c r="O132" s="8"/>
      <c r="P132" s="8"/>
      <c r="Q132" s="8"/>
      <c r="R132" s="8"/>
      <c r="S132" s="8"/>
      <c r="T132" s="8"/>
      <c r="U132" s="8"/>
      <c r="V132" s="8"/>
      <c r="W132" s="8"/>
      <c r="X132" s="8"/>
      <c r="Y132" s="8"/>
      <c r="Z132" s="25"/>
    </row>
    <row r="133" spans="1:26">
      <c r="A133" s="8">
        <v>132</v>
      </c>
      <c r="B133" s="8"/>
      <c r="C133" s="8"/>
      <c r="D133" s="8" t="s">
        <v>668</v>
      </c>
      <c r="E133" s="16" t="s">
        <v>669</v>
      </c>
      <c r="F133" s="17" t="s">
        <v>513</v>
      </c>
      <c r="G133" s="18">
        <v>446</v>
      </c>
      <c r="H133" s="19"/>
      <c r="I133" s="20"/>
      <c r="J133" s="8">
        <f>446</f>
        <v>446</v>
      </c>
      <c r="K133" s="21">
        <v>1.6087962962962963E-3</v>
      </c>
      <c r="L133" s="22" t="s">
        <v>307</v>
      </c>
      <c r="M133" s="8"/>
      <c r="N133" s="8"/>
      <c r="O133" s="8"/>
      <c r="P133" s="8"/>
      <c r="Q133" s="8"/>
      <c r="R133" s="8"/>
      <c r="S133" s="8"/>
      <c r="T133" s="8"/>
      <c r="U133" s="8"/>
      <c r="V133" s="8"/>
      <c r="W133" s="8"/>
      <c r="X133" s="8"/>
      <c r="Y133" s="8"/>
      <c r="Z133" s="25"/>
    </row>
    <row r="134" spans="1:26">
      <c r="A134" s="8">
        <v>133</v>
      </c>
      <c r="B134" s="8"/>
      <c r="C134" s="8"/>
      <c r="D134" s="8" t="s">
        <v>670</v>
      </c>
      <c r="E134" s="16" t="s">
        <v>671</v>
      </c>
      <c r="F134" s="27" t="s">
        <v>672</v>
      </c>
      <c r="G134" s="18" t="s">
        <v>187</v>
      </c>
      <c r="H134" s="19"/>
      <c r="I134" s="20"/>
      <c r="J134" s="8">
        <f>1.5*1000</f>
        <v>1500</v>
      </c>
      <c r="K134" s="21">
        <v>2.0995370370370373E-2</v>
      </c>
      <c r="L134" s="22" t="s">
        <v>307</v>
      </c>
      <c r="M134" s="8"/>
      <c r="N134" s="8"/>
      <c r="O134" s="8"/>
      <c r="P134" s="8"/>
      <c r="Q134" s="8"/>
      <c r="R134" s="8"/>
      <c r="S134" s="8"/>
      <c r="T134" s="8"/>
      <c r="U134" s="8"/>
      <c r="V134" s="8"/>
      <c r="W134" s="8"/>
      <c r="X134" s="8"/>
      <c r="Y134" s="8"/>
      <c r="Z134" s="25"/>
    </row>
    <row r="135" spans="1:26">
      <c r="A135" s="8">
        <v>134</v>
      </c>
      <c r="B135" s="8"/>
      <c r="C135" s="8"/>
      <c r="D135" s="8" t="s">
        <v>673</v>
      </c>
      <c r="E135" s="16" t="s">
        <v>674</v>
      </c>
      <c r="F135" s="27" t="s">
        <v>675</v>
      </c>
      <c r="G135" s="18">
        <v>919</v>
      </c>
      <c r="H135" s="19"/>
      <c r="I135" s="20"/>
      <c r="J135" s="8">
        <f>919</f>
        <v>919</v>
      </c>
      <c r="K135" s="21">
        <v>3.9479166666666669E-2</v>
      </c>
      <c r="L135" s="22" t="s">
        <v>307</v>
      </c>
      <c r="M135" s="8"/>
      <c r="N135" s="8"/>
      <c r="O135" s="8"/>
      <c r="P135" s="8"/>
      <c r="Q135" s="8"/>
      <c r="R135" s="8"/>
      <c r="S135" s="8"/>
      <c r="T135" s="8"/>
      <c r="U135" s="8"/>
      <c r="V135" s="8"/>
      <c r="W135" s="8"/>
      <c r="X135" s="8"/>
      <c r="Y135" s="8"/>
      <c r="Z135" s="25"/>
    </row>
    <row r="136" spans="1:26">
      <c r="A136" s="8">
        <v>135</v>
      </c>
      <c r="B136" s="8"/>
      <c r="C136" s="8"/>
      <c r="D136" s="8" t="s">
        <v>676</v>
      </c>
      <c r="E136" s="16" t="s">
        <v>677</v>
      </c>
      <c r="F136" s="17" t="s">
        <v>678</v>
      </c>
      <c r="G136" s="18" t="s">
        <v>214</v>
      </c>
      <c r="H136" s="19"/>
      <c r="I136" s="20"/>
      <c r="J136" s="8">
        <f>1*1000</f>
        <v>1000</v>
      </c>
      <c r="K136" s="21">
        <v>1.2499999999999999E-2</v>
      </c>
      <c r="L136" s="22" t="s">
        <v>307</v>
      </c>
      <c r="M136" s="8"/>
      <c r="N136" s="8"/>
      <c r="O136" s="8"/>
      <c r="P136" s="8"/>
      <c r="Q136" s="8"/>
      <c r="R136" s="8"/>
      <c r="S136" s="8"/>
      <c r="T136" s="8"/>
      <c r="U136" s="8"/>
      <c r="V136" s="8"/>
      <c r="W136" s="8"/>
      <c r="X136" s="8"/>
      <c r="Y136" s="8"/>
      <c r="Z136" s="25"/>
    </row>
    <row r="137" spans="1:26">
      <c r="A137" s="8">
        <v>136</v>
      </c>
      <c r="B137" s="8"/>
      <c r="C137" s="8"/>
      <c r="D137" s="8" t="s">
        <v>679</v>
      </c>
      <c r="E137" s="16" t="s">
        <v>680</v>
      </c>
      <c r="F137" s="17" t="s">
        <v>681</v>
      </c>
      <c r="G137" s="18">
        <v>246</v>
      </c>
      <c r="H137" s="19"/>
      <c r="I137" s="20"/>
      <c r="J137" s="8">
        <f>246</f>
        <v>246</v>
      </c>
      <c r="K137" s="21">
        <v>1.8055555555555557E-3</v>
      </c>
      <c r="L137" s="22" t="s">
        <v>307</v>
      </c>
      <c r="M137" s="8"/>
      <c r="N137" s="8"/>
      <c r="O137" s="8"/>
      <c r="P137" s="8"/>
      <c r="Q137" s="8"/>
      <c r="R137" s="8"/>
      <c r="S137" s="8"/>
      <c r="T137" s="8"/>
      <c r="U137" s="8"/>
      <c r="V137" s="8"/>
      <c r="W137" s="8"/>
      <c r="X137" s="8"/>
      <c r="Y137" s="8"/>
      <c r="Z137" s="25"/>
    </row>
    <row r="138" spans="1:26">
      <c r="A138" s="8">
        <v>137</v>
      </c>
      <c r="B138" s="8"/>
      <c r="C138" s="8"/>
      <c r="D138" s="8" t="s">
        <v>682</v>
      </c>
      <c r="E138" s="16" t="s">
        <v>683</v>
      </c>
      <c r="F138" s="27" t="s">
        <v>684</v>
      </c>
      <c r="G138" s="18" t="s">
        <v>135</v>
      </c>
      <c r="H138" s="19"/>
      <c r="I138" s="20"/>
      <c r="J138" s="8">
        <f>10*1000</f>
        <v>10000</v>
      </c>
      <c r="K138" s="21">
        <v>3.1759259259259258E-2</v>
      </c>
      <c r="L138" s="22" t="s">
        <v>307</v>
      </c>
      <c r="M138" s="8"/>
      <c r="N138" s="8"/>
      <c r="O138" s="8"/>
      <c r="P138" s="8"/>
      <c r="Q138" s="8"/>
      <c r="R138" s="8"/>
      <c r="S138" s="8"/>
      <c r="T138" s="8"/>
      <c r="U138" s="8"/>
      <c r="V138" s="8"/>
      <c r="W138" s="8"/>
      <c r="X138" s="8"/>
      <c r="Y138" s="8"/>
      <c r="Z138" s="25"/>
    </row>
    <row r="139" spans="1:26">
      <c r="A139" s="8">
        <v>138</v>
      </c>
      <c r="B139" s="8"/>
      <c r="C139" s="8"/>
      <c r="D139" s="8" t="s">
        <v>685</v>
      </c>
      <c r="E139" s="16" t="s">
        <v>686</v>
      </c>
      <c r="F139" s="17" t="s">
        <v>687</v>
      </c>
      <c r="G139" s="18">
        <v>955</v>
      </c>
      <c r="H139" s="19"/>
      <c r="I139" s="20"/>
      <c r="J139" s="8">
        <f>955</f>
        <v>955</v>
      </c>
      <c r="K139" s="21">
        <v>5.5208333333333333E-3</v>
      </c>
      <c r="L139" s="22" t="s">
        <v>307</v>
      </c>
      <c r="M139" s="8"/>
      <c r="N139" s="8"/>
      <c r="O139" s="8"/>
      <c r="P139" s="8"/>
      <c r="Q139" s="8"/>
      <c r="R139" s="8"/>
      <c r="S139" s="8"/>
      <c r="T139" s="8"/>
      <c r="U139" s="8"/>
      <c r="V139" s="8"/>
      <c r="W139" s="8"/>
      <c r="X139" s="8"/>
      <c r="Y139" s="8"/>
      <c r="Z139" s="25"/>
    </row>
    <row r="140" spans="1:26">
      <c r="A140" s="8">
        <v>139</v>
      </c>
      <c r="B140" s="8"/>
      <c r="C140" s="8"/>
      <c r="D140" s="8" t="s">
        <v>688</v>
      </c>
      <c r="E140" s="16" t="s">
        <v>689</v>
      </c>
      <c r="F140" s="27" t="s">
        <v>690</v>
      </c>
      <c r="G140" s="18" t="s">
        <v>691</v>
      </c>
      <c r="H140" s="19"/>
      <c r="I140" s="20"/>
      <c r="J140" s="8">
        <f>5.6*1000</f>
        <v>5600</v>
      </c>
      <c r="K140" s="21">
        <v>3.7083333333333336E-2</v>
      </c>
      <c r="L140" s="22" t="s">
        <v>307</v>
      </c>
      <c r="M140" s="8"/>
      <c r="N140" s="8"/>
      <c r="O140" s="8"/>
      <c r="P140" s="8"/>
      <c r="Q140" s="8"/>
      <c r="R140" s="8"/>
      <c r="S140" s="8"/>
      <c r="T140" s="8"/>
      <c r="U140" s="8"/>
      <c r="V140" s="8"/>
      <c r="W140" s="8"/>
      <c r="X140" s="8"/>
      <c r="Y140" s="8"/>
      <c r="Z140" s="25"/>
    </row>
    <row r="141" spans="1:26">
      <c r="A141" s="8">
        <v>140</v>
      </c>
      <c r="B141" s="8"/>
      <c r="C141" s="8"/>
      <c r="D141" s="8" t="s">
        <v>692</v>
      </c>
      <c r="E141" s="16" t="s">
        <v>693</v>
      </c>
      <c r="F141" s="27" t="s">
        <v>694</v>
      </c>
      <c r="G141" s="18" t="s">
        <v>214</v>
      </c>
      <c r="H141" s="19"/>
      <c r="I141" s="20"/>
      <c r="J141" s="8">
        <f>1*1000</f>
        <v>1000</v>
      </c>
      <c r="K141" s="21">
        <v>3.3622685185185179E-2</v>
      </c>
      <c r="L141" s="22" t="s">
        <v>307</v>
      </c>
      <c r="M141" s="8"/>
      <c r="N141" s="8"/>
      <c r="O141" s="8"/>
      <c r="P141" s="8"/>
      <c r="Q141" s="8"/>
      <c r="R141" s="8"/>
      <c r="S141" s="8"/>
      <c r="T141" s="8"/>
      <c r="U141" s="8"/>
      <c r="V141" s="8"/>
      <c r="W141" s="8"/>
      <c r="X141" s="8"/>
      <c r="Y141" s="8"/>
      <c r="Z141" s="25"/>
    </row>
    <row r="142" spans="1:26">
      <c r="A142" s="8">
        <v>141</v>
      </c>
      <c r="B142" s="8"/>
      <c r="C142" s="8"/>
      <c r="D142" s="8" t="s">
        <v>695</v>
      </c>
      <c r="E142" s="16" t="s">
        <v>696</v>
      </c>
      <c r="F142" s="27" t="s">
        <v>697</v>
      </c>
      <c r="G142" s="18">
        <v>758</v>
      </c>
      <c r="H142" s="19"/>
      <c r="I142" s="20"/>
      <c r="J142" s="8">
        <f>758</f>
        <v>758</v>
      </c>
      <c r="K142" s="21">
        <v>2.9050925925925928E-2</v>
      </c>
      <c r="L142" s="22" t="s">
        <v>307</v>
      </c>
      <c r="M142" s="8"/>
      <c r="N142" s="8"/>
      <c r="O142" s="8"/>
      <c r="P142" s="8"/>
      <c r="Q142" s="8"/>
      <c r="R142" s="8"/>
      <c r="S142" s="8"/>
      <c r="T142" s="8"/>
      <c r="U142" s="8"/>
      <c r="V142" s="8"/>
      <c r="W142" s="8"/>
      <c r="X142" s="8"/>
      <c r="Y142" s="8"/>
      <c r="Z142" s="25"/>
    </row>
    <row r="143" spans="1:26">
      <c r="A143" s="8">
        <v>142</v>
      </c>
      <c r="B143" s="8"/>
      <c r="C143" s="8"/>
      <c r="D143" s="8" t="s">
        <v>698</v>
      </c>
      <c r="E143" s="16" t="s">
        <v>699</v>
      </c>
      <c r="F143" s="27" t="s">
        <v>700</v>
      </c>
      <c r="G143" s="18">
        <v>483</v>
      </c>
      <c r="H143" s="19"/>
      <c r="I143" s="20"/>
      <c r="J143" s="8">
        <f>483</f>
        <v>483</v>
      </c>
      <c r="K143" s="21">
        <v>2.1400462962962965E-2</v>
      </c>
      <c r="L143" s="22" t="s">
        <v>307</v>
      </c>
      <c r="M143" s="8"/>
      <c r="N143" s="8"/>
      <c r="O143" s="8"/>
      <c r="P143" s="8"/>
      <c r="Q143" s="8"/>
      <c r="R143" s="8"/>
      <c r="S143" s="8"/>
      <c r="T143" s="8"/>
      <c r="U143" s="8"/>
      <c r="V143" s="8"/>
      <c r="W143" s="8"/>
      <c r="X143" s="8"/>
      <c r="Y143" s="8"/>
      <c r="Z143" s="25"/>
    </row>
    <row r="144" spans="1:26">
      <c r="A144" s="8">
        <v>143</v>
      </c>
      <c r="B144" s="8"/>
      <c r="C144" s="8"/>
      <c r="D144" s="8" t="s">
        <v>701</v>
      </c>
      <c r="E144" s="16" t="s">
        <v>702</v>
      </c>
      <c r="F144" s="17" t="s">
        <v>703</v>
      </c>
      <c r="G144" s="18">
        <v>435</v>
      </c>
      <c r="H144" s="19"/>
      <c r="I144" s="20"/>
      <c r="J144" s="8">
        <f>435</f>
        <v>435</v>
      </c>
      <c r="K144" s="21">
        <v>1.4490740740740742E-2</v>
      </c>
      <c r="L144" s="22" t="s">
        <v>307</v>
      </c>
      <c r="M144" s="8"/>
      <c r="N144" s="8"/>
      <c r="O144" s="8"/>
      <c r="P144" s="8"/>
      <c r="Q144" s="8"/>
      <c r="R144" s="8"/>
      <c r="S144" s="8"/>
      <c r="T144" s="8"/>
      <c r="U144" s="8"/>
      <c r="V144" s="8"/>
      <c r="W144" s="8"/>
      <c r="X144" s="8"/>
      <c r="Y144" s="8"/>
      <c r="Z144" s="25"/>
    </row>
    <row r="145" spans="1:26">
      <c r="A145" s="8">
        <v>144</v>
      </c>
      <c r="B145" s="8"/>
      <c r="C145" s="8"/>
      <c r="D145" s="8" t="s">
        <v>704</v>
      </c>
      <c r="E145" s="16" t="s">
        <v>705</v>
      </c>
      <c r="F145" s="17" t="s">
        <v>706</v>
      </c>
      <c r="G145" s="18">
        <v>409</v>
      </c>
      <c r="H145" s="19"/>
      <c r="I145" s="20"/>
      <c r="J145" s="8">
        <f>409</f>
        <v>409</v>
      </c>
      <c r="K145" s="21">
        <v>1.105324074074074E-2</v>
      </c>
      <c r="L145" s="22" t="s">
        <v>307</v>
      </c>
      <c r="M145" s="8"/>
      <c r="N145" s="8"/>
      <c r="O145" s="8"/>
      <c r="P145" s="8"/>
      <c r="Q145" s="8"/>
      <c r="R145" s="8"/>
      <c r="S145" s="8"/>
      <c r="T145" s="8"/>
      <c r="U145" s="8"/>
      <c r="V145" s="8"/>
      <c r="W145" s="8"/>
      <c r="X145" s="8"/>
      <c r="Y145" s="8"/>
      <c r="Z145" s="25"/>
    </row>
    <row r="146" spans="1:26">
      <c r="A146" s="8">
        <v>145</v>
      </c>
      <c r="B146" s="8"/>
      <c r="C146" s="8"/>
      <c r="D146" s="8" t="s">
        <v>707</v>
      </c>
      <c r="E146" s="16" t="s">
        <v>708</v>
      </c>
      <c r="F146" s="27" t="s">
        <v>709</v>
      </c>
      <c r="G146" s="18">
        <v>925</v>
      </c>
      <c r="H146" s="19"/>
      <c r="I146" s="20"/>
      <c r="J146" s="8">
        <f>925</f>
        <v>925</v>
      </c>
      <c r="K146" s="21">
        <v>2.0173611111111111E-2</v>
      </c>
      <c r="L146" s="22" t="s">
        <v>307</v>
      </c>
      <c r="M146" s="8"/>
      <c r="N146" s="8"/>
      <c r="O146" s="8"/>
      <c r="P146" s="8"/>
      <c r="Q146" s="8"/>
      <c r="R146" s="8"/>
      <c r="S146" s="8"/>
      <c r="T146" s="8"/>
      <c r="U146" s="8"/>
      <c r="V146" s="8"/>
      <c r="W146" s="8"/>
      <c r="X146" s="8"/>
      <c r="Y146" s="8"/>
      <c r="Z146" s="25"/>
    </row>
    <row r="147" spans="1:26">
      <c r="A147" s="8">
        <v>146</v>
      </c>
      <c r="B147" s="8"/>
      <c r="C147" s="8"/>
      <c r="D147" s="8" t="s">
        <v>710</v>
      </c>
      <c r="E147" s="16" t="s">
        <v>711</v>
      </c>
      <c r="F147" s="17" t="s">
        <v>712</v>
      </c>
      <c r="G147" s="18">
        <v>427</v>
      </c>
      <c r="H147" s="19"/>
      <c r="I147" s="20"/>
      <c r="J147" s="8">
        <f>427</f>
        <v>427</v>
      </c>
      <c r="K147" s="21">
        <v>3.1249999999999997E-3</v>
      </c>
      <c r="L147" s="22" t="s">
        <v>307</v>
      </c>
      <c r="M147" s="8"/>
      <c r="N147" s="8"/>
      <c r="O147" s="8"/>
      <c r="P147" s="8"/>
      <c r="Q147" s="8"/>
      <c r="R147" s="8"/>
      <c r="S147" s="8"/>
      <c r="T147" s="8"/>
      <c r="U147" s="8"/>
      <c r="V147" s="8"/>
      <c r="W147" s="8"/>
      <c r="X147" s="8"/>
      <c r="Y147" s="8"/>
      <c r="Z147" s="25"/>
    </row>
    <row r="148" spans="1:26">
      <c r="A148" s="8">
        <v>147</v>
      </c>
      <c r="B148" s="8"/>
      <c r="C148" s="8"/>
      <c r="D148" s="8" t="s">
        <v>713</v>
      </c>
      <c r="E148" s="16" t="s">
        <v>714</v>
      </c>
      <c r="F148" s="27" t="s">
        <v>715</v>
      </c>
      <c r="G148" s="18" t="s">
        <v>521</v>
      </c>
      <c r="H148" s="19"/>
      <c r="I148" s="20"/>
      <c r="J148" s="8">
        <f>3.5*1000</f>
        <v>3500</v>
      </c>
      <c r="K148" s="21">
        <v>2.5208333333333333E-2</v>
      </c>
      <c r="L148" s="22" t="s">
        <v>307</v>
      </c>
      <c r="M148" s="8"/>
      <c r="N148" s="8"/>
      <c r="O148" s="8"/>
      <c r="P148" s="8"/>
      <c r="Q148" s="8"/>
      <c r="R148" s="8"/>
      <c r="S148" s="8"/>
      <c r="T148" s="8"/>
      <c r="U148" s="8"/>
      <c r="V148" s="8"/>
      <c r="W148" s="8"/>
      <c r="X148" s="8"/>
      <c r="Y148" s="8"/>
      <c r="Z148" s="25"/>
    </row>
    <row r="149" spans="1:26">
      <c r="A149" s="8">
        <v>148</v>
      </c>
      <c r="B149" s="8"/>
      <c r="C149" s="8"/>
      <c r="D149" s="8" t="s">
        <v>716</v>
      </c>
      <c r="E149" s="16" t="s">
        <v>717</v>
      </c>
      <c r="F149" s="27" t="s">
        <v>718</v>
      </c>
      <c r="G149" s="18" t="s">
        <v>396</v>
      </c>
      <c r="H149" s="19"/>
      <c r="I149" s="20"/>
      <c r="J149" s="8">
        <f>1.1*1000</f>
        <v>1100</v>
      </c>
      <c r="K149" s="21">
        <v>3.6597222222222225E-2</v>
      </c>
      <c r="L149" s="22" t="s">
        <v>307</v>
      </c>
      <c r="M149" s="8"/>
      <c r="N149" s="8"/>
      <c r="O149" s="8"/>
      <c r="P149" s="8"/>
      <c r="Q149" s="8"/>
      <c r="R149" s="8"/>
      <c r="S149" s="8"/>
      <c r="T149" s="8"/>
      <c r="U149" s="8"/>
      <c r="V149" s="8"/>
      <c r="W149" s="8"/>
      <c r="X149" s="8"/>
      <c r="Y149" s="8"/>
      <c r="Z149" s="25"/>
    </row>
    <row r="150" spans="1:26">
      <c r="A150" s="8">
        <v>149</v>
      </c>
      <c r="B150" s="8"/>
      <c r="C150" s="8"/>
      <c r="D150" s="8" t="s">
        <v>719</v>
      </c>
      <c r="E150" s="16" t="s">
        <v>720</v>
      </c>
      <c r="F150" s="29" t="s">
        <v>721</v>
      </c>
      <c r="G150" s="18" t="s">
        <v>445</v>
      </c>
      <c r="H150" s="19"/>
      <c r="I150" s="20"/>
      <c r="J150" s="8">
        <f>1.2*1000</f>
        <v>1200</v>
      </c>
      <c r="K150" s="21">
        <v>4.2303240740740738E-2</v>
      </c>
      <c r="L150" s="22" t="s">
        <v>307</v>
      </c>
      <c r="M150" s="8"/>
      <c r="N150" s="8"/>
      <c r="O150" s="8"/>
      <c r="P150" s="8"/>
      <c r="Q150" s="8"/>
      <c r="R150" s="8"/>
      <c r="S150" s="8"/>
      <c r="T150" s="8"/>
      <c r="U150" s="8"/>
      <c r="V150" s="8"/>
      <c r="W150" s="8"/>
      <c r="X150" s="8"/>
      <c r="Y150" s="8"/>
      <c r="Z150" s="25"/>
    </row>
    <row r="151" spans="1:26">
      <c r="A151" s="8">
        <v>150</v>
      </c>
      <c r="B151" s="8"/>
      <c r="C151" s="8"/>
      <c r="D151" s="8" t="s">
        <v>722</v>
      </c>
      <c r="E151" s="16" t="s">
        <v>723</v>
      </c>
      <c r="F151" s="29" t="s">
        <v>724</v>
      </c>
      <c r="G151" s="18" t="s">
        <v>374</v>
      </c>
      <c r="H151" s="19"/>
      <c r="I151" s="20"/>
      <c r="J151" s="8">
        <f>1.3*1000</f>
        <v>1300</v>
      </c>
      <c r="K151" s="21">
        <v>4.2129629629629628E-2</v>
      </c>
      <c r="L151" s="22" t="s">
        <v>307</v>
      </c>
      <c r="M151" s="8"/>
      <c r="N151" s="8"/>
      <c r="O151" s="8"/>
      <c r="P151" s="8"/>
      <c r="Q151" s="8"/>
      <c r="R151" s="8"/>
      <c r="S151" s="8"/>
      <c r="T151" s="8"/>
      <c r="U151" s="8"/>
      <c r="V151" s="8"/>
      <c r="W151" s="8"/>
      <c r="X151" s="8"/>
      <c r="Y151" s="8"/>
      <c r="Z151" s="25"/>
    </row>
    <row r="152" spans="1:26">
      <c r="A152" s="8">
        <v>151</v>
      </c>
      <c r="B152" s="8"/>
      <c r="C152" s="8"/>
      <c r="D152" s="8" t="s">
        <v>725</v>
      </c>
      <c r="E152" s="16" t="s">
        <v>726</v>
      </c>
      <c r="F152" s="27" t="s">
        <v>727</v>
      </c>
      <c r="G152" s="18" t="s">
        <v>214</v>
      </c>
      <c r="H152" s="19"/>
      <c r="I152" s="20"/>
      <c r="J152" s="8">
        <f>1*1000</f>
        <v>1000</v>
      </c>
      <c r="K152" s="21">
        <v>3.3020833333333333E-2</v>
      </c>
      <c r="L152" s="22" t="s">
        <v>307</v>
      </c>
      <c r="M152" s="8"/>
      <c r="N152" s="8"/>
      <c r="O152" s="8"/>
      <c r="P152" s="8"/>
      <c r="Q152" s="8"/>
      <c r="R152" s="8"/>
      <c r="S152" s="8"/>
      <c r="T152" s="8"/>
      <c r="U152" s="8"/>
      <c r="V152" s="8"/>
      <c r="W152" s="8"/>
      <c r="X152" s="8"/>
      <c r="Y152" s="8"/>
      <c r="Z152" s="25"/>
    </row>
    <row r="153" spans="1:26">
      <c r="A153" s="8">
        <v>152</v>
      </c>
      <c r="B153" s="8"/>
      <c r="C153" s="8"/>
      <c r="D153" s="8" t="s">
        <v>728</v>
      </c>
      <c r="E153" s="16" t="s">
        <v>729</v>
      </c>
      <c r="F153" s="29" t="s">
        <v>730</v>
      </c>
      <c r="G153" s="18">
        <v>503</v>
      </c>
      <c r="H153" s="19"/>
      <c r="I153" s="20"/>
      <c r="J153" s="8">
        <f>503</f>
        <v>503</v>
      </c>
      <c r="K153" s="21">
        <v>7.8287037037037044E-2</v>
      </c>
      <c r="L153" s="22" t="s">
        <v>307</v>
      </c>
      <c r="M153" s="8"/>
      <c r="N153" s="8"/>
      <c r="O153" s="8"/>
      <c r="P153" s="8"/>
      <c r="Q153" s="8"/>
      <c r="R153" s="8"/>
      <c r="S153" s="8"/>
      <c r="T153" s="8"/>
      <c r="U153" s="8"/>
      <c r="V153" s="8"/>
      <c r="W153" s="8"/>
      <c r="X153" s="8"/>
      <c r="Y153" s="8"/>
      <c r="Z153" s="25"/>
    </row>
    <row r="154" spans="1:26">
      <c r="A154" s="8">
        <v>153</v>
      </c>
      <c r="B154" s="8"/>
      <c r="C154" s="8"/>
      <c r="D154" s="8" t="s">
        <v>731</v>
      </c>
      <c r="E154" s="16" t="s">
        <v>732</v>
      </c>
      <c r="F154" s="27" t="s">
        <v>733</v>
      </c>
      <c r="G154" s="18">
        <v>545</v>
      </c>
      <c r="H154" s="19"/>
      <c r="I154" s="20"/>
      <c r="J154" s="8">
        <f>545</f>
        <v>545</v>
      </c>
      <c r="K154" s="21">
        <v>2.2743055555555555E-2</v>
      </c>
      <c r="L154" s="22" t="s">
        <v>307</v>
      </c>
      <c r="M154" s="8"/>
      <c r="N154" s="8"/>
      <c r="O154" s="8"/>
      <c r="P154" s="8"/>
      <c r="Q154" s="8"/>
      <c r="R154" s="8"/>
      <c r="S154" s="8"/>
      <c r="T154" s="8"/>
      <c r="U154" s="8"/>
      <c r="V154" s="8"/>
      <c r="W154" s="8"/>
      <c r="X154" s="8"/>
      <c r="Y154" s="8"/>
      <c r="Z154" s="25"/>
    </row>
    <row r="155" spans="1:26">
      <c r="A155" s="8">
        <v>154</v>
      </c>
      <c r="B155" s="8"/>
      <c r="C155" s="8"/>
      <c r="D155" s="8" t="s">
        <v>734</v>
      </c>
      <c r="E155" s="16" t="s">
        <v>735</v>
      </c>
      <c r="F155" s="29" t="s">
        <v>736</v>
      </c>
      <c r="G155" s="18" t="s">
        <v>214</v>
      </c>
      <c r="H155" s="19"/>
      <c r="I155" s="20"/>
      <c r="J155" s="8">
        <f>1*1000</f>
        <v>1000</v>
      </c>
      <c r="K155" s="21">
        <v>4.6261574074074073E-2</v>
      </c>
      <c r="L155" s="22" t="s">
        <v>307</v>
      </c>
      <c r="M155" s="8"/>
      <c r="N155" s="8"/>
      <c r="O155" s="8"/>
      <c r="P155" s="8"/>
      <c r="Q155" s="8"/>
      <c r="R155" s="8"/>
      <c r="S155" s="8"/>
      <c r="T155" s="8"/>
      <c r="U155" s="8"/>
      <c r="V155" s="8"/>
      <c r="W155" s="8"/>
      <c r="X155" s="8"/>
      <c r="Y155" s="8"/>
      <c r="Z155" s="25"/>
    </row>
    <row r="156" spans="1:26">
      <c r="A156" s="8">
        <v>155</v>
      </c>
      <c r="B156" s="8"/>
      <c r="C156" s="8"/>
      <c r="D156" s="8" t="s">
        <v>737</v>
      </c>
      <c r="E156" s="16" t="s">
        <v>738</v>
      </c>
      <c r="F156" s="17" t="s">
        <v>739</v>
      </c>
      <c r="G156" s="18">
        <v>453</v>
      </c>
      <c r="H156" s="19"/>
      <c r="I156" s="20"/>
      <c r="J156" s="8">
        <f>453</f>
        <v>453</v>
      </c>
      <c r="K156" s="21">
        <v>4.9189814814814816E-3</v>
      </c>
      <c r="L156" s="22" t="s">
        <v>307</v>
      </c>
      <c r="M156" s="8"/>
      <c r="N156" s="8"/>
      <c r="O156" s="8"/>
      <c r="P156" s="8"/>
      <c r="Q156" s="8"/>
      <c r="R156" s="8"/>
      <c r="S156" s="8"/>
      <c r="T156" s="8"/>
      <c r="U156" s="8"/>
      <c r="V156" s="8"/>
      <c r="W156" s="8"/>
      <c r="X156" s="8"/>
      <c r="Y156" s="8"/>
      <c r="Z156" s="25"/>
    </row>
    <row r="157" spans="1:26">
      <c r="A157" s="8">
        <v>156</v>
      </c>
      <c r="B157" s="8"/>
      <c r="C157" s="8"/>
      <c r="D157" s="8" t="s">
        <v>740</v>
      </c>
      <c r="E157" s="16" t="s">
        <v>741</v>
      </c>
      <c r="F157" s="17" t="s">
        <v>742</v>
      </c>
      <c r="G157" s="18">
        <v>446</v>
      </c>
      <c r="H157" s="19"/>
      <c r="I157" s="20"/>
      <c r="J157" s="8">
        <f>446</f>
        <v>446</v>
      </c>
      <c r="K157" s="21">
        <v>2.2916666666666667E-3</v>
      </c>
      <c r="L157" s="22" t="s">
        <v>307</v>
      </c>
      <c r="M157" s="8"/>
      <c r="N157" s="8"/>
      <c r="O157" s="8"/>
      <c r="P157" s="8"/>
      <c r="Q157" s="8"/>
      <c r="R157" s="8"/>
      <c r="S157" s="8"/>
      <c r="T157" s="8"/>
      <c r="U157" s="8"/>
      <c r="V157" s="8"/>
      <c r="W157" s="8"/>
      <c r="X157" s="8"/>
      <c r="Y157" s="8"/>
      <c r="Z157" s="25"/>
    </row>
    <row r="158" spans="1:26">
      <c r="A158" s="8">
        <v>157</v>
      </c>
      <c r="B158" s="8"/>
      <c r="C158" s="8"/>
      <c r="D158" s="8" t="s">
        <v>743</v>
      </c>
      <c r="E158" s="16" t="s">
        <v>744</v>
      </c>
      <c r="F158" s="17" t="s">
        <v>745</v>
      </c>
      <c r="G158" s="18">
        <v>576</v>
      </c>
      <c r="H158" s="19"/>
      <c r="I158" s="20"/>
      <c r="J158" s="8">
        <f>576</f>
        <v>576</v>
      </c>
      <c r="K158" s="21">
        <v>1.736111111111111E-3</v>
      </c>
      <c r="L158" s="22" t="s">
        <v>307</v>
      </c>
      <c r="M158" s="8"/>
      <c r="N158" s="8"/>
      <c r="O158" s="8"/>
      <c r="P158" s="8"/>
      <c r="Q158" s="8"/>
      <c r="R158" s="8"/>
      <c r="S158" s="8"/>
      <c r="T158" s="8"/>
      <c r="U158" s="8"/>
      <c r="V158" s="8"/>
      <c r="W158" s="8"/>
      <c r="X158" s="8"/>
      <c r="Y158" s="8"/>
      <c r="Z158" s="25"/>
    </row>
    <row r="159" spans="1:26">
      <c r="A159" s="8">
        <v>158</v>
      </c>
      <c r="B159" s="8"/>
      <c r="C159" s="8"/>
      <c r="D159" s="8" t="s">
        <v>746</v>
      </c>
      <c r="E159" s="16" t="s">
        <v>747</v>
      </c>
      <c r="F159" s="17" t="s">
        <v>748</v>
      </c>
      <c r="G159" s="18">
        <v>435</v>
      </c>
      <c r="H159" s="19"/>
      <c r="I159" s="20"/>
      <c r="J159" s="8">
        <f>435</f>
        <v>435</v>
      </c>
      <c r="K159" s="21">
        <v>2.3842592592592591E-3</v>
      </c>
      <c r="L159" s="22" t="s">
        <v>307</v>
      </c>
      <c r="M159" s="8"/>
      <c r="N159" s="8"/>
      <c r="O159" s="8"/>
      <c r="P159" s="8"/>
      <c r="Q159" s="8"/>
      <c r="R159" s="8"/>
      <c r="S159" s="8"/>
      <c r="T159" s="8"/>
      <c r="U159" s="8"/>
      <c r="V159" s="8"/>
      <c r="W159" s="8"/>
      <c r="X159" s="8"/>
      <c r="Y159" s="8"/>
      <c r="Z159" s="25"/>
    </row>
    <row r="160" spans="1:26">
      <c r="A160" s="8">
        <v>159</v>
      </c>
      <c r="B160" s="8"/>
      <c r="C160" s="8"/>
      <c r="D160" s="8" t="s">
        <v>749</v>
      </c>
      <c r="E160" s="16" t="s">
        <v>750</v>
      </c>
      <c r="F160" s="17" t="s">
        <v>751</v>
      </c>
      <c r="G160" s="18" t="s">
        <v>396</v>
      </c>
      <c r="H160" s="19"/>
      <c r="I160" s="20"/>
      <c r="J160" s="8">
        <f>1.1*1000</f>
        <v>1100</v>
      </c>
      <c r="K160" s="21">
        <v>1.1689814814814816E-3</v>
      </c>
      <c r="L160" s="22" t="s">
        <v>307</v>
      </c>
      <c r="M160" s="8"/>
      <c r="N160" s="8"/>
      <c r="O160" s="8"/>
      <c r="P160" s="8"/>
      <c r="Q160" s="8"/>
      <c r="R160" s="8"/>
      <c r="S160" s="8"/>
      <c r="T160" s="8"/>
      <c r="U160" s="8"/>
      <c r="V160" s="8"/>
      <c r="W160" s="8"/>
      <c r="X160" s="8"/>
      <c r="Y160" s="8"/>
      <c r="Z160" s="25"/>
    </row>
    <row r="161" spans="1:26">
      <c r="A161" s="8">
        <v>160</v>
      </c>
      <c r="B161" s="8"/>
      <c r="C161" s="8"/>
      <c r="D161" s="8" t="s">
        <v>752</v>
      </c>
      <c r="E161" s="16" t="s">
        <v>753</v>
      </c>
      <c r="F161" s="17" t="s">
        <v>754</v>
      </c>
      <c r="G161" s="18">
        <v>202</v>
      </c>
      <c r="H161" s="19"/>
      <c r="I161" s="20"/>
      <c r="J161" s="8">
        <f>202</f>
        <v>202</v>
      </c>
      <c r="K161" s="21">
        <v>2.1180555555555553E-3</v>
      </c>
      <c r="L161" s="22" t="s">
        <v>307</v>
      </c>
      <c r="M161" s="8"/>
      <c r="N161" s="8"/>
      <c r="O161" s="8"/>
      <c r="P161" s="8"/>
      <c r="Q161" s="8"/>
      <c r="R161" s="8"/>
      <c r="S161" s="8"/>
      <c r="T161" s="8"/>
      <c r="U161" s="8"/>
      <c r="V161" s="8"/>
      <c r="W161" s="8"/>
      <c r="X161" s="8"/>
      <c r="Y161" s="8"/>
      <c r="Z161" s="25"/>
    </row>
    <row r="162" spans="1:26">
      <c r="A162" s="8">
        <v>161</v>
      </c>
      <c r="B162" s="8"/>
      <c r="C162" s="8"/>
      <c r="D162" s="8" t="s">
        <v>755</v>
      </c>
      <c r="E162" s="16" t="s">
        <v>756</v>
      </c>
      <c r="F162" s="17" t="s">
        <v>757</v>
      </c>
      <c r="G162" s="18">
        <v>234</v>
      </c>
      <c r="H162" s="19"/>
      <c r="I162" s="20"/>
      <c r="J162" s="8">
        <f>234</f>
        <v>234</v>
      </c>
      <c r="K162" s="21">
        <v>1.4583333333333334E-3</v>
      </c>
      <c r="L162" s="22" t="s">
        <v>307</v>
      </c>
      <c r="M162" s="8"/>
      <c r="N162" s="8"/>
      <c r="O162" s="8"/>
      <c r="P162" s="8"/>
      <c r="Q162" s="8"/>
      <c r="R162" s="8"/>
      <c r="S162" s="8"/>
      <c r="T162" s="8"/>
      <c r="U162" s="8"/>
      <c r="V162" s="8"/>
      <c r="W162" s="8"/>
      <c r="X162" s="8"/>
      <c r="Y162" s="8"/>
      <c r="Z162" s="25"/>
    </row>
    <row r="163" spans="1:26">
      <c r="A163" s="8">
        <v>162</v>
      </c>
      <c r="B163" s="8"/>
      <c r="C163" s="8"/>
      <c r="D163" s="8" t="s">
        <v>758</v>
      </c>
      <c r="E163" s="16" t="s">
        <v>759</v>
      </c>
      <c r="F163" s="17" t="s">
        <v>760</v>
      </c>
      <c r="G163" s="18">
        <v>497</v>
      </c>
      <c r="H163" s="19"/>
      <c r="I163" s="20"/>
      <c r="J163" s="8">
        <f>497</f>
        <v>497</v>
      </c>
      <c r="K163" s="21">
        <v>1.4699074074074074E-3</v>
      </c>
      <c r="L163" s="22" t="s">
        <v>307</v>
      </c>
      <c r="M163" s="8"/>
      <c r="N163" s="8"/>
      <c r="O163" s="8"/>
      <c r="P163" s="8"/>
      <c r="Q163" s="8"/>
      <c r="R163" s="8"/>
      <c r="S163" s="8"/>
      <c r="T163" s="8"/>
      <c r="U163" s="8"/>
      <c r="V163" s="8"/>
      <c r="W163" s="8"/>
      <c r="X163" s="8"/>
      <c r="Y163" s="8"/>
      <c r="Z163" s="25"/>
    </row>
    <row r="164" spans="1:26">
      <c r="A164" s="8">
        <v>163</v>
      </c>
      <c r="B164" s="8"/>
      <c r="C164" s="8"/>
      <c r="D164" s="8" t="s">
        <v>761</v>
      </c>
      <c r="E164" s="16" t="s">
        <v>762</v>
      </c>
      <c r="F164" s="17" t="s">
        <v>763</v>
      </c>
      <c r="G164" s="18">
        <v>315</v>
      </c>
      <c r="H164" s="19"/>
      <c r="I164" s="20"/>
      <c r="J164" s="8">
        <f>315</f>
        <v>315</v>
      </c>
      <c r="K164" s="21">
        <v>5.6944444444444438E-3</v>
      </c>
      <c r="L164" s="22" t="s">
        <v>307</v>
      </c>
      <c r="M164" s="8"/>
      <c r="N164" s="8"/>
      <c r="O164" s="8"/>
      <c r="P164" s="8"/>
      <c r="Q164" s="8"/>
      <c r="R164" s="8"/>
      <c r="S164" s="8"/>
      <c r="T164" s="8"/>
      <c r="U164" s="8"/>
      <c r="V164" s="8"/>
      <c r="W164" s="8"/>
      <c r="X164" s="8"/>
      <c r="Y164" s="8"/>
      <c r="Z164" s="25"/>
    </row>
    <row r="165" spans="1:26">
      <c r="A165" s="8">
        <v>164</v>
      </c>
      <c r="B165" s="8"/>
      <c r="C165" s="8"/>
      <c r="D165" s="8" t="s">
        <v>764</v>
      </c>
      <c r="E165" s="16" t="s">
        <v>765</v>
      </c>
      <c r="F165" s="17" t="s">
        <v>766</v>
      </c>
      <c r="G165" s="18">
        <v>535</v>
      </c>
      <c r="H165" s="19"/>
      <c r="I165" s="20"/>
      <c r="J165" s="8">
        <f>535</f>
        <v>535</v>
      </c>
      <c r="K165" s="21">
        <v>2.1527777777777778E-3</v>
      </c>
      <c r="L165" s="22" t="s">
        <v>307</v>
      </c>
      <c r="M165" s="8"/>
      <c r="N165" s="8"/>
      <c r="O165" s="8"/>
      <c r="P165" s="8"/>
      <c r="Q165" s="8"/>
      <c r="R165" s="8"/>
      <c r="S165" s="8"/>
      <c r="T165" s="8"/>
      <c r="U165" s="8"/>
      <c r="V165" s="8"/>
      <c r="W165" s="8"/>
      <c r="X165" s="8"/>
      <c r="Y165" s="8"/>
      <c r="Z165" s="25"/>
    </row>
    <row r="166" spans="1:26">
      <c r="A166" s="8">
        <v>165</v>
      </c>
      <c r="B166" s="8"/>
      <c r="C166" s="8"/>
      <c r="D166" s="8" t="s">
        <v>767</v>
      </c>
      <c r="E166" s="16" t="s">
        <v>768</v>
      </c>
      <c r="F166" s="17" t="s">
        <v>769</v>
      </c>
      <c r="G166" s="18" t="s">
        <v>770</v>
      </c>
      <c r="H166" s="19"/>
      <c r="I166" s="20"/>
      <c r="J166" s="8">
        <f>2.7*1000</f>
        <v>2700</v>
      </c>
      <c r="K166" s="21">
        <v>1.0115740740740741E-2</v>
      </c>
      <c r="L166" s="22" t="s">
        <v>307</v>
      </c>
      <c r="M166" s="8"/>
      <c r="N166" s="8"/>
      <c r="O166" s="8"/>
      <c r="P166" s="8"/>
      <c r="Q166" s="8"/>
      <c r="R166" s="8"/>
      <c r="S166" s="8"/>
      <c r="T166" s="8"/>
      <c r="U166" s="8"/>
      <c r="V166" s="8"/>
      <c r="W166" s="8"/>
      <c r="X166" s="8"/>
      <c r="Y166" s="8"/>
      <c r="Z166" s="25"/>
    </row>
    <row r="167" spans="1:26">
      <c r="A167" s="8">
        <v>166</v>
      </c>
      <c r="B167" s="8"/>
      <c r="C167" s="8"/>
      <c r="D167" s="8" t="s">
        <v>771</v>
      </c>
      <c r="E167" s="16" t="s">
        <v>772</v>
      </c>
      <c r="F167" s="29" t="s">
        <v>773</v>
      </c>
      <c r="G167" s="18" t="s">
        <v>774</v>
      </c>
      <c r="H167" s="19"/>
      <c r="I167" s="20"/>
      <c r="J167" s="8">
        <f>4.7*1000</f>
        <v>4700</v>
      </c>
      <c r="K167" s="21">
        <v>7.5601851851851851E-2</v>
      </c>
      <c r="L167" s="22" t="s">
        <v>307</v>
      </c>
      <c r="M167" s="8"/>
      <c r="N167" s="8"/>
      <c r="O167" s="8"/>
      <c r="P167" s="8"/>
      <c r="Q167" s="8"/>
      <c r="R167" s="8"/>
      <c r="S167" s="8"/>
      <c r="T167" s="8"/>
      <c r="U167" s="8"/>
      <c r="V167" s="8"/>
      <c r="W167" s="8"/>
      <c r="X167" s="8"/>
      <c r="Y167" s="8"/>
      <c r="Z167" s="25"/>
    </row>
    <row r="168" spans="1:26">
      <c r="A168" s="8">
        <v>167</v>
      </c>
      <c r="B168" s="8"/>
      <c r="C168" s="8"/>
      <c r="D168" s="8" t="s">
        <v>775</v>
      </c>
      <c r="E168" s="16" t="s">
        <v>776</v>
      </c>
      <c r="F168" s="29" t="s">
        <v>777</v>
      </c>
      <c r="G168" s="18" t="s">
        <v>778</v>
      </c>
      <c r="H168" s="19"/>
      <c r="I168" s="20"/>
      <c r="J168" s="8">
        <f>7.5*1000</f>
        <v>7500</v>
      </c>
      <c r="K168" s="21">
        <v>9.3368055555555551E-2</v>
      </c>
      <c r="L168" s="22" t="s">
        <v>307</v>
      </c>
      <c r="M168" s="8"/>
      <c r="N168" s="8"/>
      <c r="O168" s="8"/>
      <c r="P168" s="8"/>
      <c r="Q168" s="8"/>
      <c r="R168" s="8"/>
      <c r="S168" s="8"/>
      <c r="T168" s="8"/>
      <c r="U168" s="8"/>
      <c r="V168" s="8"/>
      <c r="W168" s="8"/>
      <c r="X168" s="8"/>
      <c r="Y168" s="8"/>
      <c r="Z168" s="25"/>
    </row>
    <row r="169" spans="1:26">
      <c r="A169" s="8">
        <v>168</v>
      </c>
      <c r="B169" s="8"/>
      <c r="C169" s="8"/>
      <c r="D169" s="8" t="s">
        <v>779</v>
      </c>
      <c r="E169" s="16" t="s">
        <v>780</v>
      </c>
      <c r="F169" s="29" t="s">
        <v>781</v>
      </c>
      <c r="G169" s="18" t="s">
        <v>782</v>
      </c>
      <c r="H169" s="19"/>
      <c r="I169" s="20"/>
      <c r="J169" s="8">
        <f>1.8*1000</f>
        <v>1800</v>
      </c>
      <c r="K169" s="21">
        <v>5.2962962962962962E-2</v>
      </c>
      <c r="L169" s="22" t="s">
        <v>307</v>
      </c>
      <c r="M169" s="8"/>
      <c r="N169" s="8"/>
      <c r="O169" s="8"/>
      <c r="P169" s="8"/>
      <c r="Q169" s="8"/>
      <c r="R169" s="8"/>
      <c r="S169" s="8"/>
      <c r="T169" s="8"/>
      <c r="U169" s="8"/>
      <c r="V169" s="8"/>
      <c r="W169" s="8"/>
      <c r="X169" s="8"/>
      <c r="Y169" s="8"/>
      <c r="Z169" s="25"/>
    </row>
    <row r="170" spans="1:26">
      <c r="A170" s="8">
        <v>169</v>
      </c>
      <c r="B170" s="8"/>
      <c r="C170" s="8"/>
      <c r="D170" s="8" t="s">
        <v>783</v>
      </c>
      <c r="E170" s="16" t="s">
        <v>784</v>
      </c>
      <c r="F170" s="17" t="s">
        <v>785</v>
      </c>
      <c r="G170" s="18">
        <v>343</v>
      </c>
      <c r="H170" s="19"/>
      <c r="I170" s="20"/>
      <c r="J170" s="8">
        <f>343</f>
        <v>343</v>
      </c>
      <c r="K170" s="21">
        <v>2.8240740740740739E-3</v>
      </c>
      <c r="L170" s="22" t="s">
        <v>307</v>
      </c>
      <c r="M170" s="8"/>
      <c r="N170" s="8"/>
      <c r="O170" s="8"/>
      <c r="P170" s="8"/>
      <c r="Q170" s="8"/>
      <c r="R170" s="8"/>
      <c r="S170" s="8"/>
      <c r="T170" s="8"/>
      <c r="U170" s="8"/>
      <c r="V170" s="8"/>
      <c r="W170" s="8"/>
      <c r="X170" s="8"/>
      <c r="Y170" s="8"/>
      <c r="Z170" s="25"/>
    </row>
    <row r="171" spans="1:26">
      <c r="A171" s="8">
        <v>170</v>
      </c>
      <c r="B171" s="8"/>
      <c r="C171" s="8"/>
      <c r="D171" s="8" t="s">
        <v>786</v>
      </c>
      <c r="E171" s="16" t="s">
        <v>787</v>
      </c>
      <c r="F171" s="29" t="s">
        <v>788</v>
      </c>
      <c r="G171" s="18" t="s">
        <v>187</v>
      </c>
      <c r="H171" s="19"/>
      <c r="I171" s="20"/>
      <c r="J171" s="8">
        <f>1.5*1000</f>
        <v>1500</v>
      </c>
      <c r="K171" s="21">
        <v>5.9594907407407409E-2</v>
      </c>
      <c r="L171" s="22" t="s">
        <v>307</v>
      </c>
      <c r="M171" s="8"/>
      <c r="N171" s="8"/>
      <c r="O171" s="8"/>
      <c r="P171" s="8"/>
      <c r="Q171" s="8"/>
      <c r="R171" s="8"/>
      <c r="S171" s="8"/>
      <c r="T171" s="8"/>
      <c r="U171" s="8"/>
      <c r="V171" s="8"/>
      <c r="W171" s="8"/>
      <c r="X171" s="8"/>
      <c r="Y171" s="8"/>
      <c r="Z171" s="25"/>
    </row>
    <row r="172" spans="1:26">
      <c r="A172" s="8">
        <v>171</v>
      </c>
      <c r="B172" s="8"/>
      <c r="C172" s="8"/>
      <c r="D172" s="8" t="s">
        <v>789</v>
      </c>
      <c r="E172" s="16" t="s">
        <v>790</v>
      </c>
      <c r="F172" s="27" t="s">
        <v>791</v>
      </c>
      <c r="G172" s="18">
        <v>463</v>
      </c>
      <c r="H172" s="19"/>
      <c r="I172" s="20"/>
      <c r="J172" s="8">
        <f>463</f>
        <v>463</v>
      </c>
      <c r="K172" s="21">
        <v>2.4965277777777781E-2</v>
      </c>
      <c r="L172" s="22" t="s">
        <v>307</v>
      </c>
      <c r="M172" s="8"/>
      <c r="N172" s="8"/>
      <c r="O172" s="8"/>
      <c r="P172" s="8"/>
      <c r="Q172" s="8"/>
      <c r="R172" s="8"/>
      <c r="S172" s="8"/>
      <c r="T172" s="8"/>
      <c r="U172" s="8"/>
      <c r="V172" s="8"/>
      <c r="W172" s="8"/>
      <c r="X172" s="8"/>
      <c r="Y172" s="8"/>
      <c r="Z172" s="25"/>
    </row>
    <row r="173" spans="1:26">
      <c r="A173" s="8">
        <v>172</v>
      </c>
      <c r="B173" s="8"/>
      <c r="C173" s="8"/>
      <c r="D173" s="8" t="s">
        <v>792</v>
      </c>
      <c r="E173" s="16" t="s">
        <v>793</v>
      </c>
      <c r="F173" s="29" t="s">
        <v>794</v>
      </c>
      <c r="G173" s="18" t="s">
        <v>795</v>
      </c>
      <c r="H173" s="19"/>
      <c r="I173" s="20"/>
      <c r="J173" s="8">
        <f>5.2*1000</f>
        <v>5200</v>
      </c>
      <c r="K173" s="21">
        <v>5.5775462962962964E-2</v>
      </c>
      <c r="L173" s="22" t="s">
        <v>307</v>
      </c>
      <c r="M173" s="8"/>
      <c r="N173" s="8"/>
      <c r="O173" s="8"/>
      <c r="P173" s="8"/>
      <c r="Q173" s="8"/>
      <c r="R173" s="8"/>
      <c r="S173" s="8"/>
      <c r="T173" s="8"/>
      <c r="U173" s="8"/>
      <c r="V173" s="8"/>
      <c r="W173" s="8"/>
      <c r="X173" s="8"/>
      <c r="Y173" s="8"/>
      <c r="Z173" s="25"/>
    </row>
    <row r="174" spans="1:26">
      <c r="A174" s="8">
        <v>173</v>
      </c>
      <c r="B174" s="8"/>
      <c r="C174" s="8"/>
      <c r="D174" s="8" t="s">
        <v>796</v>
      </c>
      <c r="E174" s="16" t="s">
        <v>797</v>
      </c>
      <c r="F174" s="27" t="s">
        <v>798</v>
      </c>
      <c r="G174" s="18">
        <v>624</v>
      </c>
      <c r="H174" s="19"/>
      <c r="I174" s="20"/>
      <c r="J174" s="8">
        <f>624</f>
        <v>624</v>
      </c>
      <c r="K174" s="21">
        <v>2.5868055555555557E-2</v>
      </c>
      <c r="L174" s="22" t="s">
        <v>307</v>
      </c>
      <c r="M174" s="8"/>
      <c r="N174" s="8"/>
      <c r="O174" s="8"/>
      <c r="P174" s="8"/>
      <c r="Q174" s="8"/>
      <c r="R174" s="8"/>
      <c r="S174" s="8"/>
      <c r="T174" s="8"/>
      <c r="U174" s="8"/>
      <c r="V174" s="8"/>
      <c r="W174" s="8"/>
      <c r="X174" s="8"/>
      <c r="Y174" s="8"/>
      <c r="Z174" s="25"/>
    </row>
    <row r="175" spans="1:26">
      <c r="A175" s="8">
        <v>174</v>
      </c>
      <c r="B175" s="8"/>
      <c r="C175" s="8"/>
      <c r="D175" s="8" t="s">
        <v>799</v>
      </c>
      <c r="E175" s="16" t="s">
        <v>800</v>
      </c>
      <c r="F175" s="27" t="s">
        <v>801</v>
      </c>
      <c r="G175" s="18" t="s">
        <v>568</v>
      </c>
      <c r="H175" s="19"/>
      <c r="I175" s="20"/>
      <c r="J175" s="8">
        <f>1.4*1000</f>
        <v>1400</v>
      </c>
      <c r="K175" s="21">
        <v>1.7754629629629631E-2</v>
      </c>
      <c r="L175" s="22" t="s">
        <v>307</v>
      </c>
      <c r="M175" s="8"/>
      <c r="N175" s="8"/>
      <c r="O175" s="8"/>
      <c r="P175" s="8"/>
      <c r="Q175" s="8"/>
      <c r="R175" s="8"/>
      <c r="S175" s="8"/>
      <c r="T175" s="8"/>
      <c r="U175" s="8"/>
      <c r="V175" s="8"/>
      <c r="W175" s="8"/>
      <c r="X175" s="8"/>
      <c r="Y175" s="8"/>
      <c r="Z175" s="25"/>
    </row>
    <row r="176" spans="1:26">
      <c r="A176" s="8">
        <v>175</v>
      </c>
      <c r="B176" s="8"/>
      <c r="C176" s="8"/>
      <c r="D176" s="8" t="s">
        <v>802</v>
      </c>
      <c r="E176" s="16" t="s">
        <v>803</v>
      </c>
      <c r="F176" s="29" t="s">
        <v>804</v>
      </c>
      <c r="G176" s="18" t="s">
        <v>805</v>
      </c>
      <c r="H176" s="19"/>
      <c r="I176" s="20"/>
      <c r="J176" s="8">
        <f>3.1*1000</f>
        <v>3100</v>
      </c>
      <c r="K176" s="21">
        <v>8.3472222222222225E-2</v>
      </c>
      <c r="L176" s="22" t="s">
        <v>307</v>
      </c>
      <c r="M176" s="8"/>
      <c r="N176" s="8"/>
      <c r="O176" s="8"/>
      <c r="P176" s="8"/>
      <c r="Q176" s="8"/>
      <c r="R176" s="8"/>
      <c r="S176" s="8"/>
      <c r="T176" s="8"/>
      <c r="U176" s="8"/>
      <c r="V176" s="8"/>
      <c r="W176" s="8"/>
      <c r="X176" s="8"/>
      <c r="Y176" s="8"/>
      <c r="Z176" s="25"/>
    </row>
    <row r="177" spans="1:26">
      <c r="A177" s="8">
        <v>176</v>
      </c>
      <c r="B177" s="8"/>
      <c r="C177" s="8"/>
      <c r="D177" s="8" t="s">
        <v>806</v>
      </c>
      <c r="E177" s="16" t="s">
        <v>807</v>
      </c>
      <c r="F177" s="29" t="s">
        <v>808</v>
      </c>
      <c r="G177" s="18" t="s">
        <v>506</v>
      </c>
      <c r="H177" s="19"/>
      <c r="I177" s="20"/>
      <c r="J177" s="8">
        <f>2*1000</f>
        <v>2000</v>
      </c>
      <c r="K177" s="21">
        <v>6.1168981481481477E-2</v>
      </c>
      <c r="L177" s="22" t="s">
        <v>307</v>
      </c>
      <c r="M177" s="8"/>
      <c r="N177" s="8"/>
      <c r="O177" s="8"/>
      <c r="P177" s="8"/>
      <c r="Q177" s="8"/>
      <c r="R177" s="8"/>
      <c r="S177" s="8"/>
      <c r="T177" s="8"/>
      <c r="U177" s="8"/>
      <c r="V177" s="8"/>
      <c r="W177" s="8"/>
      <c r="X177" s="8"/>
      <c r="Y177" s="8"/>
      <c r="Z177" s="25"/>
    </row>
    <row r="178" spans="1:26">
      <c r="A178" s="8">
        <v>177</v>
      </c>
      <c r="B178" s="8"/>
      <c r="C178" s="8"/>
      <c r="D178" s="8" t="s">
        <v>809</v>
      </c>
      <c r="E178" s="16" t="s">
        <v>810</v>
      </c>
      <c r="F178" s="27" t="s">
        <v>811</v>
      </c>
      <c r="G178" s="18" t="s">
        <v>482</v>
      </c>
      <c r="H178" s="19"/>
      <c r="I178" s="20"/>
      <c r="J178" s="8">
        <f>7.3*1000</f>
        <v>7300</v>
      </c>
      <c r="K178" s="21">
        <v>3.1041666666666665E-2</v>
      </c>
      <c r="L178" s="22" t="s">
        <v>812</v>
      </c>
      <c r="M178" s="8"/>
      <c r="N178" s="8"/>
      <c r="O178" s="8"/>
      <c r="P178" s="8"/>
      <c r="Q178" s="8"/>
      <c r="R178" s="8"/>
      <c r="S178" s="8"/>
      <c r="T178" s="8"/>
      <c r="U178" s="8"/>
      <c r="V178" s="8"/>
      <c r="W178" s="8"/>
      <c r="X178" s="8"/>
      <c r="Y178" s="8"/>
      <c r="Z178" s="25"/>
    </row>
    <row r="179" spans="1:26">
      <c r="A179" s="8">
        <v>178</v>
      </c>
      <c r="B179" s="8"/>
      <c r="C179" s="8"/>
      <c r="D179" s="8" t="s">
        <v>813</v>
      </c>
      <c r="E179" s="16" t="s">
        <v>814</v>
      </c>
      <c r="F179" s="29" t="s">
        <v>815</v>
      </c>
      <c r="G179" s="18" t="s">
        <v>462</v>
      </c>
      <c r="H179" s="19"/>
      <c r="I179" s="20"/>
      <c r="J179" s="8">
        <f>2.5*1000</f>
        <v>2500</v>
      </c>
      <c r="K179" s="21">
        <v>4.7199074074074067E-2</v>
      </c>
      <c r="L179" s="22" t="s">
        <v>812</v>
      </c>
      <c r="M179" s="8"/>
      <c r="N179" s="8"/>
      <c r="O179" s="8"/>
      <c r="P179" s="8"/>
      <c r="Q179" s="8"/>
      <c r="R179" s="8"/>
      <c r="S179" s="8"/>
      <c r="T179" s="8"/>
      <c r="U179" s="8"/>
      <c r="V179" s="8"/>
      <c r="W179" s="8"/>
      <c r="X179" s="8"/>
      <c r="Y179" s="8"/>
      <c r="Z179" s="25"/>
    </row>
    <row r="180" spans="1:26">
      <c r="A180" s="8">
        <v>179</v>
      </c>
      <c r="B180" s="8"/>
      <c r="C180" s="8"/>
      <c r="D180" s="8" t="s">
        <v>816</v>
      </c>
      <c r="E180" s="16" t="s">
        <v>817</v>
      </c>
      <c r="F180" s="17" t="s">
        <v>818</v>
      </c>
      <c r="G180" s="18" t="s">
        <v>445</v>
      </c>
      <c r="H180" s="19"/>
      <c r="I180" s="20"/>
      <c r="J180" s="8">
        <f>1.2*1000</f>
        <v>1200</v>
      </c>
      <c r="K180" s="21">
        <v>1.638888888888889E-2</v>
      </c>
      <c r="L180" s="22" t="s">
        <v>812</v>
      </c>
      <c r="M180" s="8"/>
      <c r="N180" s="8"/>
      <c r="O180" s="8"/>
      <c r="P180" s="8"/>
      <c r="Q180" s="8"/>
      <c r="R180" s="8"/>
      <c r="S180" s="8"/>
      <c r="T180" s="8"/>
      <c r="U180" s="8"/>
      <c r="V180" s="8"/>
      <c r="W180" s="8"/>
      <c r="X180" s="8"/>
      <c r="Y180" s="8"/>
      <c r="Z180" s="25"/>
    </row>
    <row r="181" spans="1:26">
      <c r="A181" s="8">
        <v>180</v>
      </c>
      <c r="B181" s="8"/>
      <c r="C181" s="8"/>
      <c r="D181" s="8" t="s">
        <v>819</v>
      </c>
      <c r="E181" s="16" t="s">
        <v>820</v>
      </c>
      <c r="F181" s="17" t="s">
        <v>269</v>
      </c>
      <c r="G181" s="18" t="s">
        <v>821</v>
      </c>
      <c r="H181" s="19"/>
      <c r="I181" s="20"/>
      <c r="J181" s="8">
        <f>8.4*1000</f>
        <v>8400</v>
      </c>
      <c r="K181" s="21">
        <v>3.2407407407407406E-3</v>
      </c>
      <c r="L181" s="22" t="s">
        <v>812</v>
      </c>
      <c r="M181" s="8"/>
      <c r="N181" s="8"/>
      <c r="O181" s="8"/>
      <c r="P181" s="8"/>
      <c r="Q181" s="8"/>
      <c r="R181" s="8"/>
      <c r="S181" s="8"/>
      <c r="T181" s="8"/>
      <c r="U181" s="8"/>
      <c r="V181" s="8"/>
      <c r="W181" s="8"/>
      <c r="X181" s="8"/>
      <c r="Y181" s="8"/>
      <c r="Z181" s="25"/>
    </row>
    <row r="182" spans="1:26">
      <c r="A182" s="8">
        <v>181</v>
      </c>
      <c r="B182" s="8"/>
      <c r="C182" s="8"/>
      <c r="D182" s="8" t="s">
        <v>822</v>
      </c>
      <c r="E182" s="16" t="s">
        <v>823</v>
      </c>
      <c r="F182" s="27" t="s">
        <v>824</v>
      </c>
      <c r="G182" s="18" t="s">
        <v>825</v>
      </c>
      <c r="H182" s="19"/>
      <c r="I182" s="20"/>
      <c r="J182" s="8">
        <f>12*1000</f>
        <v>12000</v>
      </c>
      <c r="K182" s="21">
        <v>4.0833333333333333E-2</v>
      </c>
      <c r="L182" s="22" t="s">
        <v>812</v>
      </c>
      <c r="M182" s="8"/>
      <c r="N182" s="8"/>
      <c r="O182" s="8"/>
      <c r="P182" s="8"/>
      <c r="Q182" s="8"/>
      <c r="R182" s="8"/>
      <c r="S182" s="8"/>
      <c r="T182" s="8"/>
      <c r="U182" s="8"/>
      <c r="V182" s="8"/>
      <c r="W182" s="8"/>
      <c r="X182" s="8"/>
      <c r="Y182" s="8"/>
      <c r="Z182" s="25"/>
    </row>
    <row r="183" spans="1:26">
      <c r="A183" s="8">
        <v>182</v>
      </c>
      <c r="B183" s="8"/>
      <c r="C183" s="8"/>
      <c r="D183" s="8" t="s">
        <v>826</v>
      </c>
      <c r="E183" s="16" t="s">
        <v>827</v>
      </c>
      <c r="F183" s="17" t="s">
        <v>828</v>
      </c>
      <c r="G183" s="18" t="s">
        <v>829</v>
      </c>
      <c r="H183" s="19"/>
      <c r="I183" s="20"/>
      <c r="J183" s="8">
        <f>7.6*1000</f>
        <v>7600</v>
      </c>
      <c r="K183" s="21">
        <v>6.6435185185185182E-3</v>
      </c>
      <c r="L183" s="22" t="s">
        <v>812</v>
      </c>
      <c r="M183" s="8"/>
      <c r="N183" s="8"/>
      <c r="O183" s="8"/>
      <c r="P183" s="8"/>
      <c r="Q183" s="8"/>
      <c r="R183" s="8"/>
      <c r="S183" s="8"/>
      <c r="T183" s="8"/>
      <c r="U183" s="8"/>
      <c r="V183" s="8"/>
      <c r="W183" s="8"/>
      <c r="X183" s="8"/>
      <c r="Y183" s="8"/>
      <c r="Z183" s="25"/>
    </row>
    <row r="184" spans="1:26">
      <c r="A184" s="8">
        <v>183</v>
      </c>
      <c r="B184" s="8"/>
      <c r="C184" s="8"/>
      <c r="D184" s="8" t="s">
        <v>830</v>
      </c>
      <c r="E184" s="16" t="s">
        <v>831</v>
      </c>
      <c r="F184" s="17" t="s">
        <v>832</v>
      </c>
      <c r="G184" s="18" t="s">
        <v>833</v>
      </c>
      <c r="H184" s="19"/>
      <c r="I184" s="20"/>
      <c r="J184" s="8">
        <f>55*1000</f>
        <v>55000</v>
      </c>
      <c r="K184" s="21">
        <v>1.5949074074074074E-2</v>
      </c>
      <c r="L184" s="22" t="s">
        <v>812</v>
      </c>
      <c r="M184" s="8"/>
      <c r="N184" s="8"/>
      <c r="O184" s="8"/>
      <c r="P184" s="8"/>
      <c r="Q184" s="8"/>
      <c r="R184" s="8"/>
      <c r="S184" s="8"/>
      <c r="T184" s="8"/>
      <c r="U184" s="8"/>
      <c r="V184" s="8"/>
      <c r="W184" s="8"/>
      <c r="X184" s="8"/>
      <c r="Y184" s="8"/>
      <c r="Z184" s="25"/>
    </row>
    <row r="185" spans="1:26">
      <c r="A185" s="8">
        <v>184</v>
      </c>
      <c r="B185" s="8"/>
      <c r="C185" s="8"/>
      <c r="D185" s="8" t="s">
        <v>834</v>
      </c>
      <c r="E185" s="16" t="s">
        <v>835</v>
      </c>
      <c r="F185" s="17" t="s">
        <v>836</v>
      </c>
      <c r="G185" s="18" t="s">
        <v>837</v>
      </c>
      <c r="H185" s="19"/>
      <c r="I185" s="20"/>
      <c r="J185" s="8">
        <f>6.8*1000</f>
        <v>6800</v>
      </c>
      <c r="K185" s="21">
        <v>1.2118055555555556E-2</v>
      </c>
      <c r="L185" s="22" t="s">
        <v>812</v>
      </c>
      <c r="M185" s="8"/>
      <c r="N185" s="8"/>
      <c r="O185" s="8"/>
      <c r="P185" s="8"/>
      <c r="Q185" s="8"/>
      <c r="R185" s="8"/>
      <c r="S185" s="8"/>
      <c r="T185" s="8"/>
      <c r="U185" s="8"/>
      <c r="V185" s="8"/>
      <c r="W185" s="8"/>
      <c r="X185" s="8"/>
      <c r="Y185" s="8"/>
      <c r="Z185" s="25"/>
    </row>
    <row r="186" spans="1:26">
      <c r="A186" s="8">
        <v>185</v>
      </c>
      <c r="B186" s="8"/>
      <c r="C186" s="8"/>
      <c r="D186" s="8" t="s">
        <v>838</v>
      </c>
      <c r="E186" s="16" t="s">
        <v>839</v>
      </c>
      <c r="F186" s="17" t="s">
        <v>840</v>
      </c>
      <c r="G186" s="18" t="s">
        <v>122</v>
      </c>
      <c r="H186" s="19"/>
      <c r="I186" s="20"/>
      <c r="J186" s="8">
        <f>4*1000</f>
        <v>4000</v>
      </c>
      <c r="K186" s="21">
        <v>8.4027777777777781E-3</v>
      </c>
      <c r="L186" s="22" t="s">
        <v>812</v>
      </c>
      <c r="M186" s="8"/>
      <c r="N186" s="8"/>
      <c r="O186" s="8"/>
      <c r="P186" s="8"/>
      <c r="Q186" s="8"/>
      <c r="R186" s="8"/>
      <c r="S186" s="8"/>
      <c r="T186" s="8"/>
      <c r="U186" s="8"/>
      <c r="V186" s="8"/>
      <c r="W186" s="8"/>
      <c r="X186" s="8"/>
      <c r="Y186" s="8"/>
      <c r="Z186" s="25"/>
    </row>
    <row r="187" spans="1:26">
      <c r="A187" s="8">
        <v>186</v>
      </c>
      <c r="B187" s="8"/>
      <c r="C187" s="8"/>
      <c r="D187" s="8" t="s">
        <v>841</v>
      </c>
      <c r="E187" s="16" t="s">
        <v>842</v>
      </c>
      <c r="F187" s="17" t="s">
        <v>843</v>
      </c>
      <c r="G187" s="18" t="s">
        <v>517</v>
      </c>
      <c r="H187" s="19"/>
      <c r="I187" s="20"/>
      <c r="J187" s="8">
        <f>3.9*1000</f>
        <v>3900</v>
      </c>
      <c r="K187" s="21">
        <v>5.1736111111111115E-3</v>
      </c>
      <c r="L187" s="22" t="s">
        <v>812</v>
      </c>
      <c r="M187" s="8"/>
      <c r="N187" s="8"/>
      <c r="O187" s="8"/>
      <c r="P187" s="8"/>
      <c r="Q187" s="8"/>
      <c r="R187" s="8"/>
      <c r="S187" s="8"/>
      <c r="T187" s="8"/>
      <c r="U187" s="8"/>
      <c r="V187" s="8"/>
      <c r="W187" s="8"/>
      <c r="X187" s="8"/>
      <c r="Y187" s="8"/>
      <c r="Z187" s="25"/>
    </row>
    <row r="188" spans="1:26">
      <c r="A188" s="8">
        <v>187</v>
      </c>
      <c r="B188" s="8"/>
      <c r="C188" s="8"/>
      <c r="D188" s="8" t="s">
        <v>844</v>
      </c>
      <c r="E188" s="16" t="s">
        <v>845</v>
      </c>
      <c r="F188" s="17" t="s">
        <v>846</v>
      </c>
      <c r="G188" s="18" t="s">
        <v>847</v>
      </c>
      <c r="H188" s="19"/>
      <c r="I188" s="20"/>
      <c r="J188" s="8">
        <f>3.8*1000</f>
        <v>3800</v>
      </c>
      <c r="K188" s="21">
        <v>5.7523148148148143E-3</v>
      </c>
      <c r="L188" s="22" t="s">
        <v>812</v>
      </c>
      <c r="M188" s="8"/>
      <c r="N188" s="8"/>
      <c r="O188" s="8"/>
      <c r="P188" s="8"/>
      <c r="Q188" s="8"/>
      <c r="R188" s="8"/>
      <c r="S188" s="8"/>
      <c r="T188" s="8"/>
      <c r="U188" s="8"/>
      <c r="V188" s="8"/>
      <c r="W188" s="8"/>
      <c r="X188" s="8"/>
      <c r="Y188" s="8"/>
      <c r="Z188" s="25"/>
    </row>
    <row r="189" spans="1:26">
      <c r="A189" s="8">
        <v>188</v>
      </c>
      <c r="B189" s="8"/>
      <c r="C189" s="8"/>
      <c r="D189" s="8" t="s">
        <v>848</v>
      </c>
      <c r="E189" s="16" t="s">
        <v>849</v>
      </c>
      <c r="F189" s="17" t="s">
        <v>850</v>
      </c>
      <c r="G189" s="18" t="s">
        <v>232</v>
      </c>
      <c r="H189" s="19"/>
      <c r="I189" s="20"/>
      <c r="J189" s="8">
        <f>3.2*1000</f>
        <v>3200</v>
      </c>
      <c r="K189" s="21">
        <v>1.5277777777777779E-3</v>
      </c>
      <c r="L189" s="22" t="s">
        <v>812</v>
      </c>
      <c r="M189" s="8"/>
      <c r="N189" s="8"/>
      <c r="O189" s="8"/>
      <c r="P189" s="8"/>
      <c r="Q189" s="8"/>
      <c r="R189" s="8"/>
      <c r="S189" s="8"/>
      <c r="T189" s="8"/>
      <c r="U189" s="8"/>
      <c r="V189" s="8"/>
      <c r="W189" s="8"/>
      <c r="X189" s="8"/>
      <c r="Y189" s="8"/>
      <c r="Z189" s="25"/>
    </row>
    <row r="190" spans="1:26">
      <c r="A190" s="8">
        <v>189</v>
      </c>
      <c r="B190" s="8"/>
      <c r="C190" s="8"/>
      <c r="D190" s="8" t="s">
        <v>851</v>
      </c>
      <c r="E190" s="16" t="s">
        <v>852</v>
      </c>
      <c r="F190" s="17" t="s">
        <v>853</v>
      </c>
      <c r="G190" s="18" t="s">
        <v>854</v>
      </c>
      <c r="H190" s="19"/>
      <c r="I190" s="20"/>
      <c r="J190" s="8">
        <f>4.6*1000</f>
        <v>4600</v>
      </c>
      <c r="K190" s="21">
        <v>1.5011574074074075E-2</v>
      </c>
      <c r="L190" s="22" t="s">
        <v>812</v>
      </c>
      <c r="M190" s="8"/>
      <c r="N190" s="8"/>
      <c r="O190" s="8"/>
      <c r="P190" s="8"/>
      <c r="Q190" s="8"/>
      <c r="R190" s="8"/>
      <c r="S190" s="8"/>
      <c r="T190" s="8"/>
      <c r="U190" s="8"/>
      <c r="V190" s="8"/>
      <c r="W190" s="8"/>
      <c r="X190" s="8"/>
      <c r="Y190" s="8"/>
      <c r="Z190" s="25"/>
    </row>
    <row r="191" spans="1:26">
      <c r="A191" s="8">
        <v>190</v>
      </c>
      <c r="B191" s="8"/>
      <c r="C191" s="8"/>
      <c r="D191" s="8" t="s">
        <v>855</v>
      </c>
      <c r="E191" s="16" t="s">
        <v>856</v>
      </c>
      <c r="F191" s="27" t="s">
        <v>857</v>
      </c>
      <c r="G191" s="18" t="s">
        <v>510</v>
      </c>
      <c r="H191" s="19"/>
      <c r="I191" s="20"/>
      <c r="J191" s="8">
        <f>3.7*1000</f>
        <v>3700</v>
      </c>
      <c r="K191" s="21">
        <v>3.1631944444444442E-2</v>
      </c>
      <c r="L191" s="22" t="s">
        <v>812</v>
      </c>
      <c r="M191" s="8"/>
      <c r="N191" s="8"/>
      <c r="O191" s="8"/>
      <c r="P191" s="8"/>
      <c r="Q191" s="8"/>
      <c r="R191" s="8"/>
      <c r="S191" s="8"/>
      <c r="T191" s="8"/>
      <c r="U191" s="8"/>
      <c r="V191" s="8"/>
      <c r="W191" s="8"/>
      <c r="X191" s="8"/>
      <c r="Y191" s="8"/>
      <c r="Z191" s="25"/>
    </row>
    <row r="192" spans="1:26">
      <c r="A192" s="8">
        <v>191</v>
      </c>
      <c r="B192" s="8"/>
      <c r="C192" s="8"/>
      <c r="D192" s="8" t="s">
        <v>858</v>
      </c>
      <c r="E192" s="16" t="s">
        <v>859</v>
      </c>
      <c r="F192" s="27" t="s">
        <v>860</v>
      </c>
      <c r="G192" s="18" t="s">
        <v>861</v>
      </c>
      <c r="H192" s="19"/>
      <c r="I192" s="20"/>
      <c r="J192" s="8">
        <f>9.4*1000</f>
        <v>9400</v>
      </c>
      <c r="K192" s="21">
        <v>4.0844907407407406E-2</v>
      </c>
      <c r="L192" s="22" t="s">
        <v>812</v>
      </c>
      <c r="M192" s="8"/>
      <c r="N192" s="8"/>
      <c r="O192" s="8"/>
      <c r="P192" s="8"/>
      <c r="Q192" s="8"/>
      <c r="R192" s="8"/>
      <c r="S192" s="8"/>
      <c r="T192" s="8"/>
      <c r="U192" s="8"/>
      <c r="V192" s="8"/>
      <c r="W192" s="8"/>
      <c r="X192" s="8"/>
      <c r="Y192" s="8"/>
      <c r="Z192" s="25"/>
    </row>
    <row r="193" spans="1:26">
      <c r="A193" s="8">
        <v>192</v>
      </c>
      <c r="B193" s="8"/>
      <c r="C193" s="8"/>
      <c r="D193" s="8" t="s">
        <v>862</v>
      </c>
      <c r="E193" s="16" t="s">
        <v>863</v>
      </c>
      <c r="F193" s="17" t="s">
        <v>864</v>
      </c>
      <c r="G193" s="18">
        <v>938</v>
      </c>
      <c r="H193" s="19"/>
      <c r="I193" s="20"/>
      <c r="J193" s="8">
        <f>938</f>
        <v>938</v>
      </c>
      <c r="K193" s="21">
        <v>1.3541666666666667E-3</v>
      </c>
      <c r="L193" s="22" t="s">
        <v>812</v>
      </c>
      <c r="M193" s="8"/>
      <c r="N193" s="8"/>
      <c r="O193" s="8"/>
      <c r="P193" s="8"/>
      <c r="Q193" s="8"/>
      <c r="R193" s="8"/>
      <c r="S193" s="8"/>
      <c r="T193" s="8"/>
      <c r="U193" s="8"/>
      <c r="V193" s="8"/>
      <c r="W193" s="8"/>
      <c r="X193" s="8"/>
      <c r="Y193" s="8"/>
      <c r="Z193" s="25"/>
    </row>
    <row r="194" spans="1:26">
      <c r="A194" s="8">
        <v>193</v>
      </c>
      <c r="B194" s="8"/>
      <c r="C194" s="8"/>
      <c r="D194" s="8" t="s">
        <v>865</v>
      </c>
      <c r="E194" s="16" t="s">
        <v>866</v>
      </c>
      <c r="F194" s="17" t="s">
        <v>867</v>
      </c>
      <c r="G194" s="18" t="s">
        <v>782</v>
      </c>
      <c r="H194" s="19"/>
      <c r="I194" s="20"/>
      <c r="J194" s="8">
        <f>1.8*1000</f>
        <v>1800</v>
      </c>
      <c r="K194" s="21">
        <v>9.9189814814814817E-3</v>
      </c>
      <c r="L194" s="22" t="s">
        <v>812</v>
      </c>
      <c r="M194" s="8"/>
      <c r="N194" s="8"/>
      <c r="O194" s="8"/>
      <c r="P194" s="8"/>
      <c r="Q194" s="8"/>
      <c r="R194" s="8"/>
      <c r="S194" s="8"/>
      <c r="T194" s="8"/>
      <c r="U194" s="8"/>
      <c r="V194" s="8"/>
      <c r="W194" s="8"/>
      <c r="X194" s="8"/>
      <c r="Y194" s="8"/>
      <c r="Z194" s="25"/>
    </row>
    <row r="195" spans="1:26">
      <c r="A195" s="8">
        <v>194</v>
      </c>
      <c r="B195" s="8"/>
      <c r="C195" s="8"/>
      <c r="D195" s="8" t="s">
        <v>868</v>
      </c>
      <c r="E195" s="16" t="s">
        <v>869</v>
      </c>
      <c r="F195" s="27" t="s">
        <v>870</v>
      </c>
      <c r="G195" s="18" t="s">
        <v>351</v>
      </c>
      <c r="H195" s="19"/>
      <c r="I195" s="20"/>
      <c r="J195" s="8">
        <f>4.4*1000</f>
        <v>4400</v>
      </c>
      <c r="K195" s="21">
        <v>2.5416666666666667E-2</v>
      </c>
      <c r="L195" s="22" t="s">
        <v>812</v>
      </c>
      <c r="M195" s="8"/>
      <c r="N195" s="8"/>
      <c r="O195" s="8"/>
      <c r="P195" s="8"/>
      <c r="Q195" s="8"/>
      <c r="R195" s="8"/>
      <c r="S195" s="8"/>
      <c r="T195" s="8"/>
      <c r="U195" s="8"/>
      <c r="V195" s="8"/>
      <c r="W195" s="8"/>
      <c r="X195" s="8"/>
      <c r="Y195" s="8"/>
      <c r="Z195" s="25"/>
    </row>
    <row r="196" spans="1:26">
      <c r="A196" s="8">
        <v>195</v>
      </c>
      <c r="B196" s="8"/>
      <c r="C196" s="8"/>
      <c r="D196" s="8" t="s">
        <v>871</v>
      </c>
      <c r="E196" s="16" t="s">
        <v>872</v>
      </c>
      <c r="F196" s="17" t="s">
        <v>873</v>
      </c>
      <c r="G196" s="18" t="s">
        <v>214</v>
      </c>
      <c r="H196" s="19"/>
      <c r="I196" s="20"/>
      <c r="J196" s="8">
        <f t="shared" ref="J196:J197" si="3">1*1000</f>
        <v>1000</v>
      </c>
      <c r="K196" s="21">
        <v>4.7453703703703703E-3</v>
      </c>
      <c r="L196" s="22" t="s">
        <v>812</v>
      </c>
      <c r="M196" s="8"/>
      <c r="N196" s="8"/>
      <c r="O196" s="8"/>
      <c r="P196" s="8"/>
      <c r="Q196" s="8"/>
      <c r="R196" s="8"/>
      <c r="S196" s="8"/>
      <c r="T196" s="8"/>
      <c r="U196" s="8"/>
      <c r="V196" s="8"/>
      <c r="W196" s="8"/>
      <c r="X196" s="8"/>
      <c r="Y196" s="8"/>
      <c r="Z196" s="25"/>
    </row>
    <row r="197" spans="1:26">
      <c r="A197" s="8">
        <v>196</v>
      </c>
      <c r="B197" s="8"/>
      <c r="C197" s="8"/>
      <c r="D197" s="8" t="s">
        <v>874</v>
      </c>
      <c r="E197" s="16" t="s">
        <v>875</v>
      </c>
      <c r="F197" s="17" t="s">
        <v>876</v>
      </c>
      <c r="G197" s="18" t="s">
        <v>214</v>
      </c>
      <c r="H197" s="19"/>
      <c r="I197" s="20"/>
      <c r="J197" s="8">
        <f t="shared" si="3"/>
        <v>1000</v>
      </c>
      <c r="K197" s="21">
        <v>3.0671296296296297E-3</v>
      </c>
      <c r="L197" s="22" t="s">
        <v>812</v>
      </c>
      <c r="M197" s="8"/>
      <c r="N197" s="8"/>
      <c r="O197" s="8"/>
      <c r="P197" s="8"/>
      <c r="Q197" s="8"/>
      <c r="R197" s="8"/>
      <c r="S197" s="8"/>
      <c r="T197" s="8"/>
      <c r="U197" s="8"/>
      <c r="V197" s="8"/>
      <c r="W197" s="8"/>
      <c r="X197" s="8"/>
      <c r="Y197" s="8"/>
      <c r="Z197" s="25"/>
    </row>
    <row r="198" spans="1:26">
      <c r="A198" s="8">
        <v>197</v>
      </c>
      <c r="B198" s="8"/>
      <c r="C198" s="8"/>
      <c r="D198" s="8" t="s">
        <v>877</v>
      </c>
      <c r="E198" s="16" t="s">
        <v>878</v>
      </c>
      <c r="F198" s="17" t="s">
        <v>879</v>
      </c>
      <c r="G198" s="18" t="s">
        <v>782</v>
      </c>
      <c r="H198" s="19"/>
      <c r="I198" s="20"/>
      <c r="J198" s="8">
        <f>1.8*1000</f>
        <v>1800</v>
      </c>
      <c r="K198" s="21">
        <v>1.8750000000000001E-3</v>
      </c>
      <c r="L198" s="22" t="s">
        <v>812</v>
      </c>
      <c r="M198" s="8"/>
      <c r="N198" s="8"/>
      <c r="O198" s="8"/>
      <c r="P198" s="8"/>
      <c r="Q198" s="8"/>
      <c r="R198" s="8"/>
      <c r="S198" s="8"/>
      <c r="T198" s="8"/>
      <c r="U198" s="8"/>
      <c r="V198" s="8"/>
      <c r="W198" s="8"/>
      <c r="X198" s="8"/>
      <c r="Y198" s="8"/>
      <c r="Z198" s="25"/>
    </row>
    <row r="199" spans="1:26">
      <c r="A199" s="8">
        <v>198</v>
      </c>
      <c r="B199" s="8"/>
      <c r="C199" s="8"/>
      <c r="D199" s="8" t="s">
        <v>880</v>
      </c>
      <c r="E199" s="16" t="s">
        <v>881</v>
      </c>
      <c r="F199" s="17" t="s">
        <v>882</v>
      </c>
      <c r="G199" s="18" t="s">
        <v>506</v>
      </c>
      <c r="H199" s="19"/>
      <c r="I199" s="20"/>
      <c r="J199" s="8">
        <f>2*1000</f>
        <v>2000</v>
      </c>
      <c r="K199" s="21">
        <v>8.819444444444444E-3</v>
      </c>
      <c r="L199" s="22" t="s">
        <v>812</v>
      </c>
      <c r="M199" s="8"/>
      <c r="N199" s="8"/>
      <c r="O199" s="8"/>
      <c r="P199" s="8"/>
      <c r="Q199" s="8"/>
      <c r="R199" s="8"/>
      <c r="S199" s="8"/>
      <c r="T199" s="8"/>
      <c r="U199" s="8"/>
      <c r="V199" s="8"/>
      <c r="W199" s="8"/>
      <c r="X199" s="8"/>
      <c r="Y199" s="8"/>
      <c r="Z199" s="25"/>
    </row>
    <row r="200" spans="1:26">
      <c r="A200" s="8">
        <v>199</v>
      </c>
      <c r="B200" s="8"/>
      <c r="C200" s="8"/>
      <c r="D200" s="8" t="s">
        <v>883</v>
      </c>
      <c r="E200" s="16" t="s">
        <v>884</v>
      </c>
      <c r="F200" s="17" t="s">
        <v>885</v>
      </c>
      <c r="G200" s="18" t="s">
        <v>805</v>
      </c>
      <c r="H200" s="19"/>
      <c r="I200" s="20"/>
      <c r="J200" s="8">
        <f>3.1*1000</f>
        <v>3100</v>
      </c>
      <c r="K200" s="21">
        <v>8.9930555555555545E-3</v>
      </c>
      <c r="L200" s="22" t="s">
        <v>812</v>
      </c>
      <c r="M200" s="8"/>
      <c r="N200" s="8"/>
      <c r="O200" s="8"/>
      <c r="P200" s="8"/>
      <c r="Q200" s="8"/>
      <c r="R200" s="8"/>
      <c r="S200" s="8"/>
      <c r="T200" s="8"/>
      <c r="U200" s="8"/>
      <c r="V200" s="8"/>
      <c r="W200" s="8"/>
      <c r="X200" s="8"/>
      <c r="Y200" s="8"/>
      <c r="Z200" s="25"/>
    </row>
    <row r="201" spans="1:26">
      <c r="A201" s="8">
        <v>200</v>
      </c>
      <c r="B201" s="8"/>
      <c r="C201" s="8"/>
      <c r="D201" s="8" t="s">
        <v>886</v>
      </c>
      <c r="E201" s="16" t="s">
        <v>887</v>
      </c>
      <c r="F201" s="17" t="s">
        <v>888</v>
      </c>
      <c r="G201" s="18" t="s">
        <v>249</v>
      </c>
      <c r="H201" s="19"/>
      <c r="I201" s="20"/>
      <c r="J201" s="8">
        <f>2.4*1000</f>
        <v>2400</v>
      </c>
      <c r="K201" s="21">
        <v>9.2592592592592605E-3</v>
      </c>
      <c r="L201" s="22" t="s">
        <v>812</v>
      </c>
      <c r="M201" s="8"/>
      <c r="N201" s="8"/>
      <c r="O201" s="8"/>
      <c r="P201" s="8"/>
      <c r="Q201" s="8"/>
      <c r="R201" s="8"/>
      <c r="S201" s="8"/>
      <c r="T201" s="8"/>
      <c r="U201" s="8"/>
      <c r="V201" s="8"/>
      <c r="W201" s="8"/>
      <c r="X201" s="8"/>
      <c r="Y201" s="8"/>
      <c r="Z201" s="25"/>
    </row>
    <row r="202" spans="1:26">
      <c r="A202" s="8">
        <v>201</v>
      </c>
      <c r="B202" s="8"/>
      <c r="C202" s="8"/>
      <c r="D202" s="8" t="s">
        <v>889</v>
      </c>
      <c r="E202" s="16" t="s">
        <v>890</v>
      </c>
      <c r="F202" s="17" t="s">
        <v>891</v>
      </c>
      <c r="G202" s="18" t="s">
        <v>892</v>
      </c>
      <c r="H202" s="19"/>
      <c r="I202" s="20"/>
      <c r="J202" s="8">
        <f>8.1*1000</f>
        <v>8100</v>
      </c>
      <c r="K202" s="21">
        <v>2.6388888888888885E-3</v>
      </c>
      <c r="L202" s="22" t="s">
        <v>893</v>
      </c>
      <c r="M202" s="8"/>
      <c r="N202" s="8"/>
      <c r="O202" s="8"/>
      <c r="P202" s="8"/>
      <c r="Q202" s="8"/>
      <c r="R202" s="8"/>
      <c r="S202" s="8"/>
      <c r="T202" s="8"/>
      <c r="U202" s="8"/>
      <c r="V202" s="8"/>
      <c r="W202" s="8"/>
      <c r="X202" s="8"/>
      <c r="Y202" s="8"/>
      <c r="Z202" s="25"/>
    </row>
    <row r="203" spans="1:26">
      <c r="A203" s="8">
        <v>202</v>
      </c>
      <c r="B203" s="8"/>
      <c r="C203" s="8"/>
      <c r="D203" s="8" t="s">
        <v>894</v>
      </c>
      <c r="E203" s="16" t="s">
        <v>895</v>
      </c>
      <c r="F203" s="17" t="s">
        <v>896</v>
      </c>
      <c r="G203" s="18" t="s">
        <v>770</v>
      </c>
      <c r="H203" s="19"/>
      <c r="I203" s="20"/>
      <c r="J203" s="8">
        <f>2.7*1000</f>
        <v>2700</v>
      </c>
      <c r="K203" s="21">
        <v>2.7199074074074074E-3</v>
      </c>
      <c r="L203" s="22" t="s">
        <v>893</v>
      </c>
      <c r="M203" s="8"/>
      <c r="N203" s="8"/>
      <c r="O203" s="8"/>
      <c r="P203" s="8"/>
      <c r="Q203" s="8"/>
      <c r="R203" s="8"/>
      <c r="S203" s="8"/>
      <c r="T203" s="8"/>
      <c r="U203" s="8"/>
      <c r="V203" s="8"/>
      <c r="W203" s="8"/>
      <c r="X203" s="8"/>
      <c r="Y203" s="8"/>
      <c r="Z203" s="25"/>
    </row>
    <row r="204" spans="1:26">
      <c r="A204" s="8">
        <v>203</v>
      </c>
      <c r="B204" s="8"/>
      <c r="C204" s="8"/>
      <c r="D204" s="8" t="s">
        <v>897</v>
      </c>
      <c r="E204" s="16" t="s">
        <v>898</v>
      </c>
      <c r="F204" s="17" t="s">
        <v>899</v>
      </c>
      <c r="G204" s="18" t="s">
        <v>455</v>
      </c>
      <c r="H204" s="19"/>
      <c r="I204" s="20"/>
      <c r="J204" s="8">
        <f>2.9*1000</f>
        <v>2900</v>
      </c>
      <c r="K204" s="21">
        <v>2.2800925925925927E-3</v>
      </c>
      <c r="L204" s="22" t="s">
        <v>893</v>
      </c>
      <c r="M204" s="8"/>
      <c r="N204" s="8"/>
      <c r="O204" s="8"/>
      <c r="P204" s="8"/>
      <c r="Q204" s="8"/>
      <c r="R204" s="8"/>
      <c r="S204" s="8"/>
      <c r="T204" s="8"/>
      <c r="U204" s="8"/>
      <c r="V204" s="8"/>
      <c r="W204" s="8"/>
      <c r="X204" s="8"/>
      <c r="Y204" s="8"/>
      <c r="Z204" s="25"/>
    </row>
    <row r="205" spans="1:26">
      <c r="A205" s="8">
        <v>204</v>
      </c>
      <c r="B205" s="8"/>
      <c r="C205" s="8"/>
      <c r="D205" s="8" t="s">
        <v>900</v>
      </c>
      <c r="E205" s="16" t="s">
        <v>901</v>
      </c>
      <c r="F205" s="17" t="s">
        <v>902</v>
      </c>
      <c r="G205" s="18" t="s">
        <v>517</v>
      </c>
      <c r="H205" s="19"/>
      <c r="I205" s="20"/>
      <c r="J205" s="8">
        <f t="shared" ref="J205:J206" si="4">3.9*1000</f>
        <v>3900</v>
      </c>
      <c r="K205" s="21">
        <v>4.3518518518518515E-3</v>
      </c>
      <c r="L205" s="22" t="s">
        <v>893</v>
      </c>
      <c r="M205" s="8"/>
      <c r="N205" s="8"/>
      <c r="O205" s="8"/>
      <c r="P205" s="8"/>
      <c r="Q205" s="8"/>
      <c r="R205" s="8"/>
      <c r="S205" s="8"/>
      <c r="T205" s="8"/>
      <c r="U205" s="8"/>
      <c r="V205" s="8"/>
      <c r="W205" s="8"/>
      <c r="X205" s="8"/>
      <c r="Y205" s="8"/>
      <c r="Z205" s="25"/>
    </row>
    <row r="206" spans="1:26">
      <c r="A206" s="8">
        <v>205</v>
      </c>
      <c r="B206" s="8"/>
      <c r="C206" s="8"/>
      <c r="D206" s="8" t="s">
        <v>903</v>
      </c>
      <c r="E206" s="16" t="s">
        <v>904</v>
      </c>
      <c r="F206" s="17" t="s">
        <v>905</v>
      </c>
      <c r="G206" s="18" t="s">
        <v>517</v>
      </c>
      <c r="H206" s="19"/>
      <c r="I206" s="20"/>
      <c r="J206" s="8">
        <f t="shared" si="4"/>
        <v>3900</v>
      </c>
      <c r="K206" s="21">
        <v>6.4930555555555549E-3</v>
      </c>
      <c r="L206" s="22" t="s">
        <v>893</v>
      </c>
      <c r="M206" s="8"/>
      <c r="N206" s="8"/>
      <c r="O206" s="8"/>
      <c r="P206" s="8"/>
      <c r="Q206" s="8"/>
      <c r="R206" s="8"/>
      <c r="S206" s="8"/>
      <c r="T206" s="8"/>
      <c r="U206" s="8"/>
      <c r="V206" s="8"/>
      <c r="W206" s="8"/>
      <c r="X206" s="8"/>
      <c r="Y206" s="8"/>
      <c r="Z206" s="25"/>
    </row>
    <row r="207" spans="1:26">
      <c r="A207" s="8">
        <v>206</v>
      </c>
      <c r="B207" s="8"/>
      <c r="C207" s="8"/>
      <c r="D207" s="8" t="s">
        <v>906</v>
      </c>
      <c r="E207" s="16" t="s">
        <v>907</v>
      </c>
      <c r="F207" s="17" t="s">
        <v>908</v>
      </c>
      <c r="G207" s="18" t="s">
        <v>351</v>
      </c>
      <c r="H207" s="19"/>
      <c r="I207" s="20"/>
      <c r="J207" s="8">
        <f>4.4*1000</f>
        <v>4400</v>
      </c>
      <c r="K207" s="21">
        <v>9.2129629629629627E-3</v>
      </c>
      <c r="L207" s="22" t="s">
        <v>893</v>
      </c>
      <c r="M207" s="8"/>
      <c r="N207" s="8"/>
      <c r="O207" s="8"/>
      <c r="P207" s="8"/>
      <c r="Q207" s="8"/>
      <c r="R207" s="8"/>
      <c r="S207" s="8"/>
      <c r="T207" s="8"/>
      <c r="U207" s="8"/>
      <c r="V207" s="8"/>
      <c r="W207" s="8"/>
      <c r="X207" s="8"/>
      <c r="Y207" s="8"/>
      <c r="Z207" s="25"/>
    </row>
    <row r="208" spans="1:26">
      <c r="A208" s="8">
        <v>207</v>
      </c>
      <c r="B208" s="8"/>
      <c r="C208" s="8"/>
      <c r="D208" s="8" t="s">
        <v>909</v>
      </c>
      <c r="E208" s="16" t="s">
        <v>910</v>
      </c>
      <c r="F208" s="17" t="s">
        <v>911</v>
      </c>
      <c r="G208" s="18" t="s">
        <v>912</v>
      </c>
      <c r="H208" s="19"/>
      <c r="I208" s="20"/>
      <c r="J208" s="8">
        <f>4.2*1000</f>
        <v>4200</v>
      </c>
      <c r="K208" s="21">
        <v>7.2337962962962963E-3</v>
      </c>
      <c r="L208" s="22" t="s">
        <v>893</v>
      </c>
      <c r="M208" s="8"/>
      <c r="N208" s="8"/>
      <c r="O208" s="8"/>
      <c r="P208" s="8"/>
      <c r="Q208" s="8"/>
      <c r="R208" s="8"/>
      <c r="S208" s="8"/>
      <c r="T208" s="8"/>
      <c r="U208" s="8"/>
      <c r="V208" s="8"/>
      <c r="W208" s="8"/>
      <c r="X208" s="8"/>
      <c r="Y208" s="8"/>
      <c r="Z208" s="25"/>
    </row>
    <row r="209" spans="1:26">
      <c r="A209" s="8">
        <v>208</v>
      </c>
      <c r="B209" s="8"/>
      <c r="C209" s="8"/>
      <c r="D209" s="8" t="s">
        <v>913</v>
      </c>
      <c r="E209" s="16" t="s">
        <v>914</v>
      </c>
      <c r="F209" s="17" t="s">
        <v>915</v>
      </c>
      <c r="G209" s="18" t="s">
        <v>155</v>
      </c>
      <c r="H209" s="19"/>
      <c r="I209" s="20"/>
      <c r="J209" s="8">
        <f>1.9*1000</f>
        <v>1900</v>
      </c>
      <c r="K209" s="21">
        <v>4.3981481481481484E-3</v>
      </c>
      <c r="L209" s="22" t="s">
        <v>893</v>
      </c>
      <c r="M209" s="8"/>
      <c r="N209" s="8"/>
      <c r="O209" s="8"/>
      <c r="P209" s="8"/>
      <c r="Q209" s="8"/>
      <c r="R209" s="8"/>
      <c r="S209" s="8"/>
      <c r="T209" s="8"/>
      <c r="U209" s="8"/>
      <c r="V209" s="8"/>
      <c r="W209" s="8"/>
      <c r="X209" s="8"/>
      <c r="Y209" s="8"/>
      <c r="Z209" s="25"/>
    </row>
    <row r="210" spans="1:26">
      <c r="A210" s="8">
        <v>209</v>
      </c>
      <c r="B210" s="8"/>
      <c r="C210" s="8"/>
      <c r="D210" s="8" t="s">
        <v>916</v>
      </c>
      <c r="E210" s="16" t="s">
        <v>917</v>
      </c>
      <c r="F210" s="17" t="s">
        <v>918</v>
      </c>
      <c r="G210" s="18" t="s">
        <v>919</v>
      </c>
      <c r="H210" s="19"/>
      <c r="I210" s="20"/>
      <c r="J210" s="8">
        <f>2.8*1000</f>
        <v>2800</v>
      </c>
      <c r="K210" s="21">
        <v>6.5393518518518517E-3</v>
      </c>
      <c r="L210" s="22" t="s">
        <v>893</v>
      </c>
      <c r="M210" s="8"/>
      <c r="N210" s="8"/>
      <c r="O210" s="8"/>
      <c r="P210" s="8"/>
      <c r="Q210" s="8"/>
      <c r="R210" s="8"/>
      <c r="S210" s="8"/>
      <c r="T210" s="8"/>
      <c r="U210" s="8"/>
      <c r="V210" s="8"/>
      <c r="W210" s="8"/>
      <c r="X210" s="8"/>
      <c r="Y210" s="8"/>
      <c r="Z210" s="25"/>
    </row>
    <row r="211" spans="1:26">
      <c r="A211" s="8">
        <v>210</v>
      </c>
      <c r="B211" s="8"/>
      <c r="C211" s="8"/>
      <c r="D211" s="8" t="s">
        <v>920</v>
      </c>
      <c r="E211" s="16" t="s">
        <v>921</v>
      </c>
      <c r="F211" s="17" t="s">
        <v>922</v>
      </c>
      <c r="G211" s="18" t="s">
        <v>374</v>
      </c>
      <c r="H211" s="19"/>
      <c r="I211" s="20"/>
      <c r="J211" s="8">
        <f>1.3*1000</f>
        <v>1300</v>
      </c>
      <c r="K211" s="21">
        <v>3.2175925925925926E-3</v>
      </c>
      <c r="L211" s="22" t="s">
        <v>893</v>
      </c>
      <c r="M211" s="8"/>
      <c r="N211" s="8"/>
      <c r="O211" s="8"/>
      <c r="P211" s="8"/>
      <c r="Q211" s="8"/>
      <c r="R211" s="8"/>
      <c r="S211" s="8"/>
      <c r="T211" s="8"/>
      <c r="U211" s="8"/>
      <c r="V211" s="8"/>
      <c r="W211" s="8"/>
      <c r="X211" s="8"/>
      <c r="Y211" s="8"/>
      <c r="Z211" s="25"/>
    </row>
    <row r="212" spans="1:26">
      <c r="A212" s="8">
        <v>211</v>
      </c>
      <c r="B212" s="8"/>
      <c r="C212" s="8"/>
      <c r="D212" s="8" t="s">
        <v>923</v>
      </c>
      <c r="E212" s="16" t="s">
        <v>924</v>
      </c>
      <c r="F212" s="17" t="s">
        <v>925</v>
      </c>
      <c r="G212" s="18" t="s">
        <v>926</v>
      </c>
      <c r="H212" s="19"/>
      <c r="I212" s="20"/>
      <c r="J212" s="8">
        <f>8.7*1000</f>
        <v>8700</v>
      </c>
      <c r="K212" s="21">
        <v>1.3078703703703703E-2</v>
      </c>
      <c r="L212" s="22" t="s">
        <v>893</v>
      </c>
      <c r="M212" s="8"/>
      <c r="N212" s="8"/>
      <c r="O212" s="8"/>
      <c r="P212" s="8"/>
      <c r="Q212" s="8"/>
      <c r="R212" s="8"/>
      <c r="S212" s="8"/>
      <c r="T212" s="8"/>
      <c r="U212" s="8"/>
      <c r="V212" s="8"/>
      <c r="W212" s="8"/>
      <c r="X212" s="8"/>
      <c r="Y212" s="8"/>
      <c r="Z212" s="25"/>
    </row>
    <row r="213" spans="1:26">
      <c r="A213" s="8">
        <v>212</v>
      </c>
      <c r="B213" s="8"/>
      <c r="C213" s="8"/>
      <c r="D213" s="8" t="s">
        <v>927</v>
      </c>
      <c r="E213" s="16" t="s">
        <v>928</v>
      </c>
      <c r="F213" s="17" t="s">
        <v>929</v>
      </c>
      <c r="G213" s="18" t="s">
        <v>249</v>
      </c>
      <c r="H213" s="19"/>
      <c r="I213" s="20"/>
      <c r="J213" s="8">
        <f>2.4*1000</f>
        <v>2400</v>
      </c>
      <c r="K213" s="21">
        <v>8.0092592592592594E-3</v>
      </c>
      <c r="L213" s="22" t="s">
        <v>893</v>
      </c>
      <c r="M213" s="8"/>
      <c r="N213" s="8"/>
      <c r="O213" s="8"/>
      <c r="P213" s="8"/>
      <c r="Q213" s="8"/>
      <c r="R213" s="8"/>
      <c r="S213" s="8"/>
      <c r="T213" s="8"/>
      <c r="U213" s="8"/>
      <c r="V213" s="8"/>
      <c r="W213" s="8"/>
      <c r="X213" s="8"/>
      <c r="Y213" s="8"/>
      <c r="Z213" s="25"/>
    </row>
    <row r="214" spans="1:26">
      <c r="A214" s="8">
        <v>213</v>
      </c>
      <c r="B214" s="8"/>
      <c r="C214" s="8"/>
      <c r="D214" s="8" t="s">
        <v>930</v>
      </c>
      <c r="E214" s="16" t="s">
        <v>931</v>
      </c>
      <c r="F214" s="17" t="s">
        <v>932</v>
      </c>
      <c r="G214" s="18" t="s">
        <v>919</v>
      </c>
      <c r="H214" s="19"/>
      <c r="I214" s="20"/>
      <c r="J214" s="8">
        <f>2.8*1000</f>
        <v>2800</v>
      </c>
      <c r="K214" s="21">
        <v>2.5462962962962961E-3</v>
      </c>
      <c r="L214" s="22" t="s">
        <v>893</v>
      </c>
      <c r="M214" s="8"/>
      <c r="N214" s="8"/>
      <c r="O214" s="8"/>
      <c r="P214" s="8"/>
      <c r="Q214" s="8"/>
      <c r="R214" s="8"/>
      <c r="S214" s="8"/>
      <c r="T214" s="8"/>
      <c r="U214" s="8"/>
      <c r="V214" s="8"/>
      <c r="W214" s="8"/>
      <c r="X214" s="8"/>
      <c r="Y214" s="8"/>
      <c r="Z214" s="25"/>
    </row>
    <row r="215" spans="1:26">
      <c r="A215" s="8">
        <v>214</v>
      </c>
      <c r="B215" s="8"/>
      <c r="C215" s="8"/>
      <c r="D215" s="8" t="s">
        <v>933</v>
      </c>
      <c r="E215" s="16" t="s">
        <v>934</v>
      </c>
      <c r="F215" s="27" t="s">
        <v>935</v>
      </c>
      <c r="G215" s="18" t="s">
        <v>892</v>
      </c>
      <c r="H215" s="19"/>
      <c r="I215" s="20"/>
      <c r="J215" s="8">
        <f>8.1*1000</f>
        <v>8100</v>
      </c>
      <c r="K215" s="21">
        <v>2.9814814814814811E-2</v>
      </c>
      <c r="L215" s="22" t="s">
        <v>893</v>
      </c>
      <c r="M215" s="8"/>
      <c r="N215" s="8"/>
      <c r="O215" s="8"/>
      <c r="P215" s="8"/>
      <c r="Q215" s="8"/>
      <c r="R215" s="8"/>
      <c r="S215" s="8"/>
      <c r="T215" s="8"/>
      <c r="U215" s="8"/>
      <c r="V215" s="8"/>
      <c r="W215" s="8"/>
      <c r="X215" s="8"/>
      <c r="Y215" s="8"/>
      <c r="Z215" s="25"/>
    </row>
    <row r="216" spans="1:26">
      <c r="A216" s="8">
        <v>215</v>
      </c>
      <c r="B216" s="8"/>
      <c r="C216" s="8"/>
      <c r="D216" s="8" t="s">
        <v>936</v>
      </c>
      <c r="E216" s="16" t="s">
        <v>937</v>
      </c>
      <c r="F216" s="17" t="s">
        <v>938</v>
      </c>
      <c r="G216" s="18" t="s">
        <v>144</v>
      </c>
      <c r="H216" s="19"/>
      <c r="I216" s="20"/>
      <c r="J216" s="8">
        <f>1.7*1000</f>
        <v>1700</v>
      </c>
      <c r="K216" s="21">
        <v>6.7939814814814816E-3</v>
      </c>
      <c r="L216" s="22" t="s">
        <v>893</v>
      </c>
      <c r="M216" s="8"/>
      <c r="N216" s="8"/>
      <c r="O216" s="8"/>
      <c r="P216" s="8"/>
      <c r="Q216" s="8"/>
      <c r="R216" s="8"/>
      <c r="S216" s="8"/>
      <c r="T216" s="8"/>
      <c r="U216" s="8"/>
      <c r="V216" s="8"/>
      <c r="W216" s="8"/>
      <c r="X216" s="8"/>
      <c r="Y216" s="8"/>
      <c r="Z216" s="25"/>
    </row>
    <row r="217" spans="1:26">
      <c r="A217" s="8">
        <v>216</v>
      </c>
      <c r="B217" s="8"/>
      <c r="C217" s="8"/>
      <c r="D217" s="8" t="s">
        <v>939</v>
      </c>
      <c r="E217" s="16" t="s">
        <v>940</v>
      </c>
      <c r="F217" s="17" t="s">
        <v>941</v>
      </c>
      <c r="G217" s="18" t="s">
        <v>517</v>
      </c>
      <c r="H217" s="19"/>
      <c r="I217" s="20"/>
      <c r="J217" s="8">
        <f>3.9*1000</f>
        <v>3900</v>
      </c>
      <c r="K217" s="21">
        <v>3.0902777777777782E-3</v>
      </c>
      <c r="L217" s="22" t="s">
        <v>893</v>
      </c>
      <c r="M217" s="8"/>
      <c r="N217" s="8"/>
      <c r="O217" s="8"/>
      <c r="P217" s="8"/>
      <c r="Q217" s="8"/>
      <c r="R217" s="8"/>
      <c r="S217" s="8"/>
      <c r="T217" s="8"/>
      <c r="U217" s="8"/>
      <c r="V217" s="8"/>
      <c r="W217" s="8"/>
      <c r="X217" s="8"/>
      <c r="Y217" s="8"/>
      <c r="Z217" s="25"/>
    </row>
    <row r="218" spans="1:26">
      <c r="A218" s="8">
        <v>217</v>
      </c>
      <c r="B218" s="8"/>
      <c r="C218" s="8"/>
      <c r="D218" s="8" t="s">
        <v>942</v>
      </c>
      <c r="E218" s="16" t="s">
        <v>943</v>
      </c>
      <c r="F218" s="17" t="s">
        <v>944</v>
      </c>
      <c r="G218" s="18">
        <v>254</v>
      </c>
      <c r="H218" s="19"/>
      <c r="I218" s="20"/>
      <c r="J218" s="8">
        <f>254</f>
        <v>254</v>
      </c>
      <c r="K218" s="21">
        <v>2.7314814814814819E-3</v>
      </c>
      <c r="L218" s="22" t="s">
        <v>893</v>
      </c>
      <c r="M218" s="8"/>
      <c r="N218" s="8"/>
      <c r="O218" s="8"/>
      <c r="P218" s="8"/>
      <c r="Q218" s="8"/>
      <c r="R218" s="8"/>
      <c r="S218" s="8"/>
      <c r="T218" s="8"/>
      <c r="U218" s="8"/>
      <c r="V218" s="8"/>
      <c r="W218" s="8"/>
      <c r="X218" s="8"/>
      <c r="Y218" s="8"/>
      <c r="Z218" s="25"/>
    </row>
    <row r="219" spans="1:26">
      <c r="A219" s="8">
        <v>218</v>
      </c>
      <c r="B219" s="8"/>
      <c r="C219" s="8"/>
      <c r="D219" s="8" t="s">
        <v>945</v>
      </c>
      <c r="E219" s="16" t="s">
        <v>946</v>
      </c>
      <c r="F219" s="27" t="s">
        <v>947</v>
      </c>
      <c r="G219" s="18" t="s">
        <v>135</v>
      </c>
      <c r="H219" s="19"/>
      <c r="I219" s="20"/>
      <c r="J219" s="8">
        <f>10*1000</f>
        <v>10000</v>
      </c>
      <c r="K219" s="21">
        <v>1.8865740740740742E-2</v>
      </c>
      <c r="L219" s="22" t="s">
        <v>893</v>
      </c>
      <c r="M219" s="8"/>
      <c r="N219" s="8"/>
      <c r="O219" s="8"/>
      <c r="P219" s="8"/>
      <c r="Q219" s="8"/>
      <c r="R219" s="8"/>
      <c r="S219" s="8"/>
      <c r="T219" s="8"/>
      <c r="U219" s="8"/>
      <c r="V219" s="8"/>
      <c r="W219" s="8"/>
      <c r="X219" s="8"/>
      <c r="Y219" s="8"/>
      <c r="Z219" s="25"/>
    </row>
    <row r="220" spans="1:26">
      <c r="A220" s="8">
        <v>219</v>
      </c>
      <c r="B220" s="8"/>
      <c r="C220" s="8"/>
      <c r="D220" s="8" t="s">
        <v>948</v>
      </c>
      <c r="E220" s="16" t="s">
        <v>949</v>
      </c>
      <c r="F220" s="27" t="s">
        <v>950</v>
      </c>
      <c r="G220" s="18" t="s">
        <v>951</v>
      </c>
      <c r="H220" s="19"/>
      <c r="I220" s="20"/>
      <c r="J220" s="8">
        <f>7.8*1000</f>
        <v>7800</v>
      </c>
      <c r="K220" s="21">
        <v>2.5567129629629634E-2</v>
      </c>
      <c r="L220" s="22" t="s">
        <v>893</v>
      </c>
      <c r="M220" s="8"/>
      <c r="N220" s="8"/>
      <c r="O220" s="8"/>
      <c r="P220" s="8"/>
      <c r="Q220" s="8"/>
      <c r="R220" s="8"/>
      <c r="S220" s="8"/>
      <c r="T220" s="8"/>
      <c r="U220" s="8"/>
      <c r="V220" s="8"/>
      <c r="W220" s="8"/>
      <c r="X220" s="8"/>
      <c r="Y220" s="8"/>
      <c r="Z220" s="25"/>
    </row>
    <row r="221" spans="1:26">
      <c r="A221" s="8">
        <v>220</v>
      </c>
      <c r="B221" s="8"/>
      <c r="C221" s="8"/>
      <c r="D221" s="8" t="s">
        <v>952</v>
      </c>
      <c r="E221" s="16" t="s">
        <v>953</v>
      </c>
      <c r="F221" s="17" t="s">
        <v>954</v>
      </c>
      <c r="G221" s="18">
        <v>499</v>
      </c>
      <c r="H221" s="19"/>
      <c r="I221" s="20"/>
      <c r="J221" s="8">
        <f>499</f>
        <v>499</v>
      </c>
      <c r="K221" s="21">
        <v>1.2291666666666666E-2</v>
      </c>
      <c r="L221" s="22" t="s">
        <v>893</v>
      </c>
      <c r="M221" s="8"/>
      <c r="N221" s="8"/>
      <c r="O221" s="8"/>
      <c r="P221" s="8"/>
      <c r="Q221" s="8"/>
      <c r="R221" s="8"/>
      <c r="S221" s="8"/>
      <c r="T221" s="8"/>
      <c r="U221" s="8"/>
      <c r="V221" s="8"/>
      <c r="W221" s="8"/>
      <c r="X221" s="8"/>
      <c r="Y221" s="8"/>
      <c r="Z221" s="25"/>
    </row>
    <row r="222" spans="1:26">
      <c r="A222" s="8">
        <v>221</v>
      </c>
      <c r="B222" s="8"/>
      <c r="C222" s="8"/>
      <c r="D222" s="8" t="s">
        <v>955</v>
      </c>
      <c r="E222" s="16" t="s">
        <v>956</v>
      </c>
      <c r="F222" s="17" t="s">
        <v>742</v>
      </c>
      <c r="G222" s="18" t="s">
        <v>597</v>
      </c>
      <c r="H222" s="19"/>
      <c r="I222" s="20"/>
      <c r="J222" s="8">
        <f>2.6*1000</f>
        <v>2600</v>
      </c>
      <c r="K222" s="21">
        <v>2.2916666666666667E-3</v>
      </c>
      <c r="L222" s="22" t="s">
        <v>893</v>
      </c>
      <c r="M222" s="8"/>
      <c r="N222" s="8"/>
      <c r="O222" s="8"/>
      <c r="P222" s="8"/>
      <c r="Q222" s="8"/>
      <c r="R222" s="8"/>
      <c r="S222" s="8"/>
      <c r="T222" s="8"/>
      <c r="U222" s="8"/>
      <c r="V222" s="8"/>
      <c r="W222" s="8"/>
      <c r="X222" s="8"/>
      <c r="Y222" s="8"/>
      <c r="Z222" s="25"/>
    </row>
    <row r="223" spans="1:26">
      <c r="A223" s="8">
        <v>222</v>
      </c>
      <c r="B223" s="8"/>
      <c r="C223" s="8"/>
      <c r="D223" s="8" t="s">
        <v>957</v>
      </c>
      <c r="E223" s="16" t="s">
        <v>958</v>
      </c>
      <c r="F223" s="17" t="s">
        <v>959</v>
      </c>
      <c r="G223" s="18" t="s">
        <v>396</v>
      </c>
      <c r="H223" s="19"/>
      <c r="I223" s="20"/>
      <c r="J223" s="8">
        <f>1.1*1000</f>
        <v>1100</v>
      </c>
      <c r="K223" s="21">
        <v>4.155092592592593E-3</v>
      </c>
      <c r="L223" s="22" t="s">
        <v>893</v>
      </c>
      <c r="M223" s="8"/>
      <c r="N223" s="8"/>
      <c r="O223" s="8"/>
      <c r="P223" s="8"/>
      <c r="Q223" s="8"/>
      <c r="R223" s="8"/>
      <c r="S223" s="8"/>
      <c r="T223" s="8"/>
      <c r="U223" s="8"/>
      <c r="V223" s="8"/>
      <c r="W223" s="8"/>
      <c r="X223" s="8"/>
      <c r="Y223" s="8"/>
      <c r="Z223" s="25"/>
    </row>
    <row r="224" spans="1:26">
      <c r="A224" s="8">
        <v>223</v>
      </c>
      <c r="B224" s="8"/>
      <c r="C224" s="8"/>
      <c r="D224" s="8" t="s">
        <v>960</v>
      </c>
      <c r="E224" s="16" t="s">
        <v>961</v>
      </c>
      <c r="F224" s="17" t="s">
        <v>962</v>
      </c>
      <c r="G224" s="18" t="s">
        <v>568</v>
      </c>
      <c r="H224" s="19"/>
      <c r="I224" s="20"/>
      <c r="J224" s="8">
        <f t="shared" ref="J224:J225" si="5">1.4*1000</f>
        <v>1400</v>
      </c>
      <c r="K224" s="21">
        <v>1.4814814814814814E-3</v>
      </c>
      <c r="L224" s="22" t="s">
        <v>893</v>
      </c>
      <c r="M224" s="8"/>
      <c r="N224" s="8"/>
      <c r="O224" s="8"/>
      <c r="P224" s="8"/>
      <c r="Q224" s="8"/>
      <c r="R224" s="8"/>
      <c r="S224" s="8"/>
      <c r="T224" s="8"/>
      <c r="U224" s="8"/>
      <c r="V224" s="8"/>
      <c r="W224" s="8"/>
      <c r="X224" s="8"/>
      <c r="Y224" s="8"/>
      <c r="Z224" s="25"/>
    </row>
    <row r="225" spans="1:26">
      <c r="A225" s="8">
        <v>224</v>
      </c>
      <c r="B225" s="8"/>
      <c r="C225" s="8"/>
      <c r="D225" s="8" t="s">
        <v>963</v>
      </c>
      <c r="E225" s="16" t="s">
        <v>964</v>
      </c>
      <c r="F225" s="17" t="s">
        <v>965</v>
      </c>
      <c r="G225" s="18" t="s">
        <v>568</v>
      </c>
      <c r="H225" s="19"/>
      <c r="I225" s="20"/>
      <c r="J225" s="8">
        <f t="shared" si="5"/>
        <v>1400</v>
      </c>
      <c r="K225" s="21">
        <v>1.5740740740740741E-3</v>
      </c>
      <c r="L225" s="22" t="s">
        <v>893</v>
      </c>
      <c r="M225" s="8"/>
      <c r="N225" s="8"/>
      <c r="O225" s="8"/>
      <c r="P225" s="8"/>
      <c r="Q225" s="8"/>
      <c r="R225" s="8"/>
      <c r="S225" s="8"/>
      <c r="T225" s="8"/>
      <c r="U225" s="8"/>
      <c r="V225" s="8"/>
      <c r="W225" s="8"/>
      <c r="X225" s="8"/>
      <c r="Y225" s="8"/>
      <c r="Z225" s="25"/>
    </row>
    <row r="226" spans="1:26">
      <c r="A226" s="8">
        <v>225</v>
      </c>
      <c r="B226" s="8"/>
      <c r="C226" s="8"/>
      <c r="D226" s="8" t="s">
        <v>966</v>
      </c>
      <c r="E226" s="16" t="s">
        <v>967</v>
      </c>
      <c r="F226" s="17" t="s">
        <v>968</v>
      </c>
      <c r="G226" s="18" t="s">
        <v>210</v>
      </c>
      <c r="H226" s="19"/>
      <c r="I226" s="20"/>
      <c r="J226" s="8">
        <f>3.6*1000</f>
        <v>3600</v>
      </c>
      <c r="K226" s="21">
        <v>7.3495370370370372E-3</v>
      </c>
      <c r="L226" s="22" t="s">
        <v>893</v>
      </c>
      <c r="M226" s="8"/>
      <c r="N226" s="8"/>
      <c r="O226" s="8"/>
      <c r="P226" s="8"/>
      <c r="Q226" s="8"/>
      <c r="R226" s="8"/>
      <c r="S226" s="8"/>
      <c r="T226" s="8"/>
      <c r="U226" s="8"/>
      <c r="V226" s="8"/>
      <c r="W226" s="8"/>
      <c r="X226" s="8"/>
      <c r="Y226" s="8"/>
      <c r="Z226" s="25"/>
    </row>
    <row r="227" spans="1:26">
      <c r="A227" s="8">
        <v>226</v>
      </c>
      <c r="B227" s="8"/>
      <c r="C227" s="8"/>
      <c r="D227" s="8" t="s">
        <v>969</v>
      </c>
      <c r="E227" s="16" t="s">
        <v>970</v>
      </c>
      <c r="F227" s="17" t="s">
        <v>384</v>
      </c>
      <c r="G227" s="18" t="s">
        <v>951</v>
      </c>
      <c r="H227" s="19"/>
      <c r="I227" s="20"/>
      <c r="J227" s="8">
        <f>7.8*1000</f>
        <v>7800</v>
      </c>
      <c r="K227" s="21">
        <v>2.5925925925925925E-3</v>
      </c>
      <c r="L227" s="22" t="s">
        <v>893</v>
      </c>
      <c r="M227" s="8"/>
      <c r="N227" s="8"/>
      <c r="O227" s="8"/>
      <c r="P227" s="8"/>
      <c r="Q227" s="8"/>
      <c r="R227" s="8"/>
      <c r="S227" s="8"/>
      <c r="T227" s="8"/>
      <c r="U227" s="8"/>
      <c r="V227" s="8"/>
      <c r="W227" s="8"/>
      <c r="X227" s="8"/>
      <c r="Y227" s="8"/>
      <c r="Z227" s="25"/>
    </row>
    <row r="228" spans="1:26">
      <c r="A228" s="8">
        <v>227</v>
      </c>
      <c r="B228" s="8"/>
      <c r="C228" s="8"/>
      <c r="D228" s="8" t="s">
        <v>971</v>
      </c>
      <c r="E228" s="16" t="s">
        <v>972</v>
      </c>
      <c r="F228" s="17" t="s">
        <v>973</v>
      </c>
      <c r="G228" s="18">
        <v>489</v>
      </c>
      <c r="H228" s="19"/>
      <c r="I228" s="20"/>
      <c r="J228" s="8">
        <f>489</f>
        <v>489</v>
      </c>
      <c r="K228" s="21">
        <v>4.4328703703703709E-3</v>
      </c>
      <c r="L228" s="22" t="s">
        <v>893</v>
      </c>
      <c r="M228" s="8"/>
      <c r="N228" s="8"/>
      <c r="O228" s="8"/>
      <c r="P228" s="8"/>
      <c r="Q228" s="8"/>
      <c r="R228" s="8"/>
      <c r="S228" s="8"/>
      <c r="T228" s="8"/>
      <c r="U228" s="8"/>
      <c r="V228" s="8"/>
      <c r="W228" s="8"/>
      <c r="X228" s="8"/>
      <c r="Y228" s="8"/>
      <c r="Z228" s="25"/>
    </row>
    <row r="229" spans="1:26">
      <c r="A229" s="8">
        <v>228</v>
      </c>
      <c r="B229" s="8"/>
      <c r="C229" s="8"/>
      <c r="D229" s="8" t="s">
        <v>974</v>
      </c>
      <c r="E229" s="16" t="s">
        <v>975</v>
      </c>
      <c r="F229" s="17" t="s">
        <v>891</v>
      </c>
      <c r="G229" s="18">
        <v>413</v>
      </c>
      <c r="H229" s="19"/>
      <c r="I229" s="20"/>
      <c r="J229" s="8">
        <f>413</f>
        <v>413</v>
      </c>
      <c r="K229" s="21">
        <v>2.6388888888888885E-3</v>
      </c>
      <c r="L229" s="22" t="s">
        <v>893</v>
      </c>
      <c r="M229" s="8"/>
      <c r="N229" s="8"/>
      <c r="O229" s="8"/>
      <c r="P229" s="8"/>
      <c r="Q229" s="8"/>
      <c r="R229" s="8"/>
      <c r="S229" s="8"/>
      <c r="T229" s="8"/>
      <c r="U229" s="8"/>
      <c r="V229" s="8"/>
      <c r="W229" s="8"/>
      <c r="X229" s="8"/>
      <c r="Y229" s="8"/>
      <c r="Z229" s="25"/>
    </row>
    <row r="230" spans="1:26">
      <c r="A230" s="8">
        <v>229</v>
      </c>
      <c r="B230" s="8"/>
      <c r="C230" s="8"/>
      <c r="D230" s="8" t="s">
        <v>976</v>
      </c>
      <c r="E230" s="16" t="s">
        <v>977</v>
      </c>
      <c r="F230" s="27" t="s">
        <v>978</v>
      </c>
      <c r="G230" s="18" t="s">
        <v>490</v>
      </c>
      <c r="H230" s="19"/>
      <c r="I230" s="20"/>
      <c r="J230" s="8">
        <f>11*1000</f>
        <v>11000</v>
      </c>
      <c r="K230" s="21">
        <v>3.4409722222222223E-2</v>
      </c>
      <c r="L230" s="22" t="s">
        <v>893</v>
      </c>
      <c r="M230" s="8"/>
      <c r="N230" s="8"/>
      <c r="O230" s="8"/>
      <c r="P230" s="8"/>
      <c r="Q230" s="8"/>
      <c r="R230" s="8"/>
      <c r="S230" s="8"/>
      <c r="T230" s="8"/>
      <c r="U230" s="8"/>
      <c r="V230" s="8"/>
      <c r="W230" s="8"/>
      <c r="X230" s="8"/>
      <c r="Y230" s="8"/>
      <c r="Z230" s="25"/>
    </row>
    <row r="231" spans="1:26">
      <c r="A231" s="8">
        <v>230</v>
      </c>
      <c r="B231" s="8"/>
      <c r="C231" s="8"/>
      <c r="D231" s="8" t="s">
        <v>979</v>
      </c>
      <c r="E231" s="16" t="s">
        <v>980</v>
      </c>
      <c r="F231" s="17" t="s">
        <v>120</v>
      </c>
      <c r="G231" s="18" t="s">
        <v>517</v>
      </c>
      <c r="H231" s="19"/>
      <c r="I231" s="20"/>
      <c r="J231" s="8">
        <f>3.9*1000</f>
        <v>3900</v>
      </c>
      <c r="K231" s="21">
        <v>1.0289351851851852E-2</v>
      </c>
      <c r="L231" s="22" t="s">
        <v>893</v>
      </c>
      <c r="M231" s="8"/>
      <c r="N231" s="8"/>
      <c r="O231" s="8"/>
      <c r="P231" s="8"/>
      <c r="Q231" s="8"/>
      <c r="R231" s="8"/>
      <c r="S231" s="8"/>
      <c r="T231" s="8"/>
      <c r="U231" s="8"/>
      <c r="V231" s="8"/>
      <c r="W231" s="8"/>
      <c r="X231" s="8"/>
      <c r="Y231" s="8"/>
      <c r="Z231" s="25"/>
    </row>
    <row r="232" spans="1:26">
      <c r="A232" s="8">
        <v>231</v>
      </c>
      <c r="B232" s="8"/>
      <c r="C232" s="8"/>
      <c r="D232" s="8" t="s">
        <v>981</v>
      </c>
      <c r="E232" s="16" t="s">
        <v>982</v>
      </c>
      <c r="F232" s="17" t="s">
        <v>983</v>
      </c>
      <c r="G232" s="18" t="s">
        <v>506</v>
      </c>
      <c r="H232" s="19"/>
      <c r="I232" s="20"/>
      <c r="J232" s="8">
        <f>2*1000</f>
        <v>2000</v>
      </c>
      <c r="K232" s="21">
        <v>1.136574074074074E-2</v>
      </c>
      <c r="L232" s="22" t="s">
        <v>893</v>
      </c>
      <c r="M232" s="8"/>
      <c r="N232" s="8"/>
      <c r="O232" s="8"/>
      <c r="P232" s="8"/>
      <c r="Q232" s="8"/>
      <c r="R232" s="8"/>
      <c r="S232" s="8"/>
      <c r="T232" s="8"/>
      <c r="U232" s="8"/>
      <c r="V232" s="8"/>
      <c r="W232" s="8"/>
      <c r="X232" s="8"/>
      <c r="Y232" s="8"/>
      <c r="Z232" s="25"/>
    </row>
    <row r="233" spans="1:26">
      <c r="A233" s="8">
        <v>232</v>
      </c>
      <c r="B233" s="8"/>
      <c r="C233" s="8"/>
      <c r="D233" s="8" t="s">
        <v>984</v>
      </c>
      <c r="E233" s="16" t="s">
        <v>985</v>
      </c>
      <c r="F233" s="17" t="s">
        <v>986</v>
      </c>
      <c r="G233" s="18">
        <v>769</v>
      </c>
      <c r="H233" s="19"/>
      <c r="I233" s="20"/>
      <c r="J233" s="8">
        <f>769</f>
        <v>769</v>
      </c>
      <c r="K233" s="21">
        <v>8.3912037037037045E-3</v>
      </c>
      <c r="L233" s="22" t="s">
        <v>893</v>
      </c>
      <c r="M233" s="8"/>
      <c r="N233" s="8"/>
      <c r="O233" s="8"/>
      <c r="P233" s="8"/>
      <c r="Q233" s="8"/>
      <c r="R233" s="8"/>
      <c r="S233" s="8"/>
      <c r="T233" s="8"/>
      <c r="U233" s="8"/>
      <c r="V233" s="8"/>
      <c r="W233" s="8"/>
      <c r="X233" s="8"/>
      <c r="Y233" s="8"/>
      <c r="Z233" s="25"/>
    </row>
    <row r="234" spans="1:26">
      <c r="A234" s="8">
        <v>233</v>
      </c>
      <c r="B234" s="8"/>
      <c r="C234" s="8"/>
      <c r="D234" s="8" t="s">
        <v>987</v>
      </c>
      <c r="E234" s="16" t="s">
        <v>988</v>
      </c>
      <c r="F234" s="17" t="s">
        <v>989</v>
      </c>
      <c r="G234" s="18">
        <v>651</v>
      </c>
      <c r="H234" s="19"/>
      <c r="I234" s="20"/>
      <c r="J234" s="8">
        <f>651</f>
        <v>651</v>
      </c>
      <c r="K234" s="21">
        <v>4.2361111111111106E-3</v>
      </c>
      <c r="L234" s="22" t="s">
        <v>893</v>
      </c>
      <c r="M234" s="8"/>
      <c r="N234" s="8"/>
      <c r="O234" s="8"/>
      <c r="P234" s="8"/>
      <c r="Q234" s="8"/>
      <c r="R234" s="8"/>
      <c r="S234" s="8"/>
      <c r="T234" s="8"/>
      <c r="U234" s="8"/>
      <c r="V234" s="8"/>
      <c r="W234" s="8"/>
      <c r="X234" s="8"/>
      <c r="Y234" s="8"/>
      <c r="Z234" s="25"/>
    </row>
    <row r="235" spans="1:26">
      <c r="A235" s="8">
        <v>234</v>
      </c>
      <c r="B235" s="8"/>
      <c r="C235" s="8"/>
      <c r="D235" s="8" t="s">
        <v>990</v>
      </c>
      <c r="E235" s="16" t="s">
        <v>991</v>
      </c>
      <c r="F235" s="17" t="s">
        <v>992</v>
      </c>
      <c r="G235" s="18">
        <v>957</v>
      </c>
      <c r="H235" s="19"/>
      <c r="I235" s="20"/>
      <c r="J235" s="8">
        <f>957</f>
        <v>957</v>
      </c>
      <c r="K235" s="21">
        <v>2.6504629629629625E-3</v>
      </c>
      <c r="L235" s="22" t="s">
        <v>893</v>
      </c>
      <c r="M235" s="8"/>
      <c r="N235" s="8"/>
      <c r="O235" s="8"/>
      <c r="P235" s="8"/>
      <c r="Q235" s="8"/>
      <c r="R235" s="8"/>
      <c r="S235" s="8"/>
      <c r="T235" s="8"/>
      <c r="U235" s="8"/>
      <c r="V235" s="8"/>
      <c r="W235" s="8"/>
      <c r="X235" s="8"/>
      <c r="Y235" s="8"/>
      <c r="Z235" s="25"/>
    </row>
    <row r="236" spans="1:26">
      <c r="A236" s="8">
        <v>235</v>
      </c>
      <c r="B236" s="8"/>
      <c r="C236" s="8"/>
      <c r="D236" s="8" t="s">
        <v>993</v>
      </c>
      <c r="E236" s="16" t="s">
        <v>994</v>
      </c>
      <c r="F236" s="17" t="s">
        <v>995</v>
      </c>
      <c r="G236" s="18" t="s">
        <v>445</v>
      </c>
      <c r="H236" s="19"/>
      <c r="I236" s="20"/>
      <c r="J236" s="8">
        <f>1.2*1000</f>
        <v>1200</v>
      </c>
      <c r="K236" s="21">
        <v>2.2685185185185182E-3</v>
      </c>
      <c r="L236" s="22" t="s">
        <v>893</v>
      </c>
      <c r="M236" s="8"/>
      <c r="N236" s="8"/>
      <c r="O236" s="8"/>
      <c r="P236" s="8"/>
      <c r="Q236" s="8"/>
      <c r="R236" s="8"/>
      <c r="S236" s="8"/>
      <c r="T236" s="8"/>
      <c r="U236" s="8"/>
      <c r="V236" s="8"/>
      <c r="W236" s="8"/>
      <c r="X236" s="8"/>
      <c r="Y236" s="8"/>
      <c r="Z236" s="25"/>
    </row>
    <row r="237" spans="1:26">
      <c r="A237" s="8">
        <v>236</v>
      </c>
      <c r="B237" s="8"/>
      <c r="C237" s="8"/>
      <c r="D237" s="8" t="s">
        <v>996</v>
      </c>
      <c r="E237" s="16" t="s">
        <v>997</v>
      </c>
      <c r="F237" s="17" t="s">
        <v>998</v>
      </c>
      <c r="G237" s="18">
        <v>895</v>
      </c>
      <c r="H237" s="19"/>
      <c r="I237" s="20"/>
      <c r="J237" s="8">
        <f>895</f>
        <v>895</v>
      </c>
      <c r="K237" s="21">
        <v>3.5532407407407405E-3</v>
      </c>
      <c r="L237" s="22" t="s">
        <v>893</v>
      </c>
      <c r="M237" s="8"/>
      <c r="N237" s="8"/>
      <c r="O237" s="8"/>
      <c r="P237" s="8"/>
      <c r="Q237" s="8"/>
      <c r="R237" s="8"/>
      <c r="S237" s="8"/>
      <c r="T237" s="8"/>
      <c r="U237" s="8"/>
      <c r="V237" s="8"/>
      <c r="W237" s="8"/>
      <c r="X237" s="8"/>
      <c r="Y237" s="8"/>
      <c r="Z237" s="25"/>
    </row>
    <row r="238" spans="1:26">
      <c r="A238" s="8">
        <v>237</v>
      </c>
      <c r="B238" s="8"/>
      <c r="C238" s="8"/>
      <c r="D238" s="8" t="s">
        <v>999</v>
      </c>
      <c r="E238" s="16" t="s">
        <v>1000</v>
      </c>
      <c r="F238" s="27" t="s">
        <v>1001</v>
      </c>
      <c r="G238" s="18" t="s">
        <v>502</v>
      </c>
      <c r="H238" s="19"/>
      <c r="I238" s="20"/>
      <c r="J238" s="8">
        <f>4.5*1000</f>
        <v>4500</v>
      </c>
      <c r="K238" s="21">
        <v>3.1932870370370368E-2</v>
      </c>
      <c r="L238" s="22" t="s">
        <v>893</v>
      </c>
      <c r="M238" s="8"/>
      <c r="N238" s="8"/>
      <c r="O238" s="8"/>
      <c r="P238" s="8"/>
      <c r="Q238" s="8"/>
      <c r="R238" s="8"/>
      <c r="S238" s="8"/>
      <c r="T238" s="8"/>
      <c r="U238" s="8"/>
      <c r="V238" s="8"/>
      <c r="W238" s="8"/>
      <c r="X238" s="8"/>
      <c r="Y238" s="8"/>
      <c r="Z238" s="25"/>
    </row>
    <row r="239" spans="1:26">
      <c r="A239" s="8">
        <v>238</v>
      </c>
      <c r="B239" s="8"/>
      <c r="C239" s="8"/>
      <c r="D239" s="8" t="s">
        <v>1002</v>
      </c>
      <c r="E239" s="16" t="s">
        <v>1003</v>
      </c>
      <c r="F239" s="17" t="s">
        <v>1004</v>
      </c>
      <c r="G239" s="18" t="s">
        <v>1005</v>
      </c>
      <c r="H239" s="19"/>
      <c r="I239" s="20"/>
      <c r="J239" s="8">
        <f>1.6*1000</f>
        <v>1600</v>
      </c>
      <c r="K239" s="21">
        <v>2.627314814814815E-3</v>
      </c>
      <c r="L239" s="22" t="s">
        <v>893</v>
      </c>
      <c r="M239" s="8"/>
      <c r="N239" s="8"/>
      <c r="O239" s="8"/>
      <c r="P239" s="8"/>
      <c r="Q239" s="8"/>
      <c r="R239" s="8"/>
      <c r="S239" s="8"/>
      <c r="T239" s="8"/>
      <c r="U239" s="8"/>
      <c r="V239" s="8"/>
      <c r="W239" s="8"/>
      <c r="X239" s="8"/>
      <c r="Y239" s="8"/>
      <c r="Z239" s="25"/>
    </row>
    <row r="240" spans="1:26">
      <c r="A240" s="8">
        <v>239</v>
      </c>
      <c r="B240" s="8"/>
      <c r="C240" s="8"/>
      <c r="D240" s="8" t="s">
        <v>1006</v>
      </c>
      <c r="E240" s="16" t="s">
        <v>1007</v>
      </c>
      <c r="F240" s="17" t="s">
        <v>181</v>
      </c>
      <c r="G240" s="18">
        <v>825</v>
      </c>
      <c r="H240" s="19"/>
      <c r="I240" s="20"/>
      <c r="J240" s="8">
        <f>825</f>
        <v>825</v>
      </c>
      <c r="K240" s="21">
        <v>2.2222222222222222E-3</v>
      </c>
      <c r="L240" s="22" t="s">
        <v>893</v>
      </c>
      <c r="M240" s="8"/>
      <c r="N240" s="8"/>
      <c r="O240" s="8"/>
      <c r="P240" s="8"/>
      <c r="Q240" s="8"/>
      <c r="R240" s="8"/>
      <c r="S240" s="8"/>
      <c r="T240" s="8"/>
      <c r="U240" s="8"/>
      <c r="V240" s="8"/>
      <c r="W240" s="8"/>
      <c r="X240" s="8"/>
      <c r="Y240" s="8"/>
      <c r="Z240" s="25"/>
    </row>
    <row r="241" spans="1:26">
      <c r="A241" s="8">
        <v>240</v>
      </c>
      <c r="B241" s="8"/>
      <c r="C241" s="8"/>
      <c r="D241" s="8" t="s">
        <v>1008</v>
      </c>
      <c r="E241" s="16" t="s">
        <v>1009</v>
      </c>
      <c r="F241" s="27" t="s">
        <v>1010</v>
      </c>
      <c r="G241" s="18" t="s">
        <v>1011</v>
      </c>
      <c r="H241" s="19"/>
      <c r="I241" s="20"/>
      <c r="J241" s="8">
        <f>9.9*1000</f>
        <v>9900</v>
      </c>
      <c r="K241" s="21">
        <v>2.1689814814814815E-2</v>
      </c>
      <c r="L241" s="22" t="s">
        <v>893</v>
      </c>
      <c r="M241" s="8"/>
      <c r="N241" s="8"/>
      <c r="O241" s="8"/>
      <c r="P241" s="8"/>
      <c r="Q241" s="8"/>
      <c r="R241" s="8"/>
      <c r="S241" s="8"/>
      <c r="T241" s="8"/>
      <c r="U241" s="8"/>
      <c r="V241" s="8"/>
      <c r="W241" s="8"/>
      <c r="X241" s="8"/>
      <c r="Y241" s="8"/>
      <c r="Z241" s="25"/>
    </row>
    <row r="242" spans="1:26">
      <c r="A242" s="8">
        <v>241</v>
      </c>
      <c r="B242" s="8"/>
      <c r="C242" s="8"/>
      <c r="D242" s="8" t="s">
        <v>1012</v>
      </c>
      <c r="E242" s="16" t="s">
        <v>1013</v>
      </c>
      <c r="F242" s="17" t="s">
        <v>1014</v>
      </c>
      <c r="G242" s="18">
        <v>906</v>
      </c>
      <c r="H242" s="19"/>
      <c r="I242" s="20"/>
      <c r="J242" s="8">
        <f>906</f>
        <v>906</v>
      </c>
      <c r="K242" s="21">
        <v>1.3310185185185185E-3</v>
      </c>
      <c r="L242" s="22" t="s">
        <v>893</v>
      </c>
      <c r="M242" s="8"/>
      <c r="N242" s="8"/>
      <c r="O242" s="8"/>
      <c r="P242" s="8"/>
      <c r="Q242" s="8"/>
      <c r="R242" s="8"/>
      <c r="S242" s="8"/>
      <c r="T242" s="8"/>
      <c r="U242" s="8"/>
      <c r="V242" s="8"/>
      <c r="W242" s="8"/>
      <c r="X242" s="8"/>
      <c r="Y242" s="8"/>
      <c r="Z242" s="25"/>
    </row>
    <row r="243" spans="1:26">
      <c r="A243" s="8">
        <v>242</v>
      </c>
      <c r="B243" s="8"/>
      <c r="C243" s="8"/>
      <c r="D243" s="8" t="s">
        <v>1015</v>
      </c>
      <c r="E243" s="16" t="s">
        <v>1016</v>
      </c>
      <c r="F243" s="17" t="s">
        <v>760</v>
      </c>
      <c r="G243" s="18">
        <v>861</v>
      </c>
      <c r="H243" s="19"/>
      <c r="I243" s="20"/>
      <c r="J243" s="8">
        <f>861</f>
        <v>861</v>
      </c>
      <c r="K243" s="21">
        <v>1.4699074074074074E-3</v>
      </c>
      <c r="L243" s="22" t="s">
        <v>893</v>
      </c>
      <c r="M243" s="8"/>
      <c r="N243" s="8"/>
      <c r="O243" s="8"/>
      <c r="P243" s="8"/>
      <c r="Q243" s="8"/>
      <c r="R243" s="8"/>
      <c r="S243" s="8"/>
      <c r="T243" s="8"/>
      <c r="U243" s="8"/>
      <c r="V243" s="8"/>
      <c r="W243" s="8"/>
      <c r="X243" s="8"/>
      <c r="Y243" s="8"/>
      <c r="Z243" s="25"/>
    </row>
    <row r="244" spans="1:26">
      <c r="A244" s="8">
        <v>243</v>
      </c>
      <c r="B244" s="8"/>
      <c r="C244" s="8"/>
      <c r="D244" s="8" t="s">
        <v>1017</v>
      </c>
      <c r="E244" s="16" t="s">
        <v>1018</v>
      </c>
      <c r="F244" s="17" t="s">
        <v>1019</v>
      </c>
      <c r="G244" s="18" t="s">
        <v>445</v>
      </c>
      <c r="H244" s="19"/>
      <c r="I244" s="20"/>
      <c r="J244" s="8">
        <f>1.2*1000</f>
        <v>1200</v>
      </c>
      <c r="K244" s="21">
        <v>2.8009259259259259E-3</v>
      </c>
      <c r="L244" s="22" t="s">
        <v>893</v>
      </c>
      <c r="M244" s="8"/>
      <c r="N244" s="8"/>
      <c r="O244" s="8"/>
      <c r="P244" s="8"/>
      <c r="Q244" s="8"/>
      <c r="R244" s="8"/>
      <c r="S244" s="8"/>
      <c r="T244" s="8"/>
      <c r="U244" s="8"/>
      <c r="V244" s="8"/>
      <c r="W244" s="8"/>
      <c r="X244" s="8"/>
      <c r="Y244" s="8"/>
      <c r="Z244" s="25"/>
    </row>
    <row r="245" spans="1:26">
      <c r="A245" s="8">
        <v>244</v>
      </c>
      <c r="B245" s="8"/>
      <c r="C245" s="8"/>
      <c r="D245" s="8" t="s">
        <v>1020</v>
      </c>
      <c r="E245" s="16" t="s">
        <v>1021</v>
      </c>
      <c r="F245" s="17" t="s">
        <v>225</v>
      </c>
      <c r="G245" s="18" t="s">
        <v>122</v>
      </c>
      <c r="H245" s="19"/>
      <c r="I245" s="20"/>
      <c r="J245" s="8">
        <f>4*1000</f>
        <v>4000</v>
      </c>
      <c r="K245" s="21">
        <v>7.1874999999999994E-3</v>
      </c>
      <c r="L245" s="22" t="s">
        <v>893</v>
      </c>
      <c r="M245" s="8"/>
      <c r="N245" s="8"/>
      <c r="O245" s="8"/>
      <c r="P245" s="8"/>
      <c r="Q245" s="8"/>
      <c r="R245" s="8"/>
      <c r="S245" s="8"/>
      <c r="T245" s="8"/>
      <c r="U245" s="8"/>
      <c r="V245" s="8"/>
      <c r="W245" s="8"/>
      <c r="X245" s="8"/>
      <c r="Y245" s="8"/>
      <c r="Z245" s="25"/>
    </row>
    <row r="246" spans="1:26">
      <c r="A246" s="8">
        <v>245</v>
      </c>
      <c r="B246" s="8"/>
      <c r="C246" s="8"/>
      <c r="D246" s="8" t="s">
        <v>1022</v>
      </c>
      <c r="E246" s="16" t="s">
        <v>1023</v>
      </c>
      <c r="F246" s="27" t="s">
        <v>1024</v>
      </c>
      <c r="G246" s="18" t="s">
        <v>490</v>
      </c>
      <c r="H246" s="19"/>
      <c r="I246" s="20"/>
      <c r="J246" s="8">
        <f>11*1000</f>
        <v>11000</v>
      </c>
      <c r="K246" s="21">
        <v>3.3321759259259259E-2</v>
      </c>
      <c r="L246" s="22" t="s">
        <v>893</v>
      </c>
      <c r="M246" s="8"/>
      <c r="N246" s="8"/>
      <c r="O246" s="8"/>
      <c r="P246" s="8"/>
      <c r="Q246" s="8"/>
      <c r="R246" s="8"/>
      <c r="S246" s="8"/>
      <c r="T246" s="8"/>
      <c r="U246" s="8"/>
      <c r="V246" s="8"/>
      <c r="W246" s="8"/>
      <c r="X246" s="8"/>
      <c r="Y246" s="8"/>
      <c r="Z246" s="25"/>
    </row>
    <row r="247" spans="1:26">
      <c r="A247" s="8">
        <v>246</v>
      </c>
      <c r="B247" s="8"/>
      <c r="C247" s="8"/>
      <c r="D247" s="8" t="s">
        <v>1025</v>
      </c>
      <c r="E247" s="16" t="s">
        <v>1026</v>
      </c>
      <c r="F247" s="17" t="s">
        <v>1027</v>
      </c>
      <c r="G247" s="18" t="s">
        <v>249</v>
      </c>
      <c r="H247" s="19"/>
      <c r="I247" s="20"/>
      <c r="J247" s="8">
        <f>2.4*1000</f>
        <v>2400</v>
      </c>
      <c r="K247" s="21">
        <v>3.6226851851851854E-3</v>
      </c>
      <c r="L247" s="22" t="s">
        <v>893</v>
      </c>
      <c r="M247" s="8"/>
      <c r="N247" s="8"/>
      <c r="O247" s="8"/>
      <c r="P247" s="8"/>
      <c r="Q247" s="8"/>
      <c r="R247" s="8"/>
      <c r="S247" s="8"/>
      <c r="T247" s="8"/>
      <c r="U247" s="8"/>
      <c r="V247" s="8"/>
      <c r="W247" s="8"/>
      <c r="X247" s="8"/>
      <c r="Y247" s="8"/>
      <c r="Z247" s="25"/>
    </row>
    <row r="248" spans="1:26">
      <c r="A248" s="8">
        <v>247</v>
      </c>
      <c r="B248" s="8"/>
      <c r="C248" s="8"/>
      <c r="D248" s="8" t="s">
        <v>1028</v>
      </c>
      <c r="E248" s="16" t="s">
        <v>1029</v>
      </c>
      <c r="F248" s="17" t="s">
        <v>1030</v>
      </c>
      <c r="G248" s="18">
        <v>329</v>
      </c>
      <c r="H248" s="19"/>
      <c r="I248" s="20"/>
      <c r="J248" s="8">
        <f>329</f>
        <v>329</v>
      </c>
      <c r="K248" s="21">
        <v>1.7592592592592592E-3</v>
      </c>
      <c r="L248" s="22" t="s">
        <v>893</v>
      </c>
      <c r="M248" s="8"/>
      <c r="N248" s="8"/>
      <c r="O248" s="8"/>
      <c r="P248" s="8"/>
      <c r="Q248" s="8"/>
      <c r="R248" s="8"/>
      <c r="S248" s="8"/>
      <c r="T248" s="8"/>
      <c r="U248" s="8"/>
      <c r="V248" s="8"/>
      <c r="W248" s="8"/>
      <c r="X248" s="8"/>
      <c r="Y248" s="8"/>
      <c r="Z248" s="25"/>
    </row>
    <row r="249" spans="1:26">
      <c r="A249" s="8">
        <v>248</v>
      </c>
      <c r="B249" s="8"/>
      <c r="C249" s="8"/>
      <c r="D249" s="8" t="s">
        <v>1031</v>
      </c>
      <c r="E249" s="16" t="s">
        <v>1032</v>
      </c>
      <c r="F249" s="27" t="s">
        <v>1033</v>
      </c>
      <c r="G249" s="18" t="s">
        <v>1034</v>
      </c>
      <c r="H249" s="19"/>
      <c r="I249" s="20"/>
      <c r="J249" s="8">
        <f>6.2*1000</f>
        <v>6200</v>
      </c>
      <c r="K249" s="21">
        <v>2.4016203703703706E-2</v>
      </c>
      <c r="L249" s="22" t="s">
        <v>893</v>
      </c>
      <c r="M249" s="8"/>
      <c r="N249" s="8"/>
      <c r="O249" s="8"/>
      <c r="P249" s="8"/>
      <c r="Q249" s="8"/>
      <c r="R249" s="8"/>
      <c r="S249" s="8"/>
      <c r="T249" s="8"/>
      <c r="U249" s="8"/>
      <c r="V249" s="8"/>
      <c r="W249" s="8"/>
      <c r="X249" s="8"/>
      <c r="Y249" s="8"/>
      <c r="Z249" s="25"/>
    </row>
    <row r="250" spans="1:26">
      <c r="A250" s="8">
        <v>249</v>
      </c>
      <c r="B250" s="8"/>
      <c r="C250" s="8"/>
      <c r="D250" s="8" t="s">
        <v>1035</v>
      </c>
      <c r="E250" s="16" t="s">
        <v>1036</v>
      </c>
      <c r="F250" s="27" t="s">
        <v>1037</v>
      </c>
      <c r="G250" s="18" t="s">
        <v>926</v>
      </c>
      <c r="H250" s="19"/>
      <c r="I250" s="20"/>
      <c r="J250" s="8">
        <f>8.7*1000</f>
        <v>8700</v>
      </c>
      <c r="K250" s="21">
        <v>2.3807870370370368E-2</v>
      </c>
      <c r="L250" s="22" t="s">
        <v>893</v>
      </c>
      <c r="M250" s="8"/>
      <c r="N250" s="8"/>
      <c r="O250" s="8"/>
      <c r="P250" s="8"/>
      <c r="Q250" s="8"/>
      <c r="R250" s="8"/>
      <c r="S250" s="8"/>
      <c r="T250" s="8"/>
      <c r="U250" s="8"/>
      <c r="V250" s="8"/>
      <c r="W250" s="8"/>
      <c r="X250" s="8"/>
      <c r="Y250" s="8"/>
      <c r="Z250" s="25"/>
    </row>
    <row r="251" spans="1:26">
      <c r="A251" s="8">
        <v>250</v>
      </c>
      <c r="B251" s="8"/>
      <c r="C251" s="8"/>
      <c r="D251" s="8" t="s">
        <v>1038</v>
      </c>
      <c r="E251" s="16" t="s">
        <v>1039</v>
      </c>
      <c r="F251" s="27" t="s">
        <v>1040</v>
      </c>
      <c r="G251" s="18" t="s">
        <v>1041</v>
      </c>
      <c r="H251" s="19"/>
      <c r="I251" s="20"/>
      <c r="J251" s="8">
        <f>31*1000</f>
        <v>31000</v>
      </c>
      <c r="K251" s="21">
        <v>3.9756944444444449E-2</v>
      </c>
      <c r="L251" s="22" t="s">
        <v>1042</v>
      </c>
      <c r="M251" s="8"/>
      <c r="N251" s="8"/>
      <c r="O251" s="8"/>
      <c r="P251" s="8"/>
      <c r="Q251" s="8"/>
      <c r="R251" s="8"/>
      <c r="S251" s="8"/>
      <c r="T251" s="8"/>
      <c r="U251" s="8"/>
      <c r="V251" s="8"/>
      <c r="W251" s="8"/>
      <c r="X251" s="8"/>
      <c r="Y251" s="8"/>
      <c r="Z251" s="25"/>
    </row>
    <row r="252" spans="1:26">
      <c r="A252" s="8">
        <v>251</v>
      </c>
      <c r="B252" s="8"/>
      <c r="C252" s="8"/>
      <c r="D252" s="8" t="s">
        <v>1043</v>
      </c>
      <c r="E252" s="16" t="s">
        <v>1044</v>
      </c>
      <c r="F252" s="29" t="s">
        <v>1045</v>
      </c>
      <c r="G252" s="18" t="s">
        <v>1046</v>
      </c>
      <c r="H252" s="19"/>
      <c r="I252" s="20"/>
      <c r="J252" s="8">
        <f>20*1000</f>
        <v>20000</v>
      </c>
      <c r="K252" s="21">
        <v>7.3252314814814812E-2</v>
      </c>
      <c r="L252" s="22" t="s">
        <v>1042</v>
      </c>
      <c r="M252" s="8"/>
      <c r="N252" s="8"/>
      <c r="O252" s="8"/>
      <c r="P252" s="8"/>
      <c r="Q252" s="8"/>
      <c r="R252" s="8"/>
      <c r="S252" s="8"/>
      <c r="T252" s="8"/>
      <c r="U252" s="8"/>
      <c r="V252" s="8"/>
      <c r="W252" s="8"/>
      <c r="X252" s="8"/>
      <c r="Y252" s="8"/>
      <c r="Z252" s="25"/>
    </row>
    <row r="253" spans="1:26">
      <c r="A253" s="8">
        <v>252</v>
      </c>
      <c r="B253" s="8"/>
      <c r="C253" s="8"/>
      <c r="D253" s="8" t="s">
        <v>1047</v>
      </c>
      <c r="E253" s="16" t="s">
        <v>1048</v>
      </c>
      <c r="F253" s="27" t="s">
        <v>1049</v>
      </c>
      <c r="G253" s="18" t="s">
        <v>486</v>
      </c>
      <c r="H253" s="19"/>
      <c r="I253" s="20"/>
      <c r="J253" s="8">
        <f>7.9*1000</f>
        <v>7900</v>
      </c>
      <c r="K253" s="21">
        <v>2.2789351851851852E-2</v>
      </c>
      <c r="L253" s="22" t="s">
        <v>1042</v>
      </c>
      <c r="M253" s="8"/>
      <c r="N253" s="8"/>
      <c r="O253" s="8"/>
      <c r="P253" s="8"/>
      <c r="Q253" s="8"/>
      <c r="R253" s="8"/>
      <c r="S253" s="8"/>
      <c r="T253" s="8"/>
      <c r="U253" s="8"/>
      <c r="V253" s="8"/>
      <c r="W253" s="8"/>
      <c r="X253" s="8"/>
      <c r="Y253" s="8"/>
      <c r="Z253" s="25"/>
    </row>
    <row r="254" spans="1:26">
      <c r="A254" s="8">
        <v>253</v>
      </c>
      <c r="B254" s="8"/>
      <c r="C254" s="8"/>
      <c r="D254" s="8" t="s">
        <v>1050</v>
      </c>
      <c r="E254" s="16" t="s">
        <v>1051</v>
      </c>
      <c r="F254" s="17" t="s">
        <v>1052</v>
      </c>
      <c r="G254" s="18" t="s">
        <v>506</v>
      </c>
      <c r="H254" s="19"/>
      <c r="I254" s="20"/>
      <c r="J254" s="8">
        <f>2*1000</f>
        <v>2000</v>
      </c>
      <c r="K254" s="21">
        <v>7.0717592592592594E-3</v>
      </c>
      <c r="L254" s="22" t="s">
        <v>1042</v>
      </c>
      <c r="M254" s="8"/>
      <c r="N254" s="8"/>
      <c r="O254" s="8"/>
      <c r="P254" s="8"/>
      <c r="Q254" s="8"/>
      <c r="R254" s="8"/>
      <c r="S254" s="8"/>
      <c r="T254" s="8"/>
      <c r="U254" s="8"/>
      <c r="V254" s="8"/>
      <c r="W254" s="8"/>
      <c r="X254" s="8"/>
      <c r="Y254" s="8"/>
      <c r="Z254" s="25"/>
    </row>
    <row r="255" spans="1:26">
      <c r="A255" s="8">
        <v>254</v>
      </c>
      <c r="B255" s="8"/>
      <c r="C255" s="8"/>
      <c r="D255" s="8" t="s">
        <v>1053</v>
      </c>
      <c r="E255" s="16" t="s">
        <v>1054</v>
      </c>
      <c r="F255" s="17" t="s">
        <v>1055</v>
      </c>
      <c r="G255" s="18" t="s">
        <v>187</v>
      </c>
      <c r="H255" s="19"/>
      <c r="I255" s="20"/>
      <c r="J255" s="8">
        <f>1.5*1000</f>
        <v>1500</v>
      </c>
      <c r="K255" s="21">
        <v>5.0578703703703706E-3</v>
      </c>
      <c r="L255" s="22" t="s">
        <v>1042</v>
      </c>
      <c r="M255" s="8"/>
      <c r="N255" s="8"/>
      <c r="O255" s="8"/>
      <c r="P255" s="8"/>
      <c r="Q255" s="8"/>
      <c r="R255" s="8"/>
      <c r="S255" s="8"/>
      <c r="T255" s="8"/>
      <c r="U255" s="8"/>
      <c r="V255" s="8"/>
      <c r="W255" s="8"/>
      <c r="X255" s="8"/>
      <c r="Y255" s="8"/>
      <c r="Z255" s="25"/>
    </row>
    <row r="256" spans="1:26">
      <c r="A256" s="8">
        <v>255</v>
      </c>
      <c r="B256" s="8"/>
      <c r="C256" s="8"/>
      <c r="D256" s="8" t="s">
        <v>1056</v>
      </c>
      <c r="E256" s="16" t="s">
        <v>1057</v>
      </c>
      <c r="F256" s="27" t="s">
        <v>1058</v>
      </c>
      <c r="G256" s="18" t="s">
        <v>438</v>
      </c>
      <c r="H256" s="19"/>
      <c r="I256" s="20"/>
      <c r="J256" s="8">
        <f>2.3*1000</f>
        <v>2300</v>
      </c>
      <c r="K256" s="21">
        <v>0.02</v>
      </c>
      <c r="L256" s="22" t="s">
        <v>1042</v>
      </c>
      <c r="M256" s="8"/>
      <c r="N256" s="8"/>
      <c r="O256" s="8"/>
      <c r="P256" s="8"/>
      <c r="Q256" s="8"/>
      <c r="R256" s="8"/>
      <c r="S256" s="8"/>
      <c r="T256" s="8"/>
      <c r="U256" s="8"/>
      <c r="V256" s="8"/>
      <c r="W256" s="8"/>
      <c r="X256" s="8"/>
      <c r="Y256" s="8"/>
      <c r="Z256" s="25"/>
    </row>
    <row r="257" spans="1:26">
      <c r="A257" s="8">
        <v>256</v>
      </c>
      <c r="B257" s="8"/>
      <c r="C257" s="8"/>
      <c r="D257" s="8" t="s">
        <v>1059</v>
      </c>
      <c r="E257" s="16" t="s">
        <v>1060</v>
      </c>
      <c r="F257" s="17" t="s">
        <v>1061</v>
      </c>
      <c r="G257" s="18" t="s">
        <v>847</v>
      </c>
      <c r="H257" s="19"/>
      <c r="I257" s="20"/>
      <c r="J257" s="8">
        <f>3.8*1000</f>
        <v>3800</v>
      </c>
      <c r="K257" s="21">
        <v>2.2337962962962967E-3</v>
      </c>
      <c r="L257" s="22" t="s">
        <v>1042</v>
      </c>
      <c r="M257" s="8"/>
      <c r="N257" s="8"/>
      <c r="O257" s="8"/>
      <c r="P257" s="8"/>
      <c r="Q257" s="8"/>
      <c r="R257" s="8"/>
      <c r="S257" s="8"/>
      <c r="T257" s="8"/>
      <c r="U257" s="8"/>
      <c r="V257" s="8"/>
      <c r="W257" s="8"/>
      <c r="X257" s="8"/>
      <c r="Y257" s="8"/>
      <c r="Z257" s="25"/>
    </row>
    <row r="258" spans="1:26">
      <c r="A258" s="8">
        <v>257</v>
      </c>
      <c r="B258" s="8"/>
      <c r="C258" s="8"/>
      <c r="D258" s="8" t="s">
        <v>1062</v>
      </c>
      <c r="E258" s="16" t="s">
        <v>1063</v>
      </c>
      <c r="F258" s="27" t="s">
        <v>1064</v>
      </c>
      <c r="G258" s="18" t="s">
        <v>568</v>
      </c>
      <c r="H258" s="19"/>
      <c r="I258" s="20"/>
      <c r="J258" s="8">
        <f>1.4*1000</f>
        <v>1400</v>
      </c>
      <c r="K258" s="21">
        <v>1.9456018518518518E-2</v>
      </c>
      <c r="L258" s="22" t="s">
        <v>1042</v>
      </c>
      <c r="M258" s="8"/>
      <c r="N258" s="8"/>
      <c r="O258" s="8"/>
      <c r="P258" s="8"/>
      <c r="Q258" s="8"/>
      <c r="R258" s="8"/>
      <c r="S258" s="8"/>
      <c r="T258" s="8"/>
      <c r="U258" s="8"/>
      <c r="V258" s="8"/>
      <c r="W258" s="8"/>
      <c r="X258" s="8"/>
      <c r="Y258" s="8"/>
      <c r="Z258" s="25"/>
    </row>
    <row r="259" spans="1:26">
      <c r="A259" s="8">
        <v>258</v>
      </c>
      <c r="B259" s="8"/>
      <c r="C259" s="8"/>
      <c r="D259" s="8" t="s">
        <v>1065</v>
      </c>
      <c r="E259" s="16" t="s">
        <v>1066</v>
      </c>
      <c r="F259" s="17" t="s">
        <v>888</v>
      </c>
      <c r="G259" s="18" t="s">
        <v>290</v>
      </c>
      <c r="H259" s="19"/>
      <c r="I259" s="20"/>
      <c r="J259" s="8">
        <f>6.9*1000</f>
        <v>6900</v>
      </c>
      <c r="K259" s="21">
        <v>9.2592592592592605E-3</v>
      </c>
      <c r="L259" s="22" t="s">
        <v>1042</v>
      </c>
      <c r="M259" s="8"/>
      <c r="N259" s="8"/>
      <c r="O259" s="8"/>
      <c r="P259" s="8"/>
      <c r="Q259" s="8"/>
      <c r="R259" s="8"/>
      <c r="S259" s="8"/>
      <c r="T259" s="8"/>
      <c r="U259" s="8"/>
      <c r="V259" s="8"/>
      <c r="W259" s="8"/>
      <c r="X259" s="8"/>
      <c r="Y259" s="8"/>
      <c r="Z259" s="25"/>
    </row>
    <row r="260" spans="1:26">
      <c r="A260" s="8">
        <v>259</v>
      </c>
      <c r="B260" s="8"/>
      <c r="C260" s="8"/>
      <c r="D260" s="8" t="s">
        <v>1067</v>
      </c>
      <c r="E260" s="16" t="s">
        <v>1068</v>
      </c>
      <c r="F260" s="17" t="s">
        <v>1069</v>
      </c>
      <c r="G260" s="18" t="s">
        <v>1070</v>
      </c>
      <c r="H260" s="19"/>
      <c r="I260" s="20"/>
      <c r="J260" s="8">
        <f>29*1000</f>
        <v>29000</v>
      </c>
      <c r="K260" s="21">
        <v>8.8541666666666664E-3</v>
      </c>
      <c r="L260" s="22" t="s">
        <v>1042</v>
      </c>
      <c r="M260" s="8"/>
      <c r="N260" s="8"/>
      <c r="O260" s="8"/>
      <c r="P260" s="8"/>
      <c r="Q260" s="8"/>
      <c r="R260" s="8"/>
      <c r="S260" s="8"/>
      <c r="T260" s="8"/>
      <c r="U260" s="8"/>
      <c r="V260" s="8"/>
      <c r="W260" s="8"/>
      <c r="X260" s="8"/>
      <c r="Y260" s="8"/>
      <c r="Z260" s="25"/>
    </row>
    <row r="261" spans="1:26">
      <c r="A261" s="8">
        <v>260</v>
      </c>
      <c r="B261" s="8"/>
      <c r="C261" s="8"/>
      <c r="D261" s="8" t="s">
        <v>1071</v>
      </c>
      <c r="E261" s="16" t="s">
        <v>1072</v>
      </c>
      <c r="F261" s="17" t="s">
        <v>1073</v>
      </c>
      <c r="G261" s="18" t="s">
        <v>597</v>
      </c>
      <c r="H261" s="19"/>
      <c r="I261" s="20"/>
      <c r="J261" s="8">
        <f>2.6*1000</f>
        <v>2600</v>
      </c>
      <c r="K261" s="21">
        <v>3.9236111111111112E-3</v>
      </c>
      <c r="L261" s="22" t="s">
        <v>1042</v>
      </c>
      <c r="M261" s="8"/>
      <c r="N261" s="8"/>
      <c r="O261" s="8"/>
      <c r="P261" s="8"/>
      <c r="Q261" s="8"/>
      <c r="R261" s="8"/>
      <c r="S261" s="8"/>
      <c r="T261" s="8"/>
      <c r="U261" s="8"/>
      <c r="V261" s="8"/>
      <c r="W261" s="8"/>
      <c r="X261" s="8"/>
      <c r="Y261" s="8"/>
      <c r="Z261" s="25"/>
    </row>
    <row r="262" spans="1:26">
      <c r="A262" s="8">
        <v>261</v>
      </c>
      <c r="B262" s="8"/>
      <c r="C262" s="8"/>
      <c r="D262" s="8" t="s">
        <v>1074</v>
      </c>
      <c r="E262" s="16" t="s">
        <v>1075</v>
      </c>
      <c r="F262" s="17" t="s">
        <v>712</v>
      </c>
      <c r="G262" s="18" t="s">
        <v>214</v>
      </c>
      <c r="H262" s="19"/>
      <c r="I262" s="20"/>
      <c r="J262" s="8">
        <f>1*1000</f>
        <v>1000</v>
      </c>
      <c r="K262" s="21">
        <v>3.1249999999999997E-3</v>
      </c>
      <c r="L262" s="22" t="s">
        <v>1042</v>
      </c>
      <c r="M262" s="8"/>
      <c r="N262" s="8"/>
      <c r="O262" s="8"/>
      <c r="P262" s="8"/>
      <c r="Q262" s="8"/>
      <c r="R262" s="8"/>
      <c r="S262" s="8"/>
      <c r="T262" s="8"/>
      <c r="U262" s="8"/>
      <c r="V262" s="8"/>
      <c r="W262" s="8"/>
      <c r="X262" s="8"/>
      <c r="Y262" s="8"/>
      <c r="Z262" s="25"/>
    </row>
    <row r="263" spans="1:26">
      <c r="A263" s="8">
        <v>262</v>
      </c>
      <c r="B263" s="8"/>
      <c r="C263" s="8"/>
      <c r="D263" s="8" t="s">
        <v>1076</v>
      </c>
      <c r="E263" s="16" t="s">
        <v>1077</v>
      </c>
      <c r="F263" s="27" t="s">
        <v>1078</v>
      </c>
      <c r="G263" s="18" t="s">
        <v>1079</v>
      </c>
      <c r="H263" s="19"/>
      <c r="I263" s="20"/>
      <c r="J263" s="8">
        <f>5*1000</f>
        <v>5000</v>
      </c>
      <c r="K263" s="21">
        <v>1.7476851851851851E-2</v>
      </c>
      <c r="L263" s="22" t="s">
        <v>1042</v>
      </c>
      <c r="M263" s="8"/>
      <c r="N263" s="8"/>
      <c r="O263" s="8"/>
      <c r="P263" s="8"/>
      <c r="Q263" s="8"/>
      <c r="R263" s="8"/>
      <c r="S263" s="8"/>
      <c r="T263" s="8"/>
      <c r="U263" s="8"/>
      <c r="V263" s="8"/>
      <c r="W263" s="8"/>
      <c r="X263" s="8"/>
      <c r="Y263" s="8"/>
      <c r="Z263" s="25"/>
    </row>
    <row r="264" spans="1:26">
      <c r="A264" s="8">
        <v>263</v>
      </c>
      <c r="B264" s="8"/>
      <c r="C264" s="8"/>
      <c r="D264" s="8" t="s">
        <v>1080</v>
      </c>
      <c r="E264" s="16" t="s">
        <v>1081</v>
      </c>
      <c r="F264" s="17" t="s">
        <v>1082</v>
      </c>
      <c r="G264" s="18" t="s">
        <v>502</v>
      </c>
      <c r="H264" s="19"/>
      <c r="I264" s="20"/>
      <c r="J264" s="8">
        <f>4.5*1000</f>
        <v>4500</v>
      </c>
      <c r="K264" s="21">
        <v>1.9560185185185184E-3</v>
      </c>
      <c r="L264" s="22" t="s">
        <v>1042</v>
      </c>
      <c r="M264" s="8"/>
      <c r="N264" s="8"/>
      <c r="O264" s="8"/>
      <c r="P264" s="8"/>
      <c r="Q264" s="8"/>
      <c r="R264" s="8"/>
      <c r="S264" s="8"/>
      <c r="T264" s="8"/>
      <c r="U264" s="8"/>
      <c r="V264" s="8"/>
      <c r="W264" s="8"/>
      <c r="X264" s="8"/>
      <c r="Y264" s="8"/>
      <c r="Z264" s="25"/>
    </row>
    <row r="265" spans="1:26">
      <c r="A265" s="8">
        <v>264</v>
      </c>
      <c r="B265" s="8"/>
      <c r="C265" s="8"/>
      <c r="D265" s="8" t="s">
        <v>1083</v>
      </c>
      <c r="E265" s="16" t="s">
        <v>1084</v>
      </c>
      <c r="F265" s="17" t="s">
        <v>1085</v>
      </c>
      <c r="G265" s="18" t="s">
        <v>568</v>
      </c>
      <c r="H265" s="19"/>
      <c r="I265" s="20"/>
      <c r="J265" s="8">
        <f>1.4*1000</f>
        <v>1400</v>
      </c>
      <c r="K265" s="21">
        <v>4.1319444444444442E-3</v>
      </c>
      <c r="L265" s="22" t="s">
        <v>1042</v>
      </c>
      <c r="M265" s="8"/>
      <c r="N265" s="8"/>
      <c r="O265" s="8"/>
      <c r="P265" s="8"/>
      <c r="Q265" s="8"/>
      <c r="R265" s="8"/>
      <c r="S265" s="8"/>
      <c r="T265" s="8"/>
      <c r="U265" s="8"/>
      <c r="V265" s="8"/>
      <c r="W265" s="8"/>
      <c r="X265" s="8"/>
      <c r="Y265" s="8"/>
      <c r="Z265" s="25"/>
    </row>
    <row r="266" spans="1:26">
      <c r="A266" s="8">
        <v>265</v>
      </c>
      <c r="B266" s="8"/>
      <c r="C266" s="8"/>
      <c r="D266" s="8" t="s">
        <v>1086</v>
      </c>
      <c r="E266" s="16" t="s">
        <v>1087</v>
      </c>
      <c r="F266" s="27" t="s">
        <v>1088</v>
      </c>
      <c r="G266" s="18" t="s">
        <v>837</v>
      </c>
      <c r="H266" s="19"/>
      <c r="I266" s="20"/>
      <c r="J266" s="8">
        <f>6.8*1000</f>
        <v>6800</v>
      </c>
      <c r="K266" s="21">
        <v>3.6122685185185181E-2</v>
      </c>
      <c r="L266" s="22" t="s">
        <v>1042</v>
      </c>
      <c r="M266" s="8"/>
      <c r="N266" s="8"/>
      <c r="O266" s="8"/>
      <c r="P266" s="8"/>
      <c r="Q266" s="8"/>
      <c r="R266" s="8"/>
      <c r="S266" s="8"/>
      <c r="T266" s="8"/>
      <c r="U266" s="8"/>
      <c r="V266" s="8"/>
      <c r="W266" s="8"/>
      <c r="X266" s="8"/>
      <c r="Y266" s="8"/>
      <c r="Z266" s="25"/>
    </row>
    <row r="267" spans="1:26">
      <c r="A267" s="8">
        <v>266</v>
      </c>
      <c r="B267" s="8"/>
      <c r="C267" s="8"/>
      <c r="D267" s="8" t="s">
        <v>1089</v>
      </c>
      <c r="E267" s="16" t="s">
        <v>1090</v>
      </c>
      <c r="F267" s="27" t="s">
        <v>1091</v>
      </c>
      <c r="G267" s="18" t="s">
        <v>232</v>
      </c>
      <c r="H267" s="19"/>
      <c r="I267" s="20"/>
      <c r="J267" s="8">
        <f>3.2*1000</f>
        <v>3200</v>
      </c>
      <c r="K267" s="21">
        <v>2.8125000000000001E-2</v>
      </c>
      <c r="L267" s="22" t="s">
        <v>1042</v>
      </c>
      <c r="M267" s="8"/>
      <c r="N267" s="8"/>
      <c r="O267" s="8"/>
      <c r="P267" s="8"/>
      <c r="Q267" s="8"/>
      <c r="R267" s="8"/>
      <c r="S267" s="8"/>
      <c r="T267" s="8"/>
      <c r="U267" s="8"/>
      <c r="V267" s="8"/>
      <c r="W267" s="8"/>
      <c r="X267" s="8"/>
      <c r="Y267" s="8"/>
      <c r="Z267" s="25"/>
    </row>
    <row r="268" spans="1:26">
      <c r="A268" s="8">
        <v>267</v>
      </c>
      <c r="B268" s="8"/>
      <c r="C268" s="8"/>
      <c r="D268" s="8" t="s">
        <v>1092</v>
      </c>
      <c r="E268" s="16" t="s">
        <v>1093</v>
      </c>
      <c r="F268" s="27" t="s">
        <v>1094</v>
      </c>
      <c r="G268" s="18" t="s">
        <v>351</v>
      </c>
      <c r="H268" s="19"/>
      <c r="I268" s="20"/>
      <c r="J268" s="8">
        <f>4.4*1000</f>
        <v>4400</v>
      </c>
      <c r="K268" s="21">
        <v>3.3101851851851848E-2</v>
      </c>
      <c r="L268" s="22" t="s">
        <v>1042</v>
      </c>
      <c r="M268" s="8"/>
      <c r="N268" s="8"/>
      <c r="O268" s="8"/>
      <c r="P268" s="8"/>
      <c r="Q268" s="8"/>
      <c r="R268" s="8"/>
      <c r="S268" s="8"/>
      <c r="T268" s="8"/>
      <c r="U268" s="8"/>
      <c r="V268" s="8"/>
      <c r="W268" s="8"/>
      <c r="X268" s="8"/>
      <c r="Y268" s="8"/>
      <c r="Z268" s="25"/>
    </row>
    <row r="269" spans="1:26">
      <c r="A269" s="8">
        <v>268</v>
      </c>
      <c r="B269" s="8"/>
      <c r="C269" s="8"/>
      <c r="D269" s="8" t="s">
        <v>1095</v>
      </c>
      <c r="E269" s="16" t="s">
        <v>1096</v>
      </c>
      <c r="F269" s="29" t="s">
        <v>1097</v>
      </c>
      <c r="G269" s="18" t="s">
        <v>1098</v>
      </c>
      <c r="H269" s="19"/>
      <c r="I269" s="20"/>
      <c r="J269" s="8">
        <f>64*1000</f>
        <v>64000</v>
      </c>
      <c r="K269" s="21">
        <v>5.9305555555555556E-2</v>
      </c>
      <c r="L269" s="22" t="s">
        <v>1042</v>
      </c>
      <c r="M269" s="8"/>
      <c r="N269" s="8"/>
      <c r="O269" s="8"/>
      <c r="P269" s="8"/>
      <c r="Q269" s="8"/>
      <c r="R269" s="8"/>
      <c r="S269" s="8"/>
      <c r="T269" s="8"/>
      <c r="U269" s="8"/>
      <c r="V269" s="8"/>
      <c r="W269" s="8"/>
      <c r="X269" s="8"/>
      <c r="Y269" s="8"/>
      <c r="Z269" s="25"/>
    </row>
    <row r="270" spans="1:26">
      <c r="A270" s="8">
        <v>269</v>
      </c>
      <c r="B270" s="8"/>
      <c r="C270" s="8"/>
      <c r="D270" s="8" t="s">
        <v>1099</v>
      </c>
      <c r="E270" s="16" t="s">
        <v>1100</v>
      </c>
      <c r="F270" s="29" t="s">
        <v>1101</v>
      </c>
      <c r="G270" s="18" t="s">
        <v>1102</v>
      </c>
      <c r="H270" s="19"/>
      <c r="I270" s="20"/>
      <c r="J270" s="8">
        <f>6*1000</f>
        <v>6000</v>
      </c>
      <c r="K270" s="21">
        <v>6.1493055555555558E-2</v>
      </c>
      <c r="L270" s="22" t="s">
        <v>1042</v>
      </c>
      <c r="M270" s="8"/>
      <c r="N270" s="8"/>
      <c r="O270" s="8"/>
      <c r="P270" s="8"/>
      <c r="Q270" s="8"/>
      <c r="R270" s="8"/>
      <c r="S270" s="8"/>
      <c r="T270" s="8"/>
      <c r="U270" s="8"/>
      <c r="V270" s="8"/>
      <c r="W270" s="8"/>
      <c r="X270" s="8"/>
      <c r="Y270" s="8"/>
      <c r="Z270" s="25"/>
    </row>
    <row r="271" spans="1:26">
      <c r="A271" s="8">
        <v>270</v>
      </c>
      <c r="B271" s="8"/>
      <c r="C271" s="8"/>
      <c r="D271" s="8" t="s">
        <v>1103</v>
      </c>
      <c r="E271" s="16" t="s">
        <v>1104</v>
      </c>
      <c r="F271" s="27" t="s">
        <v>1105</v>
      </c>
      <c r="G271" s="18" t="s">
        <v>1106</v>
      </c>
      <c r="H271" s="19"/>
      <c r="I271" s="20"/>
      <c r="J271" s="8">
        <f>8.8*1000</f>
        <v>8800</v>
      </c>
      <c r="K271" s="21">
        <v>1.8888888888888889E-2</v>
      </c>
      <c r="L271" s="22" t="s">
        <v>1042</v>
      </c>
      <c r="M271" s="8"/>
      <c r="N271" s="8"/>
      <c r="O271" s="8"/>
      <c r="P271" s="8"/>
      <c r="Q271" s="8"/>
      <c r="R271" s="8"/>
      <c r="S271" s="8"/>
      <c r="T271" s="8"/>
      <c r="U271" s="8"/>
      <c r="V271" s="8"/>
      <c r="W271" s="8"/>
      <c r="X271" s="8"/>
      <c r="Y271" s="8"/>
      <c r="Z271" s="25"/>
    </row>
    <row r="272" spans="1:26">
      <c r="A272" s="8">
        <v>271</v>
      </c>
      <c r="B272" s="8"/>
      <c r="C272" s="8"/>
      <c r="D272" s="8" t="s">
        <v>1107</v>
      </c>
      <c r="E272" s="16" t="s">
        <v>1108</v>
      </c>
      <c r="F272" s="27" t="s">
        <v>1109</v>
      </c>
      <c r="G272" s="18" t="s">
        <v>1110</v>
      </c>
      <c r="H272" s="19"/>
      <c r="I272" s="20"/>
      <c r="J272" s="8">
        <f>46*1000</f>
        <v>46000</v>
      </c>
      <c r="K272" s="21">
        <v>3.3611111111111112E-2</v>
      </c>
      <c r="L272" s="22" t="s">
        <v>1042</v>
      </c>
      <c r="M272" s="8"/>
      <c r="N272" s="8"/>
      <c r="O272" s="8"/>
      <c r="P272" s="8"/>
      <c r="Q272" s="8"/>
      <c r="R272" s="8"/>
      <c r="S272" s="8"/>
      <c r="T272" s="8"/>
      <c r="U272" s="8"/>
      <c r="V272" s="8"/>
      <c r="W272" s="8"/>
      <c r="X272" s="8"/>
      <c r="Y272" s="8"/>
      <c r="Z272" s="25"/>
    </row>
    <row r="273" spans="1:26">
      <c r="A273" s="8">
        <v>272</v>
      </c>
      <c r="B273" s="8"/>
      <c r="C273" s="8"/>
      <c r="D273" s="8" t="s">
        <v>1111</v>
      </c>
      <c r="E273" s="16" t="s">
        <v>1112</v>
      </c>
      <c r="F273" s="27" t="s">
        <v>1113</v>
      </c>
      <c r="G273" s="18" t="s">
        <v>829</v>
      </c>
      <c r="H273" s="19"/>
      <c r="I273" s="20"/>
      <c r="J273" s="8">
        <f>7.6*1000</f>
        <v>7600</v>
      </c>
      <c r="K273" s="21">
        <v>3.3298611111111112E-2</v>
      </c>
      <c r="L273" s="22" t="s">
        <v>1042</v>
      </c>
      <c r="M273" s="8"/>
      <c r="N273" s="8"/>
      <c r="O273" s="8"/>
      <c r="P273" s="8"/>
      <c r="Q273" s="8"/>
      <c r="R273" s="8"/>
      <c r="S273" s="8"/>
      <c r="T273" s="8"/>
      <c r="U273" s="8"/>
      <c r="V273" s="8"/>
      <c r="W273" s="8"/>
      <c r="X273" s="8"/>
      <c r="Y273" s="8"/>
      <c r="Z273" s="25"/>
    </row>
    <row r="274" spans="1:26">
      <c r="A274" s="8">
        <v>273</v>
      </c>
      <c r="B274" s="8"/>
      <c r="C274" s="8"/>
      <c r="D274" s="8" t="s">
        <v>1114</v>
      </c>
      <c r="E274" s="16" t="s">
        <v>1115</v>
      </c>
      <c r="F274" s="27" t="s">
        <v>1116</v>
      </c>
      <c r="G274" s="18" t="s">
        <v>825</v>
      </c>
      <c r="H274" s="19"/>
      <c r="I274" s="20"/>
      <c r="J274" s="8">
        <f>12*1000</f>
        <v>12000</v>
      </c>
      <c r="K274" s="21">
        <v>3.005787037037037E-2</v>
      </c>
      <c r="L274" s="22" t="s">
        <v>1042</v>
      </c>
      <c r="M274" s="8"/>
      <c r="N274" s="8"/>
      <c r="O274" s="8"/>
      <c r="P274" s="8"/>
      <c r="Q274" s="8"/>
      <c r="R274" s="8"/>
      <c r="S274" s="8"/>
      <c r="T274" s="8"/>
      <c r="U274" s="8"/>
      <c r="V274" s="8"/>
      <c r="W274" s="8"/>
      <c r="X274" s="8"/>
      <c r="Y274" s="8"/>
      <c r="Z274" s="25"/>
    </row>
    <row r="275" spans="1:26">
      <c r="A275" s="8">
        <v>274</v>
      </c>
      <c r="B275" s="8"/>
      <c r="C275" s="8"/>
      <c r="D275" s="8" t="s">
        <v>1117</v>
      </c>
      <c r="E275" s="16" t="s">
        <v>1118</v>
      </c>
      <c r="F275" s="27" t="s">
        <v>1119</v>
      </c>
      <c r="G275" s="18" t="s">
        <v>351</v>
      </c>
      <c r="H275" s="19"/>
      <c r="I275" s="20"/>
      <c r="J275" s="8">
        <f>4.4*1000</f>
        <v>4400</v>
      </c>
      <c r="K275" s="21">
        <v>2.0902777777777781E-2</v>
      </c>
      <c r="L275" s="22" t="s">
        <v>1042</v>
      </c>
      <c r="M275" s="8"/>
      <c r="N275" s="8"/>
      <c r="O275" s="8"/>
      <c r="P275" s="8"/>
      <c r="Q275" s="8"/>
      <c r="R275" s="8"/>
      <c r="S275" s="8"/>
      <c r="T275" s="8"/>
      <c r="U275" s="8"/>
      <c r="V275" s="8"/>
      <c r="W275" s="8"/>
      <c r="X275" s="8"/>
      <c r="Y275" s="8"/>
      <c r="Z275" s="25"/>
    </row>
    <row r="276" spans="1:26">
      <c r="A276" s="8">
        <v>275</v>
      </c>
      <c r="B276" s="8"/>
      <c r="C276" s="8"/>
      <c r="D276" s="8" t="s">
        <v>1120</v>
      </c>
      <c r="E276" s="16" t="s">
        <v>1121</v>
      </c>
      <c r="F276" s="27" t="s">
        <v>1122</v>
      </c>
      <c r="G276" s="18" t="s">
        <v>502</v>
      </c>
      <c r="H276" s="19"/>
      <c r="I276" s="20"/>
      <c r="J276" s="8">
        <f>4.5*1000</f>
        <v>4500</v>
      </c>
      <c r="K276" s="21">
        <v>2.2083333333333333E-2</v>
      </c>
      <c r="L276" s="22" t="s">
        <v>1042</v>
      </c>
      <c r="M276" s="8"/>
      <c r="N276" s="8"/>
      <c r="O276" s="8"/>
      <c r="P276" s="8"/>
      <c r="Q276" s="8"/>
      <c r="R276" s="8"/>
      <c r="S276" s="8"/>
      <c r="T276" s="8"/>
      <c r="U276" s="8"/>
      <c r="V276" s="8"/>
      <c r="W276" s="8"/>
      <c r="X276" s="8"/>
      <c r="Y276" s="8"/>
      <c r="Z276" s="25"/>
    </row>
    <row r="277" spans="1:26">
      <c r="A277" s="8">
        <v>276</v>
      </c>
      <c r="B277" s="8"/>
      <c r="C277" s="8"/>
      <c r="D277" s="8" t="s">
        <v>1123</v>
      </c>
      <c r="E277" s="16" t="s">
        <v>1124</v>
      </c>
      <c r="F277" s="17" t="s">
        <v>1125</v>
      </c>
      <c r="G277" s="18" t="s">
        <v>1126</v>
      </c>
      <c r="H277" s="19"/>
      <c r="I277" s="20"/>
      <c r="J277" s="8">
        <f>4.3*1000</f>
        <v>4300</v>
      </c>
      <c r="K277" s="21">
        <v>5.2430555555555555E-3</v>
      </c>
      <c r="L277" s="22" t="s">
        <v>1042</v>
      </c>
      <c r="M277" s="8"/>
      <c r="N277" s="8"/>
      <c r="O277" s="8"/>
      <c r="P277" s="8"/>
      <c r="Q277" s="8"/>
      <c r="R277" s="8"/>
      <c r="S277" s="8"/>
      <c r="T277" s="8"/>
      <c r="U277" s="8"/>
      <c r="V277" s="8"/>
      <c r="W277" s="8"/>
      <c r="X277" s="8"/>
      <c r="Y277" s="8"/>
      <c r="Z277" s="25"/>
    </row>
    <row r="278" spans="1:26">
      <c r="A278" s="8">
        <v>277</v>
      </c>
      <c r="B278" s="8"/>
      <c r="C278" s="8"/>
      <c r="D278" s="8" t="s">
        <v>1127</v>
      </c>
      <c r="E278" s="16" t="s">
        <v>1128</v>
      </c>
      <c r="F278" s="27" t="s">
        <v>1129</v>
      </c>
      <c r="G278" s="18" t="s">
        <v>1130</v>
      </c>
      <c r="H278" s="19"/>
      <c r="I278" s="20"/>
      <c r="J278" s="8">
        <f>34*1000</f>
        <v>34000</v>
      </c>
      <c r="K278" s="21">
        <v>2.388888888888889E-2</v>
      </c>
      <c r="L278" s="22" t="s">
        <v>1042</v>
      </c>
      <c r="M278" s="8"/>
      <c r="N278" s="8"/>
      <c r="O278" s="8"/>
      <c r="P278" s="8"/>
      <c r="Q278" s="8"/>
      <c r="R278" s="8"/>
      <c r="S278" s="8"/>
      <c r="T278" s="8"/>
      <c r="U278" s="8"/>
      <c r="V278" s="8"/>
      <c r="W278" s="8"/>
      <c r="X278" s="8"/>
      <c r="Y278" s="8"/>
      <c r="Z278" s="25"/>
    </row>
    <row r="279" spans="1:26">
      <c r="A279" s="8">
        <v>278</v>
      </c>
      <c r="B279" s="8"/>
      <c r="C279" s="8"/>
      <c r="D279" s="8" t="s">
        <v>1131</v>
      </c>
      <c r="E279" s="16" t="s">
        <v>1132</v>
      </c>
      <c r="F279" s="29" t="s">
        <v>1133</v>
      </c>
      <c r="G279" s="18" t="s">
        <v>1134</v>
      </c>
      <c r="H279" s="19"/>
      <c r="I279" s="20"/>
      <c r="J279" s="8">
        <f>27*1000</f>
        <v>27000</v>
      </c>
      <c r="K279" s="21">
        <v>5.3981481481481484E-2</v>
      </c>
      <c r="L279" s="22" t="s">
        <v>1042</v>
      </c>
      <c r="M279" s="8"/>
      <c r="N279" s="8"/>
      <c r="O279" s="8"/>
      <c r="P279" s="8"/>
      <c r="Q279" s="8"/>
      <c r="R279" s="8"/>
      <c r="S279" s="8"/>
      <c r="T279" s="8"/>
      <c r="U279" s="8"/>
      <c r="V279" s="8"/>
      <c r="W279" s="8"/>
      <c r="X279" s="8"/>
      <c r="Y279" s="8"/>
      <c r="Z279" s="25"/>
    </row>
    <row r="280" spans="1:26">
      <c r="A280" s="8">
        <v>279</v>
      </c>
      <c r="B280" s="8"/>
      <c r="C280" s="8"/>
      <c r="D280" s="8" t="s">
        <v>1135</v>
      </c>
      <c r="E280" s="16" t="s">
        <v>1136</v>
      </c>
      <c r="F280" s="27" t="s">
        <v>1137</v>
      </c>
      <c r="G280" s="18" t="s">
        <v>494</v>
      </c>
      <c r="H280" s="19"/>
      <c r="I280" s="20"/>
      <c r="J280" s="8">
        <f>6.6*1000</f>
        <v>6600</v>
      </c>
      <c r="K280" s="21">
        <v>3.349537037037037E-2</v>
      </c>
      <c r="L280" s="22" t="s">
        <v>1042</v>
      </c>
      <c r="M280" s="8"/>
      <c r="N280" s="8"/>
      <c r="O280" s="8"/>
      <c r="P280" s="8"/>
      <c r="Q280" s="8"/>
      <c r="R280" s="8"/>
      <c r="S280" s="8"/>
      <c r="T280" s="8"/>
      <c r="U280" s="8"/>
      <c r="V280" s="8"/>
      <c r="W280" s="8"/>
      <c r="X280" s="8"/>
      <c r="Y280" s="8"/>
      <c r="Z280" s="25"/>
    </row>
    <row r="281" spans="1:26">
      <c r="A281" s="8">
        <v>280</v>
      </c>
      <c r="B281" s="8"/>
      <c r="C281" s="8"/>
      <c r="D281" s="8" t="s">
        <v>1138</v>
      </c>
      <c r="E281" s="16" t="s">
        <v>1139</v>
      </c>
      <c r="F281" s="29" t="s">
        <v>1140</v>
      </c>
      <c r="G281" s="18" t="s">
        <v>1141</v>
      </c>
      <c r="H281" s="19"/>
      <c r="I281" s="20"/>
      <c r="J281" s="8">
        <f>7.2*1000</f>
        <v>7200</v>
      </c>
      <c r="K281" s="21">
        <v>7.1504629629629626E-2</v>
      </c>
      <c r="L281" s="22" t="s">
        <v>1042</v>
      </c>
      <c r="M281" s="8"/>
      <c r="N281" s="8"/>
      <c r="O281" s="8"/>
      <c r="P281" s="8"/>
      <c r="Q281" s="8"/>
      <c r="R281" s="8"/>
      <c r="S281" s="8"/>
      <c r="T281" s="8"/>
      <c r="U281" s="8"/>
      <c r="V281" s="8"/>
      <c r="W281" s="8"/>
      <c r="X281" s="8"/>
      <c r="Y281" s="8"/>
      <c r="Z281" s="25"/>
    </row>
    <row r="282" spans="1:26">
      <c r="A282" s="8">
        <v>281</v>
      </c>
      <c r="B282" s="8"/>
      <c r="C282" s="8"/>
      <c r="D282" s="8" t="s">
        <v>1142</v>
      </c>
      <c r="E282" s="16" t="s">
        <v>1143</v>
      </c>
      <c r="F282" s="29" t="s">
        <v>1144</v>
      </c>
      <c r="G282" s="18" t="s">
        <v>1046</v>
      </c>
      <c r="H282" s="19"/>
      <c r="I282" s="20"/>
      <c r="J282" s="8">
        <f>20*1000</f>
        <v>20000</v>
      </c>
      <c r="K282" s="21">
        <v>9.6643518518518531E-2</v>
      </c>
      <c r="L282" s="22" t="s">
        <v>1042</v>
      </c>
      <c r="M282" s="8"/>
      <c r="N282" s="8"/>
      <c r="O282" s="8"/>
      <c r="P282" s="8"/>
      <c r="Q282" s="8"/>
      <c r="R282" s="8"/>
      <c r="S282" s="8"/>
      <c r="T282" s="8"/>
      <c r="U282" s="8"/>
      <c r="V282" s="8"/>
      <c r="W282" s="8"/>
      <c r="X282" s="8"/>
      <c r="Y282" s="8"/>
      <c r="Z282" s="25"/>
    </row>
    <row r="283" spans="1:26">
      <c r="A283" s="8">
        <v>282</v>
      </c>
      <c r="B283" s="8"/>
      <c r="C283" s="8"/>
      <c r="D283" s="8" t="s">
        <v>1145</v>
      </c>
      <c r="E283" s="16" t="s">
        <v>1146</v>
      </c>
      <c r="F283" s="29" t="s">
        <v>1147</v>
      </c>
      <c r="G283" s="18" t="s">
        <v>490</v>
      </c>
      <c r="H283" s="19"/>
      <c r="I283" s="20"/>
      <c r="J283" s="8">
        <f>11*1000</f>
        <v>11000</v>
      </c>
      <c r="K283" s="21">
        <v>7.0729166666666662E-2</v>
      </c>
      <c r="L283" s="22" t="s">
        <v>1042</v>
      </c>
      <c r="M283" s="8"/>
      <c r="N283" s="8"/>
      <c r="O283" s="8"/>
      <c r="P283" s="8"/>
      <c r="Q283" s="8"/>
      <c r="R283" s="8"/>
      <c r="S283" s="8"/>
      <c r="T283" s="8"/>
      <c r="U283" s="8"/>
      <c r="V283" s="8"/>
      <c r="W283" s="8"/>
      <c r="X283" s="8"/>
      <c r="Y283" s="8"/>
      <c r="Z283" s="25"/>
    </row>
    <row r="284" spans="1:26">
      <c r="A284" s="8">
        <v>283</v>
      </c>
      <c r="B284" s="8"/>
      <c r="C284" s="8"/>
      <c r="D284" s="8" t="s">
        <v>1148</v>
      </c>
      <c r="E284" s="16" t="s">
        <v>1149</v>
      </c>
      <c r="F284" s="29" t="s">
        <v>1150</v>
      </c>
      <c r="G284" s="18" t="s">
        <v>135</v>
      </c>
      <c r="H284" s="19"/>
      <c r="I284" s="20"/>
      <c r="J284" s="8">
        <f>10*1000</f>
        <v>10000</v>
      </c>
      <c r="K284" s="21">
        <v>8.3668981481481483E-2</v>
      </c>
      <c r="L284" s="22" t="s">
        <v>1042</v>
      </c>
      <c r="M284" s="8"/>
      <c r="N284" s="8"/>
      <c r="O284" s="8"/>
      <c r="P284" s="8"/>
      <c r="Q284" s="8"/>
      <c r="R284" s="8"/>
      <c r="S284" s="8"/>
      <c r="T284" s="8"/>
      <c r="U284" s="8"/>
      <c r="V284" s="8"/>
      <c r="W284" s="8"/>
      <c r="X284" s="8"/>
      <c r="Y284" s="8"/>
      <c r="Z284" s="25"/>
    </row>
    <row r="285" spans="1:26">
      <c r="A285" s="8">
        <v>284</v>
      </c>
      <c r="B285" s="8"/>
      <c r="C285" s="8"/>
      <c r="D285" s="8" t="s">
        <v>1151</v>
      </c>
      <c r="E285" s="16" t="s">
        <v>1152</v>
      </c>
      <c r="F285" s="29" t="s">
        <v>1153</v>
      </c>
      <c r="G285" s="18" t="s">
        <v>774</v>
      </c>
      <c r="H285" s="19"/>
      <c r="I285" s="20"/>
      <c r="J285" s="8">
        <f>4.7*1000</f>
        <v>4700</v>
      </c>
      <c r="K285" s="21">
        <v>7.5624999999999998E-2</v>
      </c>
      <c r="L285" s="22" t="s">
        <v>1042</v>
      </c>
      <c r="M285" s="8"/>
      <c r="N285" s="8"/>
      <c r="O285" s="8"/>
      <c r="P285" s="8"/>
      <c r="Q285" s="8"/>
      <c r="R285" s="8"/>
      <c r="S285" s="8"/>
      <c r="T285" s="8"/>
      <c r="U285" s="8"/>
      <c r="V285" s="8"/>
      <c r="W285" s="8"/>
      <c r="X285" s="8"/>
      <c r="Y285" s="8"/>
      <c r="Z285" s="25"/>
    </row>
    <row r="286" spans="1:26">
      <c r="A286" s="8">
        <v>285</v>
      </c>
      <c r="B286" s="8"/>
      <c r="C286" s="8"/>
      <c r="D286" s="8" t="s">
        <v>1154</v>
      </c>
      <c r="E286" s="16" t="s">
        <v>1155</v>
      </c>
      <c r="F286" s="27" t="s">
        <v>1156</v>
      </c>
      <c r="G286" s="18" t="s">
        <v>1157</v>
      </c>
      <c r="H286" s="19"/>
      <c r="I286" s="20"/>
      <c r="J286" s="8">
        <f>6.7*1000</f>
        <v>6700</v>
      </c>
      <c r="K286" s="21">
        <v>1.8472222222222223E-2</v>
      </c>
      <c r="L286" s="22" t="s">
        <v>1042</v>
      </c>
      <c r="M286" s="8"/>
      <c r="N286" s="8"/>
      <c r="O286" s="8"/>
      <c r="P286" s="8"/>
      <c r="Q286" s="8"/>
      <c r="R286" s="8"/>
      <c r="S286" s="8"/>
      <c r="T286" s="8"/>
      <c r="U286" s="8"/>
      <c r="V286" s="8"/>
      <c r="W286" s="8"/>
      <c r="X286" s="8"/>
      <c r="Y286" s="8"/>
      <c r="Z286" s="25"/>
    </row>
    <row r="287" spans="1:26">
      <c r="A287" s="8">
        <v>286</v>
      </c>
      <c r="B287" s="8"/>
      <c r="C287" s="8"/>
      <c r="D287" s="8" t="s">
        <v>1158</v>
      </c>
      <c r="E287" s="16" t="s">
        <v>1159</v>
      </c>
      <c r="F287" s="29" t="s">
        <v>1160</v>
      </c>
      <c r="G287" s="18" t="s">
        <v>490</v>
      </c>
      <c r="H287" s="19"/>
      <c r="I287" s="20"/>
      <c r="J287" s="8">
        <f>11*1000</f>
        <v>11000</v>
      </c>
      <c r="K287" s="21">
        <v>9.5694444444444457E-2</v>
      </c>
      <c r="L287" s="22" t="s">
        <v>1161</v>
      </c>
      <c r="M287" s="8"/>
      <c r="N287" s="8"/>
      <c r="O287" s="8"/>
      <c r="P287" s="8"/>
      <c r="Q287" s="8"/>
      <c r="R287" s="8"/>
      <c r="S287" s="8"/>
      <c r="T287" s="8"/>
      <c r="U287" s="8"/>
      <c r="V287" s="8"/>
      <c r="W287" s="8"/>
      <c r="X287" s="8"/>
      <c r="Y287" s="8"/>
      <c r="Z287" s="25"/>
    </row>
    <row r="288" spans="1:26">
      <c r="A288" s="8">
        <v>287</v>
      </c>
      <c r="B288" s="8"/>
      <c r="C288" s="8"/>
      <c r="D288" s="8" t="s">
        <v>1162</v>
      </c>
      <c r="E288" s="16" t="s">
        <v>1163</v>
      </c>
      <c r="F288" s="29" t="s">
        <v>1164</v>
      </c>
      <c r="G288" s="18" t="s">
        <v>264</v>
      </c>
      <c r="H288" s="19"/>
      <c r="I288" s="20"/>
      <c r="J288" s="8">
        <f>14*1000</f>
        <v>14000</v>
      </c>
      <c r="K288" s="21">
        <v>8.5358796296296294E-2</v>
      </c>
      <c r="L288" s="22" t="s">
        <v>1161</v>
      </c>
      <c r="M288" s="8"/>
      <c r="N288" s="8"/>
      <c r="O288" s="8"/>
      <c r="P288" s="8"/>
      <c r="Q288" s="8"/>
      <c r="R288" s="8"/>
      <c r="S288" s="8"/>
      <c r="T288" s="8"/>
      <c r="U288" s="8"/>
      <c r="V288" s="8"/>
      <c r="W288" s="8"/>
      <c r="X288" s="8"/>
      <c r="Y288" s="8"/>
      <c r="Z288" s="25"/>
    </row>
    <row r="289" spans="1:26">
      <c r="A289" s="8">
        <v>288</v>
      </c>
      <c r="B289" s="8"/>
      <c r="C289" s="8"/>
      <c r="D289" s="8" t="s">
        <v>1165</v>
      </c>
      <c r="E289" s="16" t="s">
        <v>1166</v>
      </c>
      <c r="F289" s="29" t="s">
        <v>1167</v>
      </c>
      <c r="G289" s="18" t="s">
        <v>290</v>
      </c>
      <c r="H289" s="19"/>
      <c r="I289" s="20"/>
      <c r="J289" s="8">
        <f>6.9*1000</f>
        <v>6900</v>
      </c>
      <c r="K289" s="21">
        <v>5.6840277777777781E-2</v>
      </c>
      <c r="L289" s="22" t="s">
        <v>1161</v>
      </c>
      <c r="M289" s="8"/>
      <c r="N289" s="8"/>
      <c r="O289" s="8"/>
      <c r="P289" s="8"/>
      <c r="Q289" s="8"/>
      <c r="R289" s="8"/>
      <c r="S289" s="8"/>
      <c r="T289" s="8"/>
      <c r="U289" s="8"/>
      <c r="V289" s="8"/>
      <c r="W289" s="8"/>
      <c r="X289" s="8"/>
      <c r="Y289" s="8"/>
      <c r="Z289" s="25"/>
    </row>
    <row r="290" spans="1:26">
      <c r="A290" s="8">
        <v>289</v>
      </c>
      <c r="B290" s="8"/>
      <c r="C290" s="8"/>
      <c r="D290" s="8" t="s">
        <v>1168</v>
      </c>
      <c r="E290" s="16" t="s">
        <v>1169</v>
      </c>
      <c r="F290" s="29" t="s">
        <v>1170</v>
      </c>
      <c r="G290" s="18" t="s">
        <v>575</v>
      </c>
      <c r="H290" s="19"/>
      <c r="I290" s="20"/>
      <c r="J290" s="8">
        <f>22*1000</f>
        <v>22000</v>
      </c>
      <c r="K290" s="21">
        <v>7.4872685185185181E-2</v>
      </c>
      <c r="L290" s="22" t="s">
        <v>1161</v>
      </c>
      <c r="M290" s="8"/>
      <c r="N290" s="8"/>
      <c r="O290" s="8"/>
      <c r="P290" s="8"/>
      <c r="Q290" s="8"/>
      <c r="R290" s="8"/>
      <c r="S290" s="8"/>
      <c r="T290" s="8"/>
      <c r="U290" s="8"/>
      <c r="V290" s="8"/>
      <c r="W290" s="8"/>
      <c r="X290" s="8"/>
      <c r="Y290" s="8"/>
      <c r="Z290" s="25"/>
    </row>
    <row r="291" spans="1:26">
      <c r="A291" s="8">
        <v>290</v>
      </c>
      <c r="B291" s="8"/>
      <c r="C291" s="8"/>
      <c r="D291" s="8" t="s">
        <v>1171</v>
      </c>
      <c r="E291" s="16" t="s">
        <v>1172</v>
      </c>
      <c r="F291" s="29" t="s">
        <v>1173</v>
      </c>
      <c r="G291" s="18" t="s">
        <v>1174</v>
      </c>
      <c r="H291" s="19"/>
      <c r="I291" s="20"/>
      <c r="J291" s="8">
        <f>13*1000</f>
        <v>13000</v>
      </c>
      <c r="K291" s="21">
        <v>8.1319444444444444E-2</v>
      </c>
      <c r="L291" s="22" t="s">
        <v>1161</v>
      </c>
      <c r="M291" s="8"/>
      <c r="N291" s="8"/>
      <c r="O291" s="8"/>
      <c r="P291" s="8"/>
      <c r="Q291" s="8"/>
      <c r="R291" s="8"/>
      <c r="S291" s="8"/>
      <c r="T291" s="8"/>
      <c r="U291" s="8"/>
      <c r="V291" s="8"/>
      <c r="W291" s="8"/>
      <c r="X291" s="8"/>
      <c r="Y291" s="8"/>
      <c r="Z291" s="25"/>
    </row>
    <row r="292" spans="1:26">
      <c r="A292" s="8">
        <v>291</v>
      </c>
      <c r="B292" s="8"/>
      <c r="C292" s="8"/>
      <c r="D292" s="8" t="s">
        <v>1175</v>
      </c>
      <c r="E292" s="16" t="s">
        <v>1176</v>
      </c>
      <c r="F292" s="29" t="s">
        <v>1177</v>
      </c>
      <c r="G292" s="18" t="s">
        <v>1178</v>
      </c>
      <c r="H292" s="19"/>
      <c r="I292" s="20"/>
      <c r="J292" s="8">
        <f>51*1000</f>
        <v>51000</v>
      </c>
      <c r="K292" s="21">
        <v>6.4849537037037039E-2</v>
      </c>
      <c r="L292" s="22" t="s">
        <v>1161</v>
      </c>
      <c r="M292" s="8"/>
      <c r="N292" s="8"/>
      <c r="O292" s="8"/>
      <c r="P292" s="8"/>
      <c r="Q292" s="8"/>
      <c r="R292" s="8"/>
      <c r="S292" s="8"/>
      <c r="T292" s="8"/>
      <c r="U292" s="8"/>
      <c r="V292" s="8"/>
      <c r="W292" s="8"/>
      <c r="X292" s="8"/>
      <c r="Y292" s="8"/>
      <c r="Z292" s="25"/>
    </row>
    <row r="293" spans="1:26">
      <c r="A293" s="8">
        <v>292</v>
      </c>
      <c r="B293" s="8"/>
      <c r="C293" s="8"/>
      <c r="D293" s="8" t="s">
        <v>1179</v>
      </c>
      <c r="E293" s="16" t="s">
        <v>1180</v>
      </c>
      <c r="F293" s="29" t="s">
        <v>1181</v>
      </c>
      <c r="G293" s="18" t="s">
        <v>490</v>
      </c>
      <c r="H293" s="19"/>
      <c r="I293" s="20"/>
      <c r="J293" s="8">
        <f>11*1000</f>
        <v>11000</v>
      </c>
      <c r="K293" s="21">
        <v>4.9687499999999996E-2</v>
      </c>
      <c r="L293" s="22" t="s">
        <v>1161</v>
      </c>
      <c r="M293" s="8"/>
      <c r="N293" s="8"/>
      <c r="O293" s="8"/>
      <c r="P293" s="8"/>
      <c r="Q293" s="8"/>
      <c r="R293" s="8"/>
      <c r="S293" s="8"/>
      <c r="T293" s="8"/>
      <c r="U293" s="8"/>
      <c r="V293" s="8"/>
      <c r="W293" s="8"/>
      <c r="X293" s="8"/>
      <c r="Y293" s="8"/>
      <c r="Z293" s="25"/>
    </row>
    <row r="294" spans="1:26">
      <c r="A294" s="8">
        <v>293</v>
      </c>
      <c r="B294" s="8"/>
      <c r="C294" s="8"/>
      <c r="D294" s="8" t="s">
        <v>1182</v>
      </c>
      <c r="E294" s="16" t="s">
        <v>1183</v>
      </c>
      <c r="F294" s="29" t="s">
        <v>1184</v>
      </c>
      <c r="G294" s="18" t="s">
        <v>661</v>
      </c>
      <c r="H294" s="19"/>
      <c r="I294" s="20"/>
      <c r="J294" s="8">
        <f t="shared" ref="J294:J295" si="6">19*1000</f>
        <v>19000</v>
      </c>
      <c r="K294" s="21">
        <v>6.6412037037037033E-2</v>
      </c>
      <c r="L294" s="22" t="s">
        <v>1161</v>
      </c>
      <c r="M294" s="8"/>
      <c r="N294" s="8"/>
      <c r="O294" s="8"/>
      <c r="P294" s="8"/>
      <c r="Q294" s="8"/>
      <c r="R294" s="8"/>
      <c r="S294" s="8"/>
      <c r="T294" s="8"/>
      <c r="U294" s="8"/>
      <c r="V294" s="8"/>
      <c r="W294" s="8"/>
      <c r="X294" s="8"/>
      <c r="Y294" s="8"/>
      <c r="Z294" s="25"/>
    </row>
    <row r="295" spans="1:26">
      <c r="A295" s="8">
        <v>294</v>
      </c>
      <c r="B295" s="8"/>
      <c r="C295" s="8"/>
      <c r="D295" s="8" t="s">
        <v>1185</v>
      </c>
      <c r="E295" s="16" t="s">
        <v>1186</v>
      </c>
      <c r="F295" s="17" t="s">
        <v>1187</v>
      </c>
      <c r="G295" s="18" t="s">
        <v>661</v>
      </c>
      <c r="H295" s="19"/>
      <c r="I295" s="20"/>
      <c r="J295" s="8">
        <f t="shared" si="6"/>
        <v>19000</v>
      </c>
      <c r="K295" s="21">
        <v>1.2002314814814815E-2</v>
      </c>
      <c r="L295" s="22" t="s">
        <v>1161</v>
      </c>
      <c r="M295" s="8"/>
      <c r="N295" s="8"/>
      <c r="O295" s="8"/>
      <c r="P295" s="8"/>
      <c r="Q295" s="8"/>
      <c r="R295" s="8"/>
      <c r="S295" s="8"/>
      <c r="T295" s="8"/>
      <c r="U295" s="8"/>
      <c r="V295" s="8"/>
      <c r="W295" s="8"/>
      <c r="X295" s="8"/>
      <c r="Y295" s="8"/>
      <c r="Z295" s="25"/>
    </row>
    <row r="296" spans="1:26">
      <c r="A296" s="8">
        <v>295</v>
      </c>
      <c r="B296" s="8"/>
      <c r="C296" s="8"/>
      <c r="D296" s="8" t="s">
        <v>1188</v>
      </c>
      <c r="E296" s="16" t="s">
        <v>1189</v>
      </c>
      <c r="F296" s="17" t="s">
        <v>1190</v>
      </c>
      <c r="G296" s="18" t="s">
        <v>521</v>
      </c>
      <c r="H296" s="19"/>
      <c r="I296" s="20"/>
      <c r="J296" s="8">
        <f>3.5*1000</f>
        <v>3500</v>
      </c>
      <c r="K296" s="21">
        <v>7.5347222222222213E-3</v>
      </c>
      <c r="L296" s="22" t="s">
        <v>1161</v>
      </c>
      <c r="M296" s="8"/>
      <c r="N296" s="8"/>
      <c r="O296" s="8"/>
      <c r="P296" s="8"/>
      <c r="Q296" s="8"/>
      <c r="R296" s="8"/>
      <c r="S296" s="8"/>
      <c r="T296" s="8"/>
      <c r="U296" s="8"/>
      <c r="V296" s="8"/>
      <c r="W296" s="8"/>
      <c r="X296" s="8"/>
      <c r="Y296" s="8"/>
      <c r="Z296" s="25"/>
    </row>
    <row r="297" spans="1:26">
      <c r="A297" s="8">
        <v>296</v>
      </c>
      <c r="B297" s="8"/>
      <c r="C297" s="8"/>
      <c r="D297" s="8" t="s">
        <v>1191</v>
      </c>
      <c r="E297" s="16" t="s">
        <v>1192</v>
      </c>
      <c r="F297" s="29" t="s">
        <v>1193</v>
      </c>
      <c r="G297" s="18" t="s">
        <v>135</v>
      </c>
      <c r="H297" s="19"/>
      <c r="I297" s="20"/>
      <c r="J297" s="8">
        <f t="shared" ref="J297:J298" si="7">10*1000</f>
        <v>10000</v>
      </c>
      <c r="K297" s="21">
        <v>7.3854166666666665E-2</v>
      </c>
      <c r="L297" s="22" t="s">
        <v>1161</v>
      </c>
      <c r="M297" s="8"/>
      <c r="N297" s="8"/>
      <c r="O297" s="8"/>
      <c r="P297" s="8"/>
      <c r="Q297" s="8"/>
      <c r="R297" s="8"/>
      <c r="S297" s="8"/>
      <c r="T297" s="8"/>
      <c r="U297" s="8"/>
      <c r="V297" s="8"/>
      <c r="W297" s="8"/>
      <c r="X297" s="8"/>
      <c r="Y297" s="8"/>
      <c r="Z297" s="25"/>
    </row>
    <row r="298" spans="1:26">
      <c r="A298" s="8">
        <v>297</v>
      </c>
      <c r="B298" s="8"/>
      <c r="C298" s="8"/>
      <c r="D298" s="8" t="s">
        <v>1194</v>
      </c>
      <c r="E298" s="16" t="s">
        <v>1195</v>
      </c>
      <c r="F298" s="29" t="s">
        <v>1196</v>
      </c>
      <c r="G298" s="18" t="s">
        <v>135</v>
      </c>
      <c r="H298" s="19"/>
      <c r="I298" s="20"/>
      <c r="J298" s="8">
        <f t="shared" si="7"/>
        <v>10000</v>
      </c>
      <c r="K298" s="21">
        <v>6.8749999999999992E-2</v>
      </c>
      <c r="L298" s="22" t="s">
        <v>1161</v>
      </c>
      <c r="M298" s="8"/>
      <c r="N298" s="8"/>
      <c r="O298" s="8"/>
      <c r="P298" s="8"/>
      <c r="Q298" s="8"/>
      <c r="R298" s="8"/>
      <c r="S298" s="8"/>
      <c r="T298" s="8"/>
      <c r="U298" s="8"/>
      <c r="V298" s="8"/>
      <c r="W298" s="8"/>
      <c r="X298" s="8"/>
      <c r="Y298" s="8"/>
      <c r="Z298" s="25"/>
    </row>
    <row r="299" spans="1:26">
      <c r="A299" s="8">
        <v>298</v>
      </c>
      <c r="B299" s="8"/>
      <c r="C299" s="8"/>
      <c r="D299" s="8" t="s">
        <v>1197</v>
      </c>
      <c r="E299" s="16" t="s">
        <v>1198</v>
      </c>
      <c r="F299" s="27" t="s">
        <v>1199</v>
      </c>
      <c r="G299" s="18" t="s">
        <v>270</v>
      </c>
      <c r="H299" s="19"/>
      <c r="I299" s="20"/>
      <c r="J299" s="8">
        <f>15*1000</f>
        <v>15000</v>
      </c>
      <c r="K299" s="21">
        <v>2.1585648148148145E-2</v>
      </c>
      <c r="L299" s="22" t="s">
        <v>1161</v>
      </c>
      <c r="M299" s="8"/>
      <c r="N299" s="8"/>
      <c r="O299" s="8"/>
      <c r="P299" s="8"/>
      <c r="Q299" s="8"/>
      <c r="R299" s="8"/>
      <c r="S299" s="8"/>
      <c r="T299" s="8"/>
      <c r="U299" s="8"/>
      <c r="V299" s="8"/>
      <c r="W299" s="8"/>
      <c r="X299" s="8"/>
      <c r="Y299" s="8"/>
      <c r="Z299" s="25"/>
    </row>
    <row r="300" spans="1:26">
      <c r="A300" s="8">
        <v>299</v>
      </c>
      <c r="B300" s="8"/>
      <c r="C300" s="8"/>
      <c r="D300" s="8" t="s">
        <v>1200</v>
      </c>
      <c r="E300" s="16" t="s">
        <v>1201</v>
      </c>
      <c r="F300" s="29" t="s">
        <v>1202</v>
      </c>
      <c r="G300" s="18" t="s">
        <v>805</v>
      </c>
      <c r="H300" s="19"/>
      <c r="I300" s="20"/>
      <c r="J300" s="8">
        <f>3.1*1000</f>
        <v>3100</v>
      </c>
      <c r="K300" s="21">
        <v>6.7662037037037034E-2</v>
      </c>
      <c r="L300" s="22" t="s">
        <v>1161</v>
      </c>
      <c r="M300" s="8"/>
      <c r="N300" s="8"/>
      <c r="O300" s="8"/>
      <c r="P300" s="8"/>
      <c r="Q300" s="8"/>
      <c r="R300" s="8"/>
      <c r="S300" s="8"/>
      <c r="T300" s="8"/>
      <c r="U300" s="8"/>
      <c r="V300" s="8"/>
      <c r="W300" s="8"/>
      <c r="X300" s="8"/>
      <c r="Y300" s="8"/>
      <c r="Z300" s="25"/>
    </row>
    <row r="301" spans="1:26">
      <c r="A301" s="8">
        <v>300</v>
      </c>
      <c r="B301" s="8"/>
      <c r="C301" s="8"/>
      <c r="D301" s="8" t="s">
        <v>1203</v>
      </c>
      <c r="E301" s="16" t="s">
        <v>1204</v>
      </c>
      <c r="F301" s="29" t="s">
        <v>1205</v>
      </c>
      <c r="G301" s="18" t="s">
        <v>1134</v>
      </c>
      <c r="H301" s="19"/>
      <c r="I301" s="20"/>
      <c r="J301" s="8">
        <f>27*1000</f>
        <v>27000</v>
      </c>
      <c r="K301" s="21">
        <v>0.11447916666666667</v>
      </c>
      <c r="L301" s="22" t="s">
        <v>1161</v>
      </c>
      <c r="M301" s="8"/>
      <c r="N301" s="8"/>
      <c r="O301" s="8"/>
      <c r="P301" s="8"/>
      <c r="Q301" s="8"/>
      <c r="R301" s="8"/>
      <c r="S301" s="8"/>
      <c r="T301" s="8"/>
      <c r="U301" s="8"/>
      <c r="V301" s="8"/>
      <c r="W301" s="8"/>
      <c r="X301" s="8"/>
      <c r="Y301" s="8"/>
      <c r="Z301" s="25"/>
    </row>
    <row r="302" spans="1:26">
      <c r="A302" s="8">
        <v>301</v>
      </c>
      <c r="B302" s="8"/>
      <c r="C302" s="8"/>
      <c r="D302" s="8" t="s">
        <v>1206</v>
      </c>
      <c r="E302" s="16" t="s">
        <v>1207</v>
      </c>
      <c r="F302" s="29" t="s">
        <v>1208</v>
      </c>
      <c r="G302" s="18" t="s">
        <v>854</v>
      </c>
      <c r="H302" s="19"/>
      <c r="I302" s="20"/>
      <c r="J302" s="8">
        <f>4.6*1000</f>
        <v>4600</v>
      </c>
      <c r="K302" s="21">
        <v>9.5578703703703694E-2</v>
      </c>
      <c r="L302" s="22" t="s">
        <v>1161</v>
      </c>
      <c r="M302" s="8"/>
      <c r="N302" s="8"/>
      <c r="O302" s="8"/>
      <c r="P302" s="8"/>
      <c r="Q302" s="8"/>
      <c r="R302" s="8"/>
      <c r="S302" s="8"/>
      <c r="T302" s="8"/>
      <c r="U302" s="8"/>
      <c r="V302" s="8"/>
      <c r="W302" s="8"/>
      <c r="X302" s="8"/>
      <c r="Y302" s="8"/>
      <c r="Z302" s="25"/>
    </row>
    <row r="303" spans="1:26">
      <c r="A303" s="8">
        <v>302</v>
      </c>
      <c r="B303" s="8"/>
      <c r="C303" s="8"/>
      <c r="D303" s="8" t="s">
        <v>1209</v>
      </c>
      <c r="E303" s="16" t="s">
        <v>1210</v>
      </c>
      <c r="F303" s="27" t="s">
        <v>1211</v>
      </c>
      <c r="G303" s="18" t="s">
        <v>1134</v>
      </c>
      <c r="H303" s="19"/>
      <c r="I303" s="20"/>
      <c r="J303" s="8">
        <f>27*1000</f>
        <v>27000</v>
      </c>
      <c r="K303" s="21">
        <v>4.0474537037037038E-2</v>
      </c>
      <c r="L303" s="22" t="s">
        <v>1161</v>
      </c>
      <c r="M303" s="8"/>
      <c r="N303" s="8"/>
      <c r="O303" s="8"/>
      <c r="P303" s="8"/>
      <c r="Q303" s="8"/>
      <c r="R303" s="8"/>
      <c r="S303" s="8"/>
      <c r="T303" s="8"/>
      <c r="U303" s="8"/>
      <c r="V303" s="8"/>
      <c r="W303" s="8"/>
      <c r="X303" s="8"/>
      <c r="Y303" s="8"/>
      <c r="Z303" s="25"/>
    </row>
    <row r="304" spans="1:26">
      <c r="A304" s="8">
        <v>303</v>
      </c>
      <c r="B304" s="8"/>
      <c r="C304" s="8"/>
      <c r="D304" s="8" t="s">
        <v>1212</v>
      </c>
      <c r="E304" s="16" t="s">
        <v>1213</v>
      </c>
      <c r="F304" s="29" t="s">
        <v>1214</v>
      </c>
      <c r="G304" s="18" t="s">
        <v>778</v>
      </c>
      <c r="H304" s="19"/>
      <c r="I304" s="20"/>
      <c r="J304" s="8">
        <f>7.5*1000</f>
        <v>7500</v>
      </c>
      <c r="K304" s="21">
        <v>9.9988425925925925E-2</v>
      </c>
      <c r="L304" s="22" t="s">
        <v>1161</v>
      </c>
      <c r="M304" s="8"/>
      <c r="N304" s="8"/>
      <c r="O304" s="8"/>
      <c r="P304" s="8"/>
      <c r="Q304" s="8"/>
      <c r="R304" s="8"/>
      <c r="S304" s="8"/>
      <c r="T304" s="8"/>
      <c r="U304" s="8"/>
      <c r="V304" s="8"/>
      <c r="W304" s="8"/>
      <c r="X304" s="8"/>
      <c r="Y304" s="8"/>
      <c r="Z304" s="25"/>
    </row>
    <row r="305" spans="1:26">
      <c r="A305" s="8">
        <v>304</v>
      </c>
      <c r="B305" s="8"/>
      <c r="C305" s="8"/>
      <c r="D305" s="8" t="s">
        <v>1215</v>
      </c>
      <c r="E305" s="16" t="s">
        <v>1216</v>
      </c>
      <c r="F305" s="29" t="s">
        <v>1217</v>
      </c>
      <c r="G305" s="18" t="s">
        <v>1218</v>
      </c>
      <c r="H305" s="19"/>
      <c r="I305" s="20"/>
      <c r="J305" s="8">
        <f>5.7*1000</f>
        <v>5700</v>
      </c>
      <c r="K305" s="21">
        <v>8.6851851851851847E-2</v>
      </c>
      <c r="L305" s="22" t="s">
        <v>1161</v>
      </c>
      <c r="M305" s="8"/>
      <c r="N305" s="8"/>
      <c r="O305" s="8"/>
      <c r="P305" s="8"/>
      <c r="Q305" s="8"/>
      <c r="R305" s="8"/>
      <c r="S305" s="8"/>
      <c r="T305" s="8"/>
      <c r="U305" s="8"/>
      <c r="V305" s="8"/>
      <c r="W305" s="8"/>
      <c r="X305" s="8"/>
      <c r="Y305" s="8"/>
      <c r="Z305" s="25"/>
    </row>
    <row r="306" spans="1:26">
      <c r="A306" s="8">
        <v>305</v>
      </c>
      <c r="B306" s="8"/>
      <c r="C306" s="8"/>
      <c r="D306" s="8" t="s">
        <v>1219</v>
      </c>
      <c r="E306" s="16" t="s">
        <v>1220</v>
      </c>
      <c r="F306" s="29" t="s">
        <v>1221</v>
      </c>
      <c r="G306" s="18" t="s">
        <v>1046</v>
      </c>
      <c r="H306" s="19"/>
      <c r="I306" s="20"/>
      <c r="J306" s="8">
        <f>20*1000</f>
        <v>20000</v>
      </c>
      <c r="K306" s="21">
        <v>0.1057523148148148</v>
      </c>
      <c r="L306" s="22" t="s">
        <v>1161</v>
      </c>
      <c r="M306" s="8"/>
      <c r="N306" s="8"/>
      <c r="O306" s="8"/>
      <c r="P306" s="8"/>
      <c r="Q306" s="8"/>
      <c r="R306" s="8"/>
      <c r="S306" s="8"/>
      <c r="T306" s="8"/>
      <c r="U306" s="8"/>
      <c r="V306" s="8"/>
      <c r="W306" s="8"/>
      <c r="X306" s="8"/>
      <c r="Y306" s="8"/>
      <c r="Z306" s="25"/>
    </row>
    <row r="307" spans="1:26">
      <c r="A307" s="8">
        <v>306</v>
      </c>
      <c r="B307" s="8"/>
      <c r="C307" s="8"/>
      <c r="D307" s="8" t="s">
        <v>1222</v>
      </c>
      <c r="E307" s="16" t="s">
        <v>1223</v>
      </c>
      <c r="F307" s="29" t="s">
        <v>1224</v>
      </c>
      <c r="G307" s="18" t="s">
        <v>546</v>
      </c>
      <c r="H307" s="19"/>
      <c r="I307" s="20"/>
      <c r="J307" s="8">
        <f>6.3*1000</f>
        <v>6300</v>
      </c>
      <c r="K307" s="21">
        <v>5.4166666666666669E-2</v>
      </c>
      <c r="L307" s="22" t="s">
        <v>1161</v>
      </c>
      <c r="M307" s="8"/>
      <c r="N307" s="8"/>
      <c r="O307" s="8"/>
      <c r="P307" s="8"/>
      <c r="Q307" s="8"/>
      <c r="R307" s="8"/>
      <c r="S307" s="8"/>
      <c r="T307" s="8"/>
      <c r="U307" s="8"/>
      <c r="V307" s="8"/>
      <c r="W307" s="8"/>
      <c r="X307" s="8"/>
      <c r="Y307" s="8"/>
      <c r="Z307" s="25"/>
    </row>
    <row r="308" spans="1:26">
      <c r="A308" s="8">
        <v>307</v>
      </c>
      <c r="B308" s="8"/>
      <c r="C308" s="8"/>
      <c r="D308" s="8" t="s">
        <v>1225</v>
      </c>
      <c r="E308" s="16" t="s">
        <v>1226</v>
      </c>
      <c r="F308" s="29" t="s">
        <v>1227</v>
      </c>
      <c r="G308" s="18" t="s">
        <v>837</v>
      </c>
      <c r="H308" s="19"/>
      <c r="I308" s="20"/>
      <c r="J308" s="8">
        <f>6.8*1000</f>
        <v>6800</v>
      </c>
      <c r="K308" s="21">
        <v>7.5856481481481483E-2</v>
      </c>
      <c r="L308" s="22" t="s">
        <v>1161</v>
      </c>
      <c r="M308" s="8"/>
      <c r="N308" s="8"/>
      <c r="O308" s="8"/>
      <c r="P308" s="8"/>
      <c r="Q308" s="8"/>
      <c r="R308" s="8"/>
      <c r="S308" s="8"/>
      <c r="T308" s="8"/>
      <c r="U308" s="8"/>
      <c r="V308" s="8"/>
      <c r="W308" s="8"/>
      <c r="X308" s="8"/>
      <c r="Y308" s="8"/>
      <c r="Z308" s="25"/>
    </row>
    <row r="309" spans="1:26">
      <c r="A309" s="8">
        <v>308</v>
      </c>
      <c r="B309" s="8"/>
      <c r="C309" s="8"/>
      <c r="D309" s="8" t="s">
        <v>1228</v>
      </c>
      <c r="E309" s="16" t="s">
        <v>1229</v>
      </c>
      <c r="F309" s="29" t="s">
        <v>1230</v>
      </c>
      <c r="G309" s="18" t="s">
        <v>1011</v>
      </c>
      <c r="H309" s="19"/>
      <c r="I309" s="20"/>
      <c r="J309" s="8">
        <f>9.9*1000</f>
        <v>9900</v>
      </c>
      <c r="K309" s="21">
        <v>6.2291666666666669E-2</v>
      </c>
      <c r="L309" s="22" t="s">
        <v>1161</v>
      </c>
      <c r="M309" s="8"/>
      <c r="N309" s="8"/>
      <c r="O309" s="8"/>
      <c r="P309" s="8"/>
      <c r="Q309" s="8"/>
      <c r="R309" s="8"/>
      <c r="S309" s="8"/>
      <c r="T309" s="8"/>
      <c r="U309" s="8"/>
      <c r="V309" s="8"/>
      <c r="W309" s="8"/>
      <c r="X309" s="8"/>
      <c r="Y309" s="8"/>
      <c r="Z309" s="25"/>
    </row>
    <row r="310" spans="1:26">
      <c r="A310" s="8">
        <v>309</v>
      </c>
      <c r="B310" s="8"/>
      <c r="C310" s="8"/>
      <c r="D310" s="8" t="s">
        <v>1231</v>
      </c>
      <c r="E310" s="16" t="s">
        <v>1232</v>
      </c>
      <c r="F310" s="17" t="s">
        <v>1233</v>
      </c>
      <c r="G310" s="18">
        <v>849</v>
      </c>
      <c r="H310" s="19"/>
      <c r="I310" s="20"/>
      <c r="J310" s="8">
        <f>849</f>
        <v>849</v>
      </c>
      <c r="K310" s="21">
        <v>3.9004629629629632E-3</v>
      </c>
      <c r="L310" s="22" t="s">
        <v>1161</v>
      </c>
      <c r="M310" s="8"/>
      <c r="N310" s="8"/>
      <c r="O310" s="8"/>
      <c r="P310" s="8"/>
      <c r="Q310" s="8"/>
      <c r="R310" s="8"/>
      <c r="S310" s="8"/>
      <c r="T310" s="8"/>
      <c r="U310" s="8"/>
      <c r="V310" s="8"/>
      <c r="W310" s="8"/>
      <c r="X310" s="8"/>
      <c r="Y310" s="8"/>
      <c r="Z310" s="25"/>
    </row>
    <row r="311" spans="1:26">
      <c r="A311" s="8">
        <v>310</v>
      </c>
      <c r="B311" s="8"/>
      <c r="C311" s="8"/>
      <c r="D311" s="8" t="s">
        <v>1234</v>
      </c>
      <c r="E311" s="16" t="s">
        <v>1235</v>
      </c>
      <c r="F311" s="17" t="s">
        <v>1236</v>
      </c>
      <c r="G311" s="18">
        <v>799</v>
      </c>
      <c r="H311" s="19"/>
      <c r="I311" s="20"/>
      <c r="J311" s="8">
        <f>799</f>
        <v>799</v>
      </c>
      <c r="K311" s="21">
        <v>3.8541666666666668E-3</v>
      </c>
      <c r="L311" s="22" t="s">
        <v>1161</v>
      </c>
      <c r="M311" s="8"/>
      <c r="N311" s="8"/>
      <c r="O311" s="8"/>
      <c r="P311" s="8"/>
      <c r="Q311" s="8"/>
      <c r="R311" s="8"/>
      <c r="S311" s="8"/>
      <c r="T311" s="8"/>
      <c r="U311" s="8"/>
      <c r="V311" s="8"/>
      <c r="W311" s="8"/>
      <c r="X311" s="8"/>
      <c r="Y311" s="8"/>
      <c r="Z311" s="25"/>
    </row>
    <row r="312" spans="1:26">
      <c r="A312" s="8">
        <v>311</v>
      </c>
      <c r="B312" s="8"/>
      <c r="C312" s="8"/>
      <c r="D312" s="8" t="s">
        <v>1237</v>
      </c>
      <c r="E312" s="16" t="s">
        <v>1238</v>
      </c>
      <c r="F312" s="17" t="s">
        <v>1239</v>
      </c>
      <c r="G312" s="18" t="s">
        <v>568</v>
      </c>
      <c r="H312" s="19"/>
      <c r="I312" s="20"/>
      <c r="J312" s="8">
        <f t="shared" ref="J312:J313" si="8">1.4*1000</f>
        <v>1400</v>
      </c>
      <c r="K312" s="21">
        <v>4.8726851851851856E-3</v>
      </c>
      <c r="L312" s="22" t="s">
        <v>1161</v>
      </c>
      <c r="M312" s="8"/>
      <c r="N312" s="8"/>
      <c r="O312" s="8"/>
      <c r="P312" s="8"/>
      <c r="Q312" s="8"/>
      <c r="R312" s="8"/>
      <c r="S312" s="8"/>
      <c r="T312" s="8"/>
      <c r="U312" s="8"/>
      <c r="V312" s="8"/>
      <c r="W312" s="8"/>
      <c r="X312" s="8"/>
      <c r="Y312" s="8"/>
      <c r="Z312" s="25"/>
    </row>
    <row r="313" spans="1:26">
      <c r="A313" s="8">
        <v>312</v>
      </c>
      <c r="B313" s="8"/>
      <c r="C313" s="8"/>
      <c r="D313" s="8" t="s">
        <v>1240</v>
      </c>
      <c r="E313" s="16" t="s">
        <v>1241</v>
      </c>
      <c r="F313" s="17" t="s">
        <v>1242</v>
      </c>
      <c r="G313" s="18" t="s">
        <v>568</v>
      </c>
      <c r="H313" s="19"/>
      <c r="I313" s="20"/>
      <c r="J313" s="8">
        <f t="shared" si="8"/>
        <v>1400</v>
      </c>
      <c r="K313" s="21">
        <v>8.7499999999999991E-3</v>
      </c>
      <c r="L313" s="22" t="s">
        <v>1161</v>
      </c>
      <c r="M313" s="8"/>
      <c r="N313" s="8"/>
      <c r="O313" s="8"/>
      <c r="P313" s="8"/>
      <c r="Q313" s="8"/>
      <c r="R313" s="8"/>
      <c r="S313" s="8"/>
      <c r="T313" s="8"/>
      <c r="U313" s="8"/>
      <c r="V313" s="8"/>
      <c r="W313" s="8"/>
      <c r="X313" s="8"/>
      <c r="Y313" s="8"/>
      <c r="Z313" s="25"/>
    </row>
    <row r="314" spans="1:26">
      <c r="A314" s="8">
        <v>313</v>
      </c>
      <c r="B314" s="8"/>
      <c r="C314" s="8"/>
      <c r="D314" s="8" t="s">
        <v>1243</v>
      </c>
      <c r="E314" s="16" t="s">
        <v>1244</v>
      </c>
      <c r="F314" s="17" t="s">
        <v>1245</v>
      </c>
      <c r="G314" s="18" t="s">
        <v>521</v>
      </c>
      <c r="H314" s="19"/>
      <c r="I314" s="20"/>
      <c r="J314" s="8">
        <f>3.5*1000</f>
        <v>3500</v>
      </c>
      <c r="K314" s="21">
        <v>1.1180555555555556E-2</v>
      </c>
      <c r="L314" s="22" t="s">
        <v>1161</v>
      </c>
      <c r="M314" s="8"/>
      <c r="N314" s="8"/>
      <c r="O314" s="8"/>
      <c r="P314" s="8"/>
      <c r="Q314" s="8"/>
      <c r="R314" s="8"/>
      <c r="S314" s="8"/>
      <c r="T314" s="8"/>
      <c r="U314" s="8"/>
      <c r="V314" s="8"/>
      <c r="W314" s="8"/>
      <c r="X314" s="8"/>
      <c r="Y314" s="8"/>
      <c r="Z314" s="25"/>
    </row>
    <row r="315" spans="1:26">
      <c r="A315" s="8">
        <v>314</v>
      </c>
      <c r="B315" s="8"/>
      <c r="C315" s="8"/>
      <c r="D315" s="8" t="s">
        <v>1246</v>
      </c>
      <c r="E315" s="16" t="s">
        <v>1247</v>
      </c>
      <c r="F315" s="27" t="s">
        <v>1248</v>
      </c>
      <c r="G315" s="18" t="s">
        <v>597</v>
      </c>
      <c r="H315" s="19"/>
      <c r="I315" s="20"/>
      <c r="J315" s="8">
        <f>2.6*1000</f>
        <v>2600</v>
      </c>
      <c r="K315" s="21">
        <v>2.4664351851851851E-2</v>
      </c>
      <c r="L315" s="22" t="s">
        <v>1161</v>
      </c>
      <c r="M315" s="8"/>
      <c r="N315" s="8"/>
      <c r="O315" s="8"/>
      <c r="P315" s="8"/>
      <c r="Q315" s="8"/>
      <c r="R315" s="8"/>
      <c r="S315" s="8"/>
      <c r="T315" s="8"/>
      <c r="U315" s="8"/>
      <c r="V315" s="8"/>
      <c r="W315" s="8"/>
      <c r="X315" s="8"/>
      <c r="Y315" s="8"/>
      <c r="Z315" s="25"/>
    </row>
    <row r="316" spans="1:26">
      <c r="A316" s="8">
        <v>315</v>
      </c>
      <c r="B316" s="8"/>
      <c r="C316" s="8"/>
      <c r="D316" s="8" t="s">
        <v>1249</v>
      </c>
      <c r="E316" s="16" t="s">
        <v>1250</v>
      </c>
      <c r="F316" s="27" t="s">
        <v>1251</v>
      </c>
      <c r="G316" s="18" t="s">
        <v>455</v>
      </c>
      <c r="H316" s="19"/>
      <c r="I316" s="20"/>
      <c r="J316" s="8">
        <f>2.9*1000</f>
        <v>2900</v>
      </c>
      <c r="K316" s="21">
        <v>2.2835648148148147E-2</v>
      </c>
      <c r="L316" s="22" t="s">
        <v>1161</v>
      </c>
      <c r="M316" s="8"/>
      <c r="N316" s="8"/>
      <c r="O316" s="8"/>
      <c r="P316" s="8"/>
      <c r="Q316" s="8"/>
      <c r="R316" s="8"/>
      <c r="S316" s="8"/>
      <c r="T316" s="8"/>
      <c r="U316" s="8"/>
      <c r="V316" s="8"/>
      <c r="W316" s="8"/>
      <c r="X316" s="8"/>
      <c r="Y316" s="8"/>
      <c r="Z316" s="25"/>
    </row>
    <row r="317" spans="1:26">
      <c r="A317" s="8">
        <v>316</v>
      </c>
      <c r="B317" s="8"/>
      <c r="C317" s="8"/>
      <c r="D317" s="8" t="s">
        <v>1252</v>
      </c>
      <c r="E317" s="16" t="s">
        <v>1253</v>
      </c>
      <c r="F317" s="27" t="s">
        <v>1254</v>
      </c>
      <c r="G317" s="18" t="s">
        <v>1102</v>
      </c>
      <c r="H317" s="19"/>
      <c r="I317" s="20"/>
      <c r="J317" s="8">
        <f>6*1000</f>
        <v>6000</v>
      </c>
      <c r="K317" s="21">
        <v>2.0949074074074075E-2</v>
      </c>
      <c r="L317" s="22" t="s">
        <v>1161</v>
      </c>
      <c r="M317" s="8"/>
      <c r="N317" s="8"/>
      <c r="O317" s="8"/>
      <c r="P317" s="8"/>
      <c r="Q317" s="8"/>
      <c r="R317" s="8"/>
      <c r="S317" s="8"/>
      <c r="T317" s="8"/>
      <c r="U317" s="8"/>
      <c r="V317" s="8"/>
      <c r="W317" s="8"/>
      <c r="X317" s="8"/>
      <c r="Y317" s="8"/>
      <c r="Z317" s="25"/>
    </row>
    <row r="318" spans="1:26">
      <c r="A318" s="8">
        <v>317</v>
      </c>
      <c r="B318" s="8"/>
      <c r="C318" s="8"/>
      <c r="D318" s="8" t="s">
        <v>1255</v>
      </c>
      <c r="E318" s="16" t="s">
        <v>1256</v>
      </c>
      <c r="F318" s="17" t="s">
        <v>1257</v>
      </c>
      <c r="G318" s="18" t="s">
        <v>350</v>
      </c>
      <c r="H318" s="19"/>
      <c r="I318" s="20"/>
      <c r="J318" s="8">
        <f>3*1000</f>
        <v>3000</v>
      </c>
      <c r="K318" s="21">
        <v>1.1597222222222222E-2</v>
      </c>
      <c r="L318" s="22" t="s">
        <v>1161</v>
      </c>
      <c r="M318" s="8"/>
      <c r="N318" s="8"/>
      <c r="O318" s="8"/>
      <c r="P318" s="8"/>
      <c r="Q318" s="8"/>
      <c r="R318" s="8"/>
      <c r="S318" s="8"/>
      <c r="T318" s="8"/>
      <c r="U318" s="8"/>
      <c r="V318" s="8"/>
      <c r="W318" s="8"/>
      <c r="X318" s="8"/>
      <c r="Y318" s="8"/>
      <c r="Z318" s="25"/>
    </row>
    <row r="319" spans="1:26">
      <c r="A319" s="8">
        <v>318</v>
      </c>
      <c r="B319" s="8"/>
      <c r="C319" s="8"/>
      <c r="D319" s="8" t="s">
        <v>1258</v>
      </c>
      <c r="E319" s="16" t="s">
        <v>1259</v>
      </c>
      <c r="F319" s="29" t="s">
        <v>1260</v>
      </c>
      <c r="G319" s="18" t="s">
        <v>1261</v>
      </c>
      <c r="H319" s="19"/>
      <c r="I319" s="20"/>
      <c r="J319" s="8">
        <f>70*1000</f>
        <v>70000</v>
      </c>
      <c r="K319" s="21">
        <v>6.6006944444444438E-2</v>
      </c>
      <c r="L319" s="22" t="s">
        <v>1161</v>
      </c>
      <c r="M319" s="8"/>
      <c r="N319" s="8"/>
      <c r="O319" s="8"/>
      <c r="P319" s="8"/>
      <c r="Q319" s="8"/>
      <c r="R319" s="8"/>
      <c r="S319" s="8"/>
      <c r="T319" s="8"/>
      <c r="U319" s="8"/>
      <c r="V319" s="8"/>
      <c r="W319" s="8"/>
      <c r="X319" s="8"/>
      <c r="Y319" s="8"/>
      <c r="Z319" s="25"/>
    </row>
    <row r="320" spans="1:26">
      <c r="A320" s="8">
        <v>319</v>
      </c>
      <c r="B320" s="8"/>
      <c r="C320" s="8"/>
      <c r="D320" s="8" t="s">
        <v>1262</v>
      </c>
      <c r="E320" s="16" t="s">
        <v>1263</v>
      </c>
      <c r="F320" s="29" t="s">
        <v>1264</v>
      </c>
      <c r="G320" s="18" t="s">
        <v>478</v>
      </c>
      <c r="H320" s="19"/>
      <c r="I320" s="20"/>
      <c r="J320" s="8">
        <f>28*1000</f>
        <v>28000</v>
      </c>
      <c r="K320" s="21">
        <v>9.2581018518518521E-2</v>
      </c>
      <c r="L320" s="22" t="s">
        <v>1161</v>
      </c>
      <c r="M320" s="8"/>
      <c r="N320" s="8"/>
      <c r="O320" s="8"/>
      <c r="P320" s="8"/>
      <c r="Q320" s="8"/>
      <c r="R320" s="8"/>
      <c r="S320" s="8"/>
      <c r="T320" s="8"/>
      <c r="U320" s="8"/>
      <c r="V320" s="8"/>
      <c r="W320" s="8"/>
      <c r="X320" s="8"/>
      <c r="Y320" s="8"/>
      <c r="Z320" s="25"/>
    </row>
    <row r="321" spans="1:26">
      <c r="A321" s="8">
        <v>320</v>
      </c>
      <c r="B321" s="8"/>
      <c r="C321" s="8"/>
      <c r="D321" s="8" t="s">
        <v>1265</v>
      </c>
      <c r="E321" s="16" t="s">
        <v>1266</v>
      </c>
      <c r="F321" s="17" t="s">
        <v>213</v>
      </c>
      <c r="G321" s="18" t="s">
        <v>155</v>
      </c>
      <c r="H321" s="19"/>
      <c r="I321" s="20"/>
      <c r="J321" s="8">
        <f>1.9*1000</f>
        <v>1900</v>
      </c>
      <c r="K321" s="21">
        <v>2.4652777777777776E-3</v>
      </c>
      <c r="L321" s="22" t="s">
        <v>1161</v>
      </c>
      <c r="M321" s="8"/>
      <c r="N321" s="8"/>
      <c r="O321" s="8"/>
      <c r="P321" s="8"/>
      <c r="Q321" s="8"/>
      <c r="R321" s="8"/>
      <c r="S321" s="8"/>
      <c r="T321" s="8"/>
      <c r="U321" s="8"/>
      <c r="V321" s="8"/>
      <c r="W321" s="8"/>
      <c r="X321" s="8"/>
      <c r="Y321" s="8"/>
      <c r="Z321" s="25"/>
    </row>
    <row r="322" spans="1:26">
      <c r="A322" s="8">
        <v>321</v>
      </c>
      <c r="B322" s="8"/>
      <c r="C322" s="8"/>
      <c r="D322" s="8" t="s">
        <v>1267</v>
      </c>
      <c r="E322" s="16" t="s">
        <v>1268</v>
      </c>
      <c r="F322" s="17" t="s">
        <v>1269</v>
      </c>
      <c r="G322" s="18" t="s">
        <v>256</v>
      </c>
      <c r="H322" s="19"/>
      <c r="I322" s="20"/>
      <c r="J322" s="8">
        <f>2.1*1000</f>
        <v>2100</v>
      </c>
      <c r="K322" s="21">
        <v>1.712962962962963E-3</v>
      </c>
      <c r="L322" s="22" t="s">
        <v>1161</v>
      </c>
      <c r="M322" s="8"/>
      <c r="N322" s="8"/>
      <c r="O322" s="8"/>
      <c r="P322" s="8"/>
      <c r="Q322" s="8"/>
      <c r="R322" s="8"/>
      <c r="S322" s="8"/>
      <c r="T322" s="8"/>
      <c r="U322" s="8"/>
      <c r="V322" s="8"/>
      <c r="W322" s="8"/>
      <c r="X322" s="8"/>
      <c r="Y322" s="8"/>
      <c r="Z322" s="25"/>
    </row>
    <row r="323" spans="1:26">
      <c r="A323" s="8">
        <v>322</v>
      </c>
      <c r="B323" s="8"/>
      <c r="C323" s="8"/>
      <c r="D323" s="8" t="s">
        <v>1270</v>
      </c>
      <c r="E323" s="16" t="s">
        <v>1271</v>
      </c>
      <c r="F323" s="17" t="s">
        <v>367</v>
      </c>
      <c r="G323" s="18" t="s">
        <v>829</v>
      </c>
      <c r="H323" s="19"/>
      <c r="I323" s="20"/>
      <c r="J323" s="8">
        <f>7.6*1000</f>
        <v>7600</v>
      </c>
      <c r="K323" s="21">
        <v>3.4490740740740745E-3</v>
      </c>
      <c r="L323" s="22" t="s">
        <v>1161</v>
      </c>
      <c r="M323" s="8"/>
      <c r="N323" s="8"/>
      <c r="O323" s="8"/>
      <c r="P323" s="8"/>
      <c r="Q323" s="8"/>
      <c r="R323" s="8"/>
      <c r="S323" s="8"/>
      <c r="T323" s="8"/>
      <c r="U323" s="8"/>
      <c r="V323" s="8"/>
      <c r="W323" s="8"/>
      <c r="X323" s="8"/>
      <c r="Y323" s="8"/>
      <c r="Z323" s="25"/>
    </row>
    <row r="324" spans="1:26">
      <c r="A324" s="8">
        <v>323</v>
      </c>
      <c r="B324" s="8"/>
      <c r="C324" s="8"/>
      <c r="D324" s="8" t="s">
        <v>1272</v>
      </c>
      <c r="E324" s="16" t="s">
        <v>1273</v>
      </c>
      <c r="F324" s="17" t="s">
        <v>1274</v>
      </c>
      <c r="G324" s="18">
        <v>944</v>
      </c>
      <c r="H324" s="19"/>
      <c r="I324" s="20"/>
      <c r="J324" s="8">
        <f>944</f>
        <v>944</v>
      </c>
      <c r="K324" s="21">
        <v>9.479166666666667E-3</v>
      </c>
      <c r="L324" s="22" t="s">
        <v>1161</v>
      </c>
      <c r="M324" s="8"/>
      <c r="N324" s="8"/>
      <c r="O324" s="8"/>
      <c r="P324" s="8"/>
      <c r="Q324" s="8"/>
      <c r="R324" s="8"/>
      <c r="S324" s="8"/>
      <c r="T324" s="8"/>
      <c r="U324" s="8"/>
      <c r="V324" s="8"/>
      <c r="W324" s="8"/>
      <c r="X324" s="8"/>
      <c r="Y324" s="8"/>
      <c r="Z324" s="25"/>
    </row>
    <row r="325" spans="1:26">
      <c r="A325" s="8">
        <v>324</v>
      </c>
      <c r="B325" s="8"/>
      <c r="C325" s="8"/>
      <c r="D325" s="8" t="s">
        <v>1275</v>
      </c>
      <c r="E325" s="16" t="s">
        <v>1276</v>
      </c>
      <c r="F325" s="17" t="s">
        <v>1277</v>
      </c>
      <c r="G325" s="18">
        <v>545</v>
      </c>
      <c r="H325" s="19"/>
      <c r="I325" s="20"/>
      <c r="J325" s="8">
        <f>545</f>
        <v>545</v>
      </c>
      <c r="K325" s="21">
        <v>1.5972222222222221E-3</v>
      </c>
      <c r="L325" s="22" t="s">
        <v>1161</v>
      </c>
      <c r="M325" s="8"/>
      <c r="N325" s="8"/>
      <c r="O325" s="8"/>
      <c r="P325" s="8"/>
      <c r="Q325" s="8"/>
      <c r="R325" s="8"/>
      <c r="S325" s="8"/>
      <c r="T325" s="8"/>
      <c r="U325" s="8"/>
      <c r="V325" s="8"/>
      <c r="W325" s="8"/>
      <c r="X325" s="8"/>
      <c r="Y325" s="8"/>
      <c r="Z325" s="25"/>
    </row>
    <row r="326" spans="1:26">
      <c r="A326" s="8">
        <v>325</v>
      </c>
      <c r="B326" s="8"/>
      <c r="C326" s="8"/>
      <c r="D326" s="8" t="s">
        <v>1278</v>
      </c>
      <c r="E326" s="16" t="s">
        <v>1279</v>
      </c>
      <c r="F326" s="17" t="s">
        <v>965</v>
      </c>
      <c r="G326" s="18">
        <v>626</v>
      </c>
      <c r="H326" s="19"/>
      <c r="I326" s="20"/>
      <c r="J326" s="8">
        <f>626</f>
        <v>626</v>
      </c>
      <c r="K326" s="21">
        <v>1.5740740740740741E-3</v>
      </c>
      <c r="L326" s="22" t="s">
        <v>1161</v>
      </c>
      <c r="M326" s="8"/>
      <c r="N326" s="8"/>
      <c r="O326" s="8"/>
      <c r="P326" s="8"/>
      <c r="Q326" s="8"/>
      <c r="R326" s="8"/>
      <c r="S326" s="8"/>
      <c r="T326" s="8"/>
      <c r="U326" s="8"/>
      <c r="V326" s="8"/>
      <c r="W326" s="8"/>
      <c r="X326" s="8"/>
      <c r="Y326" s="8"/>
      <c r="Z326" s="25"/>
    </row>
    <row r="327" spans="1:26">
      <c r="A327" s="8">
        <v>326</v>
      </c>
      <c r="B327" s="8"/>
      <c r="C327" s="8"/>
      <c r="D327" s="8" t="s">
        <v>1280</v>
      </c>
      <c r="E327" s="16" t="s">
        <v>1281</v>
      </c>
      <c r="F327" s="17" t="s">
        <v>1282</v>
      </c>
      <c r="G327" s="18" t="s">
        <v>187</v>
      </c>
      <c r="H327" s="19"/>
      <c r="I327" s="20"/>
      <c r="J327" s="8">
        <f>1.5*1000</f>
        <v>1500</v>
      </c>
      <c r="K327" s="21">
        <v>5.4861111111111117E-3</v>
      </c>
      <c r="L327" s="22" t="s">
        <v>1161</v>
      </c>
      <c r="M327" s="8"/>
      <c r="N327" s="8"/>
      <c r="O327" s="8"/>
      <c r="P327" s="8"/>
      <c r="Q327" s="8"/>
      <c r="R327" s="8"/>
      <c r="S327" s="8"/>
      <c r="T327" s="8"/>
      <c r="U327" s="8"/>
      <c r="V327" s="8"/>
      <c r="W327" s="8"/>
      <c r="X327" s="8"/>
      <c r="Y327" s="8"/>
      <c r="Z327" s="25"/>
    </row>
    <row r="328" spans="1:26">
      <c r="A328" s="8">
        <v>327</v>
      </c>
      <c r="B328" s="8"/>
      <c r="C328" s="8"/>
      <c r="D328" s="8" t="s">
        <v>1283</v>
      </c>
      <c r="E328" s="16" t="s">
        <v>1284</v>
      </c>
      <c r="F328" s="17" t="s">
        <v>1285</v>
      </c>
      <c r="G328" s="18" t="s">
        <v>1005</v>
      </c>
      <c r="H328" s="19"/>
      <c r="I328" s="20"/>
      <c r="J328" s="8">
        <f>1.6*1000</f>
        <v>1600</v>
      </c>
      <c r="K328" s="21">
        <v>5.0694444444444441E-3</v>
      </c>
      <c r="L328" s="22" t="s">
        <v>1161</v>
      </c>
      <c r="M328" s="8"/>
      <c r="N328" s="8"/>
      <c r="O328" s="8"/>
      <c r="P328" s="8"/>
      <c r="Q328" s="8"/>
      <c r="R328" s="8"/>
      <c r="S328" s="8"/>
      <c r="T328" s="8"/>
      <c r="U328" s="8"/>
      <c r="V328" s="8"/>
      <c r="W328" s="8"/>
      <c r="X328" s="8"/>
      <c r="Y328" s="8"/>
      <c r="Z328" s="25"/>
    </row>
    <row r="329" spans="1:26">
      <c r="A329" s="8">
        <v>328</v>
      </c>
      <c r="B329" s="8"/>
      <c r="C329" s="8"/>
      <c r="D329" s="8" t="s">
        <v>1286</v>
      </c>
      <c r="E329" s="16" t="s">
        <v>1287</v>
      </c>
      <c r="F329" s="29" t="s">
        <v>1288</v>
      </c>
      <c r="G329" s="18" t="s">
        <v>1289</v>
      </c>
      <c r="H329" s="19"/>
      <c r="I329" s="20"/>
      <c r="J329" s="8">
        <f>16*1000</f>
        <v>16000</v>
      </c>
      <c r="K329" s="21">
        <v>6.0740740740740741E-2</v>
      </c>
      <c r="L329" s="22" t="s">
        <v>1161</v>
      </c>
      <c r="M329" s="8"/>
      <c r="N329" s="8"/>
      <c r="O329" s="8"/>
      <c r="P329" s="8"/>
      <c r="Q329" s="8"/>
      <c r="R329" s="8"/>
      <c r="S329" s="8"/>
      <c r="T329" s="8"/>
      <c r="U329" s="8"/>
      <c r="V329" s="8"/>
      <c r="W329" s="8"/>
      <c r="X329" s="8"/>
      <c r="Y329" s="8"/>
      <c r="Z329" s="25"/>
    </row>
    <row r="330" spans="1:26">
      <c r="A330" s="8">
        <v>329</v>
      </c>
      <c r="B330" s="8"/>
      <c r="C330" s="8"/>
      <c r="D330" s="8" t="s">
        <v>1290</v>
      </c>
      <c r="E330" s="16" t="s">
        <v>1291</v>
      </c>
      <c r="F330" s="17" t="s">
        <v>1292</v>
      </c>
      <c r="G330" s="18" t="s">
        <v>187</v>
      </c>
      <c r="H330" s="19"/>
      <c r="I330" s="20"/>
      <c r="J330" s="8">
        <f>1.5*1000</f>
        <v>1500</v>
      </c>
      <c r="K330" s="21">
        <v>2.0023148148148148E-3</v>
      </c>
      <c r="L330" s="22" t="s">
        <v>1161</v>
      </c>
      <c r="M330" s="8"/>
      <c r="N330" s="8"/>
      <c r="O330" s="8"/>
      <c r="P330" s="8"/>
      <c r="Q330" s="8"/>
      <c r="R330" s="8"/>
      <c r="S330" s="8"/>
      <c r="T330" s="8"/>
      <c r="U330" s="8"/>
      <c r="V330" s="8"/>
      <c r="W330" s="8"/>
      <c r="X330" s="8"/>
      <c r="Y330" s="8"/>
      <c r="Z330" s="25"/>
    </row>
    <row r="331" spans="1:26">
      <c r="A331" s="8">
        <v>330</v>
      </c>
      <c r="B331" s="8"/>
      <c r="C331" s="8"/>
      <c r="D331" s="8" t="s">
        <v>1293</v>
      </c>
      <c r="E331" s="16" t="s">
        <v>1294</v>
      </c>
      <c r="F331" s="17" t="s">
        <v>1295</v>
      </c>
      <c r="G331" s="18" t="s">
        <v>445</v>
      </c>
      <c r="H331" s="19"/>
      <c r="I331" s="20"/>
      <c r="J331" s="8">
        <f>1.2*1000</f>
        <v>1200</v>
      </c>
      <c r="K331" s="21">
        <v>7.8703703703703705E-4</v>
      </c>
      <c r="L331" s="22" t="s">
        <v>1161</v>
      </c>
      <c r="M331" s="8"/>
      <c r="N331" s="8"/>
      <c r="O331" s="8"/>
      <c r="P331" s="8"/>
      <c r="Q331" s="8"/>
      <c r="R331" s="8"/>
      <c r="S331" s="8"/>
      <c r="T331" s="8"/>
      <c r="U331" s="8"/>
      <c r="V331" s="8"/>
      <c r="W331" s="8"/>
      <c r="X331" s="8"/>
      <c r="Y331" s="8"/>
      <c r="Z331" s="25"/>
    </row>
    <row r="332" spans="1:26">
      <c r="A332" s="8">
        <v>331</v>
      </c>
      <c r="B332" s="8"/>
      <c r="C332" s="8"/>
      <c r="D332" s="8" t="s">
        <v>1296</v>
      </c>
      <c r="E332" s="16" t="s">
        <v>1297</v>
      </c>
      <c r="F332" s="17" t="s">
        <v>1298</v>
      </c>
      <c r="G332" s="18" t="s">
        <v>276</v>
      </c>
      <c r="H332" s="19"/>
      <c r="I332" s="20"/>
      <c r="J332" s="8">
        <f>9.3*1000</f>
        <v>9300</v>
      </c>
      <c r="K332" s="21">
        <v>6.2499999999999995E-3</v>
      </c>
      <c r="L332" s="22" t="s">
        <v>1161</v>
      </c>
      <c r="M332" s="8"/>
      <c r="N332" s="8"/>
      <c r="O332" s="8"/>
      <c r="P332" s="8"/>
      <c r="Q332" s="8"/>
      <c r="R332" s="8"/>
      <c r="S332" s="8"/>
      <c r="T332" s="8"/>
      <c r="U332" s="8"/>
      <c r="V332" s="8"/>
      <c r="W332" s="8"/>
      <c r="X332" s="8"/>
      <c r="Y332" s="8"/>
      <c r="Z332" s="25"/>
    </row>
    <row r="333" spans="1:26">
      <c r="A333" s="8">
        <v>332</v>
      </c>
      <c r="B333" s="8"/>
      <c r="C333" s="8"/>
      <c r="D333" s="8" t="s">
        <v>1299</v>
      </c>
      <c r="E333" s="16" t="s">
        <v>1300</v>
      </c>
      <c r="F333" s="17" t="s">
        <v>896</v>
      </c>
      <c r="G333" s="18">
        <v>265</v>
      </c>
      <c r="H333" s="19"/>
      <c r="I333" s="20"/>
      <c r="J333" s="8">
        <f>265</f>
        <v>265</v>
      </c>
      <c r="K333" s="21">
        <v>2.7199074074074074E-3</v>
      </c>
      <c r="L333" s="22" t="s">
        <v>1161</v>
      </c>
      <c r="M333" s="8"/>
      <c r="N333" s="8"/>
      <c r="O333" s="8"/>
      <c r="P333" s="8"/>
      <c r="Q333" s="8"/>
      <c r="R333" s="8"/>
      <c r="S333" s="8"/>
      <c r="T333" s="8"/>
      <c r="U333" s="8"/>
      <c r="V333" s="8"/>
      <c r="W333" s="8"/>
      <c r="X333" s="8"/>
      <c r="Y333" s="8"/>
      <c r="Z333" s="25"/>
    </row>
    <row r="334" spans="1:26">
      <c r="A334" s="8">
        <v>333</v>
      </c>
      <c r="B334" s="8"/>
      <c r="C334" s="8"/>
      <c r="D334" s="8" t="s">
        <v>1301</v>
      </c>
      <c r="E334" s="16" t="s">
        <v>1302</v>
      </c>
      <c r="F334" s="17" t="s">
        <v>1303</v>
      </c>
      <c r="G334" s="18">
        <v>238</v>
      </c>
      <c r="H334" s="19"/>
      <c r="I334" s="20"/>
      <c r="J334" s="8">
        <f>238</f>
        <v>238</v>
      </c>
      <c r="K334" s="21">
        <v>2.6041666666666665E-3</v>
      </c>
      <c r="L334" s="22" t="s">
        <v>1161</v>
      </c>
      <c r="M334" s="8"/>
      <c r="N334" s="8"/>
      <c r="O334" s="8"/>
      <c r="P334" s="8"/>
      <c r="Q334" s="8"/>
      <c r="R334" s="8"/>
      <c r="S334" s="8"/>
      <c r="T334" s="8"/>
      <c r="U334" s="8"/>
      <c r="V334" s="8"/>
      <c r="W334" s="8"/>
      <c r="X334" s="8"/>
      <c r="Y334" s="8"/>
      <c r="Z334" s="25"/>
    </row>
    <row r="335" spans="1:26">
      <c r="A335" s="8">
        <v>334</v>
      </c>
      <c r="B335" s="8"/>
      <c r="C335" s="8"/>
      <c r="D335" s="8" t="s">
        <v>1304</v>
      </c>
      <c r="E335" s="16" t="s">
        <v>1305</v>
      </c>
      <c r="F335" s="17" t="s">
        <v>1306</v>
      </c>
      <c r="G335" s="18">
        <v>585</v>
      </c>
      <c r="H335" s="19"/>
      <c r="I335" s="20"/>
      <c r="J335" s="8">
        <f>585</f>
        <v>585</v>
      </c>
      <c r="K335" s="21">
        <v>7.8125E-3</v>
      </c>
      <c r="L335" s="22" t="s">
        <v>1161</v>
      </c>
      <c r="M335" s="8"/>
      <c r="N335" s="8"/>
      <c r="O335" s="8"/>
      <c r="P335" s="8"/>
      <c r="Q335" s="8"/>
      <c r="R335" s="8"/>
      <c r="S335" s="8"/>
      <c r="T335" s="8"/>
      <c r="U335" s="8"/>
      <c r="V335" s="8"/>
      <c r="W335" s="8"/>
      <c r="X335" s="8"/>
      <c r="Y335" s="8"/>
      <c r="Z335" s="25"/>
    </row>
    <row r="336" spans="1:26">
      <c r="A336" s="8">
        <v>335</v>
      </c>
      <c r="B336" s="8"/>
      <c r="C336" s="8"/>
      <c r="D336" s="8" t="s">
        <v>1307</v>
      </c>
      <c r="E336" s="16" t="s">
        <v>1308</v>
      </c>
      <c r="F336" s="27" t="s">
        <v>1309</v>
      </c>
      <c r="G336" s="18" t="s">
        <v>1106</v>
      </c>
      <c r="H336" s="19"/>
      <c r="I336" s="20"/>
      <c r="J336" s="8">
        <f>8.8*1000</f>
        <v>8800</v>
      </c>
      <c r="K336" s="21">
        <v>3.9328703703703706E-2</v>
      </c>
      <c r="L336" s="22" t="s">
        <v>1161</v>
      </c>
      <c r="M336" s="8"/>
      <c r="N336" s="8"/>
      <c r="O336" s="8"/>
      <c r="P336" s="8"/>
      <c r="Q336" s="8"/>
      <c r="R336" s="8"/>
      <c r="S336" s="8"/>
      <c r="T336" s="8"/>
      <c r="U336" s="8"/>
      <c r="V336" s="8"/>
      <c r="W336" s="8"/>
      <c r="X336" s="8"/>
      <c r="Y336" s="8"/>
      <c r="Z336" s="25"/>
    </row>
    <row r="337" spans="1:26">
      <c r="A337" s="8">
        <v>336</v>
      </c>
      <c r="B337" s="8"/>
      <c r="C337" s="8"/>
      <c r="D337" s="8" t="s">
        <v>1310</v>
      </c>
      <c r="E337" s="16" t="s">
        <v>1311</v>
      </c>
      <c r="F337" s="17" t="s">
        <v>891</v>
      </c>
      <c r="G337" s="18" t="s">
        <v>1312</v>
      </c>
      <c r="H337" s="19"/>
      <c r="I337" s="20"/>
      <c r="J337" s="8">
        <f>2.2*1000</f>
        <v>2200</v>
      </c>
      <c r="K337" s="21">
        <v>2.6388888888888885E-3</v>
      </c>
      <c r="L337" s="22" t="s">
        <v>1161</v>
      </c>
      <c r="M337" s="8"/>
      <c r="N337" s="8"/>
      <c r="O337" s="8"/>
      <c r="P337" s="8"/>
      <c r="Q337" s="8"/>
      <c r="R337" s="8"/>
      <c r="S337" s="8"/>
      <c r="T337" s="8"/>
      <c r="U337" s="8"/>
      <c r="V337" s="8"/>
      <c r="W337" s="8"/>
      <c r="X337" s="8"/>
      <c r="Y337" s="8"/>
      <c r="Z337" s="25"/>
    </row>
    <row r="338" spans="1:26">
      <c r="A338" s="8">
        <v>337</v>
      </c>
      <c r="B338" s="8"/>
      <c r="C338" s="8"/>
      <c r="D338" s="8" t="s">
        <v>1313</v>
      </c>
      <c r="E338" s="16" t="s">
        <v>1314</v>
      </c>
      <c r="F338" s="29" t="s">
        <v>1315</v>
      </c>
      <c r="G338" s="18" t="s">
        <v>357</v>
      </c>
      <c r="H338" s="19"/>
      <c r="I338" s="20"/>
      <c r="J338" s="8">
        <f>3.3*1000</f>
        <v>3300</v>
      </c>
      <c r="K338" s="21">
        <v>7.5069444444444453E-2</v>
      </c>
      <c r="L338" s="22" t="s">
        <v>1161</v>
      </c>
      <c r="M338" s="8"/>
      <c r="N338" s="8"/>
      <c r="O338" s="8"/>
      <c r="P338" s="8"/>
      <c r="Q338" s="8"/>
      <c r="R338" s="8"/>
      <c r="S338" s="8"/>
      <c r="T338" s="8"/>
      <c r="U338" s="8"/>
      <c r="V338" s="8"/>
      <c r="W338" s="8"/>
      <c r="X338" s="8"/>
      <c r="Y338" s="8"/>
      <c r="Z338" s="25"/>
    </row>
    <row r="339" spans="1:26">
      <c r="A339" s="8">
        <v>338</v>
      </c>
      <c r="B339" s="8"/>
      <c r="C339" s="8"/>
      <c r="D339" s="8" t="s">
        <v>1316</v>
      </c>
      <c r="E339" s="16" t="s">
        <v>1317</v>
      </c>
      <c r="F339" s="17" t="s">
        <v>1318</v>
      </c>
      <c r="G339" s="18">
        <v>828</v>
      </c>
      <c r="H339" s="19"/>
      <c r="I339" s="20"/>
      <c r="J339" s="8">
        <f>828</f>
        <v>828</v>
      </c>
      <c r="K339" s="21">
        <v>2.5000000000000001E-3</v>
      </c>
      <c r="L339" s="22" t="s">
        <v>1161</v>
      </c>
      <c r="M339" s="8"/>
      <c r="N339" s="8"/>
      <c r="O339" s="8"/>
      <c r="P339" s="8"/>
      <c r="Q339" s="8"/>
      <c r="R339" s="8"/>
      <c r="S339" s="8"/>
      <c r="T339" s="8"/>
      <c r="U339" s="8"/>
      <c r="V339" s="8"/>
      <c r="W339" s="8"/>
      <c r="X339" s="8"/>
      <c r="Y339" s="8"/>
      <c r="Z339" s="25"/>
    </row>
    <row r="340" spans="1:26">
      <c r="A340" s="8">
        <v>339</v>
      </c>
      <c r="B340" s="8"/>
      <c r="C340" s="8"/>
      <c r="D340" s="8" t="s">
        <v>1319</v>
      </c>
      <c r="E340" s="16" t="s">
        <v>1320</v>
      </c>
      <c r="F340" s="17" t="s">
        <v>1321</v>
      </c>
      <c r="G340" s="18" t="s">
        <v>445</v>
      </c>
      <c r="H340" s="19"/>
      <c r="I340" s="20"/>
      <c r="J340" s="8">
        <f>1.2*1000</f>
        <v>1200</v>
      </c>
      <c r="K340" s="21">
        <v>9.8379629629629642E-4</v>
      </c>
      <c r="L340" s="22" t="s">
        <v>1161</v>
      </c>
      <c r="M340" s="8"/>
      <c r="N340" s="8"/>
      <c r="O340" s="8"/>
      <c r="P340" s="8"/>
      <c r="Q340" s="8"/>
      <c r="R340" s="8"/>
      <c r="S340" s="8"/>
      <c r="T340" s="8"/>
      <c r="U340" s="8"/>
      <c r="V340" s="8"/>
      <c r="W340" s="8"/>
      <c r="X340" s="8"/>
      <c r="Y340" s="8"/>
      <c r="Z340" s="25"/>
    </row>
    <row r="341" spans="1:26">
      <c r="A341" s="8">
        <v>340</v>
      </c>
      <c r="B341" s="8"/>
      <c r="C341" s="8"/>
      <c r="D341" s="8" t="s">
        <v>1322</v>
      </c>
      <c r="E341" s="16" t="s">
        <v>1323</v>
      </c>
      <c r="F341" s="29" t="s">
        <v>1324</v>
      </c>
      <c r="G341" s="18" t="s">
        <v>510</v>
      </c>
      <c r="H341" s="19"/>
      <c r="I341" s="20"/>
      <c r="J341" s="8">
        <f>3.7*1000</f>
        <v>3700</v>
      </c>
      <c r="K341" s="21">
        <v>7.0636574074074074E-2</v>
      </c>
      <c r="L341" s="22" t="s">
        <v>1161</v>
      </c>
      <c r="M341" s="8"/>
      <c r="N341" s="8"/>
      <c r="O341" s="8"/>
      <c r="P341" s="8"/>
      <c r="Q341" s="8"/>
      <c r="R341" s="8"/>
      <c r="S341" s="8"/>
      <c r="T341" s="8"/>
      <c r="U341" s="8"/>
      <c r="V341" s="8"/>
      <c r="W341" s="8"/>
      <c r="X341" s="8"/>
      <c r="Y341" s="8"/>
      <c r="Z341" s="25"/>
    </row>
    <row r="342" spans="1:26">
      <c r="A342" s="8">
        <v>341</v>
      </c>
      <c r="B342" s="8"/>
      <c r="C342" s="8"/>
      <c r="D342" s="8" t="s">
        <v>1325</v>
      </c>
      <c r="E342" s="16" t="s">
        <v>1326</v>
      </c>
      <c r="F342" s="17" t="s">
        <v>1327</v>
      </c>
      <c r="G342" s="18" t="s">
        <v>837</v>
      </c>
      <c r="H342" s="19"/>
      <c r="I342" s="20"/>
      <c r="J342" s="8">
        <f>6.8*1000</f>
        <v>6800</v>
      </c>
      <c r="K342" s="21">
        <v>1.2453703703703703E-2</v>
      </c>
      <c r="L342" s="22" t="s">
        <v>1161</v>
      </c>
      <c r="M342" s="8"/>
      <c r="N342" s="8"/>
      <c r="O342" s="8"/>
      <c r="P342" s="8"/>
      <c r="Q342" s="8"/>
      <c r="R342" s="8"/>
      <c r="S342" s="8"/>
      <c r="T342" s="8"/>
      <c r="U342" s="8"/>
      <c r="V342" s="8"/>
      <c r="W342" s="8"/>
      <c r="X342" s="8"/>
      <c r="Y342" s="8"/>
      <c r="Z342" s="25"/>
    </row>
    <row r="343" spans="1:26">
      <c r="A343" s="8">
        <v>342</v>
      </c>
      <c r="B343" s="8"/>
      <c r="C343" s="8"/>
      <c r="D343" s="8" t="s">
        <v>1328</v>
      </c>
      <c r="E343" s="16" t="s">
        <v>1329</v>
      </c>
      <c r="F343" s="17" t="s">
        <v>1330</v>
      </c>
      <c r="G343" s="18" t="s">
        <v>445</v>
      </c>
      <c r="H343" s="19"/>
      <c r="I343" s="20"/>
      <c r="J343" s="8">
        <f t="shared" ref="J343:J344" si="9">1.2*1000</f>
        <v>1200</v>
      </c>
      <c r="K343" s="21">
        <v>2.7546296296296294E-3</v>
      </c>
      <c r="L343" s="22" t="s">
        <v>1161</v>
      </c>
      <c r="M343" s="8"/>
      <c r="N343" s="8"/>
      <c r="O343" s="8"/>
      <c r="P343" s="8"/>
      <c r="Q343" s="8"/>
      <c r="R343" s="8"/>
      <c r="S343" s="8"/>
      <c r="T343" s="8"/>
      <c r="U343" s="8"/>
      <c r="V343" s="8"/>
      <c r="W343" s="8"/>
      <c r="X343" s="8"/>
      <c r="Y343" s="8"/>
      <c r="Z343" s="25"/>
    </row>
    <row r="344" spans="1:26">
      <c r="A344" s="8">
        <v>343</v>
      </c>
      <c r="B344" s="8"/>
      <c r="C344" s="8"/>
      <c r="D344" s="8" t="s">
        <v>1331</v>
      </c>
      <c r="E344" s="16" t="s">
        <v>1332</v>
      </c>
      <c r="F344" s="17" t="s">
        <v>1333</v>
      </c>
      <c r="G344" s="18" t="s">
        <v>445</v>
      </c>
      <c r="H344" s="19"/>
      <c r="I344" s="20"/>
      <c r="J344" s="8">
        <f t="shared" si="9"/>
        <v>1200</v>
      </c>
      <c r="K344" s="21">
        <v>2.5694444444444445E-3</v>
      </c>
      <c r="L344" s="22" t="s">
        <v>1161</v>
      </c>
      <c r="M344" s="8"/>
      <c r="N344" s="8"/>
      <c r="O344" s="8"/>
      <c r="P344" s="8"/>
      <c r="Q344" s="8"/>
      <c r="R344" s="8"/>
      <c r="S344" s="8"/>
      <c r="T344" s="8"/>
      <c r="U344" s="8"/>
      <c r="V344" s="8"/>
      <c r="W344" s="8"/>
      <c r="X344" s="8"/>
      <c r="Y344" s="8"/>
      <c r="Z344" s="25"/>
    </row>
    <row r="345" spans="1:26">
      <c r="A345" s="8">
        <v>344</v>
      </c>
      <c r="B345" s="8"/>
      <c r="C345" s="8"/>
      <c r="D345" s="8" t="s">
        <v>1334</v>
      </c>
      <c r="E345" s="16" t="s">
        <v>1335</v>
      </c>
      <c r="F345" s="17" t="s">
        <v>1336</v>
      </c>
      <c r="G345" s="18">
        <v>231</v>
      </c>
      <c r="H345" s="19"/>
      <c r="I345" s="20"/>
      <c r="J345" s="8">
        <f>231</f>
        <v>231</v>
      </c>
      <c r="K345" s="21">
        <v>1.7708333333333332E-3</v>
      </c>
      <c r="L345" s="22" t="s">
        <v>1161</v>
      </c>
      <c r="M345" s="8"/>
      <c r="N345" s="8"/>
      <c r="O345" s="8"/>
      <c r="P345" s="8"/>
      <c r="Q345" s="8"/>
      <c r="R345" s="8"/>
      <c r="S345" s="8"/>
      <c r="T345" s="8"/>
      <c r="U345" s="8"/>
      <c r="V345" s="8"/>
      <c r="W345" s="8"/>
      <c r="X345" s="8"/>
      <c r="Y345" s="8"/>
      <c r="Z345" s="25"/>
    </row>
    <row r="346" spans="1:26">
      <c r="A346" s="8">
        <v>345</v>
      </c>
      <c r="B346" s="8"/>
      <c r="C346" s="8"/>
      <c r="D346" s="8" t="s">
        <v>1337</v>
      </c>
      <c r="E346" s="16" t="s">
        <v>1338</v>
      </c>
      <c r="F346" s="17" t="s">
        <v>1339</v>
      </c>
      <c r="G346" s="18">
        <v>666</v>
      </c>
      <c r="H346" s="19"/>
      <c r="I346" s="20"/>
      <c r="J346" s="8">
        <f>666</f>
        <v>666</v>
      </c>
      <c r="K346" s="21">
        <v>1.3194444444444443E-3</v>
      </c>
      <c r="L346" s="22" t="s">
        <v>1161</v>
      </c>
      <c r="M346" s="8"/>
      <c r="N346" s="8"/>
      <c r="O346" s="8"/>
      <c r="P346" s="8"/>
      <c r="Q346" s="8"/>
      <c r="R346" s="8"/>
      <c r="S346" s="8"/>
      <c r="T346" s="8"/>
      <c r="U346" s="8"/>
      <c r="V346" s="8"/>
      <c r="W346" s="8"/>
      <c r="X346" s="8"/>
      <c r="Y346" s="8"/>
      <c r="Z346" s="25"/>
    </row>
    <row r="347" spans="1:26">
      <c r="A347" s="8">
        <v>346</v>
      </c>
      <c r="B347" s="8"/>
      <c r="C347" s="8"/>
      <c r="D347" s="8" t="s">
        <v>1340</v>
      </c>
      <c r="E347" s="16" t="s">
        <v>1341</v>
      </c>
      <c r="F347" s="17" t="s">
        <v>1342</v>
      </c>
      <c r="G347" s="18">
        <v>191</v>
      </c>
      <c r="H347" s="19"/>
      <c r="I347" s="20"/>
      <c r="J347" s="8">
        <f>191</f>
        <v>191</v>
      </c>
      <c r="K347" s="21">
        <v>9.4907407407407408E-4</v>
      </c>
      <c r="L347" s="22" t="s">
        <v>1161</v>
      </c>
      <c r="M347" s="8"/>
      <c r="N347" s="8"/>
      <c r="O347" s="8"/>
      <c r="P347" s="8"/>
      <c r="Q347" s="8"/>
      <c r="R347" s="8"/>
      <c r="S347" s="8"/>
      <c r="T347" s="8"/>
      <c r="U347" s="8"/>
      <c r="V347" s="8"/>
      <c r="W347" s="8"/>
      <c r="X347" s="8"/>
      <c r="Y347" s="8"/>
      <c r="Z347" s="25"/>
    </row>
    <row r="348" spans="1:26">
      <c r="A348" s="8">
        <v>347</v>
      </c>
      <c r="B348" s="8"/>
      <c r="C348" s="8"/>
      <c r="D348" s="8" t="s">
        <v>1343</v>
      </c>
      <c r="E348" s="16" t="s">
        <v>1344</v>
      </c>
      <c r="F348" s="17" t="s">
        <v>1345</v>
      </c>
      <c r="G348" s="18">
        <v>870</v>
      </c>
      <c r="H348" s="19"/>
      <c r="I348" s="20"/>
      <c r="J348" s="8">
        <f>870</f>
        <v>870</v>
      </c>
      <c r="K348" s="21">
        <v>6.076388888888889E-3</v>
      </c>
      <c r="L348" s="22" t="s">
        <v>1161</v>
      </c>
      <c r="M348" s="8"/>
      <c r="N348" s="8"/>
      <c r="O348" s="8"/>
      <c r="P348" s="8"/>
      <c r="Q348" s="8"/>
      <c r="R348" s="8"/>
      <c r="S348" s="8"/>
      <c r="T348" s="8"/>
      <c r="U348" s="8"/>
      <c r="V348" s="8"/>
      <c r="W348" s="8"/>
      <c r="X348" s="8"/>
      <c r="Y348" s="8"/>
      <c r="Z348" s="25"/>
    </row>
    <row r="349" spans="1:26">
      <c r="A349" s="8">
        <v>348</v>
      </c>
      <c r="B349" s="8"/>
      <c r="C349" s="8"/>
      <c r="D349" s="8" t="s">
        <v>1346</v>
      </c>
      <c r="E349" s="16" t="s">
        <v>1347</v>
      </c>
      <c r="F349" s="17" t="s">
        <v>1348</v>
      </c>
      <c r="G349" s="18">
        <v>527</v>
      </c>
      <c r="H349" s="19"/>
      <c r="I349" s="20"/>
      <c r="J349" s="8">
        <f>527</f>
        <v>527</v>
      </c>
      <c r="K349" s="21">
        <v>3.6574074074074074E-3</v>
      </c>
      <c r="L349" s="22" t="s">
        <v>1161</v>
      </c>
      <c r="M349" s="8"/>
      <c r="N349" s="8"/>
      <c r="O349" s="8"/>
      <c r="P349" s="8"/>
      <c r="Q349" s="8"/>
      <c r="R349" s="8"/>
      <c r="S349" s="8"/>
      <c r="T349" s="8"/>
      <c r="U349" s="8"/>
      <c r="V349" s="8"/>
      <c r="W349" s="8"/>
      <c r="X349" s="8"/>
      <c r="Y349" s="8"/>
      <c r="Z349" s="25"/>
    </row>
    <row r="350" spans="1:26">
      <c r="A350" s="8">
        <v>349</v>
      </c>
      <c r="B350" s="8"/>
      <c r="C350" s="8"/>
      <c r="D350" s="8" t="s">
        <v>1349</v>
      </c>
      <c r="E350" s="16" t="s">
        <v>1350</v>
      </c>
      <c r="F350" s="17" t="s">
        <v>1351</v>
      </c>
      <c r="G350" s="18" t="s">
        <v>214</v>
      </c>
      <c r="H350" s="19"/>
      <c r="I350" s="20"/>
      <c r="J350" s="8">
        <f>1*1000</f>
        <v>1000</v>
      </c>
      <c r="K350" s="21">
        <v>5.2662037037037035E-3</v>
      </c>
      <c r="L350" s="22" t="s">
        <v>1161</v>
      </c>
      <c r="M350" s="8"/>
      <c r="N350" s="8"/>
      <c r="O350" s="8"/>
      <c r="P350" s="8"/>
      <c r="Q350" s="8"/>
      <c r="R350" s="8"/>
      <c r="S350" s="8"/>
      <c r="T350" s="8"/>
      <c r="U350" s="8"/>
      <c r="V350" s="8"/>
      <c r="W350" s="8"/>
      <c r="X350" s="8"/>
      <c r="Y350" s="8"/>
      <c r="Z350" s="25"/>
    </row>
    <row r="351" spans="1:26">
      <c r="A351" s="8">
        <v>350</v>
      </c>
      <c r="B351" s="8"/>
      <c r="C351" s="8"/>
      <c r="D351" s="8" t="s">
        <v>1352</v>
      </c>
      <c r="E351" s="16" t="s">
        <v>1353</v>
      </c>
      <c r="F351" s="17" t="s">
        <v>1354</v>
      </c>
      <c r="G351" s="18">
        <v>368</v>
      </c>
      <c r="H351" s="19"/>
      <c r="I351" s="20"/>
      <c r="J351" s="8">
        <f>368</f>
        <v>368</v>
      </c>
      <c r="K351" s="21">
        <v>1.1805555555555556E-3</v>
      </c>
      <c r="L351" s="22" t="s">
        <v>1161</v>
      </c>
      <c r="M351" s="8"/>
      <c r="N351" s="8"/>
      <c r="O351" s="8"/>
      <c r="P351" s="8"/>
      <c r="Q351" s="8"/>
      <c r="R351" s="8"/>
      <c r="S351" s="8"/>
      <c r="T351" s="8"/>
      <c r="U351" s="8"/>
      <c r="V351" s="8"/>
      <c r="W351" s="8"/>
      <c r="X351" s="8"/>
      <c r="Y351" s="8"/>
      <c r="Z351" s="25"/>
    </row>
    <row r="352" spans="1:26">
      <c r="A352" s="8">
        <v>351</v>
      </c>
      <c r="B352" s="8"/>
      <c r="C352" s="8"/>
      <c r="D352" s="8" t="s">
        <v>1355</v>
      </c>
      <c r="E352" s="16" t="s">
        <v>1356</v>
      </c>
      <c r="F352" s="17" t="s">
        <v>1357</v>
      </c>
      <c r="G352" s="18" t="s">
        <v>374</v>
      </c>
      <c r="H352" s="19"/>
      <c r="I352" s="20"/>
      <c r="J352" s="8">
        <f>1.3*1000</f>
        <v>1300</v>
      </c>
      <c r="K352" s="21">
        <v>2.9398148148148148E-3</v>
      </c>
      <c r="L352" s="22" t="s">
        <v>1161</v>
      </c>
      <c r="M352" s="8"/>
      <c r="N352" s="8"/>
      <c r="O352" s="8"/>
      <c r="P352" s="8"/>
      <c r="Q352" s="8"/>
      <c r="R352" s="8"/>
      <c r="S352" s="8"/>
      <c r="T352" s="8"/>
      <c r="U352" s="8"/>
      <c r="V352" s="8"/>
      <c r="W352" s="8"/>
      <c r="X352" s="8"/>
      <c r="Y352" s="8"/>
      <c r="Z352" s="25"/>
    </row>
    <row r="353" spans="1:26">
      <c r="A353" s="8">
        <v>352</v>
      </c>
      <c r="B353" s="8"/>
      <c r="C353" s="8"/>
      <c r="D353" s="8" t="s">
        <v>1358</v>
      </c>
      <c r="E353" s="16" t="s">
        <v>1359</v>
      </c>
      <c r="F353" s="17" t="s">
        <v>1360</v>
      </c>
      <c r="G353" s="18">
        <v>207</v>
      </c>
      <c r="H353" s="19"/>
      <c r="I353" s="20"/>
      <c r="J353" s="8">
        <f>207</f>
        <v>207</v>
      </c>
      <c r="K353" s="21">
        <v>3.425925925925926E-3</v>
      </c>
      <c r="L353" s="22" t="s">
        <v>1161</v>
      </c>
      <c r="M353" s="8"/>
      <c r="N353" s="8"/>
      <c r="O353" s="8"/>
      <c r="P353" s="8"/>
      <c r="Q353" s="8"/>
      <c r="R353" s="8"/>
      <c r="S353" s="8"/>
      <c r="T353" s="8"/>
      <c r="U353" s="8"/>
      <c r="V353" s="8"/>
      <c r="W353" s="8"/>
      <c r="X353" s="8"/>
      <c r="Y353" s="8"/>
      <c r="Z353" s="25"/>
    </row>
    <row r="354" spans="1:26">
      <c r="A354" s="8">
        <v>353</v>
      </c>
      <c r="B354" s="8"/>
      <c r="C354" s="8"/>
      <c r="D354" s="8" t="s">
        <v>1361</v>
      </c>
      <c r="E354" s="16" t="s">
        <v>1362</v>
      </c>
      <c r="F354" s="17" t="s">
        <v>1363</v>
      </c>
      <c r="G354" s="18">
        <v>177</v>
      </c>
      <c r="H354" s="19"/>
      <c r="I354" s="20"/>
      <c r="J354" s="8">
        <f>177</f>
        <v>177</v>
      </c>
      <c r="K354" s="21">
        <v>2.7777777777777778E-4</v>
      </c>
      <c r="L354" s="22" t="s">
        <v>1161</v>
      </c>
      <c r="M354" s="8"/>
      <c r="N354" s="8"/>
      <c r="O354" s="8"/>
      <c r="P354" s="8"/>
      <c r="Q354" s="8"/>
      <c r="R354" s="8"/>
      <c r="S354" s="8"/>
      <c r="T354" s="8"/>
      <c r="U354" s="8"/>
      <c r="V354" s="8"/>
      <c r="W354" s="8"/>
      <c r="X354" s="8"/>
      <c r="Y354" s="8"/>
      <c r="Z354" s="25"/>
    </row>
    <row r="355" spans="1:26">
      <c r="A355" s="8">
        <v>354</v>
      </c>
      <c r="B355" s="8"/>
      <c r="C355" s="8"/>
      <c r="D355" s="8" t="s">
        <v>1364</v>
      </c>
      <c r="E355" s="16" t="s">
        <v>1365</v>
      </c>
      <c r="F355" s="17" t="s">
        <v>1366</v>
      </c>
      <c r="G355" s="18" t="s">
        <v>350</v>
      </c>
      <c r="H355" s="19"/>
      <c r="I355" s="20"/>
      <c r="J355" s="8">
        <f>3*1000</f>
        <v>3000</v>
      </c>
      <c r="K355" s="21">
        <v>2.615740740740741E-3</v>
      </c>
      <c r="L355" s="22" t="s">
        <v>1161</v>
      </c>
      <c r="M355" s="8"/>
      <c r="N355" s="8"/>
      <c r="O355" s="8"/>
      <c r="P355" s="8"/>
      <c r="Q355" s="8"/>
      <c r="R355" s="8"/>
      <c r="S355" s="8"/>
      <c r="T355" s="8"/>
      <c r="U355" s="8"/>
      <c r="V355" s="8"/>
      <c r="W355" s="8"/>
      <c r="X355" s="8"/>
      <c r="Y355" s="8"/>
      <c r="Z355" s="25"/>
    </row>
    <row r="356" spans="1:26">
      <c r="A356" s="8">
        <v>355</v>
      </c>
      <c r="B356" s="8"/>
      <c r="C356" s="8"/>
      <c r="D356" s="8" t="s">
        <v>1367</v>
      </c>
      <c r="E356" s="16" t="s">
        <v>1368</v>
      </c>
      <c r="F356" s="17" t="s">
        <v>1369</v>
      </c>
      <c r="G356" s="18" t="s">
        <v>155</v>
      </c>
      <c r="H356" s="19"/>
      <c r="I356" s="20"/>
      <c r="J356" s="8">
        <f>1.9*1000</f>
        <v>1900</v>
      </c>
      <c r="K356" s="21">
        <v>2.9629629629629628E-3</v>
      </c>
      <c r="L356" s="22" t="s">
        <v>1161</v>
      </c>
      <c r="M356" s="8"/>
      <c r="N356" s="8"/>
      <c r="O356" s="8"/>
      <c r="P356" s="8"/>
      <c r="Q356" s="8"/>
      <c r="R356" s="8"/>
      <c r="S356" s="8"/>
      <c r="T356" s="8"/>
      <c r="U356" s="8"/>
      <c r="V356" s="8"/>
      <c r="W356" s="8"/>
      <c r="X356" s="8"/>
      <c r="Y356" s="8"/>
      <c r="Z356" s="25"/>
    </row>
    <row r="357" spans="1:26">
      <c r="A357" s="8">
        <v>356</v>
      </c>
      <c r="B357" s="8"/>
      <c r="C357" s="8"/>
      <c r="D357" s="8" t="s">
        <v>1370</v>
      </c>
      <c r="E357" s="16" t="s">
        <v>1371</v>
      </c>
      <c r="F357" s="17" t="s">
        <v>1372</v>
      </c>
      <c r="G357" s="18">
        <v>549</v>
      </c>
      <c r="H357" s="19"/>
      <c r="I357" s="20"/>
      <c r="J357" s="8">
        <f>549</f>
        <v>549</v>
      </c>
      <c r="K357" s="21">
        <v>2.1874999999999998E-3</v>
      </c>
      <c r="L357" s="22" t="s">
        <v>1161</v>
      </c>
      <c r="M357" s="8"/>
      <c r="N357" s="8"/>
      <c r="O357" s="8"/>
      <c r="P357" s="8"/>
      <c r="Q357" s="8"/>
      <c r="R357" s="8"/>
      <c r="S357" s="8"/>
      <c r="T357" s="8"/>
      <c r="U357" s="8"/>
      <c r="V357" s="8"/>
      <c r="W357" s="8"/>
      <c r="X357" s="8"/>
      <c r="Y357" s="8"/>
      <c r="Z357" s="25"/>
    </row>
    <row r="358" spans="1:26">
      <c r="A358" s="8">
        <v>357</v>
      </c>
      <c r="B358" s="8"/>
      <c r="C358" s="8"/>
      <c r="D358" s="8" t="s">
        <v>1373</v>
      </c>
      <c r="E358" s="16" t="s">
        <v>1374</v>
      </c>
      <c r="F358" s="17" t="s">
        <v>1375</v>
      </c>
      <c r="G358" s="18">
        <v>632</v>
      </c>
      <c r="H358" s="19"/>
      <c r="I358" s="20"/>
      <c r="J358" s="8">
        <f>632</f>
        <v>632</v>
      </c>
      <c r="K358" s="21">
        <v>4.3749999999999995E-3</v>
      </c>
      <c r="L358" s="22" t="s">
        <v>1161</v>
      </c>
      <c r="M358" s="8"/>
      <c r="N358" s="8"/>
      <c r="O358" s="8"/>
      <c r="P358" s="8"/>
      <c r="Q358" s="8"/>
      <c r="R358" s="8"/>
      <c r="S358" s="8"/>
      <c r="T358" s="8"/>
      <c r="U358" s="8"/>
      <c r="V358" s="8"/>
      <c r="W358" s="8"/>
      <c r="X358" s="8"/>
      <c r="Y358" s="8"/>
      <c r="Z358" s="25"/>
    </row>
    <row r="359" spans="1:26">
      <c r="A359" s="8">
        <v>358</v>
      </c>
      <c r="B359" s="8"/>
      <c r="C359" s="8"/>
      <c r="D359" s="8" t="s">
        <v>1376</v>
      </c>
      <c r="E359" s="16" t="s">
        <v>1377</v>
      </c>
      <c r="F359" s="17" t="s">
        <v>1378</v>
      </c>
      <c r="G359" s="18">
        <v>656</v>
      </c>
      <c r="H359" s="19"/>
      <c r="I359" s="20"/>
      <c r="J359" s="8">
        <f>656</f>
        <v>656</v>
      </c>
      <c r="K359" s="21">
        <v>3.1250000000000001E-4</v>
      </c>
      <c r="L359" s="22" t="s">
        <v>1161</v>
      </c>
      <c r="M359" s="8"/>
      <c r="N359" s="8"/>
      <c r="O359" s="8"/>
      <c r="P359" s="8"/>
      <c r="Q359" s="8"/>
      <c r="R359" s="8"/>
      <c r="S359" s="8"/>
      <c r="T359" s="8"/>
      <c r="U359" s="8"/>
      <c r="V359" s="8"/>
      <c r="W359" s="8"/>
      <c r="X359" s="8"/>
      <c r="Y359" s="8"/>
      <c r="Z359" s="25"/>
    </row>
    <row r="360" spans="1:26">
      <c r="A360" s="8">
        <v>359</v>
      </c>
      <c r="B360" s="8"/>
      <c r="C360" s="8"/>
      <c r="D360" s="8" t="s">
        <v>1379</v>
      </c>
      <c r="E360" s="16" t="s">
        <v>1380</v>
      </c>
      <c r="F360" s="17" t="s">
        <v>739</v>
      </c>
      <c r="G360" s="18" t="s">
        <v>445</v>
      </c>
      <c r="H360" s="19"/>
      <c r="I360" s="20"/>
      <c r="J360" s="8">
        <f>1.2*1000</f>
        <v>1200</v>
      </c>
      <c r="K360" s="21">
        <v>4.9189814814814816E-3</v>
      </c>
      <c r="L360" s="22" t="s">
        <v>1381</v>
      </c>
      <c r="M360" s="8"/>
      <c r="N360" s="8"/>
      <c r="O360" s="8"/>
      <c r="P360" s="8"/>
      <c r="Q360" s="8"/>
      <c r="R360" s="8"/>
      <c r="S360" s="8"/>
      <c r="T360" s="8"/>
      <c r="U360" s="8"/>
      <c r="V360" s="8"/>
      <c r="W360" s="8"/>
      <c r="X360" s="8"/>
      <c r="Y360" s="8"/>
      <c r="Z360" s="25"/>
    </row>
    <row r="361" spans="1:26">
      <c r="A361" s="8">
        <v>360</v>
      </c>
      <c r="B361" s="8"/>
      <c r="C361" s="8"/>
      <c r="D361" s="8" t="s">
        <v>1382</v>
      </c>
      <c r="E361" s="16" t="s">
        <v>1383</v>
      </c>
      <c r="F361" s="17" t="s">
        <v>1357</v>
      </c>
      <c r="G361" s="18" t="s">
        <v>374</v>
      </c>
      <c r="H361" s="19"/>
      <c r="I361" s="20"/>
      <c r="J361" s="8">
        <f>1.3*1000</f>
        <v>1300</v>
      </c>
      <c r="K361" s="21">
        <v>2.9398148148148148E-3</v>
      </c>
      <c r="L361" s="22" t="s">
        <v>1161</v>
      </c>
      <c r="M361" s="8"/>
      <c r="N361" s="8"/>
      <c r="O361" s="8"/>
      <c r="P361" s="8"/>
      <c r="Q361" s="8"/>
      <c r="R361" s="8"/>
      <c r="S361" s="8"/>
      <c r="T361" s="8"/>
      <c r="U361" s="8"/>
      <c r="V361" s="8"/>
      <c r="W361" s="8"/>
      <c r="X361" s="8"/>
      <c r="Y361" s="8"/>
      <c r="Z361" s="25"/>
    </row>
    <row r="362" spans="1:26">
      <c r="A362" s="8">
        <v>361</v>
      </c>
      <c r="B362" s="8"/>
      <c r="C362" s="8"/>
      <c r="D362" s="8" t="s">
        <v>1384</v>
      </c>
      <c r="E362" s="16" t="s">
        <v>1385</v>
      </c>
      <c r="F362" s="17" t="s">
        <v>1386</v>
      </c>
      <c r="G362" s="18" t="s">
        <v>847</v>
      </c>
      <c r="H362" s="19"/>
      <c r="I362" s="20"/>
      <c r="J362" s="8">
        <f>3.8*1000</f>
        <v>3800</v>
      </c>
      <c r="K362" s="21">
        <v>1.3912037037037037E-2</v>
      </c>
      <c r="L362" s="22" t="s">
        <v>1161</v>
      </c>
      <c r="M362" s="8"/>
      <c r="N362" s="8"/>
      <c r="O362" s="8"/>
      <c r="P362" s="8"/>
      <c r="Q362" s="8"/>
      <c r="R362" s="8"/>
      <c r="S362" s="8"/>
      <c r="T362" s="8"/>
      <c r="U362" s="8"/>
      <c r="V362" s="8"/>
      <c r="W362" s="8"/>
      <c r="X362" s="8"/>
      <c r="Y362" s="8"/>
      <c r="Z362" s="25"/>
    </row>
    <row r="363" spans="1:26">
      <c r="A363" s="8">
        <v>362</v>
      </c>
      <c r="B363" s="8"/>
      <c r="C363" s="8"/>
      <c r="D363" s="8" t="s">
        <v>1387</v>
      </c>
      <c r="E363" s="16" t="s">
        <v>1388</v>
      </c>
      <c r="F363" s="27" t="s">
        <v>1389</v>
      </c>
      <c r="G363" s="18" t="s">
        <v>1390</v>
      </c>
      <c r="H363" s="19"/>
      <c r="I363" s="20"/>
      <c r="J363" s="8">
        <f>9.2*1000</f>
        <v>9200</v>
      </c>
      <c r="K363" s="21">
        <v>1.6898148148148148E-2</v>
      </c>
      <c r="L363" s="22" t="s">
        <v>1161</v>
      </c>
      <c r="M363" s="8"/>
      <c r="N363" s="8"/>
      <c r="O363" s="8"/>
      <c r="P363" s="8"/>
      <c r="Q363" s="8"/>
      <c r="R363" s="8"/>
      <c r="S363" s="8"/>
      <c r="T363" s="8"/>
      <c r="U363" s="8"/>
      <c r="V363" s="8"/>
      <c r="W363" s="8"/>
      <c r="X363" s="8"/>
      <c r="Y363" s="8"/>
      <c r="Z363" s="25"/>
    </row>
    <row r="364" spans="1:26">
      <c r="A364" s="8">
        <v>363</v>
      </c>
      <c r="B364" s="8"/>
      <c r="C364" s="8"/>
      <c r="D364" s="8" t="s">
        <v>1391</v>
      </c>
      <c r="E364" s="16" t="s">
        <v>1392</v>
      </c>
      <c r="F364" s="17" t="s">
        <v>1393</v>
      </c>
      <c r="G364" s="18" t="s">
        <v>1005</v>
      </c>
      <c r="H364" s="19"/>
      <c r="I364" s="20"/>
      <c r="J364" s="8">
        <f>1.6*1000</f>
        <v>1600</v>
      </c>
      <c r="K364" s="21">
        <v>2.2106481481481478E-3</v>
      </c>
      <c r="L364" s="22" t="s">
        <v>1161</v>
      </c>
      <c r="M364" s="8"/>
      <c r="N364" s="8"/>
      <c r="O364" s="8"/>
      <c r="P364" s="8"/>
      <c r="Q364" s="8"/>
      <c r="R364" s="8"/>
      <c r="S364" s="8"/>
      <c r="T364" s="8"/>
      <c r="U364" s="8"/>
      <c r="V364" s="8"/>
      <c r="W364" s="8"/>
      <c r="X364" s="8"/>
      <c r="Y364" s="8"/>
      <c r="Z364" s="25"/>
    </row>
    <row r="365" spans="1:26">
      <c r="A365" s="8">
        <v>364</v>
      </c>
      <c r="B365" s="8"/>
      <c r="C365" s="8"/>
      <c r="D365" s="8" t="s">
        <v>1394</v>
      </c>
      <c r="E365" s="16" t="s">
        <v>1395</v>
      </c>
      <c r="F365" s="27" t="s">
        <v>1396</v>
      </c>
      <c r="G365" s="18" t="s">
        <v>770</v>
      </c>
      <c r="H365" s="19"/>
      <c r="I365" s="20"/>
      <c r="J365" s="8">
        <f>2.7*1000</f>
        <v>2700</v>
      </c>
      <c r="K365" s="21">
        <v>2.2615740740740742E-2</v>
      </c>
      <c r="L365" s="22" t="s">
        <v>1161</v>
      </c>
      <c r="M365" s="8"/>
      <c r="N365" s="8"/>
      <c r="O365" s="8"/>
      <c r="P365" s="8"/>
      <c r="Q365" s="8"/>
      <c r="R365" s="8"/>
      <c r="S365" s="8"/>
      <c r="T365" s="8"/>
      <c r="U365" s="8"/>
      <c r="V365" s="8"/>
      <c r="W365" s="8"/>
      <c r="X365" s="8"/>
      <c r="Y365" s="8"/>
      <c r="Z365" s="25"/>
    </row>
    <row r="366" spans="1:26">
      <c r="A366" s="8">
        <v>365</v>
      </c>
      <c r="B366" s="8"/>
      <c r="C366" s="8"/>
      <c r="D366" s="8" t="s">
        <v>1397</v>
      </c>
      <c r="E366" s="16" t="s">
        <v>1398</v>
      </c>
      <c r="F366" s="17" t="s">
        <v>1399</v>
      </c>
      <c r="G366" s="18">
        <v>768</v>
      </c>
      <c r="H366" s="19"/>
      <c r="I366" s="20"/>
      <c r="J366" s="8">
        <f>768</f>
        <v>768</v>
      </c>
      <c r="K366" s="21">
        <v>2.8587962962962963E-3</v>
      </c>
      <c r="L366" s="22" t="s">
        <v>1161</v>
      </c>
      <c r="M366" s="8"/>
      <c r="N366" s="8"/>
      <c r="O366" s="8"/>
      <c r="P366" s="8"/>
      <c r="Q366" s="8"/>
      <c r="R366" s="8"/>
      <c r="S366" s="8"/>
      <c r="T366" s="8"/>
      <c r="U366" s="8"/>
      <c r="V366" s="8"/>
      <c r="W366" s="8"/>
      <c r="X366" s="8"/>
      <c r="Y366" s="8"/>
      <c r="Z366" s="25"/>
    </row>
    <row r="367" spans="1:26">
      <c r="A367" s="8">
        <v>366</v>
      </c>
      <c r="B367" s="8"/>
      <c r="C367" s="8"/>
      <c r="D367" s="8" t="s">
        <v>1400</v>
      </c>
      <c r="E367" s="16" t="s">
        <v>1401</v>
      </c>
      <c r="F367" s="17" t="s">
        <v>306</v>
      </c>
      <c r="G367" s="18">
        <v>925</v>
      </c>
      <c r="H367" s="19"/>
      <c r="I367" s="20"/>
      <c r="J367" s="8">
        <f>925</f>
        <v>925</v>
      </c>
      <c r="K367" s="21">
        <v>1.2037037037037038E-3</v>
      </c>
      <c r="L367" s="22" t="s">
        <v>1161</v>
      </c>
      <c r="M367" s="8"/>
      <c r="N367" s="8"/>
      <c r="O367" s="8"/>
      <c r="P367" s="8"/>
      <c r="Q367" s="8"/>
      <c r="R367" s="8"/>
      <c r="S367" s="8"/>
      <c r="T367" s="8"/>
      <c r="U367" s="8"/>
      <c r="V367" s="8"/>
      <c r="W367" s="8"/>
      <c r="X367" s="8"/>
      <c r="Y367" s="8"/>
      <c r="Z367" s="25"/>
    </row>
    <row r="368" spans="1:26">
      <c r="A368" s="8">
        <v>367</v>
      </c>
      <c r="B368" s="8"/>
      <c r="C368" s="8"/>
      <c r="D368" s="8" t="s">
        <v>1402</v>
      </c>
      <c r="E368" s="16" t="s">
        <v>1403</v>
      </c>
      <c r="F368" s="17" t="s">
        <v>1404</v>
      </c>
      <c r="G368" s="18" t="s">
        <v>825</v>
      </c>
      <c r="H368" s="19"/>
      <c r="I368" s="20"/>
      <c r="J368" s="8">
        <f>12*1000</f>
        <v>12000</v>
      </c>
      <c r="K368" s="21">
        <v>1.8634259259259261E-3</v>
      </c>
      <c r="L368" s="22" t="s">
        <v>1161</v>
      </c>
      <c r="M368" s="8"/>
      <c r="N368" s="8"/>
      <c r="O368" s="8"/>
      <c r="P368" s="8"/>
      <c r="Q368" s="8"/>
      <c r="R368" s="8"/>
      <c r="S368" s="8"/>
      <c r="T368" s="8"/>
      <c r="U368" s="8"/>
      <c r="V368" s="8"/>
      <c r="W368" s="8"/>
      <c r="X368" s="8"/>
      <c r="Y368" s="8"/>
      <c r="Z368" s="25"/>
    </row>
    <row r="369" spans="1:26">
      <c r="A369" s="8">
        <v>368</v>
      </c>
      <c r="B369" s="8"/>
      <c r="C369" s="8"/>
      <c r="D369" s="8" t="s">
        <v>1405</v>
      </c>
      <c r="E369" s="16" t="s">
        <v>1406</v>
      </c>
      <c r="F369" s="17" t="s">
        <v>1407</v>
      </c>
      <c r="G369" s="18" t="s">
        <v>1174</v>
      </c>
      <c r="H369" s="19"/>
      <c r="I369" s="20"/>
      <c r="J369" s="8">
        <f>13*1000</f>
        <v>13000</v>
      </c>
      <c r="K369" s="21">
        <v>1.5914351851851853E-2</v>
      </c>
      <c r="L369" s="22" t="s">
        <v>1161</v>
      </c>
      <c r="M369" s="8"/>
      <c r="N369" s="8"/>
      <c r="O369" s="8"/>
      <c r="P369" s="8"/>
      <c r="Q369" s="8"/>
      <c r="R369" s="8"/>
      <c r="S369" s="8"/>
      <c r="T369" s="8"/>
      <c r="U369" s="8"/>
      <c r="V369" s="8"/>
      <c r="W369" s="8"/>
      <c r="X369" s="8"/>
      <c r="Y369" s="8"/>
      <c r="Z369" s="25"/>
    </row>
    <row r="370" spans="1:26">
      <c r="A370" s="8">
        <v>369</v>
      </c>
      <c r="B370" s="8"/>
      <c r="C370" s="8"/>
      <c r="D370" s="8" t="s">
        <v>1408</v>
      </c>
      <c r="E370" s="16" t="s">
        <v>1409</v>
      </c>
      <c r="F370" s="17" t="s">
        <v>1410</v>
      </c>
      <c r="G370" s="18">
        <v>193</v>
      </c>
      <c r="H370" s="19"/>
      <c r="I370" s="20"/>
      <c r="J370" s="8">
        <f>193</f>
        <v>193</v>
      </c>
      <c r="K370" s="21">
        <v>3.8773148148148143E-3</v>
      </c>
      <c r="L370" s="22" t="s">
        <v>1161</v>
      </c>
      <c r="M370" s="8"/>
      <c r="N370" s="8"/>
      <c r="O370" s="8"/>
      <c r="P370" s="8"/>
      <c r="Q370" s="8"/>
      <c r="R370" s="8"/>
      <c r="S370" s="8"/>
      <c r="T370" s="8"/>
      <c r="U370" s="8"/>
      <c r="V370" s="8"/>
      <c r="W370" s="8"/>
      <c r="X370" s="8"/>
      <c r="Y370" s="8"/>
      <c r="Z370" s="25"/>
    </row>
    <row r="371" spans="1:26">
      <c r="A371" s="8">
        <v>370</v>
      </c>
      <c r="B371" s="8"/>
      <c r="C371" s="8"/>
      <c r="D371" s="8" t="s">
        <v>1411</v>
      </c>
      <c r="E371" s="16" t="s">
        <v>1412</v>
      </c>
      <c r="F371" s="17" t="s">
        <v>1413</v>
      </c>
      <c r="G371" s="18">
        <v>219</v>
      </c>
      <c r="H371" s="19"/>
      <c r="I371" s="20"/>
      <c r="J371" s="8">
        <f>219</f>
        <v>219</v>
      </c>
      <c r="K371" s="21">
        <v>2.1296296296296298E-3</v>
      </c>
      <c r="L371" s="22" t="s">
        <v>1161</v>
      </c>
      <c r="M371" s="8"/>
      <c r="N371" s="8"/>
      <c r="O371" s="8"/>
      <c r="P371" s="8"/>
      <c r="Q371" s="8"/>
      <c r="R371" s="8"/>
      <c r="S371" s="8"/>
      <c r="T371" s="8"/>
      <c r="U371" s="8"/>
      <c r="V371" s="8"/>
      <c r="W371" s="8"/>
      <c r="X371" s="8"/>
      <c r="Y371" s="8"/>
      <c r="Z371" s="25"/>
    </row>
    <row r="372" spans="1:26">
      <c r="A372" s="8">
        <v>371</v>
      </c>
      <c r="B372" s="8"/>
      <c r="C372" s="8"/>
      <c r="D372" s="8" t="s">
        <v>1414</v>
      </c>
      <c r="E372" s="16" t="s">
        <v>1415</v>
      </c>
      <c r="F372" s="17" t="s">
        <v>176</v>
      </c>
      <c r="G372" s="18">
        <v>413</v>
      </c>
      <c r="H372" s="19"/>
      <c r="I372" s="20"/>
      <c r="J372" s="8">
        <f>413</f>
        <v>413</v>
      </c>
      <c r="K372" s="21">
        <v>2.4189814814814816E-3</v>
      </c>
      <c r="L372" s="22" t="s">
        <v>1161</v>
      </c>
      <c r="M372" s="8"/>
      <c r="N372" s="8"/>
      <c r="O372" s="8"/>
      <c r="P372" s="8"/>
      <c r="Q372" s="8"/>
      <c r="R372" s="8"/>
      <c r="S372" s="8"/>
      <c r="T372" s="8"/>
      <c r="U372" s="8"/>
      <c r="V372" s="8"/>
      <c r="W372" s="8"/>
      <c r="X372" s="8"/>
      <c r="Y372" s="8"/>
      <c r="Z372" s="25"/>
    </row>
    <row r="373" spans="1:26">
      <c r="A373" s="8">
        <v>372</v>
      </c>
      <c r="B373" s="8"/>
      <c r="C373" s="8"/>
      <c r="D373" s="8" t="s">
        <v>1416</v>
      </c>
      <c r="E373" s="16" t="s">
        <v>1417</v>
      </c>
      <c r="F373" s="17" t="s">
        <v>1418</v>
      </c>
      <c r="G373" s="18">
        <v>126</v>
      </c>
      <c r="H373" s="19"/>
      <c r="I373" s="20"/>
      <c r="J373" s="8">
        <f>126</f>
        <v>126</v>
      </c>
      <c r="K373" s="21">
        <v>1.6203703703703703E-3</v>
      </c>
      <c r="L373" s="22" t="s">
        <v>1161</v>
      </c>
      <c r="M373" s="8"/>
      <c r="N373" s="8"/>
      <c r="O373" s="8"/>
      <c r="P373" s="8"/>
      <c r="Q373" s="8"/>
      <c r="R373" s="8"/>
      <c r="S373" s="8"/>
      <c r="T373" s="8"/>
      <c r="U373" s="8"/>
      <c r="V373" s="8"/>
      <c r="W373" s="8"/>
      <c r="X373" s="8"/>
      <c r="Y373" s="8"/>
      <c r="Z373" s="25"/>
    </row>
    <row r="374" spans="1:26">
      <c r="A374" s="8">
        <v>373</v>
      </c>
      <c r="B374" s="8"/>
      <c r="C374" s="8"/>
      <c r="D374" s="8" t="s">
        <v>1419</v>
      </c>
      <c r="E374" s="16" t="s">
        <v>1420</v>
      </c>
      <c r="F374" s="17" t="s">
        <v>149</v>
      </c>
      <c r="G374" s="18">
        <v>154</v>
      </c>
      <c r="H374" s="19"/>
      <c r="I374" s="20"/>
      <c r="J374" s="8">
        <f>154</f>
        <v>154</v>
      </c>
      <c r="K374" s="21">
        <v>3.3680555555555551E-3</v>
      </c>
      <c r="L374" s="22" t="s">
        <v>1161</v>
      </c>
      <c r="M374" s="8"/>
      <c r="N374" s="8"/>
      <c r="O374" s="8"/>
      <c r="P374" s="8"/>
      <c r="Q374" s="8"/>
      <c r="R374" s="8"/>
      <c r="S374" s="8"/>
      <c r="T374" s="8"/>
      <c r="U374" s="8"/>
      <c r="V374" s="8"/>
      <c r="W374" s="8"/>
      <c r="X374" s="8"/>
      <c r="Y374" s="8"/>
      <c r="Z374" s="25"/>
    </row>
    <row r="375" spans="1:26">
      <c r="A375" s="8">
        <v>374</v>
      </c>
      <c r="B375" s="8"/>
      <c r="C375" s="8"/>
      <c r="D375" s="8" t="s">
        <v>1421</v>
      </c>
      <c r="E375" s="16" t="s">
        <v>1422</v>
      </c>
      <c r="F375" s="17" t="s">
        <v>1423</v>
      </c>
      <c r="G375" s="18">
        <v>119</v>
      </c>
      <c r="H375" s="19"/>
      <c r="I375" s="20"/>
      <c r="J375" s="8">
        <f>119</f>
        <v>119</v>
      </c>
      <c r="K375" s="21">
        <v>2.3263888888888887E-3</v>
      </c>
      <c r="L375" s="22" t="s">
        <v>1161</v>
      </c>
      <c r="M375" s="8"/>
      <c r="N375" s="8"/>
      <c r="O375" s="8"/>
      <c r="P375" s="8"/>
      <c r="Q375" s="8"/>
      <c r="R375" s="8"/>
      <c r="S375" s="8"/>
      <c r="T375" s="8"/>
      <c r="U375" s="8"/>
      <c r="V375" s="8"/>
      <c r="W375" s="8"/>
      <c r="X375" s="8"/>
      <c r="Y375" s="8"/>
      <c r="Z375" s="25"/>
    </row>
    <row r="376" spans="1:26">
      <c r="A376" s="8">
        <v>375</v>
      </c>
      <c r="B376" s="8"/>
      <c r="C376" s="8"/>
      <c r="D376" s="8" t="s">
        <v>1424</v>
      </c>
      <c r="E376" s="16" t="s">
        <v>1425</v>
      </c>
      <c r="F376" s="17" t="s">
        <v>1426</v>
      </c>
      <c r="G376" s="18">
        <v>241</v>
      </c>
      <c r="H376" s="19"/>
      <c r="I376" s="20"/>
      <c r="J376" s="8">
        <f>241</f>
        <v>241</v>
      </c>
      <c r="K376" s="21">
        <v>8.7962962962962962E-4</v>
      </c>
      <c r="L376" s="22" t="s">
        <v>1161</v>
      </c>
      <c r="M376" s="8"/>
      <c r="N376" s="8"/>
      <c r="O376" s="8"/>
      <c r="P376" s="8"/>
      <c r="Q376" s="8"/>
      <c r="R376" s="8"/>
      <c r="S376" s="8"/>
      <c r="T376" s="8"/>
      <c r="U376" s="8"/>
      <c r="V376" s="8"/>
      <c r="W376" s="8"/>
      <c r="X376" s="8"/>
      <c r="Y376" s="8"/>
      <c r="Z376" s="25"/>
    </row>
    <row r="377" spans="1:26">
      <c r="A377" s="8">
        <v>376</v>
      </c>
      <c r="B377" s="8"/>
      <c r="C377" s="8"/>
      <c r="D377" s="8" t="s">
        <v>1427</v>
      </c>
      <c r="E377" s="16" t="s">
        <v>1428</v>
      </c>
      <c r="F377" s="17" t="s">
        <v>1429</v>
      </c>
      <c r="G377" s="18" t="s">
        <v>1174</v>
      </c>
      <c r="H377" s="19"/>
      <c r="I377" s="20"/>
      <c r="J377" s="8">
        <f>13*1000</f>
        <v>13000</v>
      </c>
      <c r="K377" s="21">
        <v>8.2986111111111108E-3</v>
      </c>
      <c r="L377" s="22" t="s">
        <v>1161</v>
      </c>
      <c r="M377" s="8"/>
      <c r="N377" s="8"/>
      <c r="O377" s="8"/>
      <c r="P377" s="8"/>
      <c r="Q377" s="8"/>
      <c r="R377" s="8"/>
      <c r="S377" s="8"/>
      <c r="T377" s="8"/>
      <c r="U377" s="8"/>
      <c r="V377" s="8"/>
      <c r="W377" s="8"/>
      <c r="X377" s="8"/>
      <c r="Y377" s="8"/>
      <c r="Z377" s="25"/>
    </row>
    <row r="378" spans="1:26">
      <c r="A378" s="8">
        <v>377</v>
      </c>
      <c r="B378" s="8"/>
      <c r="C378" s="8"/>
      <c r="D378" s="8" t="s">
        <v>1430</v>
      </c>
      <c r="E378" s="16" t="s">
        <v>1431</v>
      </c>
      <c r="F378" s="17" t="s">
        <v>1432</v>
      </c>
      <c r="G378" s="18" t="s">
        <v>1046</v>
      </c>
      <c r="H378" s="19"/>
      <c r="I378" s="20"/>
      <c r="J378" s="8">
        <f>20*1000</f>
        <v>20000</v>
      </c>
      <c r="K378" s="21">
        <v>6.7592592592592591E-3</v>
      </c>
      <c r="L378" s="22" t="s">
        <v>1161</v>
      </c>
      <c r="M378" s="8"/>
      <c r="N378" s="8"/>
      <c r="O378" s="8"/>
      <c r="P378" s="8"/>
      <c r="Q378" s="8"/>
      <c r="R378" s="8"/>
      <c r="S378" s="8"/>
      <c r="T378" s="8"/>
      <c r="U378" s="8"/>
      <c r="V378" s="8"/>
      <c r="W378" s="8"/>
      <c r="X378" s="8"/>
      <c r="Y378" s="8"/>
      <c r="Z378" s="25"/>
    </row>
    <row r="379" spans="1:26">
      <c r="A379" s="8">
        <v>378</v>
      </c>
      <c r="B379" s="8"/>
      <c r="C379" s="8"/>
      <c r="D379" s="8" t="s">
        <v>1433</v>
      </c>
      <c r="E379" s="16" t="s">
        <v>1434</v>
      </c>
      <c r="F379" s="17" t="s">
        <v>1435</v>
      </c>
      <c r="G379" s="18">
        <v>844</v>
      </c>
      <c r="H379" s="19"/>
      <c r="I379" s="20"/>
      <c r="J379" s="8">
        <f>844</f>
        <v>844</v>
      </c>
      <c r="K379" s="21">
        <v>2.5347222222222221E-3</v>
      </c>
      <c r="L379" s="22" t="s">
        <v>1161</v>
      </c>
      <c r="M379" s="8"/>
      <c r="N379" s="8"/>
      <c r="O379" s="8"/>
      <c r="P379" s="8"/>
      <c r="Q379" s="8"/>
      <c r="R379" s="8"/>
      <c r="S379" s="8"/>
      <c r="T379" s="8"/>
      <c r="U379" s="8"/>
      <c r="V379" s="8"/>
      <c r="W379" s="8"/>
      <c r="X379" s="8"/>
      <c r="Y379" s="8"/>
      <c r="Z379" s="25"/>
    </row>
    <row r="380" spans="1:26">
      <c r="A380" s="8">
        <v>379</v>
      </c>
      <c r="B380" s="8"/>
      <c r="C380" s="8"/>
      <c r="D380" s="8" t="s">
        <v>1436</v>
      </c>
      <c r="E380" s="16" t="s">
        <v>1437</v>
      </c>
      <c r="F380" s="17" t="s">
        <v>1438</v>
      </c>
      <c r="G380" s="18">
        <v>904</v>
      </c>
      <c r="H380" s="19"/>
      <c r="I380" s="20"/>
      <c r="J380" s="8">
        <f>904</f>
        <v>904</v>
      </c>
      <c r="K380" s="21">
        <v>5.37037037037037E-3</v>
      </c>
      <c r="L380" s="22" t="s">
        <v>1161</v>
      </c>
      <c r="M380" s="8"/>
      <c r="N380" s="8"/>
      <c r="O380" s="8"/>
      <c r="P380" s="8"/>
      <c r="Q380" s="8"/>
      <c r="R380" s="8"/>
      <c r="S380" s="8"/>
      <c r="T380" s="8"/>
      <c r="U380" s="8"/>
      <c r="V380" s="8"/>
      <c r="W380" s="8"/>
      <c r="X380" s="8"/>
      <c r="Y380" s="8"/>
      <c r="Z380" s="25"/>
    </row>
    <row r="381" spans="1:26">
      <c r="A381" s="8">
        <v>380</v>
      </c>
      <c r="B381" s="8"/>
      <c r="C381" s="8"/>
      <c r="D381" s="8" t="s">
        <v>1439</v>
      </c>
      <c r="E381" s="16" t="s">
        <v>1440</v>
      </c>
      <c r="F381" s="17" t="s">
        <v>1030</v>
      </c>
      <c r="G381" s="18">
        <v>384</v>
      </c>
      <c r="H381" s="19"/>
      <c r="I381" s="20"/>
      <c r="J381" s="8">
        <f>384</f>
        <v>384</v>
      </c>
      <c r="K381" s="21">
        <v>1.7592592592592592E-3</v>
      </c>
      <c r="L381" s="22" t="s">
        <v>1161</v>
      </c>
      <c r="M381" s="8"/>
      <c r="N381" s="8"/>
      <c r="O381" s="8"/>
      <c r="P381" s="8"/>
      <c r="Q381" s="8"/>
      <c r="R381" s="8"/>
      <c r="S381" s="8"/>
      <c r="T381" s="8"/>
      <c r="U381" s="8"/>
      <c r="V381" s="8"/>
      <c r="W381" s="8"/>
      <c r="X381" s="8"/>
      <c r="Y381" s="8"/>
      <c r="Z381" s="25"/>
    </row>
    <row r="382" spans="1:26">
      <c r="A382" s="8">
        <v>381</v>
      </c>
      <c r="B382" s="8"/>
      <c r="C382" s="8"/>
      <c r="D382" s="8" t="s">
        <v>1441</v>
      </c>
      <c r="E382" s="16" t="s">
        <v>1442</v>
      </c>
      <c r="F382" s="17" t="s">
        <v>1443</v>
      </c>
      <c r="G382" s="18" t="s">
        <v>1444</v>
      </c>
      <c r="H382" s="19"/>
      <c r="I382" s="20"/>
      <c r="J382" s="8">
        <f>43*1000</f>
        <v>43000</v>
      </c>
      <c r="K382" s="21">
        <v>4.9652777777777777E-3</v>
      </c>
      <c r="L382" s="22" t="s">
        <v>1161</v>
      </c>
      <c r="M382" s="8"/>
      <c r="N382" s="8"/>
      <c r="O382" s="8"/>
      <c r="P382" s="8"/>
      <c r="Q382" s="8"/>
      <c r="R382" s="8"/>
      <c r="S382" s="8"/>
      <c r="T382" s="8"/>
      <c r="U382" s="8"/>
      <c r="V382" s="8"/>
      <c r="W382" s="8"/>
      <c r="X382" s="8"/>
      <c r="Y382" s="8"/>
      <c r="Z382" s="25"/>
    </row>
    <row r="383" spans="1:26">
      <c r="A383" s="8">
        <v>382</v>
      </c>
      <c r="B383" s="8"/>
      <c r="C383" s="8"/>
      <c r="D383" s="8" t="s">
        <v>1445</v>
      </c>
      <c r="E383" s="16" t="s">
        <v>1446</v>
      </c>
      <c r="F383" s="17" t="s">
        <v>1447</v>
      </c>
      <c r="G383" s="18" t="s">
        <v>374</v>
      </c>
      <c r="H383" s="19"/>
      <c r="I383" s="20"/>
      <c r="J383" s="8">
        <f>1.3*1000</f>
        <v>1300</v>
      </c>
      <c r="K383" s="21">
        <v>1.1689814814814814E-2</v>
      </c>
      <c r="L383" s="22" t="s">
        <v>1161</v>
      </c>
      <c r="M383" s="8"/>
      <c r="N383" s="8"/>
      <c r="O383" s="8"/>
      <c r="P383" s="8"/>
      <c r="Q383" s="8"/>
      <c r="R383" s="8"/>
      <c r="S383" s="8"/>
      <c r="T383" s="8"/>
      <c r="U383" s="8"/>
      <c r="V383" s="8"/>
      <c r="W383" s="8"/>
      <c r="X383" s="8"/>
      <c r="Y383" s="8"/>
      <c r="Z383" s="25"/>
    </row>
    <row r="384" spans="1:26">
      <c r="A384" s="8">
        <v>383</v>
      </c>
      <c r="B384" s="8"/>
      <c r="C384" s="8"/>
      <c r="D384" s="8" t="s">
        <v>1448</v>
      </c>
      <c r="E384" s="16" t="s">
        <v>1449</v>
      </c>
      <c r="F384" s="17" t="s">
        <v>896</v>
      </c>
      <c r="G384" s="18" t="s">
        <v>396</v>
      </c>
      <c r="H384" s="19"/>
      <c r="I384" s="20"/>
      <c r="J384" s="8">
        <f>1.1*1000</f>
        <v>1100</v>
      </c>
      <c r="K384" s="21">
        <v>2.7199074074074074E-3</v>
      </c>
      <c r="L384" s="22" t="s">
        <v>1161</v>
      </c>
      <c r="M384" s="8"/>
      <c r="N384" s="8"/>
      <c r="O384" s="8"/>
      <c r="P384" s="8"/>
      <c r="Q384" s="8"/>
      <c r="R384" s="8"/>
      <c r="S384" s="8"/>
      <c r="T384" s="8"/>
      <c r="U384" s="8"/>
      <c r="V384" s="8"/>
      <c r="W384" s="8"/>
      <c r="X384" s="8"/>
      <c r="Y384" s="8"/>
      <c r="Z384" s="25"/>
    </row>
    <row r="385" spans="1:26">
      <c r="A385" s="8">
        <v>384</v>
      </c>
      <c r="B385" s="8"/>
      <c r="C385" s="8"/>
      <c r="D385" s="8" t="s">
        <v>1450</v>
      </c>
      <c r="E385" s="16" t="s">
        <v>1451</v>
      </c>
      <c r="F385" s="17" t="s">
        <v>1452</v>
      </c>
      <c r="G385" s="18">
        <v>947</v>
      </c>
      <c r="H385" s="19"/>
      <c r="I385" s="20"/>
      <c r="J385" s="8">
        <f>947</f>
        <v>947</v>
      </c>
      <c r="K385" s="21">
        <v>2.0254629629629629E-3</v>
      </c>
      <c r="L385" s="22" t="s">
        <v>1161</v>
      </c>
      <c r="M385" s="8"/>
      <c r="N385" s="8"/>
      <c r="O385" s="8"/>
      <c r="P385" s="8"/>
      <c r="Q385" s="8"/>
      <c r="R385" s="8"/>
      <c r="S385" s="8"/>
      <c r="T385" s="8"/>
      <c r="U385" s="8"/>
      <c r="V385" s="8"/>
      <c r="W385" s="8"/>
      <c r="X385" s="8"/>
      <c r="Y385" s="8"/>
      <c r="Z385" s="25"/>
    </row>
    <row r="386" spans="1:26">
      <c r="A386" s="8">
        <v>385</v>
      </c>
      <c r="B386" s="8"/>
      <c r="C386" s="8"/>
      <c r="D386" s="8" t="s">
        <v>1453</v>
      </c>
      <c r="E386" s="16" t="s">
        <v>1454</v>
      </c>
      <c r="F386" s="17" t="s">
        <v>1455</v>
      </c>
      <c r="G386" s="18">
        <v>405</v>
      </c>
      <c r="H386" s="19"/>
      <c r="I386" s="20"/>
      <c r="J386" s="8">
        <f>405</f>
        <v>405</v>
      </c>
      <c r="K386" s="21">
        <v>3.4375E-3</v>
      </c>
      <c r="L386" s="22" t="s">
        <v>1161</v>
      </c>
      <c r="M386" s="8"/>
      <c r="N386" s="8"/>
      <c r="O386" s="8"/>
      <c r="P386" s="8"/>
      <c r="Q386" s="8"/>
      <c r="R386" s="8"/>
      <c r="S386" s="8"/>
      <c r="T386" s="8"/>
      <c r="U386" s="8"/>
      <c r="V386" s="8"/>
      <c r="W386" s="8"/>
      <c r="X386" s="8"/>
      <c r="Y386" s="8"/>
      <c r="Z386" s="25"/>
    </row>
    <row r="387" spans="1:26">
      <c r="A387" s="8">
        <v>386</v>
      </c>
      <c r="B387" s="8"/>
      <c r="C387" s="8"/>
      <c r="D387" s="8" t="s">
        <v>1456</v>
      </c>
      <c r="E387" s="16" t="s">
        <v>1457</v>
      </c>
      <c r="F387" s="17" t="s">
        <v>1458</v>
      </c>
      <c r="G387" s="18">
        <v>365</v>
      </c>
      <c r="H387" s="19"/>
      <c r="I387" s="20"/>
      <c r="J387" s="8">
        <f>365</f>
        <v>365</v>
      </c>
      <c r="K387" s="21">
        <v>2.9745370370370373E-3</v>
      </c>
      <c r="L387" s="22" t="s">
        <v>1161</v>
      </c>
      <c r="M387" s="8"/>
      <c r="N387" s="8"/>
      <c r="O387" s="8"/>
      <c r="P387" s="8"/>
      <c r="Q387" s="8"/>
      <c r="R387" s="8"/>
      <c r="S387" s="8"/>
      <c r="T387" s="8"/>
      <c r="U387" s="8"/>
      <c r="V387" s="8"/>
      <c r="W387" s="8"/>
      <c r="X387" s="8"/>
      <c r="Y387" s="8"/>
      <c r="Z387" s="25"/>
    </row>
    <row r="388" spans="1:26">
      <c r="A388" s="8">
        <v>387</v>
      </c>
      <c r="B388" s="8"/>
      <c r="C388" s="8"/>
      <c r="D388" s="8" t="s">
        <v>1459</v>
      </c>
      <c r="E388" s="16" t="s">
        <v>1460</v>
      </c>
      <c r="F388" s="17" t="s">
        <v>1461</v>
      </c>
      <c r="G388" s="18">
        <v>728</v>
      </c>
      <c r="H388" s="19"/>
      <c r="I388" s="20"/>
      <c r="J388" s="8">
        <f>728</f>
        <v>728</v>
      </c>
      <c r="K388" s="21">
        <v>3.37962962962963E-3</v>
      </c>
      <c r="L388" s="22" t="s">
        <v>1161</v>
      </c>
      <c r="M388" s="8"/>
      <c r="N388" s="8"/>
      <c r="O388" s="8"/>
      <c r="P388" s="8"/>
      <c r="Q388" s="8"/>
      <c r="R388" s="8"/>
      <c r="S388" s="8"/>
      <c r="T388" s="8"/>
      <c r="U388" s="8"/>
      <c r="V388" s="8"/>
      <c r="W388" s="8"/>
      <c r="X388" s="8"/>
      <c r="Y388" s="8"/>
      <c r="Z388" s="25"/>
    </row>
    <row r="389" spans="1:26">
      <c r="A389" s="8">
        <v>388</v>
      </c>
      <c r="B389" s="8"/>
      <c r="C389" s="8"/>
      <c r="D389" s="8" t="s">
        <v>1462</v>
      </c>
      <c r="E389" s="16" t="s">
        <v>1463</v>
      </c>
      <c r="F389" s="27" t="s">
        <v>1464</v>
      </c>
      <c r="G389" s="18" t="s">
        <v>510</v>
      </c>
      <c r="H389" s="19"/>
      <c r="I389" s="20"/>
      <c r="J389" s="8">
        <f>3.7*1000</f>
        <v>3700</v>
      </c>
      <c r="K389" s="21">
        <v>3.1782407407407405E-2</v>
      </c>
      <c r="L389" s="22" t="s">
        <v>1161</v>
      </c>
      <c r="M389" s="8"/>
      <c r="N389" s="8"/>
      <c r="O389" s="8"/>
      <c r="P389" s="8"/>
      <c r="Q389" s="8"/>
      <c r="R389" s="8"/>
      <c r="S389" s="8"/>
      <c r="T389" s="8"/>
      <c r="U389" s="8"/>
      <c r="V389" s="8"/>
      <c r="W389" s="8"/>
      <c r="X389" s="8"/>
      <c r="Y389" s="8"/>
      <c r="Z389" s="25"/>
    </row>
    <row r="390" spans="1:26">
      <c r="A390" s="8">
        <v>389</v>
      </c>
      <c r="B390" s="8"/>
      <c r="C390" s="8"/>
      <c r="D390" s="8" t="s">
        <v>1465</v>
      </c>
      <c r="E390" s="16" t="s">
        <v>1466</v>
      </c>
      <c r="F390" s="17" t="s">
        <v>1061</v>
      </c>
      <c r="G390" s="18">
        <v>634</v>
      </c>
      <c r="H390" s="19"/>
      <c r="I390" s="20"/>
      <c r="J390" s="8">
        <f>634</f>
        <v>634</v>
      </c>
      <c r="K390" s="21">
        <v>2.2337962962962967E-3</v>
      </c>
      <c r="L390" s="22" t="s">
        <v>1161</v>
      </c>
      <c r="M390" s="8"/>
      <c r="N390" s="8"/>
      <c r="O390" s="8"/>
      <c r="P390" s="8"/>
      <c r="Q390" s="8"/>
      <c r="R390" s="8"/>
      <c r="S390" s="8"/>
      <c r="T390" s="8"/>
      <c r="U390" s="8"/>
      <c r="V390" s="8"/>
      <c r="W390" s="8"/>
      <c r="X390" s="8"/>
      <c r="Y390" s="8"/>
      <c r="Z390" s="25"/>
    </row>
    <row r="391" spans="1:26">
      <c r="A391" s="8">
        <v>390</v>
      </c>
      <c r="B391" s="8"/>
      <c r="C391" s="8"/>
      <c r="D391" s="8" t="s">
        <v>1467</v>
      </c>
      <c r="E391" s="16" t="s">
        <v>1468</v>
      </c>
      <c r="F391" s="17" t="s">
        <v>1469</v>
      </c>
      <c r="G391" s="18">
        <v>387</v>
      </c>
      <c r="H391" s="19"/>
      <c r="I391" s="20"/>
      <c r="J391" s="8">
        <f>387</f>
        <v>387</v>
      </c>
      <c r="K391" s="21">
        <v>1.8171296296296297E-3</v>
      </c>
      <c r="L391" s="22" t="s">
        <v>1161</v>
      </c>
      <c r="M391" s="8"/>
      <c r="N391" s="8"/>
      <c r="O391" s="8"/>
      <c r="P391" s="8"/>
      <c r="Q391" s="8"/>
      <c r="R391" s="8"/>
      <c r="S391" s="8"/>
      <c r="T391" s="8"/>
      <c r="U391" s="8"/>
      <c r="V391" s="8"/>
      <c r="W391" s="8"/>
      <c r="X391" s="8"/>
      <c r="Y391" s="8"/>
      <c r="Z391" s="25"/>
    </row>
    <row r="392" spans="1:26">
      <c r="A392" s="8">
        <v>391</v>
      </c>
      <c r="B392" s="8"/>
      <c r="C392" s="8"/>
      <c r="D392" s="8" t="s">
        <v>1470</v>
      </c>
      <c r="E392" s="16" t="s">
        <v>1471</v>
      </c>
      <c r="F392" s="17" t="s">
        <v>1472</v>
      </c>
      <c r="G392" s="18">
        <v>319</v>
      </c>
      <c r="H392" s="19"/>
      <c r="I392" s="20"/>
      <c r="J392" s="8">
        <f>319</f>
        <v>319</v>
      </c>
      <c r="K392" s="21">
        <v>1.8402777777777777E-3</v>
      </c>
      <c r="L392" s="22" t="s">
        <v>1161</v>
      </c>
      <c r="M392" s="8"/>
      <c r="N392" s="8"/>
      <c r="O392" s="8"/>
      <c r="P392" s="8"/>
      <c r="Q392" s="8"/>
      <c r="R392" s="8"/>
      <c r="S392" s="8"/>
      <c r="T392" s="8"/>
      <c r="U392" s="8"/>
      <c r="V392" s="8"/>
      <c r="W392" s="8"/>
      <c r="X392" s="8"/>
      <c r="Y392" s="8"/>
      <c r="Z392" s="25"/>
    </row>
    <row r="393" spans="1:26">
      <c r="A393" s="8">
        <v>392</v>
      </c>
      <c r="B393" s="8"/>
      <c r="C393" s="8"/>
      <c r="D393" s="8" t="s">
        <v>1473</v>
      </c>
      <c r="E393" s="16" t="s">
        <v>1474</v>
      </c>
      <c r="F393" s="17" t="s">
        <v>1475</v>
      </c>
      <c r="G393" s="18">
        <v>282</v>
      </c>
      <c r="H393" s="19"/>
      <c r="I393" s="20"/>
      <c r="J393" s="8">
        <f>282</f>
        <v>282</v>
      </c>
      <c r="K393" s="21">
        <v>1.0995370370370371E-3</v>
      </c>
      <c r="L393" s="22" t="s">
        <v>1161</v>
      </c>
      <c r="M393" s="8"/>
      <c r="N393" s="8"/>
      <c r="O393" s="8"/>
      <c r="P393" s="8"/>
      <c r="Q393" s="8"/>
      <c r="R393" s="8"/>
      <c r="S393" s="8"/>
      <c r="T393" s="8"/>
      <c r="U393" s="8"/>
      <c r="V393" s="8"/>
      <c r="W393" s="8"/>
      <c r="X393" s="8"/>
      <c r="Y393" s="8"/>
      <c r="Z393" s="25"/>
    </row>
    <row r="394" spans="1:26">
      <c r="A394" s="8">
        <v>393</v>
      </c>
      <c r="B394" s="8"/>
      <c r="C394" s="8"/>
      <c r="D394" s="8" t="s">
        <v>1476</v>
      </c>
      <c r="E394" s="16" t="s">
        <v>1477</v>
      </c>
      <c r="F394" s="17" t="s">
        <v>1478</v>
      </c>
      <c r="G394" s="18" t="s">
        <v>214</v>
      </c>
      <c r="H394" s="19"/>
      <c r="I394" s="20"/>
      <c r="J394" s="8">
        <f>1*1000</f>
        <v>1000</v>
      </c>
      <c r="K394" s="21">
        <v>5.7986111111111112E-3</v>
      </c>
      <c r="L394" s="22" t="s">
        <v>1161</v>
      </c>
      <c r="M394" s="8"/>
      <c r="N394" s="8"/>
      <c r="O394" s="8"/>
      <c r="P394" s="8"/>
      <c r="Q394" s="8"/>
      <c r="R394" s="8"/>
      <c r="S394" s="8"/>
      <c r="T394" s="8"/>
      <c r="U394" s="8"/>
      <c r="V394" s="8"/>
      <c r="W394" s="8"/>
      <c r="X394" s="8"/>
      <c r="Y394" s="8"/>
      <c r="Z394" s="25"/>
    </row>
    <row r="395" spans="1:26">
      <c r="A395" s="8">
        <v>394</v>
      </c>
      <c r="B395" s="8"/>
      <c r="C395" s="8"/>
      <c r="D395" s="8" t="s">
        <v>1479</v>
      </c>
      <c r="E395" s="16" t="s">
        <v>1480</v>
      </c>
      <c r="F395" s="17" t="s">
        <v>1481</v>
      </c>
      <c r="G395" s="18">
        <v>790</v>
      </c>
      <c r="H395" s="19"/>
      <c r="I395" s="20"/>
      <c r="J395" s="8">
        <f>790</f>
        <v>790</v>
      </c>
      <c r="K395" s="21">
        <v>2.8124999999999995E-3</v>
      </c>
      <c r="L395" s="22" t="s">
        <v>1161</v>
      </c>
      <c r="M395" s="8"/>
      <c r="N395" s="8"/>
      <c r="O395" s="8"/>
      <c r="P395" s="8"/>
      <c r="Q395" s="8"/>
      <c r="R395" s="8"/>
      <c r="S395" s="8"/>
      <c r="T395" s="8"/>
      <c r="U395" s="8"/>
      <c r="V395" s="8"/>
      <c r="W395" s="8"/>
      <c r="X395" s="8"/>
      <c r="Y395" s="8"/>
      <c r="Z395" s="25"/>
    </row>
    <row r="396" spans="1:26">
      <c r="A396" s="8">
        <v>395</v>
      </c>
      <c r="B396" s="8"/>
      <c r="C396" s="8"/>
      <c r="D396" s="8" t="s">
        <v>1482</v>
      </c>
      <c r="E396" s="16" t="s">
        <v>1483</v>
      </c>
      <c r="F396" s="17" t="s">
        <v>1484</v>
      </c>
      <c r="G396" s="18">
        <v>270</v>
      </c>
      <c r="H396" s="19"/>
      <c r="I396" s="20"/>
      <c r="J396" s="8">
        <f>270</f>
        <v>270</v>
      </c>
      <c r="K396" s="21">
        <v>7.7546296296296304E-4</v>
      </c>
      <c r="L396" s="22" t="s">
        <v>1161</v>
      </c>
      <c r="M396" s="8"/>
      <c r="N396" s="8"/>
      <c r="O396" s="8"/>
      <c r="P396" s="8"/>
      <c r="Q396" s="8"/>
      <c r="R396" s="8"/>
      <c r="S396" s="8"/>
      <c r="T396" s="8"/>
      <c r="U396" s="8"/>
      <c r="V396" s="8"/>
      <c r="W396" s="8"/>
      <c r="X396" s="8"/>
      <c r="Y396" s="8"/>
      <c r="Z396" s="25"/>
    </row>
    <row r="397" spans="1:26">
      <c r="A397" s="8">
        <v>396</v>
      </c>
      <c r="B397" s="8"/>
      <c r="C397" s="8"/>
      <c r="D397" s="8" t="s">
        <v>1485</v>
      </c>
      <c r="E397" s="16" t="s">
        <v>1486</v>
      </c>
      <c r="F397" s="17" t="s">
        <v>1487</v>
      </c>
      <c r="G397" s="18" t="s">
        <v>1488</v>
      </c>
      <c r="H397" s="19"/>
      <c r="I397" s="20"/>
      <c r="J397" s="8">
        <f>9.5*1000</f>
        <v>9500</v>
      </c>
      <c r="K397" s="21">
        <v>1.4224537037037037E-2</v>
      </c>
      <c r="L397" s="22" t="s">
        <v>1161</v>
      </c>
      <c r="M397" s="8"/>
      <c r="N397" s="8"/>
      <c r="O397" s="8"/>
      <c r="P397" s="8"/>
      <c r="Q397" s="8"/>
      <c r="R397" s="8"/>
      <c r="S397" s="8"/>
      <c r="T397" s="8"/>
      <c r="U397" s="8"/>
      <c r="V397" s="8"/>
      <c r="W397" s="8"/>
      <c r="X397" s="8"/>
      <c r="Y397" s="8"/>
      <c r="Z397" s="25"/>
    </row>
    <row r="398" spans="1:26">
      <c r="A398" s="8">
        <v>397</v>
      </c>
      <c r="B398" s="8"/>
      <c r="C398" s="8"/>
      <c r="D398" s="8" t="s">
        <v>1489</v>
      </c>
      <c r="E398" s="16" t="s">
        <v>1490</v>
      </c>
      <c r="F398" s="17" t="s">
        <v>1491</v>
      </c>
      <c r="G398" s="18">
        <v>276</v>
      </c>
      <c r="H398" s="19"/>
      <c r="I398" s="20"/>
      <c r="J398" s="8">
        <f>276</f>
        <v>276</v>
      </c>
      <c r="K398" s="21">
        <v>2.5115740740740741E-3</v>
      </c>
      <c r="L398" s="22" t="s">
        <v>1161</v>
      </c>
      <c r="M398" s="8"/>
      <c r="N398" s="8"/>
      <c r="O398" s="8"/>
      <c r="P398" s="8"/>
      <c r="Q398" s="8"/>
      <c r="R398" s="8"/>
      <c r="S398" s="8"/>
      <c r="T398" s="8"/>
      <c r="U398" s="8"/>
      <c r="V398" s="8"/>
      <c r="W398" s="8"/>
      <c r="X398" s="8"/>
      <c r="Y398" s="8"/>
      <c r="Z398" s="25"/>
    </row>
    <row r="399" spans="1:26">
      <c r="A399" s="8">
        <v>398</v>
      </c>
      <c r="B399" s="8"/>
      <c r="C399" s="8"/>
      <c r="D399" s="8" t="s">
        <v>1492</v>
      </c>
      <c r="E399" s="16" t="s">
        <v>1493</v>
      </c>
      <c r="F399" s="17" t="s">
        <v>1285</v>
      </c>
      <c r="G399" s="18">
        <v>574</v>
      </c>
      <c r="H399" s="19"/>
      <c r="I399" s="20"/>
      <c r="J399" s="8">
        <f>574</f>
        <v>574</v>
      </c>
      <c r="K399" s="21">
        <v>5.0694444444444441E-3</v>
      </c>
      <c r="L399" s="22" t="s">
        <v>1161</v>
      </c>
      <c r="M399" s="8"/>
      <c r="N399" s="8"/>
      <c r="O399" s="8"/>
      <c r="P399" s="8"/>
      <c r="Q399" s="8"/>
      <c r="R399" s="8"/>
      <c r="S399" s="8"/>
      <c r="T399" s="8"/>
      <c r="U399" s="8"/>
      <c r="V399" s="8"/>
      <c r="W399" s="8"/>
      <c r="X399" s="8"/>
      <c r="Y399" s="8"/>
      <c r="Z399" s="25"/>
    </row>
    <row r="400" spans="1:26">
      <c r="A400" s="8">
        <v>399</v>
      </c>
      <c r="B400" s="8"/>
      <c r="C400" s="8"/>
      <c r="D400" s="8" t="s">
        <v>1494</v>
      </c>
      <c r="E400" s="16" t="s">
        <v>1495</v>
      </c>
      <c r="F400" s="17" t="s">
        <v>1496</v>
      </c>
      <c r="G400" s="18">
        <v>612</v>
      </c>
      <c r="H400" s="19"/>
      <c r="I400" s="20"/>
      <c r="J400" s="8">
        <f>612</f>
        <v>612</v>
      </c>
      <c r="K400" s="21">
        <v>1.5393518518518519E-3</v>
      </c>
      <c r="L400" s="22" t="s">
        <v>1161</v>
      </c>
      <c r="M400" s="8"/>
      <c r="N400" s="8"/>
      <c r="O400" s="8"/>
      <c r="P400" s="8"/>
      <c r="Q400" s="8"/>
      <c r="R400" s="8"/>
      <c r="S400" s="8"/>
      <c r="T400" s="8"/>
      <c r="U400" s="8"/>
      <c r="V400" s="8"/>
      <c r="W400" s="8"/>
      <c r="X400" s="8"/>
      <c r="Y400" s="8"/>
      <c r="Z400" s="25"/>
    </row>
    <row r="401" spans="1:26">
      <c r="A401" s="8">
        <v>400</v>
      </c>
      <c r="B401" s="8"/>
      <c r="C401" s="8"/>
      <c r="D401" s="8" t="s">
        <v>1497</v>
      </c>
      <c r="E401" s="16" t="s">
        <v>1498</v>
      </c>
      <c r="F401" s="17" t="s">
        <v>751</v>
      </c>
      <c r="G401" s="18">
        <v>423</v>
      </c>
      <c r="H401" s="19"/>
      <c r="I401" s="20"/>
      <c r="J401" s="8">
        <f>423</f>
        <v>423</v>
      </c>
      <c r="K401" s="21">
        <v>1.1689814814814816E-3</v>
      </c>
      <c r="L401" s="22" t="s">
        <v>1161</v>
      </c>
      <c r="M401" s="8"/>
      <c r="N401" s="8"/>
      <c r="O401" s="8"/>
      <c r="P401" s="8"/>
      <c r="Q401" s="8"/>
      <c r="R401" s="8"/>
      <c r="S401" s="8"/>
      <c r="T401" s="8"/>
      <c r="U401" s="8"/>
      <c r="V401" s="8"/>
      <c r="W401" s="8"/>
      <c r="X401" s="8"/>
      <c r="Y401" s="8"/>
      <c r="Z401" s="25"/>
    </row>
    <row r="402" spans="1:26">
      <c r="A402" s="8">
        <v>401</v>
      </c>
      <c r="B402" s="8"/>
      <c r="C402" s="8"/>
      <c r="D402" s="8" t="s">
        <v>1499</v>
      </c>
      <c r="E402" s="16" t="s">
        <v>1500</v>
      </c>
      <c r="F402" s="17" t="s">
        <v>1501</v>
      </c>
      <c r="G402" s="18">
        <v>567</v>
      </c>
      <c r="H402" s="19"/>
      <c r="I402" s="20"/>
      <c r="J402" s="8">
        <f>567</f>
        <v>567</v>
      </c>
      <c r="K402" s="21">
        <v>1.3657407407407409E-3</v>
      </c>
      <c r="L402" s="22" t="s">
        <v>1161</v>
      </c>
      <c r="M402" s="8"/>
      <c r="N402" s="8"/>
      <c r="O402" s="8"/>
      <c r="P402" s="8"/>
      <c r="Q402" s="8"/>
      <c r="R402" s="8"/>
      <c r="S402" s="8"/>
      <c r="T402" s="8"/>
      <c r="U402" s="8"/>
      <c r="V402" s="8"/>
      <c r="W402" s="8"/>
      <c r="X402" s="8"/>
      <c r="Y402" s="8"/>
      <c r="Z402" s="25"/>
    </row>
    <row r="403" spans="1:26">
      <c r="A403" s="8">
        <v>402</v>
      </c>
      <c r="B403" s="8"/>
      <c r="C403" s="8"/>
      <c r="D403" s="8" t="s">
        <v>1502</v>
      </c>
      <c r="E403" s="16" t="s">
        <v>1503</v>
      </c>
      <c r="F403" s="17" t="s">
        <v>995</v>
      </c>
      <c r="G403" s="18">
        <v>231</v>
      </c>
      <c r="H403" s="19"/>
      <c r="I403" s="20"/>
      <c r="J403" s="8">
        <f>231</f>
        <v>231</v>
      </c>
      <c r="K403" s="21">
        <v>2.2685185185185182E-3</v>
      </c>
      <c r="L403" s="22" t="s">
        <v>1161</v>
      </c>
      <c r="M403" s="8"/>
      <c r="N403" s="8"/>
      <c r="O403" s="8"/>
      <c r="P403" s="8"/>
      <c r="Q403" s="8"/>
      <c r="R403" s="8"/>
      <c r="S403" s="8"/>
      <c r="T403" s="8"/>
      <c r="U403" s="8"/>
      <c r="V403" s="8"/>
      <c r="W403" s="8"/>
      <c r="X403" s="8"/>
      <c r="Y403" s="8"/>
      <c r="Z403" s="25"/>
    </row>
    <row r="404" spans="1:26">
      <c r="A404" s="8">
        <v>403</v>
      </c>
      <c r="B404" s="8"/>
      <c r="C404" s="8"/>
      <c r="D404" s="8" t="s">
        <v>1504</v>
      </c>
      <c r="E404" s="16" t="s">
        <v>1505</v>
      </c>
      <c r="F404" s="17" t="s">
        <v>1506</v>
      </c>
      <c r="G404" s="18">
        <v>415</v>
      </c>
      <c r="H404" s="19"/>
      <c r="I404" s="20"/>
      <c r="J404" s="8">
        <f>415</f>
        <v>415</v>
      </c>
      <c r="K404" s="21">
        <v>2.8935185185185188E-3</v>
      </c>
      <c r="L404" s="22" t="s">
        <v>1161</v>
      </c>
      <c r="M404" s="8"/>
      <c r="N404" s="8"/>
      <c r="O404" s="8"/>
      <c r="P404" s="8"/>
      <c r="Q404" s="8"/>
      <c r="R404" s="8"/>
      <c r="S404" s="8"/>
      <c r="T404" s="8"/>
      <c r="U404" s="8"/>
      <c r="V404" s="8"/>
      <c r="W404" s="8"/>
      <c r="X404" s="8"/>
      <c r="Y404" s="8"/>
      <c r="Z404" s="25"/>
    </row>
    <row r="405" spans="1:26">
      <c r="A405" s="8">
        <v>404</v>
      </c>
      <c r="B405" s="8"/>
      <c r="C405" s="8"/>
      <c r="D405" s="8" t="s">
        <v>1507</v>
      </c>
      <c r="E405" s="16" t="s">
        <v>1508</v>
      </c>
      <c r="F405" s="17" t="s">
        <v>1509</v>
      </c>
      <c r="G405" s="18">
        <v>553</v>
      </c>
      <c r="H405" s="19"/>
      <c r="I405" s="20"/>
      <c r="J405" s="8">
        <f>553</f>
        <v>553</v>
      </c>
      <c r="K405" s="21">
        <v>2.1990740740740742E-3</v>
      </c>
      <c r="L405" s="22" t="s">
        <v>1161</v>
      </c>
      <c r="M405" s="8"/>
      <c r="N405" s="8"/>
      <c r="O405" s="8"/>
      <c r="P405" s="8"/>
      <c r="Q405" s="8"/>
      <c r="R405" s="8"/>
      <c r="S405" s="8"/>
      <c r="T405" s="8"/>
      <c r="U405" s="8"/>
      <c r="V405" s="8"/>
      <c r="W405" s="8"/>
      <c r="X405" s="8"/>
      <c r="Y405" s="8"/>
      <c r="Z405" s="25"/>
    </row>
    <row r="406" spans="1:26">
      <c r="A406" s="8">
        <v>405</v>
      </c>
      <c r="B406" s="8"/>
      <c r="C406" s="8"/>
      <c r="D406" s="8" t="s">
        <v>1510</v>
      </c>
      <c r="E406" s="16" t="s">
        <v>1511</v>
      </c>
      <c r="F406" s="17" t="s">
        <v>864</v>
      </c>
      <c r="G406" s="18">
        <v>353</v>
      </c>
      <c r="H406" s="19"/>
      <c r="I406" s="20"/>
      <c r="J406" s="8">
        <f>353</f>
        <v>353</v>
      </c>
      <c r="K406" s="21">
        <v>1.3541666666666667E-3</v>
      </c>
      <c r="L406" s="22" t="s">
        <v>1161</v>
      </c>
      <c r="M406" s="8"/>
      <c r="N406" s="8"/>
      <c r="O406" s="8"/>
      <c r="P406" s="8"/>
      <c r="Q406" s="8"/>
      <c r="R406" s="8"/>
      <c r="S406" s="8"/>
      <c r="T406" s="8"/>
      <c r="U406" s="8"/>
      <c r="V406" s="8"/>
      <c r="W406" s="8"/>
      <c r="X406" s="8"/>
      <c r="Y406" s="8"/>
      <c r="Z406" s="25"/>
    </row>
    <row r="407" spans="1:26">
      <c r="A407" s="8">
        <v>406</v>
      </c>
      <c r="B407" s="8"/>
      <c r="C407" s="8"/>
      <c r="D407" s="8" t="s">
        <v>1512</v>
      </c>
      <c r="E407" s="16" t="s">
        <v>1513</v>
      </c>
      <c r="F407" s="17" t="s">
        <v>1514</v>
      </c>
      <c r="G407" s="18">
        <v>798</v>
      </c>
      <c r="H407" s="19"/>
      <c r="I407" s="20"/>
      <c r="J407" s="8">
        <f>798</f>
        <v>798</v>
      </c>
      <c r="K407" s="21">
        <v>1.8287037037037037E-3</v>
      </c>
      <c r="L407" s="22" t="s">
        <v>1161</v>
      </c>
      <c r="M407" s="8"/>
      <c r="N407" s="8"/>
      <c r="O407" s="8"/>
      <c r="P407" s="8"/>
      <c r="Q407" s="8"/>
      <c r="R407" s="8"/>
      <c r="S407" s="8"/>
      <c r="T407" s="8"/>
      <c r="U407" s="8"/>
      <c r="V407" s="8"/>
      <c r="W407" s="8"/>
      <c r="X407" s="8"/>
      <c r="Y407" s="8"/>
      <c r="Z407" s="25"/>
    </row>
    <row r="408" spans="1:26">
      <c r="A408" s="8">
        <v>407</v>
      </c>
      <c r="B408" s="8"/>
      <c r="C408" s="8"/>
      <c r="D408" s="8" t="s">
        <v>1515</v>
      </c>
      <c r="E408" s="16" t="s">
        <v>1516</v>
      </c>
      <c r="F408" s="17" t="s">
        <v>318</v>
      </c>
      <c r="G408" s="18">
        <v>632</v>
      </c>
      <c r="H408" s="19"/>
      <c r="I408" s="20"/>
      <c r="J408" s="8">
        <f>632</f>
        <v>632</v>
      </c>
      <c r="K408" s="21">
        <v>5.9490740740740745E-3</v>
      </c>
      <c r="L408" s="22" t="s">
        <v>1161</v>
      </c>
      <c r="M408" s="8"/>
      <c r="N408" s="8"/>
      <c r="O408" s="8"/>
      <c r="P408" s="8"/>
      <c r="Q408" s="8"/>
      <c r="R408" s="8"/>
      <c r="S408" s="8"/>
      <c r="T408" s="8"/>
      <c r="U408" s="8"/>
      <c r="V408" s="8"/>
      <c r="W408" s="8"/>
      <c r="X408" s="8"/>
      <c r="Y408" s="8"/>
      <c r="Z408" s="25"/>
    </row>
    <row r="409" spans="1:26">
      <c r="A409" s="8">
        <v>408</v>
      </c>
      <c r="B409" s="8"/>
      <c r="C409" s="8"/>
      <c r="D409" s="8" t="s">
        <v>1517</v>
      </c>
      <c r="E409" s="16" t="s">
        <v>1518</v>
      </c>
      <c r="F409" s="17" t="s">
        <v>757</v>
      </c>
      <c r="G409" s="18">
        <v>363</v>
      </c>
      <c r="H409" s="19"/>
      <c r="I409" s="20"/>
      <c r="J409" s="8">
        <f>363</f>
        <v>363</v>
      </c>
      <c r="K409" s="21">
        <v>1.4583333333333334E-3</v>
      </c>
      <c r="L409" s="22" t="s">
        <v>1161</v>
      </c>
      <c r="M409" s="8"/>
      <c r="N409" s="8"/>
      <c r="O409" s="8"/>
      <c r="P409" s="8"/>
      <c r="Q409" s="8"/>
      <c r="R409" s="8"/>
      <c r="S409" s="8"/>
      <c r="T409" s="8"/>
      <c r="U409" s="8"/>
      <c r="V409" s="8"/>
      <c r="W409" s="8"/>
      <c r="X409" s="8"/>
      <c r="Y409" s="8"/>
      <c r="Z409" s="25"/>
    </row>
    <row r="410" spans="1:26">
      <c r="A410" s="8">
        <v>409</v>
      </c>
      <c r="B410" s="8"/>
      <c r="C410" s="8"/>
      <c r="D410" s="8" t="s">
        <v>1519</v>
      </c>
      <c r="E410" s="16" t="s">
        <v>1520</v>
      </c>
      <c r="F410" s="17" t="s">
        <v>1521</v>
      </c>
      <c r="G410" s="18" t="s">
        <v>249</v>
      </c>
      <c r="H410" s="19"/>
      <c r="I410" s="20"/>
      <c r="J410" s="8">
        <f>2.4*1000</f>
        <v>2400</v>
      </c>
      <c r="K410" s="21">
        <v>2.0370370370370373E-3</v>
      </c>
      <c r="L410" s="22" t="s">
        <v>1161</v>
      </c>
      <c r="M410" s="8"/>
      <c r="N410" s="8"/>
      <c r="O410" s="8"/>
      <c r="P410" s="8"/>
      <c r="Q410" s="8"/>
      <c r="R410" s="8"/>
      <c r="S410" s="8"/>
      <c r="T410" s="8"/>
      <c r="U410" s="8"/>
      <c r="V410" s="8"/>
      <c r="W410" s="8"/>
      <c r="X410" s="8"/>
      <c r="Y410" s="8"/>
      <c r="Z410" s="25"/>
    </row>
    <row r="411" spans="1:26">
      <c r="A411" s="8">
        <v>410</v>
      </c>
      <c r="B411" s="8"/>
      <c r="C411" s="8"/>
      <c r="D411" s="8" t="s">
        <v>1522</v>
      </c>
      <c r="E411" s="16" t="s">
        <v>1523</v>
      </c>
      <c r="F411" s="17" t="s">
        <v>1524</v>
      </c>
      <c r="G411" s="18">
        <v>513</v>
      </c>
      <c r="H411" s="19"/>
      <c r="I411" s="20"/>
      <c r="J411" s="8">
        <f>513</f>
        <v>513</v>
      </c>
      <c r="K411" s="21">
        <v>7.6388888888888893E-4</v>
      </c>
      <c r="L411" s="22" t="s">
        <v>1161</v>
      </c>
      <c r="M411" s="8"/>
      <c r="N411" s="8"/>
      <c r="O411" s="8"/>
      <c r="P411" s="8"/>
      <c r="Q411" s="8"/>
      <c r="R411" s="8"/>
      <c r="S411" s="8"/>
      <c r="T411" s="8"/>
      <c r="U411" s="8"/>
      <c r="V411" s="8"/>
      <c r="W411" s="8"/>
      <c r="X411" s="8"/>
      <c r="Y411" s="8"/>
      <c r="Z411" s="25"/>
    </row>
    <row r="412" spans="1:26">
      <c r="A412" s="8">
        <v>411</v>
      </c>
      <c r="B412" s="8"/>
      <c r="C412" s="8"/>
      <c r="D412" s="8" t="s">
        <v>1525</v>
      </c>
      <c r="E412" s="16" t="s">
        <v>1526</v>
      </c>
      <c r="F412" s="17" t="s">
        <v>1366</v>
      </c>
      <c r="G412" s="18">
        <v>765</v>
      </c>
      <c r="H412" s="19"/>
      <c r="I412" s="20"/>
      <c r="J412" s="8">
        <f>765</f>
        <v>765</v>
      </c>
      <c r="K412" s="21">
        <v>2.615740740740741E-3</v>
      </c>
      <c r="L412" s="22" t="s">
        <v>1161</v>
      </c>
      <c r="M412" s="8"/>
      <c r="N412" s="8"/>
      <c r="O412" s="8"/>
      <c r="P412" s="8"/>
      <c r="Q412" s="8"/>
      <c r="R412" s="8"/>
      <c r="S412" s="8"/>
      <c r="T412" s="8"/>
      <c r="U412" s="8"/>
      <c r="V412" s="8"/>
      <c r="W412" s="8"/>
      <c r="X412" s="8"/>
      <c r="Y412" s="8"/>
      <c r="Z412" s="25"/>
    </row>
    <row r="413" spans="1:26">
      <c r="A413" s="8">
        <v>412</v>
      </c>
      <c r="B413" s="8"/>
      <c r="C413" s="8"/>
      <c r="D413" s="8" t="s">
        <v>1527</v>
      </c>
      <c r="E413" s="16" t="s">
        <v>1528</v>
      </c>
      <c r="F413" s="17" t="s">
        <v>1369</v>
      </c>
      <c r="G413" s="18">
        <v>477</v>
      </c>
      <c r="H413" s="19"/>
      <c r="I413" s="20"/>
      <c r="J413" s="8">
        <f>477</f>
        <v>477</v>
      </c>
      <c r="K413" s="21">
        <v>2.9629629629629628E-3</v>
      </c>
      <c r="L413" s="22" t="s">
        <v>1161</v>
      </c>
      <c r="M413" s="8"/>
      <c r="N413" s="8"/>
      <c r="O413" s="8"/>
      <c r="P413" s="8"/>
      <c r="Q413" s="8"/>
      <c r="R413" s="8"/>
      <c r="S413" s="8"/>
      <c r="T413" s="8"/>
      <c r="U413" s="8"/>
      <c r="V413" s="8"/>
      <c r="W413" s="8"/>
      <c r="X413" s="8"/>
      <c r="Y413" s="8"/>
      <c r="Z413" s="25"/>
    </row>
    <row r="414" spans="1:26">
      <c r="A414" s="8">
        <v>413</v>
      </c>
      <c r="B414" s="8"/>
      <c r="C414" s="8"/>
      <c r="D414" s="8" t="s">
        <v>1529</v>
      </c>
      <c r="E414" s="16" t="s">
        <v>1530</v>
      </c>
      <c r="F414" s="17" t="s">
        <v>1004</v>
      </c>
      <c r="G414" s="18">
        <v>742</v>
      </c>
      <c r="H414" s="19"/>
      <c r="I414" s="20"/>
      <c r="J414" s="8">
        <f>742</f>
        <v>742</v>
      </c>
      <c r="K414" s="21">
        <v>2.627314814814815E-3</v>
      </c>
      <c r="L414" s="22" t="s">
        <v>1161</v>
      </c>
      <c r="M414" s="8"/>
      <c r="N414" s="8"/>
      <c r="O414" s="8"/>
      <c r="P414" s="8"/>
      <c r="Q414" s="8"/>
      <c r="R414" s="8"/>
      <c r="S414" s="8"/>
      <c r="T414" s="8"/>
      <c r="U414" s="8"/>
      <c r="V414" s="8"/>
      <c r="W414" s="8"/>
      <c r="X414" s="8"/>
      <c r="Y414" s="8"/>
      <c r="Z414" s="25"/>
    </row>
    <row r="415" spans="1:26">
      <c r="A415" s="8">
        <v>414</v>
      </c>
      <c r="B415" s="8"/>
      <c r="C415" s="8"/>
      <c r="D415" s="8" t="s">
        <v>1531</v>
      </c>
      <c r="E415" s="16" t="s">
        <v>1532</v>
      </c>
      <c r="F415" s="17" t="s">
        <v>1073</v>
      </c>
      <c r="G415" s="18">
        <v>540</v>
      </c>
      <c r="H415" s="19"/>
      <c r="I415" s="20"/>
      <c r="J415" s="8">
        <f>540</f>
        <v>540</v>
      </c>
      <c r="K415" s="21">
        <v>3.9236111111111112E-3</v>
      </c>
      <c r="L415" s="22" t="s">
        <v>1161</v>
      </c>
      <c r="M415" s="8"/>
      <c r="N415" s="8"/>
      <c r="O415" s="8"/>
      <c r="P415" s="8"/>
      <c r="Q415" s="8"/>
      <c r="R415" s="8"/>
      <c r="S415" s="8"/>
      <c r="T415" s="8"/>
      <c r="U415" s="8"/>
      <c r="V415" s="8"/>
      <c r="W415" s="8"/>
      <c r="X415" s="8"/>
      <c r="Y415" s="8"/>
      <c r="Z415" s="25"/>
    </row>
    <row r="416" spans="1:26">
      <c r="A416" s="8">
        <v>415</v>
      </c>
      <c r="B416" s="8"/>
      <c r="C416" s="8"/>
      <c r="D416" s="8" t="s">
        <v>1533</v>
      </c>
      <c r="E416" s="16" t="s">
        <v>1534</v>
      </c>
      <c r="F416" s="17" t="s">
        <v>1475</v>
      </c>
      <c r="G416" s="18">
        <v>657</v>
      </c>
      <c r="H416" s="19"/>
      <c r="I416" s="20"/>
      <c r="J416" s="8">
        <f>657</f>
        <v>657</v>
      </c>
      <c r="K416" s="21">
        <v>1.0995370370370371E-3</v>
      </c>
      <c r="L416" s="22" t="s">
        <v>1161</v>
      </c>
      <c r="M416" s="8"/>
      <c r="N416" s="8"/>
      <c r="O416" s="8"/>
      <c r="P416" s="8"/>
      <c r="Q416" s="8"/>
      <c r="R416" s="8"/>
      <c r="S416" s="8"/>
      <c r="T416" s="8"/>
      <c r="U416" s="8"/>
      <c r="V416" s="8"/>
      <c r="W416" s="8"/>
      <c r="X416" s="8"/>
      <c r="Y416" s="8"/>
      <c r="Z416" s="25"/>
    </row>
    <row r="417" spans="1:26">
      <c r="A417" s="8">
        <v>416</v>
      </c>
      <c r="B417" s="8"/>
      <c r="C417" s="8"/>
      <c r="D417" s="8" t="s">
        <v>1535</v>
      </c>
      <c r="E417" s="16" t="s">
        <v>1536</v>
      </c>
      <c r="F417" s="17" t="s">
        <v>1336</v>
      </c>
      <c r="G417" s="18">
        <v>535</v>
      </c>
      <c r="H417" s="19"/>
      <c r="I417" s="20"/>
      <c r="J417" s="8">
        <f>535</f>
        <v>535</v>
      </c>
      <c r="K417" s="21">
        <v>1.7708333333333332E-3</v>
      </c>
      <c r="L417" s="22" t="s">
        <v>1161</v>
      </c>
      <c r="M417" s="8"/>
      <c r="N417" s="8"/>
      <c r="O417" s="8"/>
      <c r="P417" s="8"/>
      <c r="Q417" s="8"/>
      <c r="R417" s="8"/>
      <c r="S417" s="8"/>
      <c r="T417" s="8"/>
      <c r="U417" s="8"/>
      <c r="V417" s="8"/>
      <c r="W417" s="8"/>
      <c r="X417" s="8"/>
      <c r="Y417" s="8"/>
      <c r="Z417" s="25"/>
    </row>
    <row r="418" spans="1:26">
      <c r="A418" s="8">
        <v>417</v>
      </c>
      <c r="B418" s="8"/>
      <c r="C418" s="8"/>
      <c r="D418" s="8" t="s">
        <v>1537</v>
      </c>
      <c r="E418" s="16" t="s">
        <v>1538</v>
      </c>
      <c r="F418" s="27" t="s">
        <v>1539</v>
      </c>
      <c r="G418" s="18" t="s">
        <v>1540</v>
      </c>
      <c r="H418" s="19"/>
      <c r="I418" s="20"/>
      <c r="J418" s="8">
        <f>6.4*1000</f>
        <v>6400</v>
      </c>
      <c r="K418" s="21">
        <v>1.8807870370370371E-2</v>
      </c>
      <c r="L418" s="22" t="s">
        <v>1161</v>
      </c>
      <c r="M418" s="8"/>
      <c r="N418" s="8"/>
      <c r="O418" s="8"/>
      <c r="P418" s="8"/>
      <c r="Q418" s="8"/>
      <c r="R418" s="8"/>
      <c r="S418" s="8"/>
      <c r="T418" s="8"/>
      <c r="U418" s="8"/>
      <c r="V418" s="8"/>
      <c r="W418" s="8"/>
      <c r="X418" s="8"/>
      <c r="Y418" s="8"/>
      <c r="Z418" s="25"/>
    </row>
    <row r="419" spans="1:26">
      <c r="A419" s="8">
        <v>418</v>
      </c>
      <c r="B419" s="8"/>
      <c r="C419" s="8"/>
      <c r="D419" s="8" t="s">
        <v>1541</v>
      </c>
      <c r="E419" s="16" t="s">
        <v>1542</v>
      </c>
      <c r="F419" s="17" t="s">
        <v>1543</v>
      </c>
      <c r="G419" s="18">
        <v>257</v>
      </c>
      <c r="H419" s="19"/>
      <c r="I419" s="20"/>
      <c r="J419" s="8">
        <f>257</f>
        <v>257</v>
      </c>
      <c r="K419" s="21">
        <v>2.0486111111111113E-3</v>
      </c>
      <c r="L419" s="22" t="s">
        <v>1161</v>
      </c>
      <c r="M419" s="8"/>
      <c r="N419" s="8"/>
      <c r="O419" s="8"/>
      <c r="P419" s="8"/>
      <c r="Q419" s="8"/>
      <c r="R419" s="8"/>
      <c r="S419" s="8"/>
      <c r="T419" s="8"/>
      <c r="U419" s="8"/>
      <c r="V419" s="8"/>
      <c r="W419" s="8"/>
      <c r="X419" s="8"/>
      <c r="Y419" s="8"/>
      <c r="Z419" s="25"/>
    </row>
    <row r="420" spans="1:26">
      <c r="A420" s="8">
        <v>419</v>
      </c>
      <c r="B420" s="8"/>
      <c r="C420" s="8"/>
      <c r="D420" s="8" t="s">
        <v>1544</v>
      </c>
      <c r="E420" s="16" t="s">
        <v>1545</v>
      </c>
      <c r="F420" s="17" t="s">
        <v>1546</v>
      </c>
      <c r="G420" s="18">
        <v>485</v>
      </c>
      <c r="H420" s="19"/>
      <c r="I420" s="20"/>
      <c r="J420" s="8">
        <f>485</f>
        <v>485</v>
      </c>
      <c r="K420" s="21">
        <v>1.5624999999999999E-3</v>
      </c>
      <c r="L420" s="22" t="s">
        <v>1161</v>
      </c>
      <c r="M420" s="8"/>
      <c r="N420" s="8"/>
      <c r="O420" s="8"/>
      <c r="P420" s="8"/>
      <c r="Q420" s="8"/>
      <c r="R420" s="8"/>
      <c r="S420" s="8"/>
      <c r="T420" s="8"/>
      <c r="U420" s="8"/>
      <c r="V420" s="8"/>
      <c r="W420" s="8"/>
      <c r="X420" s="8"/>
      <c r="Y420" s="8"/>
      <c r="Z420" s="25"/>
    </row>
    <row r="421" spans="1:26">
      <c r="A421" s="8">
        <v>420</v>
      </c>
      <c r="B421" s="8"/>
      <c r="C421" s="8"/>
      <c r="D421" s="8" t="s">
        <v>1547</v>
      </c>
      <c r="E421" s="16" t="s">
        <v>1548</v>
      </c>
      <c r="F421" s="17" t="s">
        <v>1549</v>
      </c>
      <c r="G421" s="18">
        <v>994</v>
      </c>
      <c r="H421" s="19"/>
      <c r="I421" s="20"/>
      <c r="J421" s="8">
        <f>994</f>
        <v>994</v>
      </c>
      <c r="K421" s="21">
        <v>3.5879629629629635E-4</v>
      </c>
      <c r="L421" s="22" t="s">
        <v>1161</v>
      </c>
      <c r="M421" s="8"/>
      <c r="N421" s="8"/>
      <c r="O421" s="8"/>
      <c r="P421" s="8"/>
      <c r="Q421" s="8"/>
      <c r="R421" s="8"/>
      <c r="S421" s="8"/>
      <c r="T421" s="8"/>
      <c r="U421" s="8"/>
      <c r="V421" s="8"/>
      <c r="W421" s="8"/>
      <c r="X421" s="8"/>
      <c r="Y421" s="8"/>
      <c r="Z421" s="25"/>
    </row>
    <row r="422" spans="1:26">
      <c r="A422" s="8">
        <v>421</v>
      </c>
      <c r="B422" s="8"/>
      <c r="C422" s="8"/>
      <c r="D422" s="8" t="s">
        <v>1550</v>
      </c>
      <c r="E422" s="16" t="s">
        <v>1551</v>
      </c>
      <c r="F422" s="17" t="s">
        <v>1552</v>
      </c>
      <c r="G422" s="18" t="s">
        <v>357</v>
      </c>
      <c r="H422" s="19"/>
      <c r="I422" s="20"/>
      <c r="J422" s="8">
        <f>3.3*1000</f>
        <v>3300</v>
      </c>
      <c r="K422" s="21">
        <v>3.8194444444444443E-3</v>
      </c>
      <c r="L422" s="22" t="s">
        <v>1161</v>
      </c>
      <c r="M422" s="8"/>
      <c r="N422" s="8"/>
      <c r="O422" s="8"/>
      <c r="P422" s="8"/>
      <c r="Q422" s="8"/>
      <c r="R422" s="8"/>
      <c r="S422" s="8"/>
      <c r="T422" s="8"/>
      <c r="U422" s="8"/>
      <c r="V422" s="8"/>
      <c r="W422" s="8"/>
      <c r="X422" s="8"/>
      <c r="Y422" s="8"/>
      <c r="Z422" s="25"/>
    </row>
    <row r="423" spans="1:26">
      <c r="A423" s="8">
        <v>422</v>
      </c>
      <c r="B423" s="8"/>
      <c r="C423" s="8"/>
      <c r="D423" s="8" t="s">
        <v>1553</v>
      </c>
      <c r="E423" s="16" t="s">
        <v>1554</v>
      </c>
      <c r="F423" s="17" t="s">
        <v>1418</v>
      </c>
      <c r="G423" s="18">
        <v>376</v>
      </c>
      <c r="H423" s="19"/>
      <c r="I423" s="20"/>
      <c r="J423" s="8">
        <f>376</f>
        <v>376</v>
      </c>
      <c r="K423" s="21">
        <v>1.6203703703703703E-3</v>
      </c>
      <c r="L423" s="22" t="s">
        <v>1161</v>
      </c>
      <c r="M423" s="8"/>
      <c r="N423" s="8"/>
      <c r="O423" s="8"/>
      <c r="P423" s="8"/>
      <c r="Q423" s="8"/>
      <c r="R423" s="8"/>
      <c r="S423" s="8"/>
      <c r="T423" s="8"/>
      <c r="U423" s="8"/>
      <c r="V423" s="8"/>
      <c r="W423" s="8"/>
      <c r="X423" s="8"/>
      <c r="Y423" s="8"/>
      <c r="Z423" s="25"/>
    </row>
    <row r="424" spans="1:26">
      <c r="A424" s="8">
        <v>423</v>
      </c>
      <c r="B424" s="8"/>
      <c r="C424" s="8"/>
      <c r="D424" s="8" t="s">
        <v>1555</v>
      </c>
      <c r="E424" s="16" t="s">
        <v>1556</v>
      </c>
      <c r="F424" s="17" t="s">
        <v>1557</v>
      </c>
      <c r="G424" s="18">
        <v>263</v>
      </c>
      <c r="H424" s="19"/>
      <c r="I424" s="20"/>
      <c r="J424" s="8">
        <f>263</f>
        <v>263</v>
      </c>
      <c r="K424" s="21">
        <v>4.5138888888888892E-4</v>
      </c>
      <c r="L424" s="22" t="s">
        <v>1161</v>
      </c>
      <c r="M424" s="8"/>
      <c r="N424" s="8"/>
      <c r="O424" s="8"/>
      <c r="P424" s="8"/>
      <c r="Q424" s="8"/>
      <c r="R424" s="8"/>
      <c r="S424" s="8"/>
      <c r="T424" s="8"/>
      <c r="U424" s="8"/>
      <c r="V424" s="8"/>
      <c r="W424" s="8"/>
      <c r="X424" s="8"/>
      <c r="Y424" s="8"/>
      <c r="Z424" s="25"/>
    </row>
    <row r="425" spans="1:26">
      <c r="A425" s="8">
        <v>424</v>
      </c>
      <c r="B425" s="8"/>
      <c r="C425" s="8"/>
      <c r="D425" s="8" t="s">
        <v>1558</v>
      </c>
      <c r="E425" s="16" t="s">
        <v>1559</v>
      </c>
      <c r="F425" s="17" t="s">
        <v>1469</v>
      </c>
      <c r="G425" s="18">
        <v>309</v>
      </c>
      <c r="H425" s="19"/>
      <c r="I425" s="20"/>
      <c r="J425" s="8">
        <f>309</f>
        <v>309</v>
      </c>
      <c r="K425" s="21">
        <v>1.8171296296296297E-3</v>
      </c>
      <c r="L425" s="22" t="s">
        <v>1161</v>
      </c>
      <c r="M425" s="8"/>
      <c r="N425" s="8"/>
      <c r="O425" s="8"/>
      <c r="P425" s="8"/>
      <c r="Q425" s="8"/>
      <c r="R425" s="8"/>
      <c r="S425" s="8"/>
      <c r="T425" s="8"/>
      <c r="U425" s="8"/>
      <c r="V425" s="8"/>
      <c r="W425" s="8"/>
      <c r="X425" s="8"/>
      <c r="Y425" s="8"/>
      <c r="Z425" s="25"/>
    </row>
    <row r="426" spans="1:26">
      <c r="A426" s="8">
        <v>425</v>
      </c>
      <c r="B426" s="8"/>
      <c r="C426" s="8"/>
      <c r="D426" s="8" t="s">
        <v>1560</v>
      </c>
      <c r="E426" s="16" t="s">
        <v>1561</v>
      </c>
      <c r="F426" s="17" t="s">
        <v>1562</v>
      </c>
      <c r="G426" s="18">
        <v>899</v>
      </c>
      <c r="H426" s="19"/>
      <c r="I426" s="20"/>
      <c r="J426" s="8">
        <f>899</f>
        <v>899</v>
      </c>
      <c r="K426" s="21">
        <v>8.9120370370370362E-4</v>
      </c>
      <c r="L426" s="22" t="s">
        <v>1161</v>
      </c>
      <c r="M426" s="8"/>
      <c r="N426" s="8"/>
      <c r="O426" s="8"/>
      <c r="P426" s="8"/>
      <c r="Q426" s="8"/>
      <c r="R426" s="8"/>
      <c r="S426" s="8"/>
      <c r="T426" s="8"/>
      <c r="U426" s="8"/>
      <c r="V426" s="8"/>
      <c r="W426" s="8"/>
      <c r="X426" s="8"/>
      <c r="Y426" s="8"/>
      <c r="Z426" s="25"/>
    </row>
    <row r="427" spans="1:26">
      <c r="A427" s="8">
        <v>426</v>
      </c>
      <c r="B427" s="8"/>
      <c r="C427" s="8"/>
      <c r="D427" s="8" t="s">
        <v>1563</v>
      </c>
      <c r="E427" s="16" t="s">
        <v>1564</v>
      </c>
      <c r="F427" s="17" t="s">
        <v>745</v>
      </c>
      <c r="G427" s="18" t="s">
        <v>568</v>
      </c>
      <c r="H427" s="19"/>
      <c r="I427" s="20"/>
      <c r="J427" s="8">
        <f>1.4*1000</f>
        <v>1400</v>
      </c>
      <c r="K427" s="21">
        <v>1.736111111111111E-3</v>
      </c>
      <c r="L427" s="22" t="s">
        <v>1161</v>
      </c>
      <c r="M427" s="8"/>
      <c r="N427" s="8"/>
      <c r="O427" s="8"/>
      <c r="P427" s="8"/>
      <c r="Q427" s="8"/>
      <c r="R427" s="8"/>
      <c r="S427" s="8"/>
      <c r="T427" s="8"/>
      <c r="U427" s="8"/>
      <c r="V427" s="8"/>
      <c r="W427" s="8"/>
      <c r="X427" s="8"/>
      <c r="Y427" s="8"/>
      <c r="Z427" s="25"/>
    </row>
    <row r="428" spans="1:26">
      <c r="A428" s="8">
        <v>427</v>
      </c>
      <c r="B428" s="8"/>
      <c r="C428" s="8"/>
      <c r="D428" s="8" t="s">
        <v>1565</v>
      </c>
      <c r="E428" s="16" t="s">
        <v>1566</v>
      </c>
      <c r="F428" s="17" t="s">
        <v>1567</v>
      </c>
      <c r="G428" s="18">
        <v>328</v>
      </c>
      <c r="H428" s="19"/>
      <c r="I428" s="20"/>
      <c r="J428" s="8">
        <f>328</f>
        <v>328</v>
      </c>
      <c r="K428" s="21">
        <v>2.3958333333333336E-3</v>
      </c>
      <c r="L428" s="22" t="s">
        <v>1161</v>
      </c>
      <c r="M428" s="8"/>
      <c r="N428" s="8"/>
      <c r="O428" s="8"/>
      <c r="P428" s="8"/>
      <c r="Q428" s="8"/>
      <c r="R428" s="8"/>
      <c r="S428" s="8"/>
      <c r="T428" s="8"/>
      <c r="U428" s="8"/>
      <c r="V428" s="8"/>
      <c r="W428" s="8"/>
      <c r="X428" s="8"/>
      <c r="Y428" s="8"/>
      <c r="Z428" s="25"/>
    </row>
    <row r="429" spans="1:26">
      <c r="A429" s="8">
        <v>428</v>
      </c>
      <c r="B429" s="8"/>
      <c r="C429" s="8"/>
      <c r="D429" s="8" t="s">
        <v>1568</v>
      </c>
      <c r="E429" s="16" t="s">
        <v>1569</v>
      </c>
      <c r="F429" s="17" t="s">
        <v>231</v>
      </c>
      <c r="G429" s="18">
        <v>776</v>
      </c>
      <c r="H429" s="19"/>
      <c r="I429" s="20"/>
      <c r="J429" s="8">
        <f>776</f>
        <v>776</v>
      </c>
      <c r="K429" s="21">
        <v>1.3078703703703705E-3</v>
      </c>
      <c r="L429" s="22" t="s">
        <v>1161</v>
      </c>
      <c r="M429" s="8"/>
      <c r="N429" s="8"/>
      <c r="O429" s="8"/>
      <c r="P429" s="8"/>
      <c r="Q429" s="8"/>
      <c r="R429" s="8"/>
      <c r="S429" s="8"/>
      <c r="T429" s="8"/>
      <c r="U429" s="8"/>
      <c r="V429" s="8"/>
      <c r="W429" s="8"/>
      <c r="X429" s="8"/>
      <c r="Y429" s="8"/>
      <c r="Z429" s="25"/>
    </row>
    <row r="430" spans="1:26">
      <c r="A430" s="8">
        <v>429</v>
      </c>
      <c r="B430" s="8"/>
      <c r="C430" s="8"/>
      <c r="D430" s="8" t="s">
        <v>1570</v>
      </c>
      <c r="E430" s="16" t="s">
        <v>1571</v>
      </c>
      <c r="F430" s="17" t="s">
        <v>1572</v>
      </c>
      <c r="G430" s="18">
        <v>241</v>
      </c>
      <c r="H430" s="19"/>
      <c r="I430" s="20"/>
      <c r="J430" s="8">
        <f>241</f>
        <v>241</v>
      </c>
      <c r="K430" s="21">
        <v>1.2962962962962963E-3</v>
      </c>
      <c r="L430" s="22" t="s">
        <v>1161</v>
      </c>
      <c r="M430" s="8"/>
      <c r="N430" s="8"/>
      <c r="O430" s="8"/>
      <c r="P430" s="8"/>
      <c r="Q430" s="8"/>
      <c r="R430" s="8"/>
      <c r="S430" s="8"/>
      <c r="T430" s="8"/>
      <c r="U430" s="8"/>
      <c r="V430" s="8"/>
      <c r="W430" s="8"/>
      <c r="X430" s="8"/>
      <c r="Y430" s="8"/>
      <c r="Z430" s="25"/>
    </row>
    <row r="431" spans="1:26">
      <c r="A431" s="8">
        <v>430</v>
      </c>
      <c r="B431" s="8"/>
      <c r="C431" s="8"/>
      <c r="D431" s="8" t="s">
        <v>1573</v>
      </c>
      <c r="E431" s="16" t="s">
        <v>1574</v>
      </c>
      <c r="F431" s="17" t="s">
        <v>1575</v>
      </c>
      <c r="G431" s="18">
        <v>440</v>
      </c>
      <c r="H431" s="19"/>
      <c r="I431" s="20"/>
      <c r="J431" s="8">
        <f>440</f>
        <v>440</v>
      </c>
      <c r="K431" s="21">
        <v>4.386574074074074E-3</v>
      </c>
      <c r="L431" s="22" t="s">
        <v>1161</v>
      </c>
      <c r="M431" s="8"/>
      <c r="N431" s="8"/>
      <c r="O431" s="8"/>
      <c r="P431" s="8"/>
      <c r="Q431" s="8"/>
      <c r="R431" s="8"/>
      <c r="S431" s="8"/>
      <c r="T431" s="8"/>
      <c r="U431" s="8"/>
      <c r="V431" s="8"/>
      <c r="W431" s="8"/>
      <c r="X431" s="8"/>
      <c r="Y431" s="8"/>
      <c r="Z431" s="25"/>
    </row>
    <row r="432" spans="1:26">
      <c r="A432" s="8">
        <v>431</v>
      </c>
      <c r="B432" s="8"/>
      <c r="C432" s="8"/>
      <c r="D432" s="8" t="s">
        <v>1576</v>
      </c>
      <c r="E432" s="16" t="s">
        <v>1577</v>
      </c>
      <c r="F432" s="17" t="s">
        <v>1578</v>
      </c>
      <c r="G432" s="18">
        <v>801</v>
      </c>
      <c r="H432" s="19"/>
      <c r="I432" s="20"/>
      <c r="J432" s="8">
        <f>801</f>
        <v>801</v>
      </c>
      <c r="K432" s="21">
        <v>3.414351851851852E-3</v>
      </c>
      <c r="L432" s="22" t="s">
        <v>1161</v>
      </c>
      <c r="M432" s="8"/>
      <c r="N432" s="8"/>
      <c r="O432" s="8"/>
      <c r="P432" s="8"/>
      <c r="Q432" s="8"/>
      <c r="R432" s="8"/>
      <c r="S432" s="8"/>
      <c r="T432" s="8"/>
      <c r="U432" s="8"/>
      <c r="V432" s="8"/>
      <c r="W432" s="8"/>
      <c r="X432" s="8"/>
      <c r="Y432" s="8"/>
      <c r="Z432" s="25"/>
    </row>
    <row r="433" spans="1:26">
      <c r="A433" s="8">
        <v>432</v>
      </c>
      <c r="B433" s="8"/>
      <c r="C433" s="8"/>
      <c r="D433" s="8" t="s">
        <v>1579</v>
      </c>
      <c r="E433" s="16" t="s">
        <v>1580</v>
      </c>
      <c r="F433" s="17" t="s">
        <v>1581</v>
      </c>
      <c r="G433" s="18">
        <v>271</v>
      </c>
      <c r="H433" s="19"/>
      <c r="I433" s="20"/>
      <c r="J433" s="8">
        <f>271</f>
        <v>271</v>
      </c>
      <c r="K433" s="21">
        <v>2.4537037037037036E-3</v>
      </c>
      <c r="L433" s="22" t="s">
        <v>1161</v>
      </c>
      <c r="M433" s="8"/>
      <c r="N433" s="8"/>
      <c r="O433" s="8"/>
      <c r="P433" s="8"/>
      <c r="Q433" s="8"/>
      <c r="R433" s="8"/>
      <c r="S433" s="8"/>
      <c r="T433" s="8"/>
      <c r="U433" s="8"/>
      <c r="V433" s="8"/>
      <c r="W433" s="8"/>
      <c r="X433" s="8"/>
      <c r="Y433" s="8"/>
      <c r="Z433" s="25"/>
    </row>
    <row r="434" spans="1:26">
      <c r="A434" s="8">
        <v>433</v>
      </c>
      <c r="B434" s="8"/>
      <c r="C434" s="8"/>
      <c r="D434" s="8" t="s">
        <v>1582</v>
      </c>
      <c r="E434" s="16" t="s">
        <v>1583</v>
      </c>
      <c r="F434" s="17" t="s">
        <v>127</v>
      </c>
      <c r="G434" s="18">
        <v>296</v>
      </c>
      <c r="H434" s="19"/>
      <c r="I434" s="20"/>
      <c r="J434" s="8">
        <f>296</f>
        <v>296</v>
      </c>
      <c r="K434" s="21">
        <v>2.1643518518518518E-3</v>
      </c>
      <c r="L434" s="22" t="s">
        <v>1161</v>
      </c>
      <c r="M434" s="8"/>
      <c r="N434" s="8"/>
      <c r="O434" s="8"/>
      <c r="P434" s="8"/>
      <c r="Q434" s="8"/>
      <c r="R434" s="8"/>
      <c r="S434" s="8"/>
      <c r="T434" s="8"/>
      <c r="U434" s="8"/>
      <c r="V434" s="8"/>
      <c r="W434" s="8"/>
      <c r="X434" s="8"/>
      <c r="Y434" s="8"/>
      <c r="Z434" s="25"/>
    </row>
    <row r="435" spans="1:26">
      <c r="A435" s="8">
        <v>434</v>
      </c>
      <c r="B435" s="8"/>
      <c r="C435" s="8"/>
      <c r="D435" s="8" t="s">
        <v>1584</v>
      </c>
      <c r="E435" s="16" t="s">
        <v>1585</v>
      </c>
      <c r="F435" s="17" t="s">
        <v>1586</v>
      </c>
      <c r="G435" s="18">
        <v>696</v>
      </c>
      <c r="H435" s="19"/>
      <c r="I435" s="20"/>
      <c r="J435" s="8">
        <f>696</f>
        <v>696</v>
      </c>
      <c r="K435" s="21">
        <v>2.8472222222222219E-3</v>
      </c>
      <c r="L435" s="22" t="s">
        <v>1161</v>
      </c>
      <c r="M435" s="8"/>
      <c r="N435" s="8"/>
      <c r="O435" s="8"/>
      <c r="P435" s="8"/>
      <c r="Q435" s="8"/>
      <c r="R435" s="8"/>
      <c r="S435" s="8"/>
      <c r="T435" s="8"/>
      <c r="U435" s="8"/>
      <c r="V435" s="8"/>
      <c r="W435" s="8"/>
      <c r="X435" s="8"/>
      <c r="Y435" s="8"/>
      <c r="Z435" s="25"/>
    </row>
    <row r="436" spans="1:26">
      <c r="A436" s="8">
        <v>435</v>
      </c>
      <c r="B436" s="8"/>
      <c r="C436" s="8"/>
      <c r="D436" s="8" t="s">
        <v>1587</v>
      </c>
      <c r="E436" s="16" t="s">
        <v>1588</v>
      </c>
      <c r="F436" s="17" t="s">
        <v>1589</v>
      </c>
      <c r="G436" s="18" t="s">
        <v>249</v>
      </c>
      <c r="H436" s="19"/>
      <c r="I436" s="20"/>
      <c r="J436" s="8">
        <f>2.4*1000</f>
        <v>2400</v>
      </c>
      <c r="K436" s="21">
        <v>1.3310185185185187E-2</v>
      </c>
      <c r="L436" s="22" t="s">
        <v>1161</v>
      </c>
      <c r="M436" s="8"/>
      <c r="N436" s="8"/>
      <c r="O436" s="8"/>
      <c r="P436" s="8"/>
      <c r="Q436" s="8"/>
      <c r="R436" s="8"/>
      <c r="S436" s="8"/>
      <c r="T436" s="8"/>
      <c r="U436" s="8"/>
      <c r="V436" s="8"/>
      <c r="W436" s="8"/>
      <c r="X436" s="8"/>
      <c r="Y436" s="8"/>
      <c r="Z436" s="25"/>
    </row>
    <row r="437" spans="1:26">
      <c r="A437" s="8">
        <v>436</v>
      </c>
      <c r="B437" s="8"/>
      <c r="C437" s="8"/>
      <c r="D437" s="8" t="s">
        <v>1590</v>
      </c>
      <c r="E437" s="16" t="s">
        <v>1591</v>
      </c>
      <c r="F437" s="17" t="s">
        <v>1277</v>
      </c>
      <c r="G437" s="18">
        <v>928</v>
      </c>
      <c r="H437" s="19"/>
      <c r="I437" s="20"/>
      <c r="J437" s="8">
        <f>928</f>
        <v>928</v>
      </c>
      <c r="K437" s="21">
        <v>1.5972222222222221E-3</v>
      </c>
      <c r="L437" s="22" t="s">
        <v>1161</v>
      </c>
      <c r="M437" s="8"/>
      <c r="N437" s="8"/>
      <c r="O437" s="8"/>
      <c r="P437" s="8"/>
      <c r="Q437" s="8"/>
      <c r="R437" s="8"/>
      <c r="S437" s="8"/>
      <c r="T437" s="8"/>
      <c r="U437" s="8"/>
      <c r="V437" s="8"/>
      <c r="W437" s="8"/>
      <c r="X437" s="8"/>
      <c r="Y437" s="8"/>
      <c r="Z437" s="25"/>
    </row>
    <row r="438" spans="1:26">
      <c r="A438" s="8">
        <v>437</v>
      </c>
      <c r="B438" s="8"/>
      <c r="C438" s="8"/>
      <c r="D438" s="8" t="s">
        <v>1592</v>
      </c>
      <c r="E438" s="16" t="s">
        <v>1593</v>
      </c>
      <c r="F438" s="17" t="s">
        <v>1594</v>
      </c>
      <c r="G438" s="18">
        <v>261</v>
      </c>
      <c r="H438" s="19"/>
      <c r="I438" s="20"/>
      <c r="J438" s="8">
        <f>261</f>
        <v>261</v>
      </c>
      <c r="K438" s="21">
        <v>4.5833333333333334E-3</v>
      </c>
      <c r="L438" s="22" t="s">
        <v>1161</v>
      </c>
      <c r="M438" s="8"/>
      <c r="N438" s="8"/>
      <c r="O438" s="8"/>
      <c r="P438" s="8"/>
      <c r="Q438" s="8"/>
      <c r="R438" s="8"/>
      <c r="S438" s="8"/>
      <c r="T438" s="8"/>
      <c r="U438" s="8"/>
      <c r="V438" s="8"/>
      <c r="W438" s="8"/>
      <c r="X438" s="8"/>
      <c r="Y438" s="8"/>
      <c r="Z438" s="25"/>
    </row>
    <row r="439" spans="1:26">
      <c r="A439" s="8">
        <v>438</v>
      </c>
      <c r="B439" s="8"/>
      <c r="C439" s="8"/>
      <c r="D439" s="8" t="s">
        <v>1595</v>
      </c>
      <c r="E439" s="16" t="s">
        <v>1596</v>
      </c>
      <c r="F439" s="17" t="s">
        <v>1597</v>
      </c>
      <c r="G439" s="18">
        <v>309</v>
      </c>
      <c r="H439" s="19"/>
      <c r="I439" s="20"/>
      <c r="J439" s="8">
        <f>309</f>
        <v>309</v>
      </c>
      <c r="K439" s="21">
        <v>2.0833333333333333E-3</v>
      </c>
      <c r="L439" s="22" t="s">
        <v>1161</v>
      </c>
      <c r="M439" s="8"/>
      <c r="N439" s="8"/>
      <c r="O439" s="8"/>
      <c r="P439" s="8"/>
      <c r="Q439" s="8"/>
      <c r="R439" s="8"/>
      <c r="S439" s="8"/>
      <c r="T439" s="8"/>
      <c r="U439" s="8"/>
      <c r="V439" s="8"/>
      <c r="W439" s="8"/>
      <c r="X439" s="8"/>
      <c r="Y439" s="8"/>
      <c r="Z439" s="25"/>
    </row>
    <row r="440" spans="1:26">
      <c r="A440" s="8">
        <v>439</v>
      </c>
      <c r="B440" s="8"/>
      <c r="C440" s="8"/>
      <c r="D440" s="8" t="s">
        <v>1598</v>
      </c>
      <c r="E440" s="16" t="s">
        <v>1599</v>
      </c>
      <c r="F440" s="17" t="s">
        <v>1600</v>
      </c>
      <c r="G440" s="18">
        <v>184</v>
      </c>
      <c r="H440" s="19"/>
      <c r="I440" s="20"/>
      <c r="J440" s="8">
        <f>184</f>
        <v>184</v>
      </c>
      <c r="K440" s="21">
        <v>1.9675925925925928E-3</v>
      </c>
      <c r="L440" s="22" t="s">
        <v>1161</v>
      </c>
      <c r="M440" s="8"/>
      <c r="N440" s="8"/>
      <c r="O440" s="8"/>
      <c r="P440" s="8"/>
      <c r="Q440" s="8"/>
      <c r="R440" s="8"/>
      <c r="S440" s="8"/>
      <c r="T440" s="8"/>
      <c r="U440" s="8"/>
      <c r="V440" s="8"/>
      <c r="W440" s="8"/>
      <c r="X440" s="8"/>
      <c r="Y440" s="8"/>
      <c r="Z440" s="25"/>
    </row>
    <row r="441" spans="1:26">
      <c r="A441" s="8">
        <v>440</v>
      </c>
      <c r="B441" s="8"/>
      <c r="C441" s="8"/>
      <c r="D441" s="8" t="s">
        <v>1601</v>
      </c>
      <c r="E441" s="16" t="s">
        <v>1602</v>
      </c>
      <c r="F441" s="17" t="s">
        <v>1603</v>
      </c>
      <c r="G441" s="18">
        <v>380</v>
      </c>
      <c r="H441" s="19"/>
      <c r="I441" s="20"/>
      <c r="J441" s="8">
        <f>380</f>
        <v>380</v>
      </c>
      <c r="K441" s="21">
        <v>3.6342592592592594E-3</v>
      </c>
      <c r="L441" s="22" t="s">
        <v>1161</v>
      </c>
      <c r="M441" s="8"/>
      <c r="N441" s="8"/>
      <c r="O441" s="8"/>
      <c r="P441" s="8"/>
      <c r="Q441" s="8"/>
      <c r="R441" s="8"/>
      <c r="S441" s="8"/>
      <c r="T441" s="8"/>
      <c r="U441" s="8"/>
      <c r="V441" s="8"/>
      <c r="W441" s="8"/>
      <c r="X441" s="8"/>
      <c r="Y441" s="8"/>
      <c r="Z441" s="25"/>
    </row>
    <row r="442" spans="1:26">
      <c r="A442" s="8">
        <v>441</v>
      </c>
      <c r="B442" s="8"/>
      <c r="C442" s="8"/>
      <c r="D442" s="8" t="s">
        <v>1604</v>
      </c>
      <c r="E442" s="16" t="s">
        <v>1605</v>
      </c>
      <c r="F442" s="17" t="s">
        <v>1606</v>
      </c>
      <c r="G442" s="18">
        <v>398</v>
      </c>
      <c r="H442" s="19"/>
      <c r="I442" s="20"/>
      <c r="J442" s="8">
        <f>398</f>
        <v>398</v>
      </c>
      <c r="K442" s="21">
        <v>1.2152777777777778E-3</v>
      </c>
      <c r="L442" s="22" t="s">
        <v>1161</v>
      </c>
      <c r="M442" s="8"/>
      <c r="N442" s="8"/>
      <c r="O442" s="8"/>
      <c r="P442" s="8"/>
      <c r="Q442" s="8"/>
      <c r="R442" s="8"/>
      <c r="S442" s="8"/>
      <c r="T442" s="8"/>
      <c r="U442" s="8"/>
      <c r="V442" s="8"/>
      <c r="W442" s="8"/>
      <c r="X442" s="8"/>
      <c r="Y442" s="8"/>
      <c r="Z442" s="25"/>
    </row>
    <row r="443" spans="1:26">
      <c r="A443" s="8">
        <v>442</v>
      </c>
      <c r="B443" s="8"/>
      <c r="C443" s="8"/>
      <c r="D443" s="8" t="s">
        <v>1607</v>
      </c>
      <c r="E443" s="16" t="s">
        <v>1608</v>
      </c>
      <c r="F443" s="17" t="s">
        <v>902</v>
      </c>
      <c r="G443" s="18">
        <v>667</v>
      </c>
      <c r="H443" s="19"/>
      <c r="I443" s="20"/>
      <c r="J443" s="8">
        <f>667</f>
        <v>667</v>
      </c>
      <c r="K443" s="21">
        <v>4.3518518518518515E-3</v>
      </c>
      <c r="L443" s="22" t="s">
        <v>1161</v>
      </c>
      <c r="M443" s="8"/>
      <c r="N443" s="8"/>
      <c r="O443" s="8"/>
      <c r="P443" s="8"/>
      <c r="Q443" s="8"/>
      <c r="R443" s="8"/>
      <c r="S443" s="8"/>
      <c r="T443" s="8"/>
      <c r="U443" s="8"/>
      <c r="V443" s="8"/>
      <c r="W443" s="8"/>
      <c r="X443" s="8"/>
      <c r="Y443" s="8"/>
      <c r="Z443" s="25"/>
    </row>
    <row r="444" spans="1:26">
      <c r="A444" s="8">
        <v>443</v>
      </c>
      <c r="B444" s="8"/>
      <c r="C444" s="8"/>
      <c r="D444" s="8" t="s">
        <v>1609</v>
      </c>
      <c r="E444" s="16" t="s">
        <v>1610</v>
      </c>
      <c r="F444" s="17" t="s">
        <v>1611</v>
      </c>
      <c r="G444" s="18" t="s">
        <v>1005</v>
      </c>
      <c r="H444" s="19"/>
      <c r="I444" s="20"/>
      <c r="J444" s="8">
        <f>1.6*1000</f>
        <v>1600</v>
      </c>
      <c r="K444" s="21">
        <v>5.2777777777777771E-3</v>
      </c>
      <c r="L444" s="22" t="s">
        <v>1161</v>
      </c>
      <c r="M444" s="8"/>
      <c r="N444" s="8"/>
      <c r="O444" s="8"/>
      <c r="P444" s="8"/>
      <c r="Q444" s="8"/>
      <c r="R444" s="8"/>
      <c r="S444" s="8"/>
      <c r="T444" s="8"/>
      <c r="U444" s="8"/>
      <c r="V444" s="8"/>
      <c r="W444" s="8"/>
      <c r="X444" s="8"/>
      <c r="Y444" s="8"/>
      <c r="Z444" s="25"/>
    </row>
    <row r="445" spans="1:26">
      <c r="A445" s="8">
        <v>444</v>
      </c>
      <c r="B445" s="8"/>
      <c r="C445" s="8"/>
      <c r="D445" s="8" t="s">
        <v>1612</v>
      </c>
      <c r="E445" s="16" t="s">
        <v>1613</v>
      </c>
      <c r="F445" s="17" t="s">
        <v>760</v>
      </c>
      <c r="G445" s="18">
        <v>797</v>
      </c>
      <c r="H445" s="19"/>
      <c r="I445" s="20"/>
      <c r="J445" s="8">
        <f>797</f>
        <v>797</v>
      </c>
      <c r="K445" s="21">
        <v>1.4699074074074074E-3</v>
      </c>
      <c r="L445" s="22" t="s">
        <v>1161</v>
      </c>
      <c r="M445" s="8"/>
      <c r="N445" s="8"/>
      <c r="O445" s="8"/>
      <c r="P445" s="8"/>
      <c r="Q445" s="8"/>
      <c r="R445" s="8"/>
      <c r="S445" s="8"/>
      <c r="T445" s="8"/>
      <c r="U445" s="8"/>
      <c r="V445" s="8"/>
      <c r="W445" s="8"/>
      <c r="X445" s="8"/>
      <c r="Y445" s="8"/>
      <c r="Z445" s="25"/>
    </row>
    <row r="446" spans="1:26">
      <c r="A446" s="8">
        <v>445</v>
      </c>
      <c r="B446" s="8"/>
      <c r="C446" s="8"/>
      <c r="D446" s="8" t="s">
        <v>1614</v>
      </c>
      <c r="E446" s="16" t="s">
        <v>1615</v>
      </c>
      <c r="F446" s="17" t="s">
        <v>1616</v>
      </c>
      <c r="G446" s="18">
        <v>327</v>
      </c>
      <c r="H446" s="19"/>
      <c r="I446" s="20"/>
      <c r="J446" s="8">
        <f>327</f>
        <v>327</v>
      </c>
      <c r="K446" s="21">
        <v>3.2060185185185191E-3</v>
      </c>
      <c r="L446" s="22" t="s">
        <v>1161</v>
      </c>
      <c r="M446" s="8"/>
      <c r="N446" s="8"/>
      <c r="O446" s="8"/>
      <c r="P446" s="8"/>
      <c r="Q446" s="8"/>
      <c r="R446" s="8"/>
      <c r="S446" s="8"/>
      <c r="T446" s="8"/>
      <c r="U446" s="8"/>
      <c r="V446" s="8"/>
      <c r="W446" s="8"/>
      <c r="X446" s="8"/>
      <c r="Y446" s="8"/>
      <c r="Z446" s="25"/>
    </row>
    <row r="447" spans="1:26">
      <c r="A447" s="8">
        <v>446</v>
      </c>
      <c r="B447" s="8"/>
      <c r="C447" s="8"/>
      <c r="D447" s="8" t="s">
        <v>1617</v>
      </c>
      <c r="E447" s="16" t="s">
        <v>1618</v>
      </c>
      <c r="F447" s="17" t="s">
        <v>1562</v>
      </c>
      <c r="G447" s="18">
        <v>173</v>
      </c>
      <c r="H447" s="19"/>
      <c r="I447" s="20"/>
      <c r="J447" s="8">
        <f>173</f>
        <v>173</v>
      </c>
      <c r="K447" s="21">
        <v>8.9120370370370362E-4</v>
      </c>
      <c r="L447" s="22" t="s">
        <v>1161</v>
      </c>
      <c r="M447" s="8"/>
      <c r="N447" s="8"/>
      <c r="O447" s="8"/>
      <c r="P447" s="8"/>
      <c r="Q447" s="8"/>
      <c r="R447" s="8"/>
      <c r="S447" s="8"/>
      <c r="T447" s="8"/>
      <c r="U447" s="8"/>
      <c r="V447" s="8"/>
      <c r="W447" s="8"/>
      <c r="X447" s="8"/>
      <c r="Y447" s="8"/>
      <c r="Z447" s="25"/>
    </row>
    <row r="448" spans="1:26">
      <c r="A448" s="8">
        <v>447</v>
      </c>
      <c r="B448" s="8"/>
      <c r="C448" s="8"/>
      <c r="D448" s="8" t="s">
        <v>1619</v>
      </c>
      <c r="E448" s="16" t="s">
        <v>1620</v>
      </c>
      <c r="F448" s="17" t="s">
        <v>1621</v>
      </c>
      <c r="G448" s="18">
        <v>297</v>
      </c>
      <c r="H448" s="19"/>
      <c r="I448" s="20"/>
      <c r="J448" s="8">
        <f>297</f>
        <v>297</v>
      </c>
      <c r="K448" s="21">
        <v>4.2129629629629626E-3</v>
      </c>
      <c r="L448" s="22" t="s">
        <v>1161</v>
      </c>
      <c r="M448" s="8"/>
      <c r="N448" s="8"/>
      <c r="O448" s="8"/>
      <c r="P448" s="8"/>
      <c r="Q448" s="8"/>
      <c r="R448" s="8"/>
      <c r="S448" s="8"/>
      <c r="T448" s="8"/>
      <c r="U448" s="8"/>
      <c r="V448" s="8"/>
      <c r="W448" s="8"/>
      <c r="X448" s="8"/>
      <c r="Y448" s="8"/>
      <c r="Z448" s="25"/>
    </row>
    <row r="449" spans="1:26">
      <c r="A449" s="8">
        <v>448</v>
      </c>
      <c r="B449" s="8"/>
      <c r="C449" s="8"/>
      <c r="D449" s="8" t="s">
        <v>1622</v>
      </c>
      <c r="E449" s="16" t="s">
        <v>1623</v>
      </c>
      <c r="F449" s="17" t="s">
        <v>944</v>
      </c>
      <c r="G449" s="18">
        <v>182</v>
      </c>
      <c r="H449" s="19"/>
      <c r="I449" s="20"/>
      <c r="J449" s="8">
        <f>182</f>
        <v>182</v>
      </c>
      <c r="K449" s="21">
        <v>2.7314814814814819E-3</v>
      </c>
      <c r="L449" s="22" t="s">
        <v>1161</v>
      </c>
      <c r="M449" s="8"/>
      <c r="N449" s="8"/>
      <c r="O449" s="8"/>
      <c r="P449" s="8"/>
      <c r="Q449" s="8"/>
      <c r="R449" s="8"/>
      <c r="S449" s="8"/>
      <c r="T449" s="8"/>
      <c r="U449" s="8"/>
      <c r="V449" s="8"/>
      <c r="W449" s="8"/>
      <c r="X449" s="8"/>
      <c r="Y449" s="8"/>
      <c r="Z449" s="25"/>
    </row>
    <row r="450" spans="1:26">
      <c r="A450" s="8">
        <v>449</v>
      </c>
      <c r="B450" s="8"/>
      <c r="C450" s="8"/>
      <c r="D450" s="8" t="s">
        <v>1624</v>
      </c>
      <c r="E450" s="16" t="s">
        <v>1625</v>
      </c>
      <c r="F450" s="17" t="s">
        <v>1626</v>
      </c>
      <c r="G450" s="18" t="s">
        <v>782</v>
      </c>
      <c r="H450" s="19"/>
      <c r="I450" s="20"/>
      <c r="J450" s="8">
        <f>1.8*1000</f>
        <v>1800</v>
      </c>
      <c r="K450" s="21">
        <v>1.0081018518518519E-2</v>
      </c>
      <c r="L450" s="22" t="s">
        <v>1161</v>
      </c>
      <c r="M450" s="8"/>
      <c r="N450" s="8"/>
      <c r="O450" s="8"/>
      <c r="P450" s="8"/>
      <c r="Q450" s="8"/>
      <c r="R450" s="8"/>
      <c r="S450" s="8"/>
      <c r="T450" s="8"/>
      <c r="U450" s="8"/>
      <c r="V450" s="8"/>
      <c r="W450" s="8"/>
      <c r="X450" s="8"/>
      <c r="Y450" s="8"/>
      <c r="Z450" s="25"/>
    </row>
    <row r="451" spans="1:26">
      <c r="A451" s="8">
        <v>450</v>
      </c>
      <c r="B451" s="8"/>
      <c r="C451" s="8"/>
      <c r="D451" s="8" t="s">
        <v>1627</v>
      </c>
      <c r="E451" s="16" t="s">
        <v>1628</v>
      </c>
      <c r="F451" s="27" t="s">
        <v>1629</v>
      </c>
      <c r="G451" s="18" t="s">
        <v>210</v>
      </c>
      <c r="H451" s="19"/>
      <c r="I451" s="20"/>
      <c r="J451" s="8">
        <f>3.6*1000</f>
        <v>3600</v>
      </c>
      <c r="K451" s="21">
        <v>2.7025462962962959E-2</v>
      </c>
      <c r="L451" s="22" t="s">
        <v>1161</v>
      </c>
      <c r="M451" s="8"/>
      <c r="N451" s="8"/>
      <c r="O451" s="8"/>
      <c r="P451" s="8"/>
      <c r="Q451" s="8"/>
      <c r="R451" s="8"/>
      <c r="S451" s="8"/>
      <c r="T451" s="8"/>
      <c r="U451" s="8"/>
      <c r="V451" s="8"/>
      <c r="W451" s="8"/>
      <c r="X451" s="8"/>
      <c r="Y451" s="8"/>
      <c r="Z451" s="25"/>
    </row>
    <row r="452" spans="1:26">
      <c r="A452" s="8">
        <v>451</v>
      </c>
      <c r="B452" s="8"/>
      <c r="C452" s="8"/>
      <c r="D452" s="8" t="s">
        <v>1630</v>
      </c>
      <c r="E452" s="16" t="s">
        <v>1631</v>
      </c>
      <c r="F452" s="17" t="s">
        <v>1632</v>
      </c>
      <c r="G452" s="18">
        <v>198</v>
      </c>
      <c r="H452" s="19"/>
      <c r="I452" s="20"/>
      <c r="J452" s="8">
        <f>198</f>
        <v>198</v>
      </c>
      <c r="K452" s="21">
        <v>2.3611111111111111E-3</v>
      </c>
      <c r="L452" s="22" t="s">
        <v>1161</v>
      </c>
      <c r="M452" s="8"/>
      <c r="N452" s="8"/>
      <c r="O452" s="8"/>
      <c r="P452" s="8"/>
      <c r="Q452" s="8"/>
      <c r="R452" s="8"/>
      <c r="S452" s="8"/>
      <c r="T452" s="8"/>
      <c r="U452" s="8"/>
      <c r="V452" s="8"/>
      <c r="W452" s="8"/>
      <c r="X452" s="8"/>
      <c r="Y452" s="8"/>
      <c r="Z452" s="25"/>
    </row>
    <row r="453" spans="1:26">
      <c r="A453" s="8">
        <v>452</v>
      </c>
      <c r="B453" s="8"/>
      <c r="C453" s="8"/>
      <c r="D453" s="8" t="s">
        <v>1633</v>
      </c>
      <c r="E453" s="16" t="s">
        <v>1634</v>
      </c>
      <c r="F453" s="17" t="s">
        <v>1635</v>
      </c>
      <c r="G453" s="18">
        <v>193</v>
      </c>
      <c r="H453" s="19"/>
      <c r="I453" s="20"/>
      <c r="J453" s="8">
        <f>193</f>
        <v>193</v>
      </c>
      <c r="K453" s="21">
        <v>1.7013888888888892E-3</v>
      </c>
      <c r="L453" s="22" t="s">
        <v>1161</v>
      </c>
      <c r="M453" s="8"/>
      <c r="N453" s="8"/>
      <c r="O453" s="8"/>
      <c r="P453" s="8"/>
      <c r="Q453" s="8"/>
      <c r="R453" s="8"/>
      <c r="S453" s="8"/>
      <c r="T453" s="8"/>
      <c r="U453" s="8"/>
      <c r="V453" s="8"/>
      <c r="W453" s="8"/>
      <c r="X453" s="8"/>
      <c r="Y453" s="8"/>
      <c r="Z453" s="25"/>
    </row>
    <row r="454" spans="1:26">
      <c r="A454" s="8">
        <v>453</v>
      </c>
      <c r="B454" s="8"/>
      <c r="C454" s="8"/>
      <c r="D454" s="8" t="s">
        <v>1636</v>
      </c>
      <c r="E454" s="16" t="s">
        <v>1637</v>
      </c>
      <c r="F454" s="17" t="s">
        <v>1638</v>
      </c>
      <c r="G454" s="18" t="s">
        <v>214</v>
      </c>
      <c r="H454" s="19"/>
      <c r="I454" s="20"/>
      <c r="J454" s="8">
        <f>1*1000</f>
        <v>1000</v>
      </c>
      <c r="K454" s="21">
        <v>7.4189814814814813E-3</v>
      </c>
      <c r="L454" s="22" t="s">
        <v>1161</v>
      </c>
      <c r="M454" s="8"/>
      <c r="N454" s="8"/>
      <c r="O454" s="8"/>
      <c r="P454" s="8"/>
      <c r="Q454" s="8"/>
      <c r="R454" s="8"/>
      <c r="S454" s="8"/>
      <c r="T454" s="8"/>
      <c r="U454" s="8"/>
      <c r="V454" s="8"/>
      <c r="W454" s="8"/>
      <c r="X454" s="8"/>
      <c r="Y454" s="8"/>
      <c r="Z454" s="25"/>
    </row>
    <row r="455" spans="1:26">
      <c r="A455" s="8">
        <v>454</v>
      </c>
      <c r="B455" s="8"/>
      <c r="C455" s="8"/>
      <c r="D455" s="8" t="s">
        <v>1639</v>
      </c>
      <c r="E455" s="16" t="s">
        <v>1640</v>
      </c>
      <c r="F455" s="17" t="s">
        <v>1641</v>
      </c>
      <c r="G455" s="18">
        <v>530</v>
      </c>
      <c r="H455" s="19"/>
      <c r="I455" s="20"/>
      <c r="J455" s="8">
        <f>530</f>
        <v>530</v>
      </c>
      <c r="K455" s="21">
        <v>1.6666666666666668E-3</v>
      </c>
      <c r="L455" s="22" t="s">
        <v>1161</v>
      </c>
      <c r="M455" s="8"/>
      <c r="N455" s="8"/>
      <c r="O455" s="8"/>
      <c r="P455" s="8"/>
      <c r="Q455" s="8"/>
      <c r="R455" s="8"/>
      <c r="S455" s="8"/>
      <c r="T455" s="8"/>
      <c r="U455" s="8"/>
      <c r="V455" s="8"/>
      <c r="W455" s="8"/>
      <c r="X455" s="8"/>
      <c r="Y455" s="8"/>
      <c r="Z455" s="25"/>
    </row>
    <row r="456" spans="1:26">
      <c r="A456" s="8">
        <v>455</v>
      </c>
      <c r="B456" s="8"/>
      <c r="C456" s="8"/>
      <c r="D456" s="8" t="s">
        <v>1642</v>
      </c>
      <c r="E456" s="16" t="s">
        <v>1643</v>
      </c>
      <c r="F456" s="17" t="s">
        <v>1644</v>
      </c>
      <c r="G456" s="18">
        <v>509</v>
      </c>
      <c r="H456" s="19"/>
      <c r="I456" s="20"/>
      <c r="J456" s="8">
        <f>509</f>
        <v>509</v>
      </c>
      <c r="K456" s="21">
        <v>1.3773148148148147E-3</v>
      </c>
      <c r="L456" s="22" t="s">
        <v>1161</v>
      </c>
      <c r="M456" s="8"/>
      <c r="N456" s="8"/>
      <c r="O456" s="8"/>
      <c r="P456" s="8"/>
      <c r="Q456" s="8"/>
      <c r="R456" s="8"/>
      <c r="S456" s="8"/>
      <c r="T456" s="8"/>
      <c r="U456" s="8"/>
      <c r="V456" s="8"/>
      <c r="W456" s="8"/>
      <c r="X456" s="8"/>
      <c r="Y456" s="8"/>
      <c r="Z456" s="25"/>
    </row>
    <row r="457" spans="1:26">
      <c r="A457" s="8">
        <v>456</v>
      </c>
      <c r="B457" s="8"/>
      <c r="C457" s="8"/>
      <c r="D457" s="8" t="s">
        <v>1645</v>
      </c>
      <c r="E457" s="16" t="s">
        <v>1646</v>
      </c>
      <c r="F457" s="17" t="s">
        <v>1452</v>
      </c>
      <c r="G457" s="18">
        <v>352</v>
      </c>
      <c r="H457" s="19"/>
      <c r="I457" s="20"/>
      <c r="J457" s="8">
        <f>352</f>
        <v>352</v>
      </c>
      <c r="K457" s="21">
        <v>2.0254629629629629E-3</v>
      </c>
      <c r="L457" s="22" t="s">
        <v>1161</v>
      </c>
      <c r="M457" s="8"/>
      <c r="N457" s="8"/>
      <c r="O457" s="8"/>
      <c r="P457" s="8"/>
      <c r="Q457" s="8"/>
      <c r="R457" s="8"/>
      <c r="S457" s="8"/>
      <c r="T457" s="8"/>
      <c r="U457" s="8"/>
      <c r="V457" s="8"/>
      <c r="W457" s="8"/>
      <c r="X457" s="8"/>
      <c r="Y457" s="8"/>
      <c r="Z457" s="25"/>
    </row>
    <row r="458" spans="1:26">
      <c r="A458" s="8">
        <v>457</v>
      </c>
      <c r="B458" s="8"/>
      <c r="C458" s="8"/>
      <c r="D458" s="8" t="s">
        <v>1647</v>
      </c>
      <c r="E458" s="16" t="s">
        <v>1648</v>
      </c>
      <c r="F458" s="17" t="s">
        <v>1649</v>
      </c>
      <c r="G458" s="18">
        <v>223</v>
      </c>
      <c r="H458" s="19"/>
      <c r="I458" s="20"/>
      <c r="J458" s="8">
        <f>223</f>
        <v>223</v>
      </c>
      <c r="K458" s="21">
        <v>3.8888888888888883E-3</v>
      </c>
      <c r="L458" s="22" t="s">
        <v>1161</v>
      </c>
      <c r="M458" s="8"/>
      <c r="N458" s="8"/>
      <c r="O458" s="8"/>
      <c r="P458" s="8"/>
      <c r="Q458" s="8"/>
      <c r="R458" s="8"/>
      <c r="S458" s="8"/>
      <c r="T458" s="8"/>
      <c r="U458" s="8"/>
      <c r="V458" s="8"/>
      <c r="W458" s="8"/>
      <c r="X458" s="8"/>
      <c r="Y458" s="8"/>
      <c r="Z458" s="25"/>
    </row>
    <row r="459" spans="1:26">
      <c r="A459" s="8">
        <v>458</v>
      </c>
      <c r="B459" s="8"/>
      <c r="C459" s="8"/>
      <c r="D459" s="8" t="s">
        <v>1650</v>
      </c>
      <c r="E459" s="16" t="s">
        <v>1651</v>
      </c>
      <c r="F459" s="27" t="s">
        <v>1652</v>
      </c>
      <c r="G459" s="18" t="s">
        <v>462</v>
      </c>
      <c r="H459" s="19"/>
      <c r="I459" s="20"/>
      <c r="J459" s="8">
        <f>2.5*1000</f>
        <v>2500</v>
      </c>
      <c r="K459" s="21">
        <v>3.4340277777777782E-2</v>
      </c>
      <c r="L459" s="22" t="s">
        <v>1161</v>
      </c>
      <c r="M459" s="8"/>
      <c r="N459" s="8"/>
      <c r="O459" s="8"/>
      <c r="P459" s="8"/>
      <c r="Q459" s="8"/>
      <c r="R459" s="8"/>
      <c r="S459" s="8"/>
      <c r="T459" s="8"/>
      <c r="U459" s="8"/>
      <c r="V459" s="8"/>
      <c r="W459" s="8"/>
      <c r="X459" s="8"/>
      <c r="Y459" s="8"/>
      <c r="Z459" s="25"/>
    </row>
    <row r="460" spans="1:26">
      <c r="A460" s="8">
        <v>459</v>
      </c>
      <c r="B460" s="8"/>
      <c r="C460" s="8"/>
      <c r="D460" s="8" t="s">
        <v>1653</v>
      </c>
      <c r="E460" s="16" t="s">
        <v>1654</v>
      </c>
      <c r="F460" s="27" t="s">
        <v>1655</v>
      </c>
      <c r="G460" s="18" t="s">
        <v>351</v>
      </c>
      <c r="H460" s="19"/>
      <c r="I460" s="20"/>
      <c r="J460" s="8">
        <f>4.4*1000</f>
        <v>4400</v>
      </c>
      <c r="K460" s="21">
        <v>2.7303240740740743E-2</v>
      </c>
      <c r="L460" s="22" t="s">
        <v>1161</v>
      </c>
      <c r="M460" s="8"/>
      <c r="N460" s="8"/>
      <c r="O460" s="8"/>
      <c r="P460" s="8"/>
      <c r="Q460" s="8"/>
      <c r="R460" s="8"/>
      <c r="S460" s="8"/>
      <c r="T460" s="8"/>
      <c r="U460" s="8"/>
      <c r="V460" s="8"/>
      <c r="W460" s="8"/>
      <c r="X460" s="8"/>
      <c r="Y460" s="8"/>
      <c r="Z460" s="25"/>
    </row>
    <row r="461" spans="1:26">
      <c r="A461" s="8">
        <v>460</v>
      </c>
      <c r="B461" s="8"/>
      <c r="C461" s="8"/>
      <c r="D461" s="8" t="s">
        <v>1656</v>
      </c>
      <c r="E461" s="16" t="s">
        <v>1657</v>
      </c>
      <c r="F461" s="17" t="s">
        <v>1082</v>
      </c>
      <c r="G461" s="18" t="s">
        <v>770</v>
      </c>
      <c r="H461" s="19"/>
      <c r="I461" s="20"/>
      <c r="J461" s="8">
        <f>2.7*1000</f>
        <v>2700</v>
      </c>
      <c r="K461" s="21">
        <v>1.9560185185185184E-3</v>
      </c>
      <c r="L461" s="22" t="s">
        <v>1161</v>
      </c>
      <c r="M461" s="8"/>
      <c r="N461" s="8"/>
      <c r="O461" s="8"/>
      <c r="P461" s="8"/>
      <c r="Q461" s="8"/>
      <c r="R461" s="8"/>
      <c r="S461" s="8"/>
      <c r="T461" s="8"/>
      <c r="U461" s="8"/>
      <c r="V461" s="8"/>
      <c r="W461" s="8"/>
      <c r="X461" s="8"/>
      <c r="Y461" s="8"/>
      <c r="Z461" s="25"/>
    </row>
    <row r="462" spans="1:26">
      <c r="A462" s="8">
        <v>461</v>
      </c>
      <c r="B462" s="8"/>
      <c r="C462" s="8"/>
      <c r="D462" s="8" t="s">
        <v>1658</v>
      </c>
      <c r="E462" s="16" t="s">
        <v>1659</v>
      </c>
      <c r="F462" s="17" t="s">
        <v>1660</v>
      </c>
      <c r="G462" s="18" t="s">
        <v>1312</v>
      </c>
      <c r="H462" s="19"/>
      <c r="I462" s="20"/>
      <c r="J462" s="8">
        <f>2.2*1000</f>
        <v>2200</v>
      </c>
      <c r="K462" s="21">
        <v>1.1331018518518518E-2</v>
      </c>
      <c r="L462" s="22" t="s">
        <v>1161</v>
      </c>
      <c r="M462" s="8"/>
      <c r="N462" s="8"/>
      <c r="O462" s="8"/>
      <c r="P462" s="8"/>
      <c r="Q462" s="8"/>
      <c r="R462" s="8"/>
      <c r="S462" s="8"/>
      <c r="T462" s="8"/>
      <c r="U462" s="8"/>
      <c r="V462" s="8"/>
      <c r="W462" s="8"/>
      <c r="X462" s="8"/>
      <c r="Y462" s="8"/>
      <c r="Z462" s="25"/>
    </row>
    <row r="463" spans="1:26">
      <c r="A463" s="8">
        <v>462</v>
      </c>
      <c r="B463" s="8"/>
      <c r="C463" s="8"/>
      <c r="D463" s="8" t="s">
        <v>1661</v>
      </c>
      <c r="E463" s="16" t="s">
        <v>1662</v>
      </c>
      <c r="F463" s="17" t="s">
        <v>1663</v>
      </c>
      <c r="G463" s="18" t="s">
        <v>214</v>
      </c>
      <c r="H463" s="19"/>
      <c r="I463" s="20"/>
      <c r="J463" s="8">
        <f>1*1000</f>
        <v>1000</v>
      </c>
      <c r="K463" s="21">
        <v>7.6504629629629631E-3</v>
      </c>
      <c r="L463" s="22" t="s">
        <v>1161</v>
      </c>
      <c r="M463" s="8"/>
      <c r="N463" s="8"/>
      <c r="O463" s="8"/>
      <c r="P463" s="8"/>
      <c r="Q463" s="8"/>
      <c r="R463" s="8"/>
      <c r="S463" s="8"/>
      <c r="T463" s="8"/>
      <c r="U463" s="8"/>
      <c r="V463" s="8"/>
      <c r="W463" s="8"/>
      <c r="X463" s="8"/>
      <c r="Y463" s="8"/>
      <c r="Z463" s="25"/>
    </row>
    <row r="464" spans="1:26">
      <c r="A464" s="8">
        <v>463</v>
      </c>
      <c r="B464" s="8"/>
      <c r="C464" s="8"/>
      <c r="D464" s="8" t="s">
        <v>1664</v>
      </c>
      <c r="E464" s="16" t="s">
        <v>1665</v>
      </c>
      <c r="F464" s="17" t="s">
        <v>1666</v>
      </c>
      <c r="G464" s="18">
        <v>704</v>
      </c>
      <c r="H464" s="19"/>
      <c r="I464" s="20"/>
      <c r="J464" s="8">
        <f>704</f>
        <v>704</v>
      </c>
      <c r="K464" s="21">
        <v>4.7337962962962958E-3</v>
      </c>
      <c r="L464" s="22" t="s">
        <v>1161</v>
      </c>
      <c r="M464" s="8"/>
      <c r="N464" s="8"/>
      <c r="O464" s="8"/>
      <c r="P464" s="8"/>
      <c r="Q464" s="8"/>
      <c r="R464" s="8"/>
      <c r="S464" s="8"/>
      <c r="T464" s="8"/>
      <c r="U464" s="8"/>
      <c r="V464" s="8"/>
      <c r="W464" s="8"/>
      <c r="X464" s="8"/>
      <c r="Y464" s="8"/>
      <c r="Z464" s="25"/>
    </row>
    <row r="465" spans="1:26">
      <c r="A465" s="8">
        <v>464</v>
      </c>
      <c r="B465" s="8"/>
      <c r="C465" s="8"/>
      <c r="D465" s="8" t="s">
        <v>1667</v>
      </c>
      <c r="E465" s="16" t="s">
        <v>1668</v>
      </c>
      <c r="F465" s="17" t="s">
        <v>1303</v>
      </c>
      <c r="G465" s="18">
        <v>396</v>
      </c>
      <c r="H465" s="19"/>
      <c r="I465" s="20"/>
      <c r="J465" s="8">
        <f>396</f>
        <v>396</v>
      </c>
      <c r="K465" s="21">
        <v>2.6041666666666665E-3</v>
      </c>
      <c r="L465" s="22" t="s">
        <v>1161</v>
      </c>
      <c r="M465" s="8"/>
      <c r="N465" s="8"/>
      <c r="O465" s="8"/>
      <c r="P465" s="8"/>
      <c r="Q465" s="8"/>
      <c r="R465" s="8"/>
      <c r="S465" s="8"/>
      <c r="T465" s="8"/>
      <c r="U465" s="8"/>
      <c r="V465" s="8"/>
      <c r="W465" s="8"/>
      <c r="X465" s="8"/>
      <c r="Y465" s="8"/>
      <c r="Z465" s="25"/>
    </row>
    <row r="466" spans="1:26">
      <c r="A466" s="8">
        <v>465</v>
      </c>
      <c r="B466" s="8"/>
      <c r="C466" s="8"/>
      <c r="D466" s="8" t="s">
        <v>1669</v>
      </c>
      <c r="E466" s="16" t="s">
        <v>1670</v>
      </c>
      <c r="F466" s="17" t="s">
        <v>1496</v>
      </c>
      <c r="G466" s="18">
        <v>260</v>
      </c>
      <c r="H466" s="19"/>
      <c r="I466" s="20"/>
      <c r="J466" s="8">
        <f>260</f>
        <v>260</v>
      </c>
      <c r="K466" s="21">
        <v>1.5393518518518519E-3</v>
      </c>
      <c r="L466" s="22" t="s">
        <v>1161</v>
      </c>
      <c r="M466" s="8"/>
      <c r="N466" s="8"/>
      <c r="O466" s="8"/>
      <c r="P466" s="8"/>
      <c r="Q466" s="8"/>
      <c r="R466" s="8"/>
      <c r="S466" s="8"/>
      <c r="T466" s="8"/>
      <c r="U466" s="8"/>
      <c r="V466" s="8"/>
      <c r="W466" s="8"/>
      <c r="X466" s="8"/>
      <c r="Y466" s="8"/>
      <c r="Z466" s="25"/>
    </row>
    <row r="467" spans="1:26">
      <c r="A467" s="8">
        <v>466</v>
      </c>
      <c r="B467" s="8"/>
      <c r="C467" s="8"/>
      <c r="D467" s="8" t="s">
        <v>1671</v>
      </c>
      <c r="E467" s="16" t="s">
        <v>1672</v>
      </c>
      <c r="F467" s="17" t="s">
        <v>1673</v>
      </c>
      <c r="G467" s="18">
        <v>366</v>
      </c>
      <c r="H467" s="19"/>
      <c r="I467" s="20"/>
      <c r="J467" s="8">
        <f>366</f>
        <v>366</v>
      </c>
      <c r="K467" s="21">
        <v>1.1342592592592591E-3</v>
      </c>
      <c r="L467" s="22" t="s">
        <v>1161</v>
      </c>
      <c r="M467" s="8"/>
      <c r="N467" s="8"/>
      <c r="O467" s="8"/>
      <c r="P467" s="8"/>
      <c r="Q467" s="8"/>
      <c r="R467" s="8"/>
      <c r="S467" s="8"/>
      <c r="T467" s="8"/>
      <c r="U467" s="8"/>
      <c r="V467" s="8"/>
      <c r="W467" s="8"/>
      <c r="X467" s="8"/>
      <c r="Y467" s="8"/>
      <c r="Z467" s="25"/>
    </row>
    <row r="468" spans="1:26">
      <c r="A468" s="8">
        <v>467</v>
      </c>
      <c r="B468" s="8"/>
      <c r="C468" s="8"/>
      <c r="D468" s="8" t="s">
        <v>1674</v>
      </c>
      <c r="E468" s="16" t="s">
        <v>1675</v>
      </c>
      <c r="F468" s="17" t="s">
        <v>1514</v>
      </c>
      <c r="G468" s="18">
        <v>461</v>
      </c>
      <c r="H468" s="19"/>
      <c r="I468" s="20"/>
      <c r="J468" s="8">
        <f>461</f>
        <v>461</v>
      </c>
      <c r="K468" s="21">
        <v>1.8287037037037037E-3</v>
      </c>
      <c r="L468" s="22" t="s">
        <v>1161</v>
      </c>
      <c r="M468" s="8"/>
      <c r="N468" s="8"/>
      <c r="O468" s="8"/>
      <c r="P468" s="8"/>
      <c r="Q468" s="8"/>
      <c r="R468" s="8"/>
      <c r="S468" s="8"/>
      <c r="T468" s="8"/>
      <c r="U468" s="8"/>
      <c r="V468" s="8"/>
      <c r="W468" s="8"/>
      <c r="X468" s="8"/>
      <c r="Y468" s="8"/>
      <c r="Z468" s="25"/>
    </row>
    <row r="469" spans="1:26">
      <c r="A469" s="8">
        <v>468</v>
      </c>
      <c r="B469" s="8"/>
      <c r="C469" s="8"/>
      <c r="D469" s="8" t="s">
        <v>1676</v>
      </c>
      <c r="E469" s="16" t="s">
        <v>1677</v>
      </c>
      <c r="F469" s="17" t="s">
        <v>1342</v>
      </c>
      <c r="G469" s="18">
        <v>849</v>
      </c>
      <c r="H469" s="19"/>
      <c r="I469" s="20"/>
      <c r="J469" s="8">
        <f>849</f>
        <v>849</v>
      </c>
      <c r="K469" s="21">
        <v>9.4907407407407408E-4</v>
      </c>
      <c r="L469" s="22" t="s">
        <v>1161</v>
      </c>
      <c r="M469" s="8"/>
      <c r="N469" s="8"/>
      <c r="O469" s="8"/>
      <c r="P469" s="8"/>
      <c r="Q469" s="8"/>
      <c r="R469" s="8"/>
      <c r="S469" s="8"/>
      <c r="T469" s="8"/>
      <c r="U469" s="8"/>
      <c r="V469" s="8"/>
      <c r="W469" s="8"/>
      <c r="X469" s="8"/>
      <c r="Y469" s="8"/>
      <c r="Z469" s="25"/>
    </row>
    <row r="470" spans="1:26">
      <c r="A470" s="8">
        <v>469</v>
      </c>
      <c r="B470" s="8"/>
      <c r="C470" s="8"/>
      <c r="D470" s="8" t="s">
        <v>1678</v>
      </c>
      <c r="E470" s="16" t="s">
        <v>1679</v>
      </c>
      <c r="F470" s="17" t="s">
        <v>1680</v>
      </c>
      <c r="G470" s="18">
        <v>248</v>
      </c>
      <c r="H470" s="19"/>
      <c r="I470" s="20"/>
      <c r="J470" s="8">
        <f>248</f>
        <v>248</v>
      </c>
      <c r="K470" s="21">
        <v>1.5046296296296294E-3</v>
      </c>
      <c r="L470" s="22" t="s">
        <v>1161</v>
      </c>
      <c r="M470" s="8"/>
      <c r="N470" s="8"/>
      <c r="O470" s="8"/>
      <c r="P470" s="8"/>
      <c r="Q470" s="8"/>
      <c r="R470" s="8"/>
      <c r="S470" s="8"/>
      <c r="T470" s="8"/>
      <c r="U470" s="8"/>
      <c r="V470" s="8"/>
      <c r="W470" s="8"/>
      <c r="X470" s="8"/>
      <c r="Y470" s="8"/>
      <c r="Z470" s="25"/>
    </row>
    <row r="471" spans="1:26">
      <c r="A471" s="8">
        <v>470</v>
      </c>
      <c r="B471" s="8"/>
      <c r="C471" s="8"/>
      <c r="D471" s="8" t="s">
        <v>1681</v>
      </c>
      <c r="E471" s="16" t="s">
        <v>1682</v>
      </c>
      <c r="F471" s="17" t="s">
        <v>231</v>
      </c>
      <c r="G471" s="18">
        <v>671</v>
      </c>
      <c r="H471" s="19"/>
      <c r="I471" s="20"/>
      <c r="J471" s="8">
        <f>671</f>
        <v>671</v>
      </c>
      <c r="K471" s="21">
        <v>1.3078703703703705E-3</v>
      </c>
      <c r="L471" s="22" t="s">
        <v>1161</v>
      </c>
      <c r="M471" s="8"/>
      <c r="N471" s="8"/>
      <c r="O471" s="8"/>
      <c r="P471" s="8"/>
      <c r="Q471" s="8"/>
      <c r="R471" s="8"/>
      <c r="S471" s="8"/>
      <c r="T471" s="8"/>
      <c r="U471" s="8"/>
      <c r="V471" s="8"/>
      <c r="W471" s="8"/>
      <c r="X471" s="8"/>
      <c r="Y471" s="8"/>
      <c r="Z471" s="25"/>
    </row>
    <row r="472" spans="1:26">
      <c r="A472" s="8">
        <v>471</v>
      </c>
      <c r="B472" s="8"/>
      <c r="C472" s="8"/>
      <c r="D472" s="8" t="s">
        <v>1683</v>
      </c>
      <c r="E472" s="16" t="s">
        <v>1684</v>
      </c>
      <c r="F472" s="17" t="s">
        <v>1685</v>
      </c>
      <c r="G472" s="18">
        <v>335</v>
      </c>
      <c r="H472" s="19"/>
      <c r="I472" s="20"/>
      <c r="J472" s="8">
        <f>335</f>
        <v>335</v>
      </c>
      <c r="K472" s="21">
        <v>7.0601851851851847E-4</v>
      </c>
      <c r="L472" s="22" t="s">
        <v>1161</v>
      </c>
      <c r="M472" s="8"/>
      <c r="N472" s="8"/>
      <c r="O472" s="8"/>
      <c r="P472" s="8"/>
      <c r="Q472" s="8"/>
      <c r="R472" s="8"/>
      <c r="S472" s="8"/>
      <c r="T472" s="8"/>
      <c r="U472" s="8"/>
      <c r="V472" s="8"/>
      <c r="W472" s="8"/>
      <c r="X472" s="8"/>
      <c r="Y472" s="8"/>
      <c r="Z472" s="25"/>
    </row>
    <row r="473" spans="1:26">
      <c r="A473" s="8">
        <v>472</v>
      </c>
      <c r="B473" s="8"/>
      <c r="C473" s="8"/>
      <c r="D473" s="8" t="s">
        <v>1686</v>
      </c>
      <c r="E473" s="16" t="s">
        <v>1687</v>
      </c>
      <c r="F473" s="17" t="s">
        <v>1688</v>
      </c>
      <c r="G473" s="18" t="s">
        <v>214</v>
      </c>
      <c r="H473" s="19"/>
      <c r="I473" s="20"/>
      <c r="J473" s="8">
        <f>1*1000</f>
        <v>1000</v>
      </c>
      <c r="K473" s="21">
        <v>4.9884259259259265E-3</v>
      </c>
      <c r="L473" s="22" t="s">
        <v>1161</v>
      </c>
      <c r="M473" s="8"/>
      <c r="N473" s="8"/>
      <c r="O473" s="8"/>
      <c r="P473" s="8"/>
      <c r="Q473" s="8"/>
      <c r="R473" s="8"/>
      <c r="S473" s="8"/>
      <c r="T473" s="8"/>
      <c r="U473" s="8"/>
      <c r="V473" s="8"/>
      <c r="W473" s="8"/>
      <c r="X473" s="8"/>
      <c r="Y473" s="8"/>
      <c r="Z473" s="25"/>
    </row>
    <row r="474" spans="1:26">
      <c r="A474" s="8">
        <v>473</v>
      </c>
      <c r="B474" s="8"/>
      <c r="C474" s="8"/>
      <c r="D474" s="8" t="s">
        <v>1689</v>
      </c>
      <c r="E474" s="16" t="s">
        <v>1690</v>
      </c>
      <c r="F474" s="17" t="s">
        <v>1691</v>
      </c>
      <c r="G474" s="18">
        <v>704</v>
      </c>
      <c r="H474" s="19"/>
      <c r="I474" s="20"/>
      <c r="J474" s="8">
        <f>704</f>
        <v>704</v>
      </c>
      <c r="K474" s="21">
        <v>8.4259259259259253E-3</v>
      </c>
      <c r="L474" s="22" t="s">
        <v>1161</v>
      </c>
      <c r="M474" s="8"/>
      <c r="N474" s="8"/>
      <c r="O474" s="8"/>
      <c r="P474" s="8"/>
      <c r="Q474" s="8"/>
      <c r="R474" s="8"/>
      <c r="S474" s="8"/>
      <c r="T474" s="8"/>
      <c r="U474" s="8"/>
      <c r="V474" s="8"/>
      <c r="W474" s="8"/>
      <c r="X474" s="8"/>
      <c r="Y474" s="8"/>
      <c r="Z474" s="25"/>
    </row>
    <row r="475" spans="1:26">
      <c r="A475" s="8">
        <v>474</v>
      </c>
      <c r="B475" s="8"/>
      <c r="C475" s="8"/>
      <c r="D475" s="8" t="s">
        <v>1692</v>
      </c>
      <c r="E475" s="16" t="s">
        <v>1693</v>
      </c>
      <c r="F475" s="17" t="s">
        <v>1695</v>
      </c>
      <c r="G475" s="18" t="s">
        <v>396</v>
      </c>
      <c r="H475" s="19"/>
      <c r="I475" s="20"/>
      <c r="J475" s="8">
        <f>1.1*1000</f>
        <v>1100</v>
      </c>
      <c r="K475" s="21">
        <v>1.1099537037037038E-2</v>
      </c>
      <c r="L475" s="22" t="s">
        <v>1161</v>
      </c>
      <c r="M475" s="8"/>
      <c r="N475" s="8"/>
      <c r="O475" s="8"/>
      <c r="P475" s="8"/>
      <c r="Q475" s="8"/>
      <c r="R475" s="8"/>
      <c r="S475" s="8"/>
      <c r="T475" s="8"/>
      <c r="U475" s="8"/>
      <c r="V475" s="8"/>
      <c r="W475" s="8"/>
      <c r="X475" s="8"/>
      <c r="Y475" s="8"/>
      <c r="Z475" s="25"/>
    </row>
    <row r="476" spans="1:26">
      <c r="A476" s="8">
        <v>475</v>
      </c>
      <c r="B476" s="8"/>
      <c r="C476" s="8"/>
      <c r="D476" s="8" t="s">
        <v>1699</v>
      </c>
      <c r="E476" s="16" t="s">
        <v>1700</v>
      </c>
      <c r="F476" s="17" t="s">
        <v>181</v>
      </c>
      <c r="G476" s="18">
        <v>179</v>
      </c>
      <c r="H476" s="19"/>
      <c r="I476" s="20"/>
      <c r="J476" s="8">
        <f>179</f>
        <v>179</v>
      </c>
      <c r="K476" s="21">
        <v>2.2222222222222222E-3</v>
      </c>
      <c r="L476" s="22" t="s">
        <v>1161</v>
      </c>
      <c r="M476" s="8"/>
      <c r="N476" s="8"/>
      <c r="O476" s="8"/>
      <c r="P476" s="8"/>
      <c r="Q476" s="8"/>
      <c r="R476" s="8"/>
      <c r="S476" s="8"/>
      <c r="T476" s="8"/>
      <c r="U476" s="8"/>
      <c r="V476" s="8"/>
      <c r="W476" s="8"/>
      <c r="X476" s="8"/>
      <c r="Y476" s="8"/>
      <c r="Z476" s="25"/>
    </row>
    <row r="477" spans="1:26">
      <c r="A477" s="8">
        <v>476</v>
      </c>
      <c r="B477" s="8"/>
      <c r="C477" s="8"/>
      <c r="D477" s="8" t="s">
        <v>1701</v>
      </c>
      <c r="E477" s="16" t="s">
        <v>1702</v>
      </c>
      <c r="F477" s="17" t="s">
        <v>1703</v>
      </c>
      <c r="G477" s="18">
        <v>961</v>
      </c>
      <c r="H477" s="19"/>
      <c r="I477" s="20"/>
      <c r="J477" s="8">
        <f>961</f>
        <v>961</v>
      </c>
      <c r="K477" s="21">
        <v>5.6249999999999989E-3</v>
      </c>
      <c r="L477" s="22" t="s">
        <v>1161</v>
      </c>
      <c r="M477" s="8"/>
      <c r="N477" s="8"/>
      <c r="O477" s="8"/>
      <c r="P477" s="8"/>
      <c r="Q477" s="8"/>
      <c r="R477" s="8"/>
      <c r="S477" s="8"/>
      <c r="T477" s="8"/>
      <c r="U477" s="8"/>
      <c r="V477" s="8"/>
      <c r="W477" s="8"/>
      <c r="X477" s="8"/>
      <c r="Y477" s="8"/>
      <c r="Z477" s="25"/>
    </row>
    <row r="478" spans="1:26">
      <c r="A478" s="8">
        <v>477</v>
      </c>
      <c r="B478" s="8"/>
      <c r="C478" s="8"/>
      <c r="D478" s="8" t="s">
        <v>1704</v>
      </c>
      <c r="E478" s="16" t="s">
        <v>1705</v>
      </c>
      <c r="F478" s="17" t="s">
        <v>1514</v>
      </c>
      <c r="G478" s="18">
        <v>144</v>
      </c>
      <c r="H478" s="19"/>
      <c r="I478" s="20"/>
      <c r="J478" s="8">
        <f>144</f>
        <v>144</v>
      </c>
      <c r="K478" s="21">
        <v>1.8287037037037037E-3</v>
      </c>
      <c r="L478" s="22" t="s">
        <v>1161</v>
      </c>
      <c r="M478" s="8"/>
      <c r="N478" s="8"/>
      <c r="O478" s="8"/>
      <c r="P478" s="8"/>
      <c r="Q478" s="8"/>
      <c r="R478" s="8"/>
      <c r="S478" s="8"/>
      <c r="T478" s="8"/>
      <c r="U478" s="8"/>
      <c r="V478" s="8"/>
      <c r="W478" s="8"/>
      <c r="X478" s="8"/>
      <c r="Y478" s="8"/>
      <c r="Z478" s="25"/>
    </row>
    <row r="479" spans="1:26">
      <c r="A479" s="8">
        <v>478</v>
      </c>
      <c r="B479" s="8"/>
      <c r="C479" s="8"/>
      <c r="D479" s="8" t="s">
        <v>1706</v>
      </c>
      <c r="E479" s="16" t="s">
        <v>1707</v>
      </c>
      <c r="F479" s="17" t="s">
        <v>1708</v>
      </c>
      <c r="G479" s="18" t="s">
        <v>249</v>
      </c>
      <c r="H479" s="19"/>
      <c r="I479" s="20"/>
      <c r="J479" s="8">
        <f>2.4*1000</f>
        <v>2400</v>
      </c>
      <c r="K479" s="21">
        <v>2.6620370370370374E-3</v>
      </c>
      <c r="L479" s="22" t="s">
        <v>1161</v>
      </c>
      <c r="M479" s="8"/>
      <c r="N479" s="8"/>
      <c r="O479" s="8"/>
      <c r="P479" s="8"/>
      <c r="Q479" s="8"/>
      <c r="R479" s="8"/>
      <c r="S479" s="8"/>
      <c r="T479" s="8"/>
      <c r="U479" s="8"/>
      <c r="V479" s="8"/>
      <c r="W479" s="8"/>
      <c r="X479" s="8"/>
      <c r="Y479" s="8"/>
      <c r="Z479" s="25"/>
    </row>
    <row r="480" spans="1:26">
      <c r="A480" s="8">
        <v>479</v>
      </c>
      <c r="B480" s="8"/>
      <c r="C480" s="8"/>
      <c r="D480" s="8" t="s">
        <v>1709</v>
      </c>
      <c r="E480" s="16" t="s">
        <v>1710</v>
      </c>
      <c r="F480" s="17" t="s">
        <v>1688</v>
      </c>
      <c r="G480" s="18" t="s">
        <v>919</v>
      </c>
      <c r="H480" s="19"/>
      <c r="I480" s="20"/>
      <c r="J480" s="8">
        <f>2.8*1000</f>
        <v>2800</v>
      </c>
      <c r="K480" s="21">
        <v>4.9884259259259265E-3</v>
      </c>
      <c r="L480" s="22" t="s">
        <v>1161</v>
      </c>
      <c r="M480" s="8"/>
      <c r="N480" s="8"/>
      <c r="O480" s="8"/>
      <c r="P480" s="8"/>
      <c r="Q480" s="8"/>
      <c r="R480" s="8"/>
      <c r="S480" s="8"/>
      <c r="T480" s="8"/>
      <c r="U480" s="8"/>
      <c r="V480" s="8"/>
      <c r="W480" s="8"/>
      <c r="X480" s="8"/>
      <c r="Y480" s="8"/>
      <c r="Z480" s="25"/>
    </row>
    <row r="481" spans="1:26">
      <c r="A481" s="8">
        <v>480</v>
      </c>
      <c r="B481" s="8"/>
      <c r="C481" s="8"/>
      <c r="D481" s="8" t="s">
        <v>1711</v>
      </c>
      <c r="E481" s="16" t="s">
        <v>1712</v>
      </c>
      <c r="F481" s="17" t="s">
        <v>1713</v>
      </c>
      <c r="G481" s="18" t="s">
        <v>264</v>
      </c>
      <c r="H481" s="19"/>
      <c r="I481" s="20"/>
      <c r="J481" s="8">
        <f>14*1000</f>
        <v>14000</v>
      </c>
      <c r="K481" s="21">
        <v>8.5416666666666679E-3</v>
      </c>
      <c r="L481" s="22" t="s">
        <v>1161</v>
      </c>
      <c r="M481" s="8"/>
      <c r="N481" s="8"/>
      <c r="O481" s="8"/>
      <c r="P481" s="8"/>
      <c r="Q481" s="8"/>
      <c r="R481" s="8"/>
      <c r="S481" s="8"/>
      <c r="T481" s="8"/>
      <c r="U481" s="8"/>
      <c r="V481" s="8"/>
      <c r="W481" s="8"/>
      <c r="X481" s="8"/>
      <c r="Y481" s="8"/>
      <c r="Z481" s="25"/>
    </row>
    <row r="482" spans="1:26">
      <c r="A482" s="8">
        <v>481</v>
      </c>
      <c r="B482" s="8"/>
      <c r="C482" s="8"/>
      <c r="D482" s="8" t="s">
        <v>1714</v>
      </c>
      <c r="E482" s="16" t="s">
        <v>1715</v>
      </c>
      <c r="F482" s="17" t="s">
        <v>263</v>
      </c>
      <c r="G482" s="18" t="s">
        <v>521</v>
      </c>
      <c r="H482" s="19"/>
      <c r="I482" s="20"/>
      <c r="J482" s="8">
        <f>3.5*1000</f>
        <v>3500</v>
      </c>
      <c r="K482" s="21">
        <v>7.4884259259259262E-3</v>
      </c>
      <c r="L482" s="22" t="s">
        <v>1161</v>
      </c>
      <c r="M482" s="8"/>
      <c r="N482" s="8"/>
      <c r="O482" s="8"/>
      <c r="P482" s="8"/>
      <c r="Q482" s="8"/>
      <c r="R482" s="8"/>
      <c r="S482" s="8"/>
      <c r="T482" s="8"/>
      <c r="U482" s="8"/>
      <c r="V482" s="8"/>
      <c r="W482" s="8"/>
      <c r="X482" s="8"/>
      <c r="Y482" s="8"/>
      <c r="Z482" s="25"/>
    </row>
    <row r="483" spans="1:26">
      <c r="A483" s="8">
        <v>482</v>
      </c>
      <c r="B483" s="8"/>
      <c r="C483" s="8"/>
      <c r="D483" s="8" t="s">
        <v>1716</v>
      </c>
      <c r="E483" s="16" t="s">
        <v>1717</v>
      </c>
      <c r="F483" s="17" t="s">
        <v>1718</v>
      </c>
      <c r="G483" s="18">
        <v>118</v>
      </c>
      <c r="H483" s="19"/>
      <c r="I483" s="20"/>
      <c r="J483" s="8">
        <f>118</f>
        <v>118</v>
      </c>
      <c r="K483" s="21">
        <v>1.0763888888888889E-3</v>
      </c>
      <c r="L483" s="22" t="s">
        <v>1161</v>
      </c>
      <c r="M483" s="8"/>
      <c r="N483" s="8"/>
      <c r="O483" s="8"/>
      <c r="P483" s="8"/>
      <c r="Q483" s="8"/>
      <c r="R483" s="8"/>
      <c r="S483" s="8"/>
      <c r="T483" s="8"/>
      <c r="U483" s="8"/>
      <c r="V483" s="8"/>
      <c r="W483" s="8"/>
      <c r="X483" s="8"/>
      <c r="Y483" s="8"/>
      <c r="Z483" s="25"/>
    </row>
    <row r="484" spans="1:26">
      <c r="A484" s="8">
        <v>483</v>
      </c>
      <c r="B484" s="8"/>
      <c r="C484" s="8"/>
      <c r="D484" s="8" t="s">
        <v>1719</v>
      </c>
      <c r="E484" s="16" t="s">
        <v>1720</v>
      </c>
      <c r="F484" s="17" t="s">
        <v>1721</v>
      </c>
      <c r="G484" s="18">
        <v>317</v>
      </c>
      <c r="H484" s="19"/>
      <c r="I484" s="20"/>
      <c r="J484" s="8">
        <f>317</f>
        <v>317</v>
      </c>
      <c r="K484" s="21">
        <v>1.6319444444444445E-3</v>
      </c>
      <c r="L484" s="22" t="s">
        <v>1161</v>
      </c>
      <c r="M484" s="8"/>
      <c r="N484" s="8"/>
      <c r="O484" s="8"/>
      <c r="P484" s="8"/>
      <c r="Q484" s="8"/>
      <c r="R484" s="8"/>
      <c r="S484" s="8"/>
      <c r="T484" s="8"/>
      <c r="U484" s="8"/>
      <c r="V484" s="8"/>
      <c r="W484" s="8"/>
      <c r="X484" s="8"/>
      <c r="Y484" s="8"/>
      <c r="Z484" s="25"/>
    </row>
    <row r="485" spans="1:26">
      <c r="A485" s="8">
        <v>484</v>
      </c>
      <c r="B485" s="8"/>
      <c r="C485" s="8"/>
      <c r="D485" s="8" t="s">
        <v>1722</v>
      </c>
      <c r="E485" s="16" t="s">
        <v>1723</v>
      </c>
      <c r="F485" s="17" t="s">
        <v>1375</v>
      </c>
      <c r="G485" s="18" t="s">
        <v>232</v>
      </c>
      <c r="H485" s="19"/>
      <c r="I485" s="20"/>
      <c r="J485" s="8">
        <f>3.2*1000</f>
        <v>3200</v>
      </c>
      <c r="K485" s="21">
        <v>4.3749999999999995E-3</v>
      </c>
      <c r="L485" s="22" t="s">
        <v>1161</v>
      </c>
      <c r="M485" s="8"/>
      <c r="N485" s="8"/>
      <c r="O485" s="8"/>
      <c r="P485" s="8"/>
      <c r="Q485" s="8"/>
      <c r="R485" s="8"/>
      <c r="S485" s="8"/>
      <c r="T485" s="8"/>
      <c r="U485" s="8"/>
      <c r="V485" s="8"/>
      <c r="W485" s="8"/>
      <c r="X485" s="8"/>
      <c r="Y485" s="8"/>
      <c r="Z485" s="25"/>
    </row>
    <row r="486" spans="1:26">
      <c r="A486" s="8">
        <v>485</v>
      </c>
      <c r="B486" s="8"/>
      <c r="C486" s="8"/>
      <c r="D486" s="8" t="s">
        <v>1724</v>
      </c>
      <c r="E486" s="16" t="s">
        <v>1725</v>
      </c>
      <c r="F486" s="17" t="s">
        <v>1413</v>
      </c>
      <c r="G486" s="18">
        <v>219</v>
      </c>
      <c r="H486" s="19"/>
      <c r="I486" s="20"/>
      <c r="J486" s="8">
        <f>219</f>
        <v>219</v>
      </c>
      <c r="K486" s="21">
        <v>2.1296296296296298E-3</v>
      </c>
      <c r="L486" s="22" t="s">
        <v>1161</v>
      </c>
      <c r="M486" s="8"/>
      <c r="N486" s="8"/>
      <c r="O486" s="8"/>
      <c r="P486" s="8"/>
      <c r="Q486" s="8"/>
      <c r="R486" s="8"/>
      <c r="S486" s="8"/>
      <c r="T486" s="8"/>
      <c r="U486" s="8"/>
      <c r="V486" s="8"/>
      <c r="W486" s="8"/>
      <c r="X486" s="8"/>
      <c r="Y486" s="8"/>
      <c r="Z486" s="25"/>
    </row>
    <row r="487" spans="1:26">
      <c r="A487" s="8">
        <v>486</v>
      </c>
      <c r="B487" s="8"/>
      <c r="C487" s="8"/>
      <c r="D487" s="8" t="s">
        <v>1726</v>
      </c>
      <c r="E487" s="16" t="s">
        <v>1727</v>
      </c>
      <c r="F487" s="17" t="s">
        <v>1728</v>
      </c>
      <c r="G487" s="18" t="s">
        <v>575</v>
      </c>
      <c r="H487" s="19"/>
      <c r="I487" s="20"/>
      <c r="J487" s="8">
        <f>22*1000</f>
        <v>22000</v>
      </c>
      <c r="K487" s="21">
        <v>7.2453703703703708E-3</v>
      </c>
      <c r="L487" s="22" t="s">
        <v>1161</v>
      </c>
      <c r="M487" s="8"/>
      <c r="N487" s="8"/>
      <c r="O487" s="8"/>
      <c r="P487" s="8"/>
      <c r="Q487" s="8"/>
      <c r="R487" s="8"/>
      <c r="S487" s="8"/>
      <c r="T487" s="8"/>
      <c r="U487" s="8"/>
      <c r="V487" s="8"/>
      <c r="W487" s="8"/>
      <c r="X487" s="8"/>
      <c r="Y487" s="8"/>
      <c r="Z487" s="25"/>
    </row>
    <row r="488" spans="1:26">
      <c r="A488" s="8">
        <v>487</v>
      </c>
      <c r="B488" s="8"/>
      <c r="C488" s="8"/>
      <c r="D488" s="8" t="s">
        <v>1729</v>
      </c>
      <c r="E488" s="16" t="s">
        <v>1730</v>
      </c>
      <c r="F488" s="17" t="s">
        <v>766</v>
      </c>
      <c r="G488" s="18">
        <v>743</v>
      </c>
      <c r="H488" s="19"/>
      <c r="I488" s="20"/>
      <c r="J488" s="8">
        <f>743</f>
        <v>743</v>
      </c>
      <c r="K488" s="21">
        <v>2.1527777777777778E-3</v>
      </c>
      <c r="L488" s="22" t="s">
        <v>1161</v>
      </c>
      <c r="M488" s="8"/>
      <c r="N488" s="8"/>
      <c r="O488" s="8"/>
      <c r="P488" s="8"/>
      <c r="Q488" s="8"/>
      <c r="R488" s="8"/>
      <c r="S488" s="8"/>
      <c r="T488" s="8"/>
      <c r="U488" s="8"/>
      <c r="V488" s="8"/>
      <c r="W488" s="8"/>
      <c r="X488" s="8"/>
      <c r="Y488" s="8"/>
      <c r="Z488" s="25"/>
    </row>
    <row r="489" spans="1:26">
      <c r="A489" s="8">
        <v>488</v>
      </c>
      <c r="B489" s="8"/>
      <c r="C489" s="8"/>
      <c r="D489" s="8" t="s">
        <v>1731</v>
      </c>
      <c r="E489" s="16" t="s">
        <v>1732</v>
      </c>
      <c r="F489" s="17" t="s">
        <v>1644</v>
      </c>
      <c r="G489" s="18">
        <v>408</v>
      </c>
      <c r="H489" s="19"/>
      <c r="I489" s="20"/>
      <c r="J489" s="8">
        <f>408</f>
        <v>408</v>
      </c>
      <c r="K489" s="21">
        <v>1.3773148148148147E-3</v>
      </c>
      <c r="L489" s="22" t="s">
        <v>1161</v>
      </c>
      <c r="M489" s="8"/>
      <c r="N489" s="8"/>
      <c r="O489" s="8"/>
      <c r="P489" s="8"/>
      <c r="Q489" s="8"/>
      <c r="R489" s="8"/>
      <c r="S489" s="8"/>
      <c r="T489" s="8"/>
      <c r="U489" s="8"/>
      <c r="V489" s="8"/>
      <c r="W489" s="8"/>
      <c r="X489" s="8"/>
      <c r="Y489" s="8"/>
      <c r="Z489" s="25"/>
    </row>
    <row r="490" spans="1:26">
      <c r="A490" s="8">
        <v>489</v>
      </c>
      <c r="B490" s="8"/>
      <c r="C490" s="8"/>
      <c r="D490" s="8" t="s">
        <v>1733</v>
      </c>
      <c r="E490" s="16" t="s">
        <v>1734</v>
      </c>
      <c r="F490" s="17" t="s">
        <v>1735</v>
      </c>
      <c r="G490" s="18" t="s">
        <v>782</v>
      </c>
      <c r="H490" s="19"/>
      <c r="I490" s="20"/>
      <c r="J490" s="8">
        <f>1.8*1000</f>
        <v>1800</v>
      </c>
      <c r="K490" s="21">
        <v>3.2291666666666666E-3</v>
      </c>
      <c r="L490" s="22" t="s">
        <v>1161</v>
      </c>
      <c r="M490" s="8"/>
      <c r="N490" s="8"/>
      <c r="O490" s="8"/>
      <c r="P490" s="8"/>
      <c r="Q490" s="8"/>
      <c r="R490" s="8"/>
      <c r="S490" s="8"/>
      <c r="T490" s="8"/>
      <c r="U490" s="8"/>
      <c r="V490" s="8"/>
      <c r="W490" s="8"/>
      <c r="X490" s="8"/>
      <c r="Y490" s="8"/>
      <c r="Z490" s="25"/>
    </row>
    <row r="491" spans="1:26">
      <c r="A491" s="8">
        <v>490</v>
      </c>
      <c r="B491" s="8"/>
      <c r="C491" s="8"/>
      <c r="D491" s="8" t="s">
        <v>1736</v>
      </c>
      <c r="E491" s="16" t="s">
        <v>1737</v>
      </c>
      <c r="F491" s="17" t="s">
        <v>1521</v>
      </c>
      <c r="G491" s="18">
        <v>577</v>
      </c>
      <c r="H491" s="19"/>
      <c r="I491" s="20"/>
      <c r="J491" s="8">
        <f>577</f>
        <v>577</v>
      </c>
      <c r="K491" s="21">
        <v>2.0370370370370373E-3</v>
      </c>
      <c r="L491" s="22" t="s">
        <v>1161</v>
      </c>
      <c r="M491" s="8"/>
      <c r="N491" s="8"/>
      <c r="O491" s="8"/>
      <c r="P491" s="8"/>
      <c r="Q491" s="8"/>
      <c r="R491" s="8"/>
      <c r="S491" s="8"/>
      <c r="T491" s="8"/>
      <c r="U491" s="8"/>
      <c r="V491" s="8"/>
      <c r="W491" s="8"/>
      <c r="X491" s="8"/>
      <c r="Y491" s="8"/>
      <c r="Z491" s="25"/>
    </row>
    <row r="492" spans="1:26">
      <c r="A492" s="8">
        <v>491</v>
      </c>
      <c r="B492" s="8"/>
      <c r="C492" s="8"/>
      <c r="D492" s="8" t="s">
        <v>1738</v>
      </c>
      <c r="E492" s="16" t="s">
        <v>1739</v>
      </c>
      <c r="F492" s="17" t="s">
        <v>1399</v>
      </c>
      <c r="G492" s="18" t="s">
        <v>396</v>
      </c>
      <c r="H492" s="19"/>
      <c r="I492" s="20"/>
      <c r="J492" s="8">
        <f>1.1*1000</f>
        <v>1100</v>
      </c>
      <c r="K492" s="21">
        <v>2.8587962962962963E-3</v>
      </c>
      <c r="L492" s="22" t="s">
        <v>1161</v>
      </c>
      <c r="M492" s="8"/>
      <c r="N492" s="8"/>
      <c r="O492" s="8"/>
      <c r="P492" s="8"/>
      <c r="Q492" s="8"/>
      <c r="R492" s="8"/>
      <c r="S492" s="8"/>
      <c r="T492" s="8"/>
      <c r="U492" s="8"/>
      <c r="V492" s="8"/>
      <c r="W492" s="8"/>
      <c r="X492" s="8"/>
      <c r="Y492" s="8"/>
      <c r="Z492" s="25"/>
    </row>
    <row r="493" spans="1:26">
      <c r="A493" s="8">
        <v>492</v>
      </c>
      <c r="B493" s="8"/>
      <c r="C493" s="8"/>
      <c r="D493" s="8" t="s">
        <v>1740</v>
      </c>
      <c r="E493" s="16" t="s">
        <v>1741</v>
      </c>
      <c r="F493" s="17" t="s">
        <v>1721</v>
      </c>
      <c r="G493" s="18">
        <v>225</v>
      </c>
      <c r="H493" s="19"/>
      <c r="I493" s="20"/>
      <c r="J493" s="8">
        <f>225</f>
        <v>225</v>
      </c>
      <c r="K493" s="21">
        <v>1.6319444444444445E-3</v>
      </c>
      <c r="L493" s="22" t="s">
        <v>1161</v>
      </c>
      <c r="M493" s="8"/>
      <c r="N493" s="8"/>
      <c r="O493" s="8"/>
      <c r="P493" s="8"/>
      <c r="Q493" s="8"/>
      <c r="R493" s="8"/>
      <c r="S493" s="8"/>
      <c r="T493" s="8"/>
      <c r="U493" s="8"/>
      <c r="V493" s="8"/>
      <c r="W493" s="8"/>
      <c r="X493" s="8"/>
      <c r="Y493" s="8"/>
      <c r="Z493" s="25"/>
    </row>
    <row r="494" spans="1:26">
      <c r="A494" s="8">
        <v>493</v>
      </c>
      <c r="B494" s="8"/>
      <c r="C494" s="8"/>
      <c r="D494" s="8" t="s">
        <v>1742</v>
      </c>
      <c r="E494" s="16" t="s">
        <v>1743</v>
      </c>
      <c r="F494" s="17" t="s">
        <v>1586</v>
      </c>
      <c r="G494" s="18">
        <v>208</v>
      </c>
      <c r="H494" s="19"/>
      <c r="I494" s="20"/>
      <c r="J494" s="8">
        <f>208</f>
        <v>208</v>
      </c>
      <c r="K494" s="21">
        <v>2.8472222222222219E-3</v>
      </c>
      <c r="L494" s="22" t="s">
        <v>1161</v>
      </c>
      <c r="M494" s="8"/>
      <c r="N494" s="8"/>
      <c r="O494" s="8"/>
      <c r="P494" s="8"/>
      <c r="Q494" s="8"/>
      <c r="R494" s="8"/>
      <c r="S494" s="8"/>
      <c r="T494" s="8"/>
      <c r="U494" s="8"/>
      <c r="V494" s="8"/>
      <c r="W494" s="8"/>
      <c r="X494" s="8"/>
      <c r="Y494" s="8"/>
      <c r="Z494" s="25"/>
    </row>
    <row r="495" spans="1:26">
      <c r="A495" s="8">
        <v>494</v>
      </c>
      <c r="B495" s="8"/>
      <c r="C495" s="8"/>
      <c r="D495" s="8" t="s">
        <v>1744</v>
      </c>
      <c r="E495" s="16" t="s">
        <v>1745</v>
      </c>
      <c r="F495" s="17" t="s">
        <v>1746</v>
      </c>
      <c r="G495" s="18">
        <v>422</v>
      </c>
      <c r="H495" s="19"/>
      <c r="I495" s="20"/>
      <c r="J495" s="8">
        <f>422</f>
        <v>422</v>
      </c>
      <c r="K495" s="21">
        <v>2.685185185185185E-3</v>
      </c>
      <c r="L495" s="22" t="s">
        <v>1161</v>
      </c>
      <c r="M495" s="8"/>
      <c r="N495" s="8"/>
      <c r="O495" s="8"/>
      <c r="P495" s="8"/>
      <c r="Q495" s="8"/>
      <c r="R495" s="8"/>
      <c r="S495" s="8"/>
      <c r="T495" s="8"/>
      <c r="U495" s="8"/>
      <c r="V495" s="8"/>
      <c r="W495" s="8"/>
      <c r="X495" s="8"/>
      <c r="Y495" s="8"/>
      <c r="Z495" s="25"/>
    </row>
    <row r="496" spans="1:26">
      <c r="A496" s="8">
        <v>495</v>
      </c>
      <c r="B496" s="8"/>
      <c r="C496" s="8"/>
      <c r="D496" s="8" t="s">
        <v>1747</v>
      </c>
      <c r="E496" s="16" t="s">
        <v>1748</v>
      </c>
      <c r="F496" s="17" t="s">
        <v>1749</v>
      </c>
      <c r="G496" s="18" t="s">
        <v>494</v>
      </c>
      <c r="H496" s="19"/>
      <c r="I496" s="20"/>
      <c r="J496" s="8">
        <f>6.6*1000</f>
        <v>6600</v>
      </c>
      <c r="K496" s="21">
        <v>5.5092592592592589E-3</v>
      </c>
      <c r="L496" s="22" t="s">
        <v>1161</v>
      </c>
      <c r="M496" s="8"/>
      <c r="N496" s="8"/>
      <c r="O496" s="8"/>
      <c r="P496" s="8"/>
      <c r="Q496" s="8"/>
      <c r="R496" s="8"/>
      <c r="S496" s="8"/>
      <c r="T496" s="8"/>
      <c r="U496" s="8"/>
      <c r="V496" s="8"/>
      <c r="W496" s="8"/>
      <c r="X496" s="8"/>
      <c r="Y496" s="8"/>
      <c r="Z496" s="25"/>
    </row>
    <row r="497" spans="1:26">
      <c r="A497" s="8">
        <v>496</v>
      </c>
      <c r="B497" s="8"/>
      <c r="C497" s="8"/>
      <c r="D497" s="8" t="s">
        <v>1750</v>
      </c>
      <c r="E497" s="16" t="s">
        <v>1751</v>
      </c>
      <c r="F497" s="17" t="s">
        <v>1752</v>
      </c>
      <c r="G497" s="18" t="s">
        <v>214</v>
      </c>
      <c r="H497" s="19"/>
      <c r="I497" s="20"/>
      <c r="J497" s="8">
        <f>1*1000</f>
        <v>1000</v>
      </c>
      <c r="K497" s="21">
        <v>4.0393518518518521E-3</v>
      </c>
      <c r="L497" s="22" t="s">
        <v>1161</v>
      </c>
      <c r="M497" s="8"/>
      <c r="N497" s="8"/>
      <c r="O497" s="8"/>
      <c r="P497" s="8"/>
      <c r="Q497" s="8"/>
      <c r="R497" s="8"/>
      <c r="S497" s="8"/>
      <c r="T497" s="8"/>
      <c r="U497" s="8"/>
      <c r="V497" s="8"/>
      <c r="W497" s="8"/>
      <c r="X497" s="8"/>
      <c r="Y497" s="8"/>
      <c r="Z497" s="25"/>
    </row>
    <row r="498" spans="1:26">
      <c r="A498" s="8">
        <v>497</v>
      </c>
      <c r="B498" s="8"/>
      <c r="C498" s="8"/>
      <c r="D498" s="8" t="s">
        <v>1753</v>
      </c>
      <c r="E498" s="16" t="s">
        <v>1754</v>
      </c>
      <c r="F498" s="29" t="s">
        <v>1755</v>
      </c>
      <c r="G498" s="18" t="s">
        <v>256</v>
      </c>
      <c r="H498" s="19"/>
      <c r="I498" s="20"/>
      <c r="J498" s="8">
        <f>2.1*1000</f>
        <v>2100</v>
      </c>
      <c r="K498" s="21">
        <v>4.3946759259259255E-2</v>
      </c>
      <c r="L498" s="22" t="s">
        <v>1161</v>
      </c>
      <c r="M498" s="8"/>
      <c r="N498" s="8"/>
      <c r="O498" s="8"/>
      <c r="P498" s="8"/>
      <c r="Q498" s="8"/>
      <c r="R498" s="8"/>
      <c r="S498" s="8"/>
      <c r="T498" s="8"/>
      <c r="U498" s="8"/>
      <c r="V498" s="8"/>
      <c r="W498" s="8"/>
      <c r="X498" s="8"/>
      <c r="Y498" s="8"/>
      <c r="Z498" s="25"/>
    </row>
    <row r="499" spans="1:26">
      <c r="A499" s="8">
        <v>498</v>
      </c>
      <c r="B499" s="8"/>
      <c r="C499" s="8"/>
      <c r="D499" s="8" t="s">
        <v>1756</v>
      </c>
      <c r="E499" s="16" t="s">
        <v>1757</v>
      </c>
      <c r="F499" s="27" t="s">
        <v>1758</v>
      </c>
      <c r="G499" s="18" t="s">
        <v>155</v>
      </c>
      <c r="H499" s="19"/>
      <c r="I499" s="20"/>
      <c r="J499" s="8">
        <f>1.9*1000</f>
        <v>1900</v>
      </c>
      <c r="K499" s="21">
        <v>2.5046296296296299E-2</v>
      </c>
      <c r="L499" s="22" t="s">
        <v>1161</v>
      </c>
      <c r="M499" s="8"/>
      <c r="N499" s="8"/>
      <c r="O499" s="8"/>
      <c r="P499" s="8"/>
      <c r="Q499" s="8"/>
      <c r="R499" s="8"/>
      <c r="S499" s="8"/>
      <c r="T499" s="8"/>
      <c r="U499" s="8"/>
      <c r="V499" s="8"/>
      <c r="W499" s="8"/>
      <c r="X499" s="8"/>
      <c r="Y499" s="8"/>
      <c r="Z499" s="25"/>
    </row>
    <row r="500" spans="1:26">
      <c r="A500" s="8">
        <v>499</v>
      </c>
      <c r="B500" s="8"/>
      <c r="C500" s="8"/>
      <c r="D500" s="8" t="s">
        <v>1759</v>
      </c>
      <c r="E500" s="16" t="s">
        <v>1760</v>
      </c>
      <c r="F500" s="17" t="s">
        <v>1761</v>
      </c>
      <c r="G500" s="18">
        <v>234</v>
      </c>
      <c r="H500" s="19"/>
      <c r="I500" s="20"/>
      <c r="J500" s="8">
        <f>234</f>
        <v>234</v>
      </c>
      <c r="K500" s="21">
        <v>1.3888888888888889E-3</v>
      </c>
      <c r="L500" s="22" t="s">
        <v>1161</v>
      </c>
      <c r="M500" s="8"/>
      <c r="N500" s="8"/>
      <c r="O500" s="8"/>
      <c r="P500" s="8"/>
      <c r="Q500" s="8"/>
      <c r="R500" s="8"/>
      <c r="S500" s="8"/>
      <c r="T500" s="8"/>
      <c r="U500" s="8"/>
      <c r="V500" s="8"/>
      <c r="W500" s="8"/>
      <c r="X500" s="8"/>
      <c r="Y500" s="8"/>
      <c r="Z500" s="25"/>
    </row>
    <row r="501" spans="1:26">
      <c r="A501" s="8">
        <v>500</v>
      </c>
      <c r="B501" s="8"/>
      <c r="C501" s="8"/>
      <c r="D501" s="8" t="s">
        <v>1762</v>
      </c>
      <c r="E501" s="16" t="s">
        <v>1763</v>
      </c>
      <c r="F501" s="17" t="s">
        <v>1372</v>
      </c>
      <c r="G501" s="18">
        <v>205</v>
      </c>
      <c r="H501" s="19"/>
      <c r="I501" s="20"/>
      <c r="J501" s="8">
        <f>205</f>
        <v>205</v>
      </c>
      <c r="K501" s="21">
        <v>2.1874999999999998E-3</v>
      </c>
      <c r="L501" s="22" t="s">
        <v>1161</v>
      </c>
      <c r="M501" s="8"/>
      <c r="N501" s="8"/>
      <c r="O501" s="8"/>
      <c r="P501" s="8"/>
      <c r="Q501" s="8"/>
      <c r="R501" s="8"/>
      <c r="S501" s="8"/>
      <c r="T501" s="8"/>
      <c r="U501" s="8"/>
      <c r="V501" s="8"/>
      <c r="W501" s="8"/>
      <c r="X501" s="8"/>
      <c r="Y501" s="8"/>
      <c r="Z501" s="25"/>
    </row>
    <row r="502" spans="1:26">
      <c r="A502" s="8">
        <v>501</v>
      </c>
      <c r="B502" s="8"/>
      <c r="C502" s="8"/>
      <c r="D502" s="8" t="s">
        <v>1764</v>
      </c>
      <c r="E502" s="16" t="s">
        <v>1765</v>
      </c>
      <c r="F502" s="27" t="s">
        <v>1766</v>
      </c>
      <c r="G502" s="18" t="s">
        <v>350</v>
      </c>
      <c r="H502" s="19"/>
      <c r="I502" s="20"/>
      <c r="J502" s="8">
        <f>3*1000</f>
        <v>3000</v>
      </c>
      <c r="K502" s="21">
        <v>2.3958333333333331E-2</v>
      </c>
      <c r="L502" s="22" t="s">
        <v>1161</v>
      </c>
      <c r="M502" s="8"/>
      <c r="N502" s="8"/>
      <c r="O502" s="8"/>
      <c r="P502" s="8"/>
      <c r="Q502" s="8"/>
      <c r="R502" s="8"/>
      <c r="S502" s="8"/>
      <c r="T502" s="8"/>
      <c r="U502" s="8"/>
      <c r="V502" s="8"/>
      <c r="W502" s="8"/>
      <c r="X502" s="8"/>
      <c r="Y502" s="8"/>
      <c r="Z502" s="25"/>
    </row>
    <row r="503" spans="1:26">
      <c r="A503" s="8">
        <v>502</v>
      </c>
      <c r="B503" s="8"/>
      <c r="C503" s="8"/>
      <c r="D503" s="8" t="s">
        <v>1767</v>
      </c>
      <c r="E503" s="16" t="s">
        <v>1768</v>
      </c>
      <c r="F503" s="27" t="s">
        <v>1769</v>
      </c>
      <c r="G503" s="18" t="s">
        <v>249</v>
      </c>
      <c r="H503" s="19"/>
      <c r="I503" s="20"/>
      <c r="J503" s="8">
        <f>2.4*1000</f>
        <v>2400</v>
      </c>
      <c r="K503" s="21">
        <v>3.7743055555555557E-2</v>
      </c>
      <c r="L503" s="22" t="s">
        <v>1161</v>
      </c>
      <c r="M503" s="8"/>
      <c r="N503" s="8"/>
      <c r="O503" s="8"/>
      <c r="P503" s="8"/>
      <c r="Q503" s="8"/>
      <c r="R503" s="8"/>
      <c r="S503" s="8"/>
      <c r="T503" s="8"/>
      <c r="U503" s="8"/>
      <c r="V503" s="8"/>
      <c r="W503" s="8"/>
      <c r="X503" s="8"/>
      <c r="Y503" s="8"/>
      <c r="Z503" s="25"/>
    </row>
    <row r="504" spans="1:26">
      <c r="A504" s="8">
        <v>503</v>
      </c>
      <c r="B504" s="8"/>
      <c r="C504" s="8"/>
      <c r="D504" s="8" t="s">
        <v>1770</v>
      </c>
      <c r="E504" s="16" t="s">
        <v>1771</v>
      </c>
      <c r="F504" s="27" t="s">
        <v>1772</v>
      </c>
      <c r="G504" s="18" t="s">
        <v>919</v>
      </c>
      <c r="H504" s="19"/>
      <c r="I504" s="20"/>
      <c r="J504" s="8">
        <f>2.8*1000</f>
        <v>2800</v>
      </c>
      <c r="K504" s="21">
        <v>1.8460648148148146E-2</v>
      </c>
      <c r="L504" s="22" t="s">
        <v>1161</v>
      </c>
      <c r="M504" s="8"/>
      <c r="N504" s="8"/>
      <c r="O504" s="8"/>
      <c r="P504" s="8"/>
      <c r="Q504" s="8"/>
      <c r="R504" s="8"/>
      <c r="S504" s="8"/>
      <c r="T504" s="8"/>
      <c r="U504" s="8"/>
      <c r="V504" s="8"/>
      <c r="W504" s="8"/>
      <c r="X504" s="8"/>
      <c r="Y504" s="8"/>
      <c r="Z504" s="25"/>
    </row>
    <row r="505" spans="1:26">
      <c r="A505" s="8">
        <v>504</v>
      </c>
      <c r="B505" s="8"/>
      <c r="C505" s="8"/>
      <c r="D505" s="8" t="s">
        <v>1773</v>
      </c>
      <c r="E505" s="16" t="s">
        <v>1774</v>
      </c>
      <c r="F505" s="27" t="s">
        <v>1775</v>
      </c>
      <c r="G505" s="18" t="s">
        <v>521</v>
      </c>
      <c r="H505" s="19"/>
      <c r="I505" s="20"/>
      <c r="J505" s="8">
        <f>3.5*1000</f>
        <v>3500</v>
      </c>
      <c r="K505" s="21">
        <v>3.8206018518518521E-2</v>
      </c>
      <c r="L505" s="22" t="s">
        <v>1161</v>
      </c>
      <c r="M505" s="8"/>
      <c r="N505" s="8"/>
      <c r="O505" s="8"/>
      <c r="P505" s="8"/>
      <c r="Q505" s="8"/>
      <c r="R505" s="8"/>
      <c r="S505" s="8"/>
      <c r="T505" s="8"/>
      <c r="U505" s="8"/>
      <c r="V505" s="8"/>
      <c r="W505" s="8"/>
      <c r="X505" s="8"/>
      <c r="Y505" s="8"/>
      <c r="Z505" s="25"/>
    </row>
    <row r="506" spans="1:26">
      <c r="A506" s="8">
        <v>505</v>
      </c>
      <c r="B506" s="8"/>
      <c r="C506" s="8"/>
      <c r="D506" s="8" t="s">
        <v>1776</v>
      </c>
      <c r="E506" s="16" t="s">
        <v>1777</v>
      </c>
      <c r="F506" s="17" t="s">
        <v>1778</v>
      </c>
      <c r="G506" s="18" t="s">
        <v>214</v>
      </c>
      <c r="H506" s="19"/>
      <c r="I506" s="20"/>
      <c r="J506" s="8">
        <f>1*1000</f>
        <v>1000</v>
      </c>
      <c r="K506" s="21">
        <v>1.1562499999999998E-2</v>
      </c>
      <c r="L506" s="22" t="s">
        <v>1161</v>
      </c>
      <c r="M506" s="8"/>
      <c r="N506" s="8"/>
      <c r="O506" s="8"/>
      <c r="P506" s="8"/>
      <c r="Q506" s="8"/>
      <c r="R506" s="8"/>
      <c r="S506" s="8"/>
      <c r="T506" s="8"/>
      <c r="U506" s="8"/>
      <c r="V506" s="8"/>
      <c r="W506" s="8"/>
      <c r="X506" s="8"/>
      <c r="Y506" s="8"/>
      <c r="Z506" s="25"/>
    </row>
    <row r="507" spans="1:26">
      <c r="A507" s="8">
        <v>506</v>
      </c>
      <c r="B507" s="8"/>
      <c r="C507" s="8"/>
      <c r="D507" s="8" t="s">
        <v>1779</v>
      </c>
      <c r="E507" s="16" t="s">
        <v>1780</v>
      </c>
      <c r="F507" s="27" t="s">
        <v>1781</v>
      </c>
      <c r="G507" s="18" t="s">
        <v>1126</v>
      </c>
      <c r="H507" s="19"/>
      <c r="I507" s="20"/>
      <c r="J507" s="8">
        <f>4.3*1000</f>
        <v>4300</v>
      </c>
      <c r="K507" s="21">
        <v>2.4340277777777777E-2</v>
      </c>
      <c r="L507" s="22" t="s">
        <v>1161</v>
      </c>
      <c r="M507" s="8"/>
      <c r="N507" s="8"/>
      <c r="O507" s="8"/>
      <c r="P507" s="8"/>
      <c r="Q507" s="8"/>
      <c r="R507" s="8"/>
      <c r="S507" s="8"/>
      <c r="T507" s="8"/>
      <c r="U507" s="8"/>
      <c r="V507" s="8"/>
      <c r="W507" s="8"/>
      <c r="X507" s="8"/>
      <c r="Y507" s="8"/>
      <c r="Z507" s="25"/>
    </row>
    <row r="508" spans="1:26">
      <c r="A508" s="8">
        <v>507</v>
      </c>
      <c r="B508" s="8"/>
      <c r="C508" s="8"/>
      <c r="D508" s="8" t="s">
        <v>1782</v>
      </c>
      <c r="E508" s="16" t="s">
        <v>1783</v>
      </c>
      <c r="F508" s="17" t="s">
        <v>1784</v>
      </c>
      <c r="G508" s="18" t="s">
        <v>597</v>
      </c>
      <c r="H508" s="19"/>
      <c r="I508" s="20"/>
      <c r="J508" s="8">
        <f>2.6*1000</f>
        <v>2600</v>
      </c>
      <c r="K508" s="21">
        <v>1.3182870370370371E-2</v>
      </c>
      <c r="L508" s="22" t="s">
        <v>1161</v>
      </c>
      <c r="M508" s="8"/>
      <c r="N508" s="8"/>
      <c r="O508" s="8"/>
      <c r="P508" s="8"/>
      <c r="Q508" s="8"/>
      <c r="R508" s="8"/>
      <c r="S508" s="8"/>
      <c r="T508" s="8"/>
      <c r="U508" s="8"/>
      <c r="V508" s="8"/>
      <c r="W508" s="8"/>
      <c r="X508" s="8"/>
      <c r="Y508" s="8"/>
      <c r="Z508" s="25"/>
    </row>
    <row r="509" spans="1:26">
      <c r="A509" s="8">
        <v>508</v>
      </c>
      <c r="B509" s="8"/>
      <c r="C509" s="8"/>
      <c r="D509" s="8" t="s">
        <v>1785</v>
      </c>
      <c r="E509" s="16" t="s">
        <v>1786</v>
      </c>
      <c r="F509" s="17" t="s">
        <v>1787</v>
      </c>
      <c r="G509" s="18">
        <v>473</v>
      </c>
      <c r="H509" s="19"/>
      <c r="I509" s="20"/>
      <c r="J509" s="8">
        <f>473</f>
        <v>473</v>
      </c>
      <c r="K509" s="21">
        <v>6.5277777777777782E-3</v>
      </c>
      <c r="L509" s="22" t="s">
        <v>1161</v>
      </c>
      <c r="M509" s="8"/>
      <c r="N509" s="8"/>
      <c r="O509" s="8"/>
      <c r="P509" s="8"/>
      <c r="Q509" s="8"/>
      <c r="R509" s="8"/>
      <c r="S509" s="8"/>
      <c r="T509" s="8"/>
      <c r="U509" s="8"/>
      <c r="V509" s="8"/>
      <c r="W509" s="8"/>
      <c r="X509" s="8"/>
      <c r="Y509" s="8"/>
      <c r="Z509" s="25"/>
    </row>
    <row r="510" spans="1:26">
      <c r="A510" s="8">
        <v>509</v>
      </c>
      <c r="B510" s="8"/>
      <c r="C510" s="8"/>
      <c r="D510" s="8" t="s">
        <v>1788</v>
      </c>
      <c r="E510" s="16" t="s">
        <v>1789</v>
      </c>
      <c r="F510" s="17" t="s">
        <v>196</v>
      </c>
      <c r="G510" s="18">
        <v>974</v>
      </c>
      <c r="H510" s="19"/>
      <c r="I510" s="20"/>
      <c r="J510" s="8">
        <f>974</f>
        <v>974</v>
      </c>
      <c r="K510" s="21">
        <v>2.673611111111111E-3</v>
      </c>
      <c r="L510" s="22" t="s">
        <v>1161</v>
      </c>
      <c r="M510" s="8"/>
      <c r="N510" s="8"/>
      <c r="O510" s="8"/>
      <c r="P510" s="8"/>
      <c r="Q510" s="8"/>
      <c r="R510" s="8"/>
      <c r="S510" s="8"/>
      <c r="T510" s="8"/>
      <c r="U510" s="8"/>
      <c r="V510" s="8"/>
      <c r="W510" s="8"/>
      <c r="X510" s="8"/>
      <c r="Y510" s="8"/>
      <c r="Z510" s="25"/>
    </row>
    <row r="511" spans="1:26">
      <c r="A511" s="8">
        <v>510</v>
      </c>
      <c r="B511" s="8"/>
      <c r="C511" s="8"/>
      <c r="D511" s="8" t="s">
        <v>1790</v>
      </c>
      <c r="E511" s="16" t="s">
        <v>1791</v>
      </c>
      <c r="F511" s="17" t="s">
        <v>1339</v>
      </c>
      <c r="G511" s="18">
        <v>437</v>
      </c>
      <c r="H511" s="19"/>
      <c r="I511" s="20"/>
      <c r="J511" s="8">
        <f>437</f>
        <v>437</v>
      </c>
      <c r="K511" s="21">
        <v>1.3194444444444443E-3</v>
      </c>
      <c r="L511" s="22" t="s">
        <v>1161</v>
      </c>
      <c r="M511" s="8"/>
      <c r="N511" s="8"/>
      <c r="O511" s="8"/>
      <c r="P511" s="8"/>
      <c r="Q511" s="8"/>
      <c r="R511" s="8"/>
      <c r="S511" s="8"/>
      <c r="T511" s="8"/>
      <c r="U511" s="8"/>
      <c r="V511" s="8"/>
      <c r="W511" s="8"/>
      <c r="X511" s="8"/>
      <c r="Y511" s="8"/>
      <c r="Z511" s="25"/>
    </row>
    <row r="512" spans="1:26">
      <c r="A512" s="8">
        <v>511</v>
      </c>
      <c r="B512" s="8"/>
      <c r="C512" s="8"/>
      <c r="D512" s="8" t="s">
        <v>1792</v>
      </c>
      <c r="E512" s="16" t="s">
        <v>1793</v>
      </c>
      <c r="F512" s="17" t="s">
        <v>1794</v>
      </c>
      <c r="G512" s="18">
        <v>274</v>
      </c>
      <c r="H512" s="19"/>
      <c r="I512" s="20"/>
      <c r="J512" s="8">
        <f>274</f>
        <v>274</v>
      </c>
      <c r="K512" s="21">
        <v>1.4351851851851854E-3</v>
      </c>
      <c r="L512" s="22" t="s">
        <v>1161</v>
      </c>
      <c r="M512" s="8"/>
      <c r="N512" s="8"/>
      <c r="O512" s="8"/>
      <c r="P512" s="8"/>
      <c r="Q512" s="8"/>
      <c r="R512" s="8"/>
      <c r="S512" s="8"/>
      <c r="T512" s="8"/>
      <c r="U512" s="8"/>
      <c r="V512" s="8"/>
      <c r="W512" s="8"/>
      <c r="X512" s="8"/>
      <c r="Y512" s="8"/>
      <c r="Z512" s="25"/>
    </row>
    <row r="513" spans="1:26">
      <c r="A513" s="8">
        <v>512</v>
      </c>
      <c r="B513" s="8"/>
      <c r="C513" s="8"/>
      <c r="D513" s="8" t="s">
        <v>1795</v>
      </c>
      <c r="E513" s="16" t="s">
        <v>1796</v>
      </c>
      <c r="F513" s="17" t="s">
        <v>1761</v>
      </c>
      <c r="G513" s="18" t="s">
        <v>912</v>
      </c>
      <c r="H513" s="19"/>
      <c r="I513" s="20"/>
      <c r="J513" s="8">
        <f>4.2*1000</f>
        <v>4200</v>
      </c>
      <c r="K513" s="21">
        <v>1.3888888888888889E-3</v>
      </c>
      <c r="L513" s="22" t="s">
        <v>1161</v>
      </c>
      <c r="M513" s="8"/>
      <c r="N513" s="8"/>
      <c r="O513" s="8"/>
      <c r="P513" s="8"/>
      <c r="Q513" s="8"/>
      <c r="R513" s="8"/>
      <c r="S513" s="8"/>
      <c r="T513" s="8"/>
      <c r="U513" s="8"/>
      <c r="V513" s="8"/>
      <c r="W513" s="8"/>
      <c r="X513" s="8"/>
      <c r="Y513" s="8"/>
      <c r="Z513" s="25"/>
    </row>
    <row r="514" spans="1:26">
      <c r="A514" s="8">
        <v>513</v>
      </c>
      <c r="B514" s="8"/>
      <c r="C514" s="8"/>
      <c r="D514" s="8" t="s">
        <v>1797</v>
      </c>
      <c r="E514" s="16" t="s">
        <v>1798</v>
      </c>
      <c r="F514" s="17" t="s">
        <v>1372</v>
      </c>
      <c r="G514" s="18">
        <v>366</v>
      </c>
      <c r="H514" s="19"/>
      <c r="I514" s="20"/>
      <c r="J514" s="8">
        <f>366</f>
        <v>366</v>
      </c>
      <c r="K514" s="21">
        <v>2.1874999999999998E-3</v>
      </c>
      <c r="L514" s="22" t="s">
        <v>1161</v>
      </c>
      <c r="M514" s="8"/>
      <c r="N514" s="8"/>
      <c r="O514" s="8"/>
      <c r="P514" s="8"/>
      <c r="Q514" s="8"/>
      <c r="R514" s="8"/>
      <c r="S514" s="8"/>
      <c r="T514" s="8"/>
      <c r="U514" s="8"/>
      <c r="V514" s="8"/>
      <c r="W514" s="8"/>
      <c r="X514" s="8"/>
      <c r="Y514" s="8"/>
      <c r="Z514" s="25"/>
    </row>
    <row r="515" spans="1:26">
      <c r="A515" s="8">
        <v>514</v>
      </c>
      <c r="B515" s="8"/>
      <c r="C515" s="8"/>
      <c r="D515" s="8" t="s">
        <v>1799</v>
      </c>
      <c r="E515" s="16" t="s">
        <v>1800</v>
      </c>
      <c r="F515" s="17" t="s">
        <v>176</v>
      </c>
      <c r="G515" s="18">
        <v>277</v>
      </c>
      <c r="H515" s="19"/>
      <c r="I515" s="20"/>
      <c r="J515" s="8">
        <f>277</f>
        <v>277</v>
      </c>
      <c r="K515" s="21">
        <v>2.4189814814814816E-3</v>
      </c>
      <c r="L515" s="22" t="s">
        <v>1161</v>
      </c>
      <c r="M515" s="8"/>
      <c r="N515" s="8"/>
      <c r="O515" s="8"/>
      <c r="P515" s="8"/>
      <c r="Q515" s="8"/>
      <c r="R515" s="8"/>
      <c r="S515" s="8"/>
      <c r="T515" s="8"/>
      <c r="U515" s="8"/>
      <c r="V515" s="8"/>
      <c r="W515" s="8"/>
      <c r="X515" s="8"/>
      <c r="Y515" s="8"/>
      <c r="Z515" s="25"/>
    </row>
    <row r="516" spans="1:26">
      <c r="A516" s="8">
        <v>515</v>
      </c>
      <c r="B516" s="8"/>
      <c r="C516" s="8"/>
      <c r="D516" s="8" t="s">
        <v>1801</v>
      </c>
      <c r="E516" s="16" t="s">
        <v>1802</v>
      </c>
      <c r="F516" s="17" t="s">
        <v>850</v>
      </c>
      <c r="G516" s="18">
        <v>667</v>
      </c>
      <c r="H516" s="19"/>
      <c r="I516" s="20"/>
      <c r="J516" s="8">
        <f>667</f>
        <v>667</v>
      </c>
      <c r="K516" s="21">
        <v>1.5277777777777779E-3</v>
      </c>
      <c r="L516" s="22" t="s">
        <v>1161</v>
      </c>
      <c r="M516" s="8"/>
      <c r="N516" s="8"/>
      <c r="O516" s="8"/>
      <c r="P516" s="8"/>
      <c r="Q516" s="8"/>
      <c r="R516" s="8"/>
      <c r="S516" s="8"/>
      <c r="T516" s="8"/>
      <c r="U516" s="8"/>
      <c r="V516" s="8"/>
      <c r="W516" s="8"/>
      <c r="X516" s="8"/>
      <c r="Y516" s="8"/>
      <c r="Z516" s="25"/>
    </row>
    <row r="517" spans="1:26">
      <c r="A517" s="8">
        <v>516</v>
      </c>
      <c r="B517" s="8"/>
      <c r="C517" s="8"/>
      <c r="D517" s="8" t="s">
        <v>1803</v>
      </c>
      <c r="E517" s="16" t="s">
        <v>1804</v>
      </c>
      <c r="F517" s="17" t="s">
        <v>1805</v>
      </c>
      <c r="G517" s="18">
        <v>434</v>
      </c>
      <c r="H517" s="19"/>
      <c r="I517" s="20"/>
      <c r="J517" s="8">
        <f>434</f>
        <v>434</v>
      </c>
      <c r="K517" s="21">
        <v>1.3425925925925925E-3</v>
      </c>
      <c r="L517" s="22" t="s">
        <v>1161</v>
      </c>
      <c r="M517" s="8"/>
      <c r="N517" s="8"/>
      <c r="O517" s="8"/>
      <c r="P517" s="8"/>
      <c r="Q517" s="8"/>
      <c r="R517" s="8"/>
      <c r="S517" s="8"/>
      <c r="T517" s="8"/>
      <c r="U517" s="8"/>
      <c r="V517" s="8"/>
      <c r="W517" s="8"/>
      <c r="X517" s="8"/>
      <c r="Y517" s="8"/>
      <c r="Z517" s="25"/>
    </row>
    <row r="518" spans="1:26">
      <c r="A518" s="8">
        <v>517</v>
      </c>
      <c r="B518" s="8"/>
      <c r="C518" s="8"/>
      <c r="D518" s="8" t="s">
        <v>1806</v>
      </c>
      <c r="E518" s="16" t="s">
        <v>1807</v>
      </c>
      <c r="F518" s="17" t="s">
        <v>1521</v>
      </c>
      <c r="G518" s="18">
        <v>556</v>
      </c>
      <c r="H518" s="19"/>
      <c r="I518" s="20"/>
      <c r="J518" s="8">
        <f>556</f>
        <v>556</v>
      </c>
      <c r="K518" s="21">
        <v>2.0370370370370373E-3</v>
      </c>
      <c r="L518" s="22" t="s">
        <v>1161</v>
      </c>
      <c r="M518" s="8"/>
      <c r="N518" s="8"/>
      <c r="O518" s="8"/>
      <c r="P518" s="8"/>
      <c r="Q518" s="8"/>
      <c r="R518" s="8"/>
      <c r="S518" s="8"/>
      <c r="T518" s="8"/>
      <c r="U518" s="8"/>
      <c r="V518" s="8"/>
      <c r="W518" s="8"/>
      <c r="X518" s="8"/>
      <c r="Y518" s="8"/>
      <c r="Z518" s="25"/>
    </row>
    <row r="519" spans="1:26">
      <c r="A519" s="8">
        <v>518</v>
      </c>
      <c r="B519" s="8"/>
      <c r="C519" s="8"/>
      <c r="D519" s="8" t="s">
        <v>1808</v>
      </c>
      <c r="E519" s="16" t="s">
        <v>1809</v>
      </c>
      <c r="F519" s="17" t="s">
        <v>1810</v>
      </c>
      <c r="G519" s="18">
        <v>449</v>
      </c>
      <c r="H519" s="19"/>
      <c r="I519" s="20"/>
      <c r="J519" s="8">
        <f>449</f>
        <v>449</v>
      </c>
      <c r="K519" s="21">
        <v>3.5648148148148154E-3</v>
      </c>
      <c r="L519" s="22" t="s">
        <v>1161</v>
      </c>
      <c r="M519" s="8"/>
      <c r="N519" s="8"/>
      <c r="O519" s="8"/>
      <c r="P519" s="8"/>
      <c r="Q519" s="8"/>
      <c r="R519" s="8"/>
      <c r="S519" s="8"/>
      <c r="T519" s="8"/>
      <c r="U519" s="8"/>
      <c r="V519" s="8"/>
      <c r="W519" s="8"/>
      <c r="X519" s="8"/>
      <c r="Y519" s="8"/>
      <c r="Z519" s="25"/>
    </row>
    <row r="520" spans="1:26">
      <c r="A520" s="8">
        <v>519</v>
      </c>
      <c r="B520" s="8"/>
      <c r="C520" s="8"/>
      <c r="D520" s="8" t="s">
        <v>1811</v>
      </c>
      <c r="E520" s="16" t="s">
        <v>1812</v>
      </c>
      <c r="F520" s="17" t="s">
        <v>1813</v>
      </c>
      <c r="G520" s="18">
        <v>813</v>
      </c>
      <c r="H520" s="19"/>
      <c r="I520" s="20"/>
      <c r="J520" s="8">
        <f>813</f>
        <v>813</v>
      </c>
      <c r="K520" s="21">
        <v>3.1365740740740742E-3</v>
      </c>
      <c r="L520" s="22" t="s">
        <v>1161</v>
      </c>
      <c r="M520" s="8"/>
      <c r="N520" s="8"/>
      <c r="O520" s="8"/>
      <c r="P520" s="8"/>
      <c r="Q520" s="8"/>
      <c r="R520" s="8"/>
      <c r="S520" s="8"/>
      <c r="T520" s="8"/>
      <c r="U520" s="8"/>
      <c r="V520" s="8"/>
      <c r="W520" s="8"/>
      <c r="X520" s="8"/>
      <c r="Y520" s="8"/>
      <c r="Z520" s="25"/>
    </row>
    <row r="521" spans="1:26">
      <c r="A521" s="8">
        <v>520</v>
      </c>
      <c r="B521" s="8"/>
      <c r="C521" s="8"/>
      <c r="D521" s="8" t="s">
        <v>1814</v>
      </c>
      <c r="E521" s="16" t="s">
        <v>1815</v>
      </c>
      <c r="F521" s="17" t="s">
        <v>1816</v>
      </c>
      <c r="G521" s="18" t="s">
        <v>568</v>
      </c>
      <c r="H521" s="19"/>
      <c r="I521" s="20"/>
      <c r="J521" s="8">
        <f>1.4*1000</f>
        <v>1400</v>
      </c>
      <c r="K521" s="21">
        <v>3.4606481481481485E-3</v>
      </c>
      <c r="L521" s="22" t="s">
        <v>1161</v>
      </c>
      <c r="M521" s="8"/>
      <c r="N521" s="8"/>
      <c r="O521" s="8"/>
      <c r="P521" s="8"/>
      <c r="Q521" s="8"/>
      <c r="R521" s="8"/>
      <c r="S521" s="8"/>
      <c r="T521" s="8"/>
      <c r="U521" s="8"/>
      <c r="V521" s="8"/>
      <c r="W521" s="8"/>
      <c r="X521" s="8"/>
      <c r="Y521" s="8"/>
      <c r="Z521" s="25"/>
    </row>
    <row r="522" spans="1:26">
      <c r="A522" s="8">
        <v>521</v>
      </c>
      <c r="B522" s="8"/>
      <c r="C522" s="8"/>
      <c r="D522" s="8" t="s">
        <v>1817</v>
      </c>
      <c r="E522" s="16" t="s">
        <v>1818</v>
      </c>
      <c r="F522" s="17" t="s">
        <v>1819</v>
      </c>
      <c r="G522" s="18">
        <v>343</v>
      </c>
      <c r="H522" s="19"/>
      <c r="I522" s="20"/>
      <c r="J522" s="8">
        <f>343</f>
        <v>343</v>
      </c>
      <c r="K522" s="21">
        <v>7.175925925925927E-4</v>
      </c>
      <c r="L522" s="22" t="s">
        <v>1161</v>
      </c>
      <c r="M522" s="8"/>
      <c r="N522" s="8"/>
      <c r="O522" s="8"/>
      <c r="P522" s="8"/>
      <c r="Q522" s="8"/>
      <c r="R522" s="8"/>
      <c r="S522" s="8"/>
      <c r="T522" s="8"/>
      <c r="U522" s="8"/>
      <c r="V522" s="8"/>
      <c r="W522" s="8"/>
      <c r="X522" s="8"/>
      <c r="Y522" s="8"/>
      <c r="Z522" s="25"/>
    </row>
    <row r="523" spans="1:26">
      <c r="A523" s="8">
        <v>522</v>
      </c>
      <c r="B523" s="8"/>
      <c r="C523" s="8"/>
      <c r="D523" s="8" t="s">
        <v>1820</v>
      </c>
      <c r="E523" s="16" t="s">
        <v>1821</v>
      </c>
      <c r="F523" s="17" t="s">
        <v>176</v>
      </c>
      <c r="G523" s="18">
        <v>736</v>
      </c>
      <c r="H523" s="19"/>
      <c r="I523" s="20"/>
      <c r="J523" s="8">
        <f>736</f>
        <v>736</v>
      </c>
      <c r="K523" s="21">
        <v>2.4189814814814816E-3</v>
      </c>
      <c r="L523" s="22" t="s">
        <v>1161</v>
      </c>
      <c r="M523" s="8"/>
      <c r="N523" s="8"/>
      <c r="O523" s="8"/>
      <c r="P523" s="8"/>
      <c r="Q523" s="8"/>
      <c r="R523" s="8"/>
      <c r="S523" s="8"/>
      <c r="T523" s="8"/>
      <c r="U523" s="8"/>
      <c r="V523" s="8"/>
      <c r="W523" s="8"/>
      <c r="X523" s="8"/>
      <c r="Y523" s="8"/>
      <c r="Z523" s="25"/>
    </row>
    <row r="524" spans="1:26">
      <c r="A524" s="8">
        <v>523</v>
      </c>
      <c r="B524" s="8"/>
      <c r="C524" s="8"/>
      <c r="D524" s="8" t="s">
        <v>1822</v>
      </c>
      <c r="E524" s="16" t="s">
        <v>1823</v>
      </c>
      <c r="F524" s="17" t="s">
        <v>176</v>
      </c>
      <c r="G524" s="18" t="s">
        <v>438</v>
      </c>
      <c r="H524" s="19"/>
      <c r="I524" s="20"/>
      <c r="J524" s="8">
        <f>2.3*1000</f>
        <v>2300</v>
      </c>
      <c r="K524" s="21">
        <v>2.4189814814814816E-3</v>
      </c>
      <c r="L524" s="22" t="s">
        <v>1161</v>
      </c>
      <c r="M524" s="8"/>
      <c r="N524" s="8"/>
      <c r="O524" s="8"/>
      <c r="P524" s="8"/>
      <c r="Q524" s="8"/>
      <c r="R524" s="8"/>
      <c r="S524" s="8"/>
      <c r="T524" s="8"/>
      <c r="U524" s="8"/>
      <c r="V524" s="8"/>
      <c r="W524" s="8"/>
      <c r="X524" s="8"/>
      <c r="Y524" s="8"/>
      <c r="Z524" s="25"/>
    </row>
    <row r="525" spans="1:26">
      <c r="A525" s="8">
        <v>524</v>
      </c>
      <c r="B525" s="8"/>
      <c r="C525" s="8"/>
      <c r="D525" s="8" t="s">
        <v>1824</v>
      </c>
      <c r="E525" s="16" t="s">
        <v>1825</v>
      </c>
      <c r="F525" s="27" t="s">
        <v>1826</v>
      </c>
      <c r="G525" s="18" t="s">
        <v>1827</v>
      </c>
      <c r="H525" s="19"/>
      <c r="I525" s="20"/>
      <c r="J525" s="8">
        <f>4.8*1000</f>
        <v>4800</v>
      </c>
      <c r="K525" s="21">
        <v>3.1805555555555552E-2</v>
      </c>
      <c r="L525" s="22" t="s">
        <v>1161</v>
      </c>
      <c r="M525" s="8"/>
      <c r="N525" s="8"/>
      <c r="O525" s="8"/>
      <c r="P525" s="8"/>
      <c r="Q525" s="8"/>
      <c r="R525" s="8"/>
      <c r="S525" s="8"/>
      <c r="T525" s="8"/>
      <c r="U525" s="8"/>
      <c r="V525" s="8"/>
      <c r="W525" s="8"/>
      <c r="X525" s="8"/>
      <c r="Y525" s="8"/>
      <c r="Z525" s="25"/>
    </row>
    <row r="526" spans="1:26">
      <c r="A526" s="8">
        <v>525</v>
      </c>
      <c r="B526" s="8"/>
      <c r="C526" s="8"/>
      <c r="D526" s="8" t="s">
        <v>1828</v>
      </c>
      <c r="E526" s="16" t="s">
        <v>1829</v>
      </c>
      <c r="F526" s="27" t="s">
        <v>1830</v>
      </c>
      <c r="G526" s="18" t="s">
        <v>506</v>
      </c>
      <c r="H526" s="19"/>
      <c r="I526" s="20"/>
      <c r="J526" s="8">
        <f>2*1000</f>
        <v>2000</v>
      </c>
      <c r="K526" s="21">
        <v>1.9733796296296298E-2</v>
      </c>
      <c r="L526" s="22" t="s">
        <v>1161</v>
      </c>
      <c r="M526" s="8"/>
      <c r="N526" s="8"/>
      <c r="O526" s="8"/>
      <c r="P526" s="8"/>
      <c r="Q526" s="8"/>
      <c r="R526" s="8"/>
      <c r="S526" s="8"/>
      <c r="T526" s="8"/>
      <c r="U526" s="8"/>
      <c r="V526" s="8"/>
      <c r="W526" s="8"/>
      <c r="X526" s="8"/>
      <c r="Y526" s="8"/>
      <c r="Z526" s="25"/>
    </row>
    <row r="527" spans="1:26">
      <c r="A527" s="8">
        <v>526</v>
      </c>
      <c r="B527" s="8"/>
      <c r="C527" s="8"/>
      <c r="D527" s="8" t="s">
        <v>1831</v>
      </c>
      <c r="E527" s="16" t="s">
        <v>1832</v>
      </c>
      <c r="F527" s="17" t="s">
        <v>1833</v>
      </c>
      <c r="G527" s="18" t="s">
        <v>155</v>
      </c>
      <c r="H527" s="19"/>
      <c r="I527" s="20"/>
      <c r="J527" s="8">
        <f>1.9*1000</f>
        <v>1900</v>
      </c>
      <c r="K527" s="21">
        <v>5.162037037037037E-3</v>
      </c>
      <c r="L527" s="22" t="s">
        <v>1161</v>
      </c>
      <c r="M527" s="8"/>
      <c r="N527" s="8"/>
      <c r="O527" s="8"/>
      <c r="P527" s="8"/>
      <c r="Q527" s="8"/>
      <c r="R527" s="8"/>
      <c r="S527" s="8"/>
      <c r="T527" s="8"/>
      <c r="U527" s="8"/>
      <c r="V527" s="8"/>
      <c r="W527" s="8"/>
      <c r="X527" s="8"/>
      <c r="Y527" s="8"/>
      <c r="Z527" s="25"/>
    </row>
    <row r="528" spans="1:26">
      <c r="A528" s="8">
        <v>527</v>
      </c>
      <c r="B528" s="8"/>
      <c r="C528" s="8"/>
      <c r="D528" s="8" t="s">
        <v>1834</v>
      </c>
      <c r="E528" s="16" t="s">
        <v>1835</v>
      </c>
      <c r="F528" s="27" t="s">
        <v>1836</v>
      </c>
      <c r="G528" s="18" t="s">
        <v>568</v>
      </c>
      <c r="H528" s="19"/>
      <c r="I528" s="20"/>
      <c r="J528" s="8">
        <f>1.4*1000</f>
        <v>1400</v>
      </c>
      <c r="K528" s="21">
        <v>1.7071759259259259E-2</v>
      </c>
      <c r="L528" s="22" t="s">
        <v>1161</v>
      </c>
      <c r="M528" s="8"/>
      <c r="N528" s="8"/>
      <c r="O528" s="8"/>
      <c r="P528" s="8"/>
      <c r="Q528" s="8"/>
      <c r="R528" s="8"/>
      <c r="S528" s="8"/>
      <c r="T528" s="8"/>
      <c r="U528" s="8"/>
      <c r="V528" s="8"/>
      <c r="W528" s="8"/>
      <c r="X528" s="8"/>
      <c r="Y528" s="8"/>
      <c r="Z528" s="25"/>
    </row>
    <row r="529" spans="1:26">
      <c r="A529" s="8">
        <v>528</v>
      </c>
      <c r="B529" s="8"/>
      <c r="C529" s="8"/>
      <c r="D529" s="8" t="s">
        <v>1837</v>
      </c>
      <c r="E529" s="16" t="s">
        <v>1838</v>
      </c>
      <c r="F529" s="17" t="s">
        <v>1839</v>
      </c>
      <c r="G529" s="18" t="s">
        <v>214</v>
      </c>
      <c r="H529" s="19"/>
      <c r="I529" s="20"/>
      <c r="J529" s="8">
        <f>1*1000</f>
        <v>1000</v>
      </c>
      <c r="K529" s="21">
        <v>1.5960648148148151E-2</v>
      </c>
      <c r="L529" s="22" t="s">
        <v>1161</v>
      </c>
      <c r="M529" s="8"/>
      <c r="N529" s="8"/>
      <c r="O529" s="8"/>
      <c r="P529" s="8"/>
      <c r="Q529" s="8"/>
      <c r="R529" s="8"/>
      <c r="S529" s="8"/>
      <c r="T529" s="8"/>
      <c r="U529" s="8"/>
      <c r="V529" s="8"/>
      <c r="W529" s="8"/>
      <c r="X529" s="8"/>
      <c r="Y529" s="8"/>
      <c r="Z529" s="25"/>
    </row>
    <row r="530" spans="1:26">
      <c r="A530" s="8">
        <v>529</v>
      </c>
      <c r="B530" s="8"/>
      <c r="C530" s="8"/>
      <c r="D530" s="8" t="s">
        <v>1840</v>
      </c>
      <c r="E530" s="16" t="s">
        <v>1841</v>
      </c>
      <c r="F530" s="27" t="s">
        <v>1842</v>
      </c>
      <c r="G530" s="18" t="s">
        <v>238</v>
      </c>
      <c r="H530" s="19"/>
      <c r="I530" s="20"/>
      <c r="J530" s="8">
        <f>4.9*1000</f>
        <v>4900</v>
      </c>
      <c r="K530" s="21">
        <v>1.8032407407407407E-2</v>
      </c>
      <c r="L530" s="22" t="s">
        <v>1161</v>
      </c>
      <c r="M530" s="8"/>
      <c r="N530" s="8"/>
      <c r="O530" s="8"/>
      <c r="P530" s="8"/>
      <c r="Q530" s="8"/>
      <c r="R530" s="8"/>
      <c r="S530" s="8"/>
      <c r="T530" s="8"/>
      <c r="U530" s="8"/>
      <c r="V530" s="8"/>
      <c r="W530" s="8"/>
      <c r="X530" s="8"/>
      <c r="Y530" s="8"/>
      <c r="Z530" s="25"/>
    </row>
    <row r="531" spans="1:26">
      <c r="A531" s="8">
        <v>530</v>
      </c>
      <c r="B531" s="8"/>
      <c r="C531" s="8"/>
      <c r="D531" s="8" t="s">
        <v>1843</v>
      </c>
      <c r="E531" s="16" t="s">
        <v>1844</v>
      </c>
      <c r="F531" s="27" t="s">
        <v>531</v>
      </c>
      <c r="G531" s="18" t="s">
        <v>795</v>
      </c>
      <c r="H531" s="19"/>
      <c r="I531" s="20"/>
      <c r="J531" s="8">
        <f>5.2*1000</f>
        <v>5200</v>
      </c>
      <c r="K531" s="21">
        <v>1.8055555555555557E-2</v>
      </c>
      <c r="L531" s="22" t="s">
        <v>1161</v>
      </c>
      <c r="M531" s="8"/>
      <c r="N531" s="8"/>
      <c r="O531" s="8"/>
      <c r="P531" s="8"/>
      <c r="Q531" s="8"/>
      <c r="R531" s="8"/>
      <c r="S531" s="8"/>
      <c r="T531" s="8"/>
      <c r="U531" s="8"/>
      <c r="V531" s="8"/>
      <c r="W531" s="8"/>
      <c r="X531" s="8"/>
      <c r="Y531" s="8"/>
      <c r="Z531" s="25"/>
    </row>
    <row r="532" spans="1:26">
      <c r="A532" s="8">
        <v>531</v>
      </c>
      <c r="B532" s="8"/>
      <c r="C532" s="8"/>
      <c r="D532" s="8" t="s">
        <v>1845</v>
      </c>
      <c r="E532" s="16" t="s">
        <v>1846</v>
      </c>
      <c r="F532" s="27" t="s">
        <v>1847</v>
      </c>
      <c r="G532" s="18" t="s">
        <v>1390</v>
      </c>
      <c r="H532" s="19"/>
      <c r="I532" s="20"/>
      <c r="J532" s="8">
        <f>9.2*1000</f>
        <v>9200</v>
      </c>
      <c r="K532" s="21">
        <v>1.8171296296296297E-2</v>
      </c>
      <c r="L532" s="22" t="s">
        <v>1161</v>
      </c>
      <c r="M532" s="8"/>
      <c r="N532" s="8"/>
      <c r="O532" s="8"/>
      <c r="P532" s="8"/>
      <c r="Q532" s="8"/>
      <c r="R532" s="8"/>
      <c r="S532" s="8"/>
      <c r="T532" s="8"/>
      <c r="U532" s="8"/>
      <c r="V532" s="8"/>
      <c r="W532" s="8"/>
      <c r="X532" s="8"/>
      <c r="Y532" s="8"/>
      <c r="Z532" s="25"/>
    </row>
    <row r="533" spans="1:26">
      <c r="A533" s="8">
        <v>532</v>
      </c>
      <c r="B533" s="8"/>
      <c r="C533" s="8"/>
      <c r="D533" s="8" t="s">
        <v>1848</v>
      </c>
      <c r="E533" s="16" t="s">
        <v>1849</v>
      </c>
      <c r="F533" s="27" t="s">
        <v>1850</v>
      </c>
      <c r="G533" s="18" t="s">
        <v>1851</v>
      </c>
      <c r="H533" s="19"/>
      <c r="I533" s="20"/>
      <c r="J533" s="8">
        <f>25*1000</f>
        <v>25000</v>
      </c>
      <c r="K533" s="21">
        <v>2.0787037037037038E-2</v>
      </c>
      <c r="L533" s="22" t="s">
        <v>1161</v>
      </c>
      <c r="M533" s="8"/>
      <c r="N533" s="8"/>
      <c r="O533" s="8"/>
      <c r="P533" s="8"/>
      <c r="Q533" s="8"/>
      <c r="R533" s="8"/>
      <c r="S533" s="8"/>
      <c r="T533" s="8"/>
      <c r="U533" s="8"/>
      <c r="V533" s="8"/>
      <c r="W533" s="8"/>
      <c r="X533" s="8"/>
      <c r="Y533" s="8"/>
      <c r="Z533" s="25"/>
    </row>
    <row r="534" spans="1:26">
      <c r="A534" s="8">
        <v>533</v>
      </c>
      <c r="B534" s="8"/>
      <c r="C534" s="8"/>
      <c r="D534" s="8" t="s">
        <v>1852</v>
      </c>
      <c r="E534" s="16" t="s">
        <v>1853</v>
      </c>
      <c r="F534" s="17" t="s">
        <v>1854</v>
      </c>
      <c r="G534" s="18" t="s">
        <v>525</v>
      </c>
      <c r="H534" s="19"/>
      <c r="I534" s="20"/>
      <c r="J534" s="8">
        <f>7.4*1000</f>
        <v>7400</v>
      </c>
      <c r="K534" s="21">
        <v>2.3032407407407407E-3</v>
      </c>
      <c r="L534" s="22" t="s">
        <v>1161</v>
      </c>
      <c r="M534" s="8"/>
      <c r="N534" s="8"/>
      <c r="O534" s="8"/>
      <c r="P534" s="8"/>
      <c r="Q534" s="8"/>
      <c r="R534" s="8"/>
      <c r="S534" s="8"/>
      <c r="T534" s="8"/>
      <c r="U534" s="8"/>
      <c r="V534" s="8"/>
      <c r="W534" s="8"/>
      <c r="X534" s="8"/>
      <c r="Y534" s="8"/>
      <c r="Z534" s="25"/>
    </row>
    <row r="535" spans="1:26">
      <c r="A535" s="8">
        <v>534</v>
      </c>
      <c r="B535" s="8"/>
      <c r="C535" s="8"/>
      <c r="D535" s="8" t="s">
        <v>1855</v>
      </c>
      <c r="E535" s="16" t="s">
        <v>1856</v>
      </c>
      <c r="F535" s="27" t="s">
        <v>1857</v>
      </c>
      <c r="G535" s="18">
        <v>716</v>
      </c>
      <c r="H535" s="19"/>
      <c r="I535" s="20"/>
      <c r="J535" s="8">
        <f>716</f>
        <v>716</v>
      </c>
      <c r="K535" s="21">
        <v>2.0243055555555552E-2</v>
      </c>
      <c r="L535" s="22" t="s">
        <v>1161</v>
      </c>
      <c r="M535" s="8"/>
      <c r="N535" s="8"/>
      <c r="O535" s="8"/>
      <c r="P535" s="8"/>
      <c r="Q535" s="8"/>
      <c r="R535" s="8"/>
      <c r="S535" s="8"/>
      <c r="T535" s="8"/>
      <c r="U535" s="8"/>
      <c r="V535" s="8"/>
      <c r="W535" s="8"/>
      <c r="X535" s="8"/>
      <c r="Y535" s="8"/>
      <c r="Z535" s="25"/>
    </row>
    <row r="536" spans="1:26">
      <c r="A536" s="8">
        <v>535</v>
      </c>
      <c r="B536" s="8"/>
      <c r="C536" s="8"/>
      <c r="D536" s="8" t="s">
        <v>1858</v>
      </c>
      <c r="E536" s="16" t="s">
        <v>1859</v>
      </c>
      <c r="F536" s="27" t="s">
        <v>1860</v>
      </c>
      <c r="G536" s="18">
        <v>629</v>
      </c>
      <c r="H536" s="19"/>
      <c r="I536" s="20"/>
      <c r="J536" s="8">
        <f>629</f>
        <v>629</v>
      </c>
      <c r="K536" s="21">
        <v>2.0509259259259258E-2</v>
      </c>
      <c r="L536" s="22" t="s">
        <v>1161</v>
      </c>
      <c r="M536" s="8"/>
      <c r="N536" s="8"/>
      <c r="O536" s="8"/>
      <c r="P536" s="8"/>
      <c r="Q536" s="8"/>
      <c r="R536" s="8"/>
      <c r="S536" s="8"/>
      <c r="T536" s="8"/>
      <c r="U536" s="8"/>
      <c r="V536" s="8"/>
      <c r="W536" s="8"/>
      <c r="X536" s="8"/>
      <c r="Y536" s="8"/>
      <c r="Z536" s="25"/>
    </row>
    <row r="537" spans="1:26">
      <c r="A537" s="8">
        <v>536</v>
      </c>
      <c r="B537" s="8"/>
      <c r="C537" s="8"/>
      <c r="D537" s="8" t="s">
        <v>1861</v>
      </c>
      <c r="E537" s="16" t="s">
        <v>1862</v>
      </c>
      <c r="F537" s="27" t="s">
        <v>1863</v>
      </c>
      <c r="G537" s="18">
        <v>858</v>
      </c>
      <c r="H537" s="19"/>
      <c r="I537" s="20"/>
      <c r="J537" s="8">
        <f>858</f>
        <v>858</v>
      </c>
      <c r="K537" s="21">
        <v>2.2939814814814816E-2</v>
      </c>
      <c r="L537" s="22" t="s">
        <v>1161</v>
      </c>
      <c r="M537" s="8"/>
      <c r="N537" s="8"/>
      <c r="O537" s="8"/>
      <c r="P537" s="8"/>
      <c r="Q537" s="8"/>
      <c r="R537" s="8"/>
      <c r="S537" s="8"/>
      <c r="T537" s="8"/>
      <c r="U537" s="8"/>
      <c r="V537" s="8"/>
      <c r="W537" s="8"/>
      <c r="X537" s="8"/>
      <c r="Y537" s="8"/>
      <c r="Z537" s="25"/>
    </row>
    <row r="538" spans="1:26">
      <c r="A538" s="8">
        <v>537</v>
      </c>
      <c r="B538" s="8"/>
      <c r="C538" s="8"/>
      <c r="D538" s="8" t="s">
        <v>1864</v>
      </c>
      <c r="E538" s="16" t="s">
        <v>1865</v>
      </c>
      <c r="F538" s="27" t="s">
        <v>1866</v>
      </c>
      <c r="G538" s="18" t="s">
        <v>214</v>
      </c>
      <c r="H538" s="19"/>
      <c r="I538" s="20"/>
      <c r="J538" s="8">
        <f>1*1000</f>
        <v>1000</v>
      </c>
      <c r="K538" s="21">
        <v>2.7986111111111111E-2</v>
      </c>
      <c r="L538" s="22" t="s">
        <v>1161</v>
      </c>
      <c r="M538" s="8"/>
      <c r="N538" s="8"/>
      <c r="O538" s="8"/>
      <c r="P538" s="8"/>
      <c r="Q538" s="8"/>
      <c r="R538" s="8"/>
      <c r="S538" s="8"/>
      <c r="T538" s="8"/>
      <c r="U538" s="8"/>
      <c r="V538" s="8"/>
      <c r="W538" s="8"/>
      <c r="X538" s="8"/>
      <c r="Y538" s="8"/>
      <c r="Z538" s="25"/>
    </row>
    <row r="539" spans="1:26">
      <c r="A539" s="8">
        <v>538</v>
      </c>
      <c r="B539" s="8"/>
      <c r="C539" s="8"/>
      <c r="D539" s="8" t="s">
        <v>1867</v>
      </c>
      <c r="E539" s="16" t="s">
        <v>1868</v>
      </c>
      <c r="F539" s="17" t="s">
        <v>853</v>
      </c>
      <c r="G539" s="18" t="s">
        <v>597</v>
      </c>
      <c r="H539" s="19"/>
      <c r="I539" s="20"/>
      <c r="J539" s="8">
        <f>2.6*1000</f>
        <v>2600</v>
      </c>
      <c r="K539" s="21">
        <v>1.5011574074074075E-2</v>
      </c>
      <c r="L539" s="22" t="s">
        <v>1161</v>
      </c>
      <c r="M539" s="8"/>
      <c r="N539" s="8"/>
      <c r="O539" s="8"/>
      <c r="P539" s="8"/>
      <c r="Q539" s="8"/>
      <c r="R539" s="8"/>
      <c r="S539" s="8"/>
      <c r="T539" s="8"/>
      <c r="U539" s="8"/>
      <c r="V539" s="8"/>
      <c r="W539" s="8"/>
      <c r="X539" s="8"/>
      <c r="Y539" s="8"/>
      <c r="Z539" s="25"/>
    </row>
    <row r="540" spans="1:26">
      <c r="A540" s="8">
        <v>539</v>
      </c>
      <c r="B540" s="8"/>
      <c r="C540" s="8"/>
      <c r="D540" s="8" t="s">
        <v>1869</v>
      </c>
      <c r="E540" s="16" t="s">
        <v>1870</v>
      </c>
      <c r="F540" s="27" t="s">
        <v>1871</v>
      </c>
      <c r="G540" s="18" t="s">
        <v>854</v>
      </c>
      <c r="H540" s="19"/>
      <c r="I540" s="20"/>
      <c r="J540" s="8">
        <f>4.6*1000</f>
        <v>4600</v>
      </c>
      <c r="K540" s="21">
        <v>2.1550925925925928E-2</v>
      </c>
      <c r="L540" s="22" t="s">
        <v>1161</v>
      </c>
      <c r="M540" s="8"/>
      <c r="N540" s="8"/>
      <c r="O540" s="8"/>
      <c r="P540" s="8"/>
      <c r="Q540" s="8"/>
      <c r="R540" s="8"/>
      <c r="S540" s="8"/>
      <c r="T540" s="8"/>
      <c r="U540" s="8"/>
      <c r="V540" s="8"/>
      <c r="W540" s="8"/>
      <c r="X540" s="8"/>
      <c r="Y540" s="8"/>
      <c r="Z540" s="25"/>
    </row>
    <row r="541" spans="1:26">
      <c r="A541" s="8">
        <v>540</v>
      </c>
      <c r="B541" s="8"/>
      <c r="C541" s="8"/>
      <c r="D541" s="8" t="s">
        <v>1872</v>
      </c>
      <c r="E541" s="16" t="s">
        <v>1873</v>
      </c>
      <c r="F541" s="27" t="s">
        <v>1874</v>
      </c>
      <c r="G541" s="18" t="s">
        <v>155</v>
      </c>
      <c r="H541" s="19"/>
      <c r="I541" s="20"/>
      <c r="J541" s="8">
        <f>1.9*1000</f>
        <v>1900</v>
      </c>
      <c r="K541" s="21">
        <v>2.1331018518518517E-2</v>
      </c>
      <c r="L541" s="22" t="s">
        <v>1161</v>
      </c>
      <c r="M541" s="8"/>
      <c r="N541" s="8"/>
      <c r="O541" s="8"/>
      <c r="P541" s="8"/>
      <c r="Q541" s="8"/>
      <c r="R541" s="8"/>
      <c r="S541" s="8"/>
      <c r="T541" s="8"/>
      <c r="U541" s="8"/>
      <c r="V541" s="8"/>
      <c r="W541" s="8"/>
      <c r="X541" s="8"/>
      <c r="Y541" s="8"/>
      <c r="Z541" s="25"/>
    </row>
    <row r="542" spans="1:26">
      <c r="A542" s="8">
        <v>541</v>
      </c>
      <c r="B542" s="8"/>
      <c r="C542" s="8"/>
      <c r="D542" s="8" t="s">
        <v>1875</v>
      </c>
      <c r="E542" s="16" t="s">
        <v>1876</v>
      </c>
      <c r="F542" s="17" t="s">
        <v>1877</v>
      </c>
      <c r="G542" s="18" t="s">
        <v>691</v>
      </c>
      <c r="H542" s="19"/>
      <c r="I542" s="20"/>
      <c r="J542" s="8">
        <f>5.6*1000</f>
        <v>5600</v>
      </c>
      <c r="K542" s="21">
        <v>8.4490740740740741E-3</v>
      </c>
      <c r="L542" s="22" t="s">
        <v>1161</v>
      </c>
      <c r="M542" s="8"/>
      <c r="N542" s="8"/>
      <c r="O542" s="8"/>
      <c r="P542" s="8"/>
      <c r="Q542" s="8"/>
      <c r="R542" s="8"/>
      <c r="S542" s="8"/>
      <c r="T542" s="8"/>
      <c r="U542" s="8"/>
      <c r="V542" s="8"/>
      <c r="W542" s="8"/>
      <c r="X542" s="8"/>
      <c r="Y542" s="8"/>
      <c r="Z542" s="25"/>
    </row>
    <row r="543" spans="1:26">
      <c r="A543" s="8">
        <v>542</v>
      </c>
      <c r="B543" s="8"/>
      <c r="C543" s="8"/>
      <c r="D543" s="8" t="s">
        <v>1878</v>
      </c>
      <c r="E543" s="16" t="s">
        <v>1879</v>
      </c>
      <c r="F543" s="27" t="s">
        <v>1880</v>
      </c>
      <c r="G543" s="18">
        <v>984</v>
      </c>
      <c r="H543" s="19"/>
      <c r="I543" s="20"/>
      <c r="J543" s="8">
        <f>984</f>
        <v>984</v>
      </c>
      <c r="K543" s="21">
        <v>3.4768518518518525E-2</v>
      </c>
      <c r="L543" s="22" t="s">
        <v>1161</v>
      </c>
      <c r="M543" s="8"/>
      <c r="N543" s="8"/>
      <c r="O543" s="8"/>
      <c r="P543" s="8"/>
      <c r="Q543" s="8"/>
      <c r="R543" s="8"/>
      <c r="S543" s="8"/>
      <c r="T543" s="8"/>
      <c r="U543" s="8"/>
      <c r="V543" s="8"/>
      <c r="W543" s="8"/>
      <c r="X543" s="8"/>
      <c r="Y543" s="8"/>
      <c r="Z543" s="25"/>
    </row>
    <row r="544" spans="1:26">
      <c r="A544" s="8">
        <v>543</v>
      </c>
      <c r="B544" s="8"/>
      <c r="C544" s="8"/>
      <c r="D544" s="8" t="s">
        <v>1881</v>
      </c>
      <c r="E544" s="16" t="s">
        <v>1882</v>
      </c>
      <c r="F544" s="17" t="s">
        <v>645</v>
      </c>
      <c r="G544" s="18">
        <v>722</v>
      </c>
      <c r="H544" s="19"/>
      <c r="I544" s="20"/>
      <c r="J544" s="8">
        <f>722</f>
        <v>722</v>
      </c>
      <c r="K544" s="21">
        <v>1.5659722222222224E-2</v>
      </c>
      <c r="L544" s="22" t="s">
        <v>1161</v>
      </c>
      <c r="M544" s="8"/>
      <c r="N544" s="8"/>
      <c r="O544" s="8"/>
      <c r="P544" s="8"/>
      <c r="Q544" s="8"/>
      <c r="R544" s="8"/>
      <c r="S544" s="8"/>
      <c r="T544" s="8"/>
      <c r="U544" s="8"/>
      <c r="V544" s="8"/>
      <c r="W544" s="8"/>
      <c r="X544" s="8"/>
      <c r="Y544" s="8"/>
      <c r="Z544" s="25"/>
    </row>
    <row r="545" spans="1:26">
      <c r="A545" s="8">
        <v>544</v>
      </c>
      <c r="B545" s="8"/>
      <c r="C545" s="8"/>
      <c r="D545" s="8" t="s">
        <v>1883</v>
      </c>
      <c r="E545" s="16" t="s">
        <v>1884</v>
      </c>
      <c r="F545" s="17" t="s">
        <v>1885</v>
      </c>
      <c r="G545" s="18" t="s">
        <v>238</v>
      </c>
      <c r="H545" s="19"/>
      <c r="I545" s="20"/>
      <c r="J545" s="8">
        <f>4.9*1000</f>
        <v>4900</v>
      </c>
      <c r="K545" s="21">
        <v>1.0231481481481482E-2</v>
      </c>
      <c r="L545" s="22" t="s">
        <v>1161</v>
      </c>
      <c r="M545" s="8"/>
      <c r="N545" s="8"/>
      <c r="O545" s="8"/>
      <c r="P545" s="8"/>
      <c r="Q545" s="8"/>
      <c r="R545" s="8"/>
      <c r="S545" s="8"/>
      <c r="T545" s="8"/>
      <c r="U545" s="8"/>
      <c r="V545" s="8"/>
      <c r="W545" s="8"/>
      <c r="X545" s="8"/>
      <c r="Y545" s="8"/>
      <c r="Z545" s="25"/>
    </row>
    <row r="546" spans="1:26">
      <c r="A546" s="8">
        <v>545</v>
      </c>
      <c r="B546" s="8"/>
      <c r="C546" s="8"/>
      <c r="D546" s="8" t="s">
        <v>1886</v>
      </c>
      <c r="E546" s="16" t="s">
        <v>1887</v>
      </c>
      <c r="F546" s="17" t="s">
        <v>989</v>
      </c>
      <c r="G546" s="18" t="s">
        <v>214</v>
      </c>
      <c r="H546" s="19"/>
      <c r="I546" s="20"/>
      <c r="J546" s="8">
        <f>1*1000</f>
        <v>1000</v>
      </c>
      <c r="K546" s="21">
        <v>4.2361111111111106E-3</v>
      </c>
      <c r="L546" s="22" t="s">
        <v>1161</v>
      </c>
      <c r="M546" s="8"/>
      <c r="N546" s="8"/>
      <c r="O546" s="8"/>
      <c r="P546" s="8"/>
      <c r="Q546" s="8"/>
      <c r="R546" s="8"/>
      <c r="S546" s="8"/>
      <c r="T546" s="8"/>
      <c r="U546" s="8"/>
      <c r="V546" s="8"/>
      <c r="W546" s="8"/>
      <c r="X546" s="8"/>
      <c r="Y546" s="8"/>
      <c r="Z546" s="25"/>
    </row>
    <row r="547" spans="1:26">
      <c r="A547" s="8">
        <v>546</v>
      </c>
      <c r="B547" s="8"/>
      <c r="C547" s="8"/>
      <c r="D547" s="8" t="s">
        <v>1888</v>
      </c>
      <c r="E547" s="16" t="s">
        <v>1889</v>
      </c>
      <c r="F547" s="17" t="s">
        <v>1890</v>
      </c>
      <c r="G547" s="18" t="s">
        <v>521</v>
      </c>
      <c r="H547" s="19"/>
      <c r="I547" s="20"/>
      <c r="J547" s="8">
        <f>3.5*1000</f>
        <v>3500</v>
      </c>
      <c r="K547" s="21">
        <v>1.3587962962962963E-2</v>
      </c>
      <c r="L547" s="22" t="s">
        <v>1161</v>
      </c>
      <c r="M547" s="8"/>
      <c r="N547" s="8"/>
      <c r="O547" s="8"/>
      <c r="P547" s="8"/>
      <c r="Q547" s="8"/>
      <c r="R547" s="8"/>
      <c r="S547" s="8"/>
      <c r="T547" s="8"/>
      <c r="U547" s="8"/>
      <c r="V547" s="8"/>
      <c r="W547" s="8"/>
      <c r="X547" s="8"/>
      <c r="Y547" s="8"/>
      <c r="Z547" s="25"/>
    </row>
    <row r="548" spans="1:26">
      <c r="A548" s="8">
        <v>547</v>
      </c>
      <c r="B548" s="8"/>
      <c r="C548" s="8"/>
      <c r="D548" s="8" t="s">
        <v>1891</v>
      </c>
      <c r="E548" s="16" t="s">
        <v>1892</v>
      </c>
      <c r="F548" s="17" t="s">
        <v>1893</v>
      </c>
      <c r="G548" s="18" t="s">
        <v>155</v>
      </c>
      <c r="H548" s="19"/>
      <c r="I548" s="20"/>
      <c r="J548" s="8">
        <f>1.9*1000</f>
        <v>1900</v>
      </c>
      <c r="K548" s="21">
        <v>5.8796296296296296E-3</v>
      </c>
      <c r="L548" s="22" t="s">
        <v>1161</v>
      </c>
      <c r="M548" s="8"/>
      <c r="N548" s="8"/>
      <c r="O548" s="8"/>
      <c r="P548" s="8"/>
      <c r="Q548" s="8"/>
      <c r="R548" s="8"/>
      <c r="S548" s="8"/>
      <c r="T548" s="8"/>
      <c r="U548" s="8"/>
      <c r="V548" s="8"/>
      <c r="W548" s="8"/>
      <c r="X548" s="8"/>
      <c r="Y548" s="8"/>
      <c r="Z548" s="25"/>
    </row>
    <row r="549" spans="1:26">
      <c r="A549" s="8">
        <v>548</v>
      </c>
      <c r="B549" s="8"/>
      <c r="C549" s="8"/>
      <c r="D549" s="8" t="s">
        <v>1894</v>
      </c>
      <c r="E549" s="16" t="s">
        <v>1895</v>
      </c>
      <c r="F549" s="17" t="s">
        <v>1896</v>
      </c>
      <c r="G549" s="18" t="s">
        <v>374</v>
      </c>
      <c r="H549" s="19"/>
      <c r="I549" s="20"/>
      <c r="J549" s="8">
        <f>1.3*1000</f>
        <v>1300</v>
      </c>
      <c r="K549" s="21">
        <v>3.9467592592592592E-3</v>
      </c>
      <c r="L549" s="22" t="s">
        <v>1161</v>
      </c>
      <c r="M549" s="8"/>
      <c r="N549" s="8"/>
      <c r="O549" s="8"/>
      <c r="P549" s="8"/>
      <c r="Q549" s="8"/>
      <c r="R549" s="8"/>
      <c r="S549" s="8"/>
      <c r="T549" s="8"/>
      <c r="U549" s="8"/>
      <c r="V549" s="8"/>
      <c r="W549" s="8"/>
      <c r="X549" s="8"/>
      <c r="Y549" s="8"/>
      <c r="Z549" s="25"/>
    </row>
    <row r="550" spans="1:26">
      <c r="A550" s="8">
        <v>549</v>
      </c>
      <c r="B550" s="8"/>
      <c r="C550" s="8"/>
      <c r="D550" s="8" t="s">
        <v>1897</v>
      </c>
      <c r="E550" s="16" t="s">
        <v>1898</v>
      </c>
      <c r="F550" s="17" t="s">
        <v>965</v>
      </c>
      <c r="G550" s="18" t="s">
        <v>445</v>
      </c>
      <c r="H550" s="19"/>
      <c r="I550" s="20"/>
      <c r="J550" s="8">
        <f>1.2*1000</f>
        <v>1200</v>
      </c>
      <c r="K550" s="21">
        <v>1.5740740740740741E-3</v>
      </c>
      <c r="L550" s="22" t="s">
        <v>1161</v>
      </c>
      <c r="M550" s="8"/>
      <c r="N550" s="8"/>
      <c r="O550" s="8"/>
      <c r="P550" s="8"/>
      <c r="Q550" s="8"/>
      <c r="R550" s="8"/>
      <c r="S550" s="8"/>
      <c r="T550" s="8"/>
      <c r="U550" s="8"/>
      <c r="V550" s="8"/>
      <c r="W550" s="8"/>
      <c r="X550" s="8"/>
      <c r="Y550" s="8"/>
      <c r="Z550" s="25"/>
    </row>
    <row r="551" spans="1:26">
      <c r="A551" s="8">
        <v>550</v>
      </c>
      <c r="B551" s="8"/>
      <c r="C551" s="8"/>
      <c r="D551" s="8" t="s">
        <v>1899</v>
      </c>
      <c r="E551" s="16" t="s">
        <v>1900</v>
      </c>
      <c r="F551" s="17" t="s">
        <v>1901</v>
      </c>
      <c r="G551" s="18" t="s">
        <v>238</v>
      </c>
      <c r="H551" s="19"/>
      <c r="I551" s="20"/>
      <c r="J551" s="8">
        <f>4.9*1000</f>
        <v>4900</v>
      </c>
      <c r="K551" s="21">
        <v>1.4074074074074074E-2</v>
      </c>
      <c r="L551" s="22" t="s">
        <v>1161</v>
      </c>
      <c r="M551" s="8"/>
      <c r="N551" s="8"/>
      <c r="O551" s="8"/>
      <c r="P551" s="8"/>
      <c r="Q551" s="8"/>
      <c r="R551" s="8"/>
      <c r="S551" s="8"/>
      <c r="T551" s="8"/>
      <c r="U551" s="8"/>
      <c r="V551" s="8"/>
      <c r="W551" s="8"/>
      <c r="X551" s="8"/>
      <c r="Y551" s="8"/>
      <c r="Z551" s="25"/>
    </row>
    <row r="552" spans="1:26">
      <c r="A552" s="8">
        <v>551</v>
      </c>
      <c r="B552" s="8"/>
      <c r="C552" s="8"/>
      <c r="D552" s="8" t="s">
        <v>1902</v>
      </c>
      <c r="E552" s="16" t="s">
        <v>1903</v>
      </c>
      <c r="F552" s="27" t="s">
        <v>1904</v>
      </c>
      <c r="G552" s="18" t="s">
        <v>1905</v>
      </c>
      <c r="H552" s="19"/>
      <c r="I552" s="20"/>
      <c r="J552" s="8">
        <f>62*1000</f>
        <v>62000</v>
      </c>
      <c r="K552" s="21">
        <v>3.9641203703703706E-2</v>
      </c>
      <c r="L552" s="22" t="s">
        <v>1381</v>
      </c>
      <c r="M552" s="8"/>
      <c r="N552" s="8"/>
      <c r="O552" s="8"/>
      <c r="P552" s="8"/>
      <c r="Q552" s="8"/>
      <c r="R552" s="8"/>
      <c r="S552" s="8"/>
      <c r="T552" s="8"/>
      <c r="U552" s="8"/>
      <c r="V552" s="8"/>
      <c r="W552" s="8"/>
      <c r="X552" s="8"/>
      <c r="Y552" s="8"/>
      <c r="Z552" s="25"/>
    </row>
    <row r="553" spans="1:26">
      <c r="A553" s="8">
        <v>552</v>
      </c>
      <c r="B553" s="8"/>
      <c r="C553" s="8"/>
      <c r="D553" s="8" t="s">
        <v>1906</v>
      </c>
      <c r="E553" s="16" t="s">
        <v>1907</v>
      </c>
      <c r="F553" s="17" t="s">
        <v>1908</v>
      </c>
      <c r="G553" s="18" t="s">
        <v>96</v>
      </c>
      <c r="H553" s="19"/>
      <c r="I553" s="20"/>
      <c r="J553" s="8">
        <f>7*1000</f>
        <v>7000</v>
      </c>
      <c r="K553" s="21">
        <v>1.9328703703703704E-3</v>
      </c>
      <c r="L553" s="22" t="s">
        <v>1381</v>
      </c>
      <c r="M553" s="8"/>
      <c r="N553" s="8"/>
      <c r="O553" s="8"/>
      <c r="P553" s="8"/>
      <c r="Q553" s="8"/>
      <c r="R553" s="8"/>
      <c r="S553" s="8"/>
      <c r="T553" s="8"/>
      <c r="U553" s="8"/>
      <c r="V553" s="8"/>
      <c r="W553" s="8"/>
      <c r="X553" s="8"/>
      <c r="Y553" s="8"/>
      <c r="Z553" s="25"/>
    </row>
    <row r="554" spans="1:26">
      <c r="A554" s="8">
        <v>553</v>
      </c>
      <c r="B554" s="8"/>
      <c r="C554" s="8"/>
      <c r="D554" s="8" t="s">
        <v>1909</v>
      </c>
      <c r="E554" s="16" t="s">
        <v>1910</v>
      </c>
      <c r="F554" s="27" t="s">
        <v>1911</v>
      </c>
      <c r="G554" s="18" t="s">
        <v>144</v>
      </c>
      <c r="H554" s="19"/>
      <c r="I554" s="20"/>
      <c r="J554" s="8">
        <f>1.7*1000</f>
        <v>1700</v>
      </c>
      <c r="K554" s="21">
        <v>1.8842592592592591E-2</v>
      </c>
      <c r="L554" s="22" t="s">
        <v>1381</v>
      </c>
      <c r="M554" s="8"/>
      <c r="N554" s="8"/>
      <c r="O554" s="8"/>
      <c r="P554" s="8"/>
      <c r="Q554" s="8"/>
      <c r="R554" s="8"/>
      <c r="S554" s="8"/>
      <c r="T554" s="8"/>
      <c r="U554" s="8"/>
      <c r="V554" s="8"/>
      <c r="W554" s="8"/>
      <c r="X554" s="8"/>
      <c r="Y554" s="8"/>
      <c r="Z554" s="25"/>
    </row>
    <row r="555" spans="1:26">
      <c r="A555" s="8">
        <v>554</v>
      </c>
      <c r="B555" s="8"/>
      <c r="C555" s="8"/>
      <c r="D555" s="8" t="s">
        <v>1912</v>
      </c>
      <c r="E555" s="16" t="s">
        <v>1913</v>
      </c>
      <c r="F555" s="27" t="s">
        <v>1914</v>
      </c>
      <c r="G555" s="18" t="s">
        <v>597</v>
      </c>
      <c r="H555" s="19"/>
      <c r="I555" s="20"/>
      <c r="J555" s="8">
        <f>2.6*1000</f>
        <v>2600</v>
      </c>
      <c r="K555" s="21">
        <v>2.4108796296296298E-2</v>
      </c>
      <c r="L555" s="22" t="s">
        <v>1381</v>
      </c>
      <c r="M555" s="8"/>
      <c r="N555" s="8"/>
      <c r="O555" s="8"/>
      <c r="P555" s="8"/>
      <c r="Q555" s="8"/>
      <c r="R555" s="8"/>
      <c r="S555" s="8"/>
      <c r="T555" s="8"/>
      <c r="U555" s="8"/>
      <c r="V555" s="8"/>
      <c r="W555" s="8"/>
      <c r="X555" s="8"/>
      <c r="Y555" s="8"/>
      <c r="Z555" s="25"/>
    </row>
    <row r="556" spans="1:26">
      <c r="A556" s="8">
        <v>555</v>
      </c>
      <c r="B556" s="8"/>
      <c r="C556" s="8"/>
      <c r="D556" s="8" t="s">
        <v>1915</v>
      </c>
      <c r="E556" s="16" t="s">
        <v>1916</v>
      </c>
      <c r="F556" s="17" t="s">
        <v>1917</v>
      </c>
      <c r="G556" s="18">
        <v>868</v>
      </c>
      <c r="H556" s="19"/>
      <c r="I556" s="20"/>
      <c r="J556" s="8">
        <f>868</f>
        <v>868</v>
      </c>
      <c r="K556" s="21">
        <v>1.1423611111111112E-2</v>
      </c>
      <c r="L556" s="22" t="s">
        <v>1381</v>
      </c>
      <c r="M556" s="8"/>
      <c r="N556" s="8"/>
      <c r="O556" s="8"/>
      <c r="P556" s="8"/>
      <c r="Q556" s="8"/>
      <c r="R556" s="8"/>
      <c r="S556" s="8"/>
      <c r="T556" s="8"/>
      <c r="U556" s="8"/>
      <c r="V556" s="8"/>
      <c r="W556" s="8"/>
      <c r="X556" s="8"/>
      <c r="Y556" s="8"/>
      <c r="Z556" s="25"/>
    </row>
    <row r="557" spans="1:26">
      <c r="A557" s="8">
        <v>556</v>
      </c>
      <c r="B557" s="8"/>
      <c r="C557" s="8"/>
      <c r="D557" s="8" t="s">
        <v>1918</v>
      </c>
      <c r="E557" s="16" t="s">
        <v>1919</v>
      </c>
      <c r="F557" s="29" t="s">
        <v>1920</v>
      </c>
      <c r="G557" s="18" t="s">
        <v>510</v>
      </c>
      <c r="H557" s="19"/>
      <c r="I557" s="20"/>
      <c r="J557" s="8">
        <f>3.7*1000</f>
        <v>3700</v>
      </c>
      <c r="K557" s="21">
        <v>6.7870370370370373E-2</v>
      </c>
      <c r="L557" s="22" t="s">
        <v>1381</v>
      </c>
      <c r="M557" s="8"/>
      <c r="N557" s="8"/>
      <c r="O557" s="8"/>
      <c r="P557" s="8"/>
      <c r="Q557" s="8"/>
      <c r="R557" s="8"/>
      <c r="S557" s="8"/>
      <c r="T557" s="8"/>
      <c r="U557" s="8"/>
      <c r="V557" s="8"/>
      <c r="W557" s="8"/>
      <c r="X557" s="8"/>
      <c r="Y557" s="8"/>
      <c r="Z557" s="25"/>
    </row>
    <row r="558" spans="1:26">
      <c r="A558" s="8">
        <v>557</v>
      </c>
      <c r="B558" s="8"/>
      <c r="C558" s="8"/>
      <c r="D558" s="8" t="s">
        <v>1921</v>
      </c>
      <c r="E558" s="16" t="s">
        <v>1922</v>
      </c>
      <c r="F558" s="29" t="s">
        <v>1923</v>
      </c>
      <c r="G558" s="18" t="s">
        <v>1540</v>
      </c>
      <c r="H558" s="19"/>
      <c r="I558" s="20"/>
      <c r="J558" s="8">
        <f>6.4*1000</f>
        <v>6400</v>
      </c>
      <c r="K558" s="21">
        <v>4.1689814814814818E-2</v>
      </c>
      <c r="L558" s="22" t="s">
        <v>1381</v>
      </c>
      <c r="M558" s="8"/>
      <c r="N558" s="8"/>
      <c r="O558" s="8"/>
      <c r="P558" s="8"/>
      <c r="Q558" s="8"/>
      <c r="R558" s="8"/>
      <c r="S558" s="8"/>
      <c r="T558" s="8"/>
      <c r="U558" s="8"/>
      <c r="V558" s="8"/>
      <c r="W558" s="8"/>
      <c r="X558" s="8"/>
      <c r="Y558" s="8"/>
      <c r="Z558" s="25"/>
    </row>
    <row r="559" spans="1:26">
      <c r="A559" s="8">
        <v>558</v>
      </c>
      <c r="B559" s="8"/>
      <c r="C559" s="8"/>
      <c r="D559" s="8" t="s">
        <v>1924</v>
      </c>
      <c r="E559" s="16" t="s">
        <v>1925</v>
      </c>
      <c r="F559" s="17" t="s">
        <v>458</v>
      </c>
      <c r="G559" s="18">
        <v>704</v>
      </c>
      <c r="H559" s="19"/>
      <c r="I559" s="20"/>
      <c r="J559" s="8">
        <f>704</f>
        <v>704</v>
      </c>
      <c r="K559" s="21">
        <v>5.0347222222222225E-3</v>
      </c>
      <c r="L559" s="22" t="s">
        <v>1381</v>
      </c>
      <c r="M559" s="8"/>
      <c r="N559" s="8"/>
      <c r="O559" s="8"/>
      <c r="P559" s="8"/>
      <c r="Q559" s="8"/>
      <c r="R559" s="8"/>
      <c r="S559" s="8"/>
      <c r="T559" s="8"/>
      <c r="U559" s="8"/>
      <c r="V559" s="8"/>
      <c r="W559" s="8"/>
      <c r="X559" s="8"/>
      <c r="Y559" s="8"/>
      <c r="Z559" s="25"/>
    </row>
    <row r="560" spans="1:26">
      <c r="A560" s="8">
        <v>559</v>
      </c>
      <c r="B560" s="8"/>
      <c r="C560" s="8"/>
      <c r="D560" s="8" t="s">
        <v>1926</v>
      </c>
      <c r="E560" s="16" t="s">
        <v>1927</v>
      </c>
      <c r="F560" s="17" t="s">
        <v>1928</v>
      </c>
      <c r="G560" s="18">
        <v>692</v>
      </c>
      <c r="H560" s="19"/>
      <c r="I560" s="20"/>
      <c r="J560" s="8">
        <f>692</f>
        <v>692</v>
      </c>
      <c r="K560" s="21">
        <v>6.4351851851851861E-3</v>
      </c>
      <c r="L560" s="22" t="s">
        <v>1381</v>
      </c>
      <c r="M560" s="8"/>
      <c r="N560" s="8"/>
      <c r="O560" s="8"/>
      <c r="P560" s="8"/>
      <c r="Q560" s="8"/>
      <c r="R560" s="8"/>
      <c r="S560" s="8"/>
      <c r="T560" s="8"/>
      <c r="U560" s="8"/>
      <c r="V560" s="8"/>
      <c r="W560" s="8"/>
      <c r="X560" s="8"/>
      <c r="Y560" s="8"/>
      <c r="Z560" s="25"/>
    </row>
    <row r="561" spans="1:26">
      <c r="A561" s="8">
        <v>560</v>
      </c>
      <c r="B561" s="8"/>
      <c r="C561" s="8"/>
      <c r="D561" s="8" t="s">
        <v>1929</v>
      </c>
      <c r="E561" s="16" t="s">
        <v>1930</v>
      </c>
      <c r="F561" s="29" t="s">
        <v>1931</v>
      </c>
      <c r="G561" s="18" t="s">
        <v>210</v>
      </c>
      <c r="H561" s="19"/>
      <c r="I561" s="20"/>
      <c r="J561" s="8">
        <f>3.6*1000</f>
        <v>3600</v>
      </c>
      <c r="K561" s="21">
        <v>4.4004629629629623E-2</v>
      </c>
      <c r="L561" s="22" t="s">
        <v>1381</v>
      </c>
      <c r="M561" s="8"/>
      <c r="N561" s="8"/>
      <c r="O561" s="8"/>
      <c r="P561" s="8"/>
      <c r="Q561" s="8"/>
      <c r="R561" s="8"/>
      <c r="S561" s="8"/>
      <c r="T561" s="8"/>
      <c r="U561" s="8"/>
      <c r="V561" s="8"/>
      <c r="W561" s="8"/>
      <c r="X561" s="8"/>
      <c r="Y561" s="8"/>
      <c r="Z561" s="25"/>
    </row>
    <row r="562" spans="1:26">
      <c r="A562" s="8">
        <v>561</v>
      </c>
      <c r="B562" s="8"/>
      <c r="C562" s="8"/>
      <c r="D562" s="8" t="s">
        <v>1932</v>
      </c>
      <c r="E562" s="16" t="s">
        <v>1933</v>
      </c>
      <c r="F562" s="17" t="s">
        <v>1934</v>
      </c>
      <c r="G562" s="18" t="s">
        <v>350</v>
      </c>
      <c r="H562" s="19"/>
      <c r="I562" s="20"/>
      <c r="J562" s="8">
        <f>3*1000</f>
        <v>3000</v>
      </c>
      <c r="K562" s="21">
        <v>1.1157407407407408E-2</v>
      </c>
      <c r="L562" s="22" t="s">
        <v>1381</v>
      </c>
      <c r="M562" s="8"/>
      <c r="N562" s="8"/>
      <c r="O562" s="8"/>
      <c r="P562" s="8"/>
      <c r="Q562" s="8"/>
      <c r="R562" s="8"/>
      <c r="S562" s="8"/>
      <c r="T562" s="8"/>
      <c r="U562" s="8"/>
      <c r="V562" s="8"/>
      <c r="W562" s="8"/>
      <c r="X562" s="8"/>
      <c r="Y562" s="8"/>
      <c r="Z562" s="25"/>
    </row>
    <row r="563" spans="1:26">
      <c r="A563" s="8">
        <v>562</v>
      </c>
      <c r="B563" s="8"/>
      <c r="C563" s="8"/>
      <c r="D563" s="8" t="s">
        <v>1935</v>
      </c>
      <c r="E563" s="16" t="s">
        <v>1936</v>
      </c>
      <c r="F563" s="27" t="s">
        <v>1937</v>
      </c>
      <c r="G563" s="18">
        <v>953</v>
      </c>
      <c r="H563" s="19"/>
      <c r="I563" s="20"/>
      <c r="J563" s="8">
        <f>953</f>
        <v>953</v>
      </c>
      <c r="K563" s="21">
        <v>1.7037037037037038E-2</v>
      </c>
      <c r="L563" s="22" t="s">
        <v>1381</v>
      </c>
      <c r="M563" s="8"/>
      <c r="N563" s="8"/>
      <c r="O563" s="8"/>
      <c r="P563" s="8"/>
      <c r="Q563" s="8"/>
      <c r="R563" s="8"/>
      <c r="S563" s="8"/>
      <c r="T563" s="8"/>
      <c r="U563" s="8"/>
      <c r="V563" s="8"/>
      <c r="W563" s="8"/>
      <c r="X563" s="8"/>
      <c r="Y563" s="8"/>
      <c r="Z563" s="25"/>
    </row>
    <row r="564" spans="1:26">
      <c r="A564" s="8">
        <v>563</v>
      </c>
      <c r="B564" s="8"/>
      <c r="C564" s="8"/>
      <c r="D564" s="8" t="s">
        <v>1938</v>
      </c>
      <c r="E564" s="16" t="s">
        <v>1939</v>
      </c>
      <c r="F564" s="17" t="s">
        <v>1069</v>
      </c>
      <c r="G564" s="18">
        <v>851</v>
      </c>
      <c r="H564" s="19"/>
      <c r="I564" s="20"/>
      <c r="J564" s="8">
        <f>851</f>
        <v>851</v>
      </c>
      <c r="K564" s="21">
        <v>8.8541666666666664E-3</v>
      </c>
      <c r="L564" s="22" t="s">
        <v>1381</v>
      </c>
      <c r="M564" s="8"/>
      <c r="N564" s="8"/>
      <c r="O564" s="8"/>
      <c r="P564" s="8"/>
      <c r="Q564" s="8"/>
      <c r="R564" s="8"/>
      <c r="S564" s="8"/>
      <c r="T564" s="8"/>
      <c r="U564" s="8"/>
      <c r="V564" s="8"/>
      <c r="W564" s="8"/>
      <c r="X564" s="8"/>
      <c r="Y564" s="8"/>
      <c r="Z564" s="25"/>
    </row>
    <row r="565" spans="1:26">
      <c r="A565" s="8">
        <v>564</v>
      </c>
      <c r="B565" s="8"/>
      <c r="C565" s="8"/>
      <c r="D565" s="8" t="s">
        <v>1940</v>
      </c>
      <c r="E565" s="16" t="s">
        <v>1941</v>
      </c>
      <c r="F565" s="17" t="s">
        <v>1942</v>
      </c>
      <c r="G565" s="18">
        <v>454</v>
      </c>
      <c r="H565" s="19"/>
      <c r="I565" s="20"/>
      <c r="J565" s="8">
        <f>454</f>
        <v>454</v>
      </c>
      <c r="K565" s="21">
        <v>7.0254629629629634E-3</v>
      </c>
      <c r="L565" s="22" t="s">
        <v>1381</v>
      </c>
      <c r="M565" s="8"/>
      <c r="N565" s="8"/>
      <c r="O565" s="8"/>
      <c r="P565" s="8"/>
      <c r="Q565" s="8"/>
      <c r="R565" s="8"/>
      <c r="S565" s="8"/>
      <c r="T565" s="8"/>
      <c r="U565" s="8"/>
      <c r="V565" s="8"/>
      <c r="W565" s="8"/>
      <c r="X565" s="8"/>
      <c r="Y565" s="8"/>
      <c r="Z565" s="25"/>
    </row>
    <row r="566" spans="1:26">
      <c r="A566" s="8">
        <v>565</v>
      </c>
      <c r="B566" s="8"/>
      <c r="C566" s="8"/>
      <c r="D566" s="8" t="s">
        <v>1943</v>
      </c>
      <c r="E566" s="16" t="s">
        <v>1944</v>
      </c>
      <c r="F566" s="17" t="s">
        <v>1945</v>
      </c>
      <c r="G566" s="18">
        <v>979</v>
      </c>
      <c r="H566" s="19"/>
      <c r="I566" s="20"/>
      <c r="J566" s="8">
        <f>979</f>
        <v>979</v>
      </c>
      <c r="K566" s="21">
        <v>9.8495370370370369E-3</v>
      </c>
      <c r="L566" s="22" t="s">
        <v>1381</v>
      </c>
      <c r="M566" s="8"/>
      <c r="N566" s="8"/>
      <c r="O566" s="8"/>
      <c r="P566" s="8"/>
      <c r="Q566" s="8"/>
      <c r="R566" s="8"/>
      <c r="S566" s="8"/>
      <c r="T566" s="8"/>
      <c r="U566" s="8"/>
      <c r="V566" s="8"/>
      <c r="W566" s="8"/>
      <c r="X566" s="8"/>
      <c r="Y566" s="8"/>
      <c r="Z566" s="25"/>
    </row>
    <row r="567" spans="1:26">
      <c r="A567" s="8">
        <v>566</v>
      </c>
      <c r="B567" s="8"/>
      <c r="C567" s="8"/>
      <c r="D567" s="8" t="s">
        <v>1946</v>
      </c>
      <c r="E567" s="16" t="s">
        <v>1947</v>
      </c>
      <c r="F567" s="17" t="s">
        <v>846</v>
      </c>
      <c r="G567" s="18">
        <v>609</v>
      </c>
      <c r="H567" s="19"/>
      <c r="I567" s="20"/>
      <c r="J567" s="8">
        <f>609</f>
        <v>609</v>
      </c>
      <c r="K567" s="21">
        <v>5.7523148148148143E-3</v>
      </c>
      <c r="L567" s="22" t="s">
        <v>1381</v>
      </c>
      <c r="M567" s="8"/>
      <c r="N567" s="8"/>
      <c r="O567" s="8"/>
      <c r="P567" s="8"/>
      <c r="Q567" s="8"/>
      <c r="R567" s="8"/>
      <c r="S567" s="8"/>
      <c r="T567" s="8"/>
      <c r="U567" s="8"/>
      <c r="V567" s="8"/>
      <c r="W567" s="8"/>
      <c r="X567" s="8"/>
      <c r="Y567" s="8"/>
      <c r="Z567" s="25"/>
    </row>
    <row r="568" spans="1:26">
      <c r="A568" s="8">
        <v>567</v>
      </c>
      <c r="B568" s="8"/>
      <c r="C568" s="8"/>
      <c r="D568" s="8" t="s">
        <v>1948</v>
      </c>
      <c r="E568" s="16" t="s">
        <v>1949</v>
      </c>
      <c r="F568" s="17" t="s">
        <v>1950</v>
      </c>
      <c r="G568" s="18" t="s">
        <v>214</v>
      </c>
      <c r="H568" s="19"/>
      <c r="I568" s="20"/>
      <c r="J568" s="8">
        <f>1*1000</f>
        <v>1000</v>
      </c>
      <c r="K568" s="21">
        <v>3.5069444444444445E-3</v>
      </c>
      <c r="L568" s="22" t="s">
        <v>1381</v>
      </c>
      <c r="M568" s="8"/>
      <c r="N568" s="8"/>
      <c r="O568" s="8"/>
      <c r="P568" s="8"/>
      <c r="Q568" s="8"/>
      <c r="R568" s="8"/>
      <c r="S568" s="8"/>
      <c r="T568" s="8"/>
      <c r="U568" s="8"/>
      <c r="V568" s="8"/>
      <c r="W568" s="8"/>
      <c r="X568" s="8"/>
      <c r="Y568" s="8"/>
      <c r="Z568" s="25"/>
    </row>
    <row r="569" spans="1:26">
      <c r="A569" s="8">
        <v>568</v>
      </c>
      <c r="B569" s="8"/>
      <c r="C569" s="8"/>
      <c r="D569" s="8" t="s">
        <v>1951</v>
      </c>
      <c r="E569" s="16" t="s">
        <v>1952</v>
      </c>
      <c r="F569" s="29" t="s">
        <v>1953</v>
      </c>
      <c r="G569" s="18" t="s">
        <v>1827</v>
      </c>
      <c r="H569" s="19"/>
      <c r="I569" s="20"/>
      <c r="J569" s="8">
        <f>4.8*1000</f>
        <v>4800</v>
      </c>
      <c r="K569" s="21">
        <v>4.5162037037037035E-2</v>
      </c>
      <c r="L569" s="22" t="s">
        <v>1381</v>
      </c>
      <c r="M569" s="8"/>
      <c r="N569" s="8"/>
      <c r="O569" s="8"/>
      <c r="P569" s="8"/>
      <c r="Q569" s="8"/>
      <c r="R569" s="8"/>
      <c r="S569" s="8"/>
      <c r="T569" s="8"/>
      <c r="U569" s="8"/>
      <c r="V569" s="8"/>
      <c r="W569" s="8"/>
      <c r="X569" s="8"/>
      <c r="Y569" s="8"/>
      <c r="Z569" s="25"/>
    </row>
    <row r="570" spans="1:26">
      <c r="A570" s="8">
        <v>569</v>
      </c>
      <c r="B570" s="8"/>
      <c r="C570" s="8"/>
      <c r="D570" s="8" t="s">
        <v>1954</v>
      </c>
      <c r="E570" s="16" t="s">
        <v>1955</v>
      </c>
      <c r="F570" s="17" t="s">
        <v>1956</v>
      </c>
      <c r="G570" s="18" t="s">
        <v>1957</v>
      </c>
      <c r="H570" s="19"/>
      <c r="I570" s="20"/>
      <c r="J570" s="8">
        <f>3.4*1000</f>
        <v>3400</v>
      </c>
      <c r="K570" s="21">
        <v>1.5694444444444445E-2</v>
      </c>
      <c r="L570" s="22" t="s">
        <v>1381</v>
      </c>
      <c r="M570" s="8"/>
      <c r="N570" s="8"/>
      <c r="O570" s="8"/>
      <c r="P570" s="8"/>
      <c r="Q570" s="8"/>
      <c r="R570" s="8"/>
      <c r="S570" s="8"/>
      <c r="T570" s="8"/>
      <c r="U570" s="8"/>
      <c r="V570" s="8"/>
      <c r="W570" s="8"/>
      <c r="X570" s="8"/>
      <c r="Y570" s="8"/>
      <c r="Z570" s="25"/>
    </row>
    <row r="571" spans="1:26">
      <c r="A571" s="8">
        <v>570</v>
      </c>
      <c r="B571" s="8"/>
      <c r="C571" s="8"/>
      <c r="D571" s="8" t="s">
        <v>1958</v>
      </c>
      <c r="E571" s="16" t="s">
        <v>1959</v>
      </c>
      <c r="F571" s="27" t="s">
        <v>1960</v>
      </c>
      <c r="G571" s="18">
        <v>962</v>
      </c>
      <c r="H571" s="19"/>
      <c r="I571" s="20"/>
      <c r="J571" s="8">
        <f>962</f>
        <v>962</v>
      </c>
      <c r="K571" s="21">
        <v>1.6747685185185185E-2</v>
      </c>
      <c r="L571" s="22" t="s">
        <v>1381</v>
      </c>
      <c r="M571" s="8"/>
      <c r="N571" s="8"/>
      <c r="O571" s="8"/>
      <c r="P571" s="8"/>
      <c r="Q571" s="8"/>
      <c r="R571" s="8"/>
      <c r="S571" s="8"/>
      <c r="T571" s="8"/>
      <c r="U571" s="8"/>
      <c r="V571" s="8"/>
      <c r="W571" s="8"/>
      <c r="X571" s="8"/>
      <c r="Y571" s="8"/>
      <c r="Z571" s="25"/>
    </row>
    <row r="572" spans="1:26">
      <c r="A572" s="8">
        <v>571</v>
      </c>
      <c r="B572" s="8"/>
      <c r="C572" s="8"/>
      <c r="D572" s="8" t="s">
        <v>1961</v>
      </c>
      <c r="E572" s="16" t="s">
        <v>1962</v>
      </c>
      <c r="F572" s="27" t="s">
        <v>1963</v>
      </c>
      <c r="G572" s="18" t="s">
        <v>1312</v>
      </c>
      <c r="H572" s="19"/>
      <c r="I572" s="20"/>
      <c r="J572" s="8">
        <f>2.2*1000</f>
        <v>2200</v>
      </c>
      <c r="K572" s="21">
        <v>3.4351851851851849E-2</v>
      </c>
      <c r="L572" s="22" t="s">
        <v>1381</v>
      </c>
      <c r="M572" s="8"/>
      <c r="N572" s="8"/>
      <c r="O572" s="8"/>
      <c r="P572" s="8"/>
      <c r="Q572" s="8"/>
      <c r="R572" s="8"/>
      <c r="S572" s="8"/>
      <c r="T572" s="8"/>
      <c r="U572" s="8"/>
      <c r="V572" s="8"/>
      <c r="W572" s="8"/>
      <c r="X572" s="8"/>
      <c r="Y572" s="8"/>
      <c r="Z572" s="25"/>
    </row>
    <row r="573" spans="1:26">
      <c r="A573" s="8">
        <v>572</v>
      </c>
      <c r="B573" s="8"/>
      <c r="C573" s="8"/>
      <c r="D573" s="8" t="s">
        <v>1964</v>
      </c>
      <c r="E573" s="16" t="s">
        <v>1965</v>
      </c>
      <c r="F573" s="17" t="s">
        <v>1966</v>
      </c>
      <c r="G573" s="18">
        <v>641</v>
      </c>
      <c r="H573" s="19"/>
      <c r="I573" s="20"/>
      <c r="J573" s="8">
        <f>641</f>
        <v>641</v>
      </c>
      <c r="K573" s="21">
        <v>6.4699074074074069E-3</v>
      </c>
      <c r="L573" s="22" t="s">
        <v>1381</v>
      </c>
      <c r="M573" s="8"/>
      <c r="N573" s="8"/>
      <c r="O573" s="8"/>
      <c r="P573" s="8"/>
      <c r="Q573" s="8"/>
      <c r="R573" s="8"/>
      <c r="S573" s="8"/>
      <c r="T573" s="8"/>
      <c r="U573" s="8"/>
      <c r="V573" s="8"/>
      <c r="W573" s="8"/>
      <c r="X573" s="8"/>
      <c r="Y573" s="8"/>
      <c r="Z573" s="25"/>
    </row>
    <row r="574" spans="1:26">
      <c r="A574" s="8">
        <v>573</v>
      </c>
      <c r="B574" s="8"/>
      <c r="C574" s="8"/>
      <c r="D574" s="8" t="s">
        <v>1967</v>
      </c>
      <c r="E574" s="16" t="s">
        <v>1968</v>
      </c>
      <c r="F574" s="17" t="s">
        <v>1318</v>
      </c>
      <c r="G574" s="18" t="s">
        <v>396</v>
      </c>
      <c r="H574" s="19"/>
      <c r="I574" s="20"/>
      <c r="J574" s="8">
        <f>1.1*1000</f>
        <v>1100</v>
      </c>
      <c r="K574" s="21">
        <v>2.5000000000000001E-3</v>
      </c>
      <c r="L574" s="22" t="s">
        <v>1381</v>
      </c>
      <c r="M574" s="8"/>
      <c r="N574" s="8"/>
      <c r="O574" s="8"/>
      <c r="P574" s="8"/>
      <c r="Q574" s="8"/>
      <c r="R574" s="8"/>
      <c r="S574" s="8"/>
      <c r="T574" s="8"/>
      <c r="U574" s="8"/>
      <c r="V574" s="8"/>
      <c r="W574" s="8"/>
      <c r="X574" s="8"/>
      <c r="Y574" s="8"/>
      <c r="Z574" s="25"/>
    </row>
    <row r="575" spans="1:26">
      <c r="A575" s="8">
        <v>574</v>
      </c>
      <c r="B575" s="8"/>
      <c r="C575" s="8"/>
      <c r="D575" s="8" t="s">
        <v>1969</v>
      </c>
      <c r="E575" s="16" t="s">
        <v>1970</v>
      </c>
      <c r="F575" s="27" t="s">
        <v>1971</v>
      </c>
      <c r="G575" s="18" t="s">
        <v>264</v>
      </c>
      <c r="H575" s="19"/>
      <c r="I575" s="20"/>
      <c r="J575" s="8">
        <f>14*1000</f>
        <v>14000</v>
      </c>
      <c r="K575" s="21">
        <v>2.8460648148148148E-2</v>
      </c>
      <c r="L575" s="22" t="s">
        <v>1972</v>
      </c>
      <c r="M575" s="8"/>
      <c r="N575" s="8"/>
      <c r="O575" s="8"/>
      <c r="P575" s="8"/>
      <c r="Q575" s="8"/>
      <c r="R575" s="8"/>
      <c r="S575" s="8"/>
      <c r="T575" s="8"/>
      <c r="U575" s="8"/>
      <c r="V575" s="8"/>
      <c r="W575" s="8"/>
      <c r="X575" s="8"/>
      <c r="Y575" s="8"/>
      <c r="Z575" s="25"/>
    </row>
    <row r="576" spans="1:26">
      <c r="A576" s="8">
        <v>575</v>
      </c>
      <c r="B576" s="8"/>
      <c r="C576" s="8"/>
      <c r="D576" s="8" t="s">
        <v>1973</v>
      </c>
      <c r="E576" s="16" t="s">
        <v>1974</v>
      </c>
      <c r="F576" s="17" t="s">
        <v>1975</v>
      </c>
      <c r="G576" s="18" t="s">
        <v>770</v>
      </c>
      <c r="H576" s="19"/>
      <c r="I576" s="20"/>
      <c r="J576" s="8">
        <f>2.7*1000</f>
        <v>2700</v>
      </c>
      <c r="K576" s="21">
        <v>1.3287037037037036E-2</v>
      </c>
      <c r="L576" s="22" t="s">
        <v>1972</v>
      </c>
      <c r="M576" s="8"/>
      <c r="N576" s="8"/>
      <c r="O576" s="8"/>
      <c r="P576" s="8"/>
      <c r="Q576" s="8"/>
      <c r="R576" s="8"/>
      <c r="S576" s="8"/>
      <c r="T576" s="8"/>
      <c r="U576" s="8"/>
      <c r="V576" s="8"/>
      <c r="W576" s="8"/>
      <c r="X576" s="8"/>
      <c r="Y576" s="8"/>
      <c r="Z576" s="25"/>
    </row>
    <row r="577" spans="1:26">
      <c r="A577" s="8">
        <v>576</v>
      </c>
      <c r="B577" s="8"/>
      <c r="C577" s="8"/>
      <c r="D577" s="8" t="s">
        <v>1976</v>
      </c>
      <c r="E577" s="16" t="s">
        <v>1977</v>
      </c>
      <c r="F577" s="27" t="s">
        <v>1978</v>
      </c>
      <c r="G577" s="18" t="s">
        <v>249</v>
      </c>
      <c r="H577" s="19"/>
      <c r="I577" s="20"/>
      <c r="J577" s="8">
        <f>2.4*1000</f>
        <v>2400</v>
      </c>
      <c r="K577" s="21">
        <v>2.1909722222222223E-2</v>
      </c>
      <c r="L577" s="22" t="s">
        <v>1972</v>
      </c>
      <c r="M577" s="8"/>
      <c r="N577" s="8"/>
      <c r="O577" s="8"/>
      <c r="P577" s="8"/>
      <c r="Q577" s="8"/>
      <c r="R577" s="8"/>
      <c r="S577" s="8"/>
      <c r="T577" s="8"/>
      <c r="U577" s="8"/>
      <c r="V577" s="8"/>
      <c r="W577" s="8"/>
      <c r="X577" s="8"/>
      <c r="Y577" s="8"/>
      <c r="Z577" s="25"/>
    </row>
    <row r="578" spans="1:26">
      <c r="A578" s="8">
        <v>577</v>
      </c>
      <c r="B578" s="8"/>
      <c r="C578" s="8"/>
      <c r="D578" s="8" t="s">
        <v>1979</v>
      </c>
      <c r="E578" s="16" t="s">
        <v>1980</v>
      </c>
      <c r="F578" s="17" t="s">
        <v>1581</v>
      </c>
      <c r="G578" s="18" t="s">
        <v>374</v>
      </c>
      <c r="H578" s="19"/>
      <c r="I578" s="20"/>
      <c r="J578" s="8">
        <f>1.3*1000</f>
        <v>1300</v>
      </c>
      <c r="K578" s="21">
        <v>2.4537037037037036E-3</v>
      </c>
      <c r="L578" s="22" t="s">
        <v>1972</v>
      </c>
      <c r="M578" s="8"/>
      <c r="N578" s="8"/>
      <c r="O578" s="8"/>
      <c r="P578" s="8"/>
      <c r="Q578" s="8"/>
      <c r="R578" s="8"/>
      <c r="S578" s="8"/>
      <c r="T578" s="8"/>
      <c r="U578" s="8"/>
      <c r="V578" s="8"/>
      <c r="W578" s="8"/>
      <c r="X578" s="8"/>
      <c r="Y578" s="8"/>
      <c r="Z578" s="25"/>
    </row>
    <row r="579" spans="1:26">
      <c r="A579" s="8">
        <v>578</v>
      </c>
      <c r="B579" s="8"/>
      <c r="C579" s="8"/>
      <c r="D579" s="8" t="s">
        <v>1981</v>
      </c>
      <c r="E579" s="16" t="s">
        <v>1982</v>
      </c>
      <c r="F579" s="27" t="s">
        <v>1866</v>
      </c>
      <c r="G579" s="18" t="s">
        <v>1983</v>
      </c>
      <c r="H579" s="19"/>
      <c r="I579" s="20"/>
      <c r="J579" s="8">
        <f>6.5*1000</f>
        <v>6500</v>
      </c>
      <c r="K579" s="21">
        <v>2.7986111111111111E-2</v>
      </c>
      <c r="L579" s="22" t="s">
        <v>1972</v>
      </c>
      <c r="M579" s="8"/>
      <c r="N579" s="8"/>
      <c r="O579" s="8"/>
      <c r="P579" s="8"/>
      <c r="Q579" s="8"/>
      <c r="R579" s="8"/>
      <c r="S579" s="8"/>
      <c r="T579" s="8"/>
      <c r="U579" s="8"/>
      <c r="V579" s="8"/>
      <c r="W579" s="8"/>
      <c r="X579" s="8"/>
      <c r="Y579" s="8"/>
      <c r="Z579" s="25"/>
    </row>
    <row r="580" spans="1:26">
      <c r="A580" s="8">
        <v>579</v>
      </c>
      <c r="B580" s="8"/>
      <c r="C580" s="8"/>
      <c r="D580" s="8" t="s">
        <v>1984</v>
      </c>
      <c r="E580" s="16" t="s">
        <v>1985</v>
      </c>
      <c r="F580" s="29" t="s">
        <v>1986</v>
      </c>
      <c r="G580" s="18" t="s">
        <v>486</v>
      </c>
      <c r="H580" s="19"/>
      <c r="I580" s="20"/>
      <c r="J580" s="8">
        <f>7.9*1000</f>
        <v>7900</v>
      </c>
      <c r="K580" s="21">
        <v>4.5439814814814815E-2</v>
      </c>
      <c r="L580" s="22" t="s">
        <v>1972</v>
      </c>
      <c r="M580" s="8"/>
      <c r="N580" s="8"/>
      <c r="O580" s="8"/>
      <c r="P580" s="8"/>
      <c r="Q580" s="8"/>
      <c r="R580" s="8"/>
      <c r="S580" s="8"/>
      <c r="T580" s="8"/>
      <c r="U580" s="8"/>
      <c r="V580" s="8"/>
      <c r="W580" s="8"/>
      <c r="X580" s="8"/>
      <c r="Y580" s="8"/>
      <c r="Z580" s="25"/>
    </row>
    <row r="581" spans="1:26">
      <c r="A581" s="8">
        <v>580</v>
      </c>
      <c r="B581" s="8"/>
      <c r="C581" s="8"/>
      <c r="D581" s="8" t="s">
        <v>1987</v>
      </c>
      <c r="E581" s="16" t="s">
        <v>1988</v>
      </c>
      <c r="F581" s="17" t="s">
        <v>864</v>
      </c>
      <c r="G581" s="18">
        <v>520</v>
      </c>
      <c r="H581" s="19"/>
      <c r="I581" s="20"/>
      <c r="J581" s="8">
        <f>520</f>
        <v>520</v>
      </c>
      <c r="K581" s="21">
        <v>1.3541666666666667E-3</v>
      </c>
      <c r="L581" s="22" t="s">
        <v>1972</v>
      </c>
      <c r="M581" s="8"/>
      <c r="N581" s="8"/>
      <c r="O581" s="8"/>
      <c r="P581" s="8"/>
      <c r="Q581" s="8"/>
      <c r="R581" s="8"/>
      <c r="S581" s="8"/>
      <c r="T581" s="8"/>
      <c r="U581" s="8"/>
      <c r="V581" s="8"/>
      <c r="W581" s="8"/>
      <c r="X581" s="8"/>
      <c r="Y581" s="8"/>
      <c r="Z581" s="25"/>
    </row>
    <row r="582" spans="1:26">
      <c r="A582" s="8">
        <v>581</v>
      </c>
      <c r="B582" s="8"/>
      <c r="C582" s="8"/>
      <c r="D582" s="8" t="s">
        <v>1989</v>
      </c>
      <c r="E582" s="16" t="s">
        <v>1990</v>
      </c>
      <c r="F582" s="17" t="s">
        <v>1991</v>
      </c>
      <c r="G582" s="18">
        <v>658</v>
      </c>
      <c r="H582" s="19"/>
      <c r="I582" s="20"/>
      <c r="J582" s="8">
        <f>658</f>
        <v>658</v>
      </c>
      <c r="K582" s="21">
        <v>3.8657407407407408E-3</v>
      </c>
      <c r="L582" s="22" t="s">
        <v>1972</v>
      </c>
      <c r="M582" s="8"/>
      <c r="N582" s="8"/>
      <c r="O582" s="8"/>
      <c r="P582" s="8"/>
      <c r="Q582" s="8"/>
      <c r="R582" s="8"/>
      <c r="S582" s="8"/>
      <c r="T582" s="8"/>
      <c r="U582" s="8"/>
      <c r="V582" s="8"/>
      <c r="W582" s="8"/>
      <c r="X582" s="8"/>
      <c r="Y582" s="8"/>
      <c r="Z582" s="25"/>
    </row>
    <row r="583" spans="1:26">
      <c r="A583" s="8">
        <v>582</v>
      </c>
      <c r="B583" s="8"/>
      <c r="C583" s="8"/>
      <c r="D583" s="8" t="s">
        <v>1992</v>
      </c>
      <c r="E583" s="16" t="s">
        <v>1993</v>
      </c>
      <c r="F583" s="17" t="s">
        <v>1746</v>
      </c>
      <c r="G583" s="18">
        <v>457</v>
      </c>
      <c r="H583" s="19"/>
      <c r="I583" s="20"/>
      <c r="J583" s="8">
        <f>457</f>
        <v>457</v>
      </c>
      <c r="K583" s="21">
        <v>2.685185185185185E-3</v>
      </c>
      <c r="L583" s="22" t="s">
        <v>1972</v>
      </c>
      <c r="M583" s="8"/>
      <c r="N583" s="8"/>
      <c r="O583" s="8"/>
      <c r="P583" s="8"/>
      <c r="Q583" s="8"/>
      <c r="R583" s="8"/>
      <c r="S583" s="8"/>
      <c r="T583" s="8"/>
      <c r="U583" s="8"/>
      <c r="V583" s="8"/>
      <c r="W583" s="8"/>
      <c r="X583" s="8"/>
      <c r="Y583" s="8"/>
      <c r="Z583" s="25"/>
    </row>
    <row r="584" spans="1:26">
      <c r="A584" s="8">
        <v>583</v>
      </c>
      <c r="B584" s="8"/>
      <c r="C584" s="8"/>
      <c r="D584" s="8" t="s">
        <v>1994</v>
      </c>
      <c r="E584" s="16" t="s">
        <v>1995</v>
      </c>
      <c r="F584" s="17" t="s">
        <v>757</v>
      </c>
      <c r="G584" s="18">
        <v>689</v>
      </c>
      <c r="H584" s="19"/>
      <c r="I584" s="20"/>
      <c r="J584" s="8">
        <f>689</f>
        <v>689</v>
      </c>
      <c r="K584" s="21">
        <v>1.4583333333333334E-3</v>
      </c>
      <c r="L584" s="22" t="s">
        <v>1972</v>
      </c>
      <c r="M584" s="8"/>
      <c r="N584" s="8"/>
      <c r="O584" s="8"/>
      <c r="P584" s="8"/>
      <c r="Q584" s="8"/>
      <c r="R584" s="8"/>
      <c r="S584" s="8"/>
      <c r="T584" s="8"/>
      <c r="U584" s="8"/>
      <c r="V584" s="8"/>
      <c r="W584" s="8"/>
      <c r="X584" s="8"/>
      <c r="Y584" s="8"/>
      <c r="Z584" s="25"/>
    </row>
    <row r="585" spans="1:26">
      <c r="A585" s="8">
        <v>584</v>
      </c>
      <c r="B585" s="8"/>
      <c r="C585" s="8"/>
      <c r="D585" s="8" t="s">
        <v>1996</v>
      </c>
      <c r="E585" s="16" t="s">
        <v>1997</v>
      </c>
      <c r="F585" s="17" t="s">
        <v>1004</v>
      </c>
      <c r="G585" s="18">
        <v>422</v>
      </c>
      <c r="H585" s="19"/>
      <c r="I585" s="20"/>
      <c r="J585" s="8">
        <f>422</f>
        <v>422</v>
      </c>
      <c r="K585" s="21">
        <v>2.627314814814815E-3</v>
      </c>
      <c r="L585" s="22" t="s">
        <v>1972</v>
      </c>
      <c r="M585" s="8"/>
      <c r="N585" s="8"/>
      <c r="O585" s="8"/>
      <c r="P585" s="8"/>
      <c r="Q585" s="8"/>
      <c r="R585" s="8"/>
      <c r="S585" s="8"/>
      <c r="T585" s="8"/>
      <c r="U585" s="8"/>
      <c r="V585" s="8"/>
      <c r="W585" s="8"/>
      <c r="X585" s="8"/>
      <c r="Y585" s="8"/>
      <c r="Z585" s="25"/>
    </row>
    <row r="586" spans="1:26">
      <c r="A586" s="8">
        <v>585</v>
      </c>
      <c r="B586" s="8"/>
      <c r="C586" s="8"/>
      <c r="D586" s="8" t="s">
        <v>1998</v>
      </c>
      <c r="E586" s="16" t="s">
        <v>1999</v>
      </c>
      <c r="F586" s="17" t="s">
        <v>1543</v>
      </c>
      <c r="G586" s="18">
        <v>393</v>
      </c>
      <c r="H586" s="19"/>
      <c r="I586" s="20"/>
      <c r="J586" s="8">
        <f>393</f>
        <v>393</v>
      </c>
      <c r="K586" s="21">
        <v>2.0486111111111113E-3</v>
      </c>
      <c r="L586" s="22" t="s">
        <v>1972</v>
      </c>
      <c r="M586" s="8"/>
      <c r="N586" s="8"/>
      <c r="O586" s="8"/>
      <c r="P586" s="8"/>
      <c r="Q586" s="8"/>
      <c r="R586" s="8"/>
      <c r="S586" s="8"/>
      <c r="T586" s="8"/>
      <c r="U586" s="8"/>
      <c r="V586" s="8"/>
      <c r="W586" s="8"/>
      <c r="X586" s="8"/>
      <c r="Y586" s="8"/>
      <c r="Z586" s="25"/>
    </row>
    <row r="587" spans="1:26">
      <c r="A587" s="8">
        <v>586</v>
      </c>
      <c r="B587" s="8"/>
      <c r="C587" s="8"/>
      <c r="D587" s="8" t="s">
        <v>2000</v>
      </c>
      <c r="E587" s="16" t="s">
        <v>2001</v>
      </c>
      <c r="F587" s="17" t="s">
        <v>441</v>
      </c>
      <c r="G587" s="18">
        <v>397</v>
      </c>
      <c r="H587" s="19"/>
      <c r="I587" s="20"/>
      <c r="J587" s="8">
        <f>397</f>
        <v>397</v>
      </c>
      <c r="K587" s="21">
        <v>2.0138888888888888E-3</v>
      </c>
      <c r="L587" s="22" t="s">
        <v>1972</v>
      </c>
      <c r="M587" s="8"/>
      <c r="N587" s="8"/>
      <c r="O587" s="8"/>
      <c r="P587" s="8"/>
      <c r="Q587" s="8"/>
      <c r="R587" s="8"/>
      <c r="S587" s="8"/>
      <c r="T587" s="8"/>
      <c r="U587" s="8"/>
      <c r="V587" s="8"/>
      <c r="W587" s="8"/>
      <c r="X587" s="8"/>
      <c r="Y587" s="8"/>
      <c r="Z587" s="25"/>
    </row>
    <row r="588" spans="1:26">
      <c r="A588" s="8">
        <v>587</v>
      </c>
      <c r="B588" s="8"/>
      <c r="C588" s="8"/>
      <c r="D588" s="8" t="s">
        <v>2002</v>
      </c>
      <c r="E588" s="16" t="s">
        <v>2003</v>
      </c>
      <c r="F588" s="17" t="s">
        <v>1641</v>
      </c>
      <c r="G588" s="18" t="s">
        <v>214</v>
      </c>
      <c r="H588" s="19"/>
      <c r="I588" s="20"/>
      <c r="J588" s="8">
        <f>1*1000</f>
        <v>1000</v>
      </c>
      <c r="K588" s="21">
        <v>1.6666666666666668E-3</v>
      </c>
      <c r="L588" s="22" t="s">
        <v>1972</v>
      </c>
      <c r="M588" s="8"/>
      <c r="N588" s="8"/>
      <c r="O588" s="8"/>
      <c r="P588" s="8"/>
      <c r="Q588" s="8"/>
      <c r="R588" s="8"/>
      <c r="S588" s="8"/>
      <c r="T588" s="8"/>
      <c r="U588" s="8"/>
      <c r="V588" s="8"/>
      <c r="W588" s="8"/>
      <c r="X588" s="8"/>
      <c r="Y588" s="8"/>
      <c r="Z588" s="25"/>
    </row>
    <row r="589" spans="1:26">
      <c r="A589" s="8">
        <v>588</v>
      </c>
      <c r="B589" s="8"/>
      <c r="C589" s="8"/>
      <c r="D589" s="8" t="s">
        <v>2004</v>
      </c>
      <c r="E589" s="16" t="s">
        <v>2005</v>
      </c>
      <c r="F589" s="17" t="s">
        <v>2006</v>
      </c>
      <c r="G589" s="18">
        <v>506</v>
      </c>
      <c r="H589" s="19"/>
      <c r="I589" s="20"/>
      <c r="J589" s="8">
        <f>506</f>
        <v>506</v>
      </c>
      <c r="K589" s="21">
        <v>2.9166666666666668E-3</v>
      </c>
      <c r="L589" s="22" t="s">
        <v>1972</v>
      </c>
      <c r="M589" s="8"/>
      <c r="N589" s="8"/>
      <c r="O589" s="8"/>
      <c r="P589" s="8"/>
      <c r="Q589" s="8"/>
      <c r="R589" s="8"/>
      <c r="S589" s="8"/>
      <c r="T589" s="8"/>
      <c r="U589" s="8"/>
      <c r="V589" s="8"/>
      <c r="W589" s="8"/>
      <c r="X589" s="8"/>
      <c r="Y589" s="8"/>
      <c r="Z589" s="25"/>
    </row>
    <row r="590" spans="1:26">
      <c r="A590" s="8">
        <v>589</v>
      </c>
      <c r="B590" s="8"/>
      <c r="C590" s="8"/>
      <c r="D590" s="8" t="s">
        <v>2007</v>
      </c>
      <c r="E590" s="16" t="s">
        <v>2008</v>
      </c>
      <c r="F590" s="29" t="s">
        <v>2009</v>
      </c>
      <c r="G590" s="18" t="s">
        <v>1851</v>
      </c>
      <c r="H590" s="19"/>
      <c r="I590" s="20"/>
      <c r="J590" s="8">
        <f>25*1000</f>
        <v>25000</v>
      </c>
      <c r="K590" s="21">
        <v>6.9039351851851852E-2</v>
      </c>
      <c r="L590" s="22" t="s">
        <v>1972</v>
      </c>
      <c r="M590" s="8"/>
      <c r="N590" s="8"/>
      <c r="O590" s="8"/>
      <c r="P590" s="8"/>
      <c r="Q590" s="8"/>
      <c r="R590" s="8"/>
      <c r="S590" s="8"/>
      <c r="T590" s="8"/>
      <c r="U590" s="8"/>
      <c r="V590" s="8"/>
      <c r="W590" s="8"/>
      <c r="X590" s="8"/>
      <c r="Y590" s="8"/>
      <c r="Z590" s="25"/>
    </row>
    <row r="591" spans="1:26">
      <c r="A591" s="8">
        <v>590</v>
      </c>
      <c r="B591" s="8"/>
      <c r="C591" s="8"/>
      <c r="D591" s="8" t="s">
        <v>2010</v>
      </c>
      <c r="E591" s="16" t="s">
        <v>2011</v>
      </c>
      <c r="F591" s="17" t="s">
        <v>2012</v>
      </c>
      <c r="G591" s="18">
        <v>922</v>
      </c>
      <c r="H591" s="19"/>
      <c r="I591" s="20"/>
      <c r="J591" s="8">
        <f>922</f>
        <v>922</v>
      </c>
      <c r="K591" s="21">
        <v>3.7962962962962963E-3</v>
      </c>
      <c r="L591" s="22" t="s">
        <v>1972</v>
      </c>
      <c r="M591" s="8"/>
      <c r="N591" s="8"/>
      <c r="O591" s="8"/>
      <c r="P591" s="8"/>
      <c r="Q591" s="8"/>
      <c r="R591" s="8"/>
      <c r="S591" s="8"/>
      <c r="T591" s="8"/>
      <c r="U591" s="8"/>
      <c r="V591" s="8"/>
      <c r="W591" s="8"/>
      <c r="X591" s="8"/>
      <c r="Y591" s="8"/>
      <c r="Z591" s="25"/>
    </row>
    <row r="592" spans="1:26">
      <c r="A592" s="8">
        <v>591</v>
      </c>
      <c r="B592" s="8"/>
      <c r="C592" s="8"/>
      <c r="D592" s="8" t="s">
        <v>2013</v>
      </c>
      <c r="E592" s="16" t="s">
        <v>2014</v>
      </c>
      <c r="F592" s="17" t="s">
        <v>2015</v>
      </c>
      <c r="G592" s="18">
        <v>931</v>
      </c>
      <c r="H592" s="19"/>
      <c r="I592" s="20"/>
      <c r="J592" s="8">
        <f>931</f>
        <v>931</v>
      </c>
      <c r="K592" s="21">
        <v>3.7152777777777774E-3</v>
      </c>
      <c r="L592" s="22" t="s">
        <v>2016</v>
      </c>
      <c r="M592" s="8"/>
      <c r="N592" s="8"/>
      <c r="O592" s="8"/>
      <c r="P592" s="8"/>
      <c r="Q592" s="8"/>
      <c r="R592" s="8"/>
      <c r="S592" s="8"/>
      <c r="T592" s="8"/>
      <c r="U592" s="8"/>
      <c r="V592" s="8"/>
      <c r="W592" s="8"/>
      <c r="X592" s="8"/>
      <c r="Y592" s="8"/>
      <c r="Z592" s="25"/>
    </row>
    <row r="593" spans="1:26">
      <c r="A593" s="8">
        <v>592</v>
      </c>
      <c r="B593" s="8"/>
      <c r="C593" s="8"/>
      <c r="D593" s="8" t="s">
        <v>2017</v>
      </c>
      <c r="E593" s="16" t="s">
        <v>2018</v>
      </c>
      <c r="F593" s="17" t="s">
        <v>2019</v>
      </c>
      <c r="G593" s="18">
        <v>799</v>
      </c>
      <c r="H593" s="19"/>
      <c r="I593" s="20"/>
      <c r="J593" s="8">
        <f>799</f>
        <v>799</v>
      </c>
      <c r="K593" s="21">
        <v>2.7777777777777779E-3</v>
      </c>
      <c r="L593" s="22" t="s">
        <v>2016</v>
      </c>
      <c r="M593" s="8"/>
      <c r="N593" s="8"/>
      <c r="O593" s="8"/>
      <c r="P593" s="8"/>
      <c r="Q593" s="8"/>
      <c r="R593" s="8"/>
      <c r="S593" s="8"/>
      <c r="T593" s="8"/>
      <c r="U593" s="8"/>
      <c r="V593" s="8"/>
      <c r="W593" s="8"/>
      <c r="X593" s="8"/>
      <c r="Y593" s="8"/>
      <c r="Z593" s="25"/>
    </row>
    <row r="594" spans="1:26">
      <c r="A594" s="8">
        <v>593</v>
      </c>
      <c r="B594" s="8"/>
      <c r="C594" s="8"/>
      <c r="D594" s="8" t="s">
        <v>2020</v>
      </c>
      <c r="E594" s="16" t="s">
        <v>2021</v>
      </c>
      <c r="F594" s="17" t="s">
        <v>2022</v>
      </c>
      <c r="G594" s="18">
        <v>783</v>
      </c>
      <c r="H594" s="19"/>
      <c r="I594" s="20"/>
      <c r="J594" s="8">
        <f>783</f>
        <v>783</v>
      </c>
      <c r="K594" s="21">
        <v>3.7268518518518514E-3</v>
      </c>
      <c r="L594" s="22" t="s">
        <v>2016</v>
      </c>
      <c r="M594" s="8"/>
      <c r="N594" s="8"/>
      <c r="O594" s="8"/>
      <c r="P594" s="8"/>
      <c r="Q594" s="8"/>
      <c r="R594" s="8"/>
      <c r="S594" s="8"/>
      <c r="T594" s="8"/>
      <c r="U594" s="8"/>
      <c r="V594" s="8"/>
      <c r="W594" s="8"/>
      <c r="X594" s="8"/>
      <c r="Y594" s="8"/>
      <c r="Z594" s="25"/>
    </row>
    <row r="595" spans="1:26">
      <c r="A595" s="8">
        <v>594</v>
      </c>
      <c r="B595" s="8"/>
      <c r="C595" s="8"/>
      <c r="D595" s="8" t="s">
        <v>2023</v>
      </c>
      <c r="E595" s="16" t="s">
        <v>2024</v>
      </c>
      <c r="F595" s="17" t="s">
        <v>2025</v>
      </c>
      <c r="G595" s="18" t="s">
        <v>214</v>
      </c>
      <c r="H595" s="19"/>
      <c r="I595" s="20"/>
      <c r="J595" s="8">
        <f>1*1000</f>
        <v>1000</v>
      </c>
      <c r="K595" s="21">
        <v>1.0891203703703703E-2</v>
      </c>
      <c r="L595" s="22" t="s">
        <v>2016</v>
      </c>
      <c r="M595" s="8"/>
      <c r="N595" s="8"/>
      <c r="O595" s="8"/>
      <c r="P595" s="8"/>
      <c r="Q595" s="8"/>
      <c r="R595" s="8"/>
      <c r="S595" s="8"/>
      <c r="T595" s="8"/>
      <c r="U595" s="8"/>
      <c r="V595" s="8"/>
      <c r="W595" s="8"/>
      <c r="X595" s="8"/>
      <c r="Y595" s="8"/>
      <c r="Z595" s="25"/>
    </row>
    <row r="596" spans="1:26">
      <c r="A596" s="8">
        <v>595</v>
      </c>
      <c r="B596" s="8"/>
      <c r="C596" s="8"/>
      <c r="D596" s="8" t="s">
        <v>2026</v>
      </c>
      <c r="E596" s="16" t="s">
        <v>2027</v>
      </c>
      <c r="F596" s="17" t="s">
        <v>2028</v>
      </c>
      <c r="G596" s="18" t="s">
        <v>1174</v>
      </c>
      <c r="H596" s="19"/>
      <c r="I596" s="20"/>
      <c r="J596" s="8">
        <f>13*1000</f>
        <v>13000</v>
      </c>
      <c r="K596" s="21">
        <v>1.2939814814814814E-2</v>
      </c>
      <c r="L596" s="22" t="s">
        <v>2016</v>
      </c>
      <c r="M596" s="8"/>
      <c r="N596" s="8"/>
      <c r="O596" s="8"/>
      <c r="P596" s="8"/>
      <c r="Q596" s="8"/>
      <c r="R596" s="8"/>
      <c r="S596" s="8"/>
      <c r="T596" s="8"/>
      <c r="U596" s="8"/>
      <c r="V596" s="8"/>
      <c r="W596" s="8"/>
      <c r="X596" s="8"/>
      <c r="Y596" s="8"/>
      <c r="Z596" s="25"/>
    </row>
    <row r="597" spans="1:26">
      <c r="A597" s="8">
        <v>596</v>
      </c>
      <c r="B597" s="8"/>
      <c r="C597" s="8"/>
      <c r="D597" s="8" t="s">
        <v>2029</v>
      </c>
      <c r="E597" s="16" t="s">
        <v>2030</v>
      </c>
      <c r="F597" s="27" t="s">
        <v>2031</v>
      </c>
      <c r="G597" s="18" t="s">
        <v>1046</v>
      </c>
      <c r="H597" s="19"/>
      <c r="I597" s="20"/>
      <c r="J597" s="8">
        <f>20*1000</f>
        <v>20000</v>
      </c>
      <c r="K597" s="21">
        <v>2.989583333333333E-2</v>
      </c>
      <c r="L597" s="22" t="s">
        <v>2016</v>
      </c>
      <c r="M597" s="8"/>
      <c r="N597" s="8"/>
      <c r="O597" s="8"/>
      <c r="P597" s="8"/>
      <c r="Q597" s="8"/>
      <c r="R597" s="8"/>
      <c r="S597" s="8"/>
      <c r="T597" s="8"/>
      <c r="U597" s="8"/>
      <c r="V597" s="8"/>
      <c r="W597" s="8"/>
      <c r="X597" s="8"/>
      <c r="Y597" s="8"/>
      <c r="Z597" s="25"/>
    </row>
    <row r="598" spans="1:26">
      <c r="A598" s="8">
        <v>597</v>
      </c>
      <c r="B598" s="8"/>
      <c r="C598" s="8"/>
      <c r="D598" s="8" t="s">
        <v>2032</v>
      </c>
      <c r="E598" s="16" t="s">
        <v>2033</v>
      </c>
      <c r="F598" s="27" t="s">
        <v>2034</v>
      </c>
      <c r="G598" s="18" t="s">
        <v>691</v>
      </c>
      <c r="H598" s="19"/>
      <c r="I598" s="20"/>
      <c r="J598" s="8">
        <f>5.6*1000</f>
        <v>5600</v>
      </c>
      <c r="K598" s="21">
        <v>1.7349537037037038E-2</v>
      </c>
      <c r="L598" s="22" t="s">
        <v>2016</v>
      </c>
      <c r="M598" s="8"/>
      <c r="N598" s="8"/>
      <c r="O598" s="8"/>
      <c r="P598" s="8"/>
      <c r="Q598" s="8"/>
      <c r="R598" s="8"/>
      <c r="S598" s="8"/>
      <c r="T598" s="8"/>
      <c r="U598" s="8"/>
      <c r="V598" s="8"/>
      <c r="W598" s="8"/>
      <c r="X598" s="8"/>
      <c r="Y598" s="8"/>
      <c r="Z598" s="25"/>
    </row>
    <row r="599" spans="1:26">
      <c r="A599" s="8">
        <v>598</v>
      </c>
      <c r="B599" s="8"/>
      <c r="C599" s="8"/>
      <c r="D599" s="8" t="s">
        <v>2035</v>
      </c>
      <c r="E599" s="16" t="s">
        <v>2036</v>
      </c>
      <c r="F599" s="17" t="s">
        <v>2037</v>
      </c>
      <c r="G599" s="18">
        <v>909</v>
      </c>
      <c r="H599" s="19"/>
      <c r="I599" s="20"/>
      <c r="J599" s="8">
        <f>909</f>
        <v>909</v>
      </c>
      <c r="K599" s="21">
        <v>4.9305555555555552E-3</v>
      </c>
      <c r="L599" s="22" t="s">
        <v>2016</v>
      </c>
      <c r="M599" s="8"/>
      <c r="N599" s="8"/>
      <c r="O599" s="8"/>
      <c r="P599" s="8"/>
      <c r="Q599" s="8"/>
      <c r="R599" s="8"/>
      <c r="S599" s="8"/>
      <c r="T599" s="8"/>
      <c r="U599" s="8"/>
      <c r="V599" s="8"/>
      <c r="W599" s="8"/>
      <c r="X599" s="8"/>
      <c r="Y599" s="8"/>
      <c r="Z599" s="25"/>
    </row>
    <row r="600" spans="1:26">
      <c r="A600" s="8">
        <v>599</v>
      </c>
      <c r="B600" s="8"/>
      <c r="C600" s="8"/>
      <c r="D600" s="8" t="s">
        <v>2038</v>
      </c>
      <c r="E600" s="16" t="s">
        <v>2039</v>
      </c>
      <c r="F600" s="17" t="s">
        <v>2040</v>
      </c>
      <c r="G600" s="18">
        <v>366</v>
      </c>
      <c r="H600" s="19"/>
      <c r="I600" s="20"/>
      <c r="J600" s="8">
        <f>366</f>
        <v>366</v>
      </c>
      <c r="K600" s="21">
        <v>3.9699074074074072E-3</v>
      </c>
      <c r="L600" s="22" t="s">
        <v>2016</v>
      </c>
      <c r="M600" s="8"/>
      <c r="N600" s="8"/>
      <c r="O600" s="8"/>
      <c r="P600" s="8"/>
      <c r="Q600" s="8"/>
      <c r="R600" s="8"/>
      <c r="S600" s="8"/>
      <c r="T600" s="8"/>
      <c r="U600" s="8"/>
      <c r="V600" s="8"/>
      <c r="W600" s="8"/>
      <c r="X600" s="8"/>
      <c r="Y600" s="8"/>
      <c r="Z600" s="25"/>
    </row>
    <row r="601" spans="1:26">
      <c r="A601" s="8">
        <v>600</v>
      </c>
      <c r="B601" s="8"/>
      <c r="C601" s="8"/>
      <c r="D601" s="8" t="s">
        <v>2041</v>
      </c>
      <c r="E601" s="16" t="s">
        <v>2042</v>
      </c>
      <c r="F601" s="17" t="s">
        <v>1514</v>
      </c>
      <c r="G601" s="18">
        <v>559</v>
      </c>
      <c r="H601" s="19"/>
      <c r="I601" s="20"/>
      <c r="J601" s="8">
        <f>559</f>
        <v>559</v>
      </c>
      <c r="K601" s="21">
        <v>1.8287037037037037E-3</v>
      </c>
      <c r="L601" s="22" t="s">
        <v>2016</v>
      </c>
      <c r="M601" s="8"/>
      <c r="N601" s="8"/>
      <c r="O601" s="8"/>
      <c r="P601" s="8"/>
      <c r="Q601" s="8"/>
      <c r="R601" s="8"/>
      <c r="S601" s="8"/>
      <c r="T601" s="8"/>
      <c r="U601" s="8"/>
      <c r="V601" s="8"/>
      <c r="W601" s="8"/>
      <c r="X601" s="8"/>
      <c r="Y601" s="8"/>
      <c r="Z601" s="25"/>
    </row>
    <row r="602" spans="1:26">
      <c r="A602" s="8">
        <v>601</v>
      </c>
      <c r="B602" s="8"/>
      <c r="C602" s="8"/>
      <c r="D602" s="8" t="s">
        <v>2043</v>
      </c>
      <c r="E602" s="16" t="s">
        <v>2044</v>
      </c>
      <c r="F602" s="17" t="s">
        <v>2045</v>
      </c>
      <c r="G602" s="18">
        <v>511</v>
      </c>
      <c r="H602" s="19"/>
      <c r="I602" s="20"/>
      <c r="J602" s="8">
        <f>511</f>
        <v>511</v>
      </c>
      <c r="K602" s="21">
        <v>1.7824074074074072E-3</v>
      </c>
      <c r="L602" s="22" t="s">
        <v>2016</v>
      </c>
      <c r="M602" s="8"/>
      <c r="N602" s="8"/>
      <c r="O602" s="8"/>
      <c r="P602" s="8"/>
      <c r="Q602" s="8"/>
      <c r="R602" s="8"/>
      <c r="S602" s="8"/>
      <c r="T602" s="8"/>
      <c r="U602" s="8"/>
      <c r="V602" s="8"/>
      <c r="W602" s="8"/>
      <c r="X602" s="8"/>
      <c r="Y602" s="8"/>
      <c r="Z602" s="25"/>
    </row>
    <row r="603" spans="1:26">
      <c r="A603" s="8">
        <v>602</v>
      </c>
      <c r="B603" s="8"/>
      <c r="C603" s="8"/>
      <c r="D603" s="8" t="s">
        <v>2046</v>
      </c>
      <c r="E603" s="16" t="s">
        <v>2047</v>
      </c>
      <c r="F603" s="17" t="s">
        <v>2048</v>
      </c>
      <c r="G603" s="18" t="s">
        <v>214</v>
      </c>
      <c r="H603" s="19"/>
      <c r="I603" s="20"/>
      <c r="J603" s="8">
        <f t="shared" ref="J603:J604" si="10">1*1000</f>
        <v>1000</v>
      </c>
      <c r="K603" s="21">
        <v>5.6481481481481478E-3</v>
      </c>
      <c r="L603" s="22" t="s">
        <v>2016</v>
      </c>
      <c r="M603" s="8"/>
      <c r="N603" s="8"/>
      <c r="O603" s="8"/>
      <c r="P603" s="8"/>
      <c r="Q603" s="8"/>
      <c r="R603" s="8"/>
      <c r="S603" s="8"/>
      <c r="T603" s="8"/>
      <c r="U603" s="8"/>
      <c r="V603" s="8"/>
      <c r="W603" s="8"/>
      <c r="X603" s="8"/>
      <c r="Y603" s="8"/>
      <c r="Z603" s="25"/>
    </row>
    <row r="604" spans="1:26">
      <c r="A604" s="8">
        <v>603</v>
      </c>
      <c r="B604" s="8"/>
      <c r="C604" s="8"/>
      <c r="D604" s="8" t="s">
        <v>2049</v>
      </c>
      <c r="E604" s="16" t="s">
        <v>2050</v>
      </c>
      <c r="F604" s="17" t="s">
        <v>2051</v>
      </c>
      <c r="G604" s="18" t="s">
        <v>214</v>
      </c>
      <c r="H604" s="19"/>
      <c r="I604" s="20"/>
      <c r="J604" s="8">
        <f t="shared" si="10"/>
        <v>1000</v>
      </c>
      <c r="K604" s="21">
        <v>1.9791666666666668E-3</v>
      </c>
      <c r="L604" s="22" t="s">
        <v>2016</v>
      </c>
      <c r="M604" s="8"/>
      <c r="N604" s="8"/>
      <c r="O604" s="8"/>
      <c r="P604" s="8"/>
      <c r="Q604" s="8"/>
      <c r="R604" s="8"/>
      <c r="S604" s="8"/>
      <c r="T604" s="8"/>
      <c r="U604" s="8"/>
      <c r="V604" s="8"/>
      <c r="W604" s="8"/>
      <c r="X604" s="8"/>
      <c r="Y604" s="8"/>
      <c r="Z604" s="25"/>
    </row>
    <row r="605" spans="1:26">
      <c r="A605" s="8">
        <v>604</v>
      </c>
      <c r="B605" s="8"/>
      <c r="C605" s="8"/>
      <c r="D605" s="8" t="s">
        <v>2052</v>
      </c>
      <c r="E605" s="16" t="s">
        <v>2053</v>
      </c>
      <c r="F605" s="17" t="s">
        <v>2054</v>
      </c>
      <c r="G605" s="18" t="s">
        <v>144</v>
      </c>
      <c r="H605" s="19"/>
      <c r="I605" s="20"/>
      <c r="J605" s="8">
        <f>1.7*1000</f>
        <v>1700</v>
      </c>
      <c r="K605" s="21">
        <v>3.9351851851851857E-3</v>
      </c>
      <c r="L605" s="22" t="s">
        <v>2016</v>
      </c>
      <c r="M605" s="8"/>
      <c r="N605" s="8"/>
      <c r="O605" s="8"/>
      <c r="P605" s="8"/>
      <c r="Q605" s="8"/>
      <c r="R605" s="8"/>
      <c r="S605" s="8"/>
      <c r="T605" s="8"/>
      <c r="U605" s="8"/>
      <c r="V605" s="8"/>
      <c r="W605" s="8"/>
      <c r="X605" s="8"/>
      <c r="Y605" s="8"/>
      <c r="Z605" s="25"/>
    </row>
    <row r="606" spans="1:26">
      <c r="A606" s="8">
        <v>605</v>
      </c>
      <c r="B606" s="8"/>
      <c r="C606" s="8"/>
      <c r="D606" s="8" t="s">
        <v>2055</v>
      </c>
      <c r="E606" s="16" t="s">
        <v>2056</v>
      </c>
      <c r="F606" s="17" t="s">
        <v>1277</v>
      </c>
      <c r="G606" s="18">
        <v>429</v>
      </c>
      <c r="H606" s="19"/>
      <c r="I606" s="20"/>
      <c r="J606" s="8">
        <f>429</f>
        <v>429</v>
      </c>
      <c r="K606" s="21">
        <v>1.5972222222222221E-3</v>
      </c>
      <c r="L606" s="22" t="s">
        <v>2016</v>
      </c>
      <c r="M606" s="8"/>
      <c r="N606" s="8"/>
      <c r="O606" s="8"/>
      <c r="P606" s="8"/>
      <c r="Q606" s="8"/>
      <c r="R606" s="8"/>
      <c r="S606" s="8"/>
      <c r="T606" s="8"/>
      <c r="U606" s="8"/>
      <c r="V606" s="8"/>
      <c r="W606" s="8"/>
      <c r="X606" s="8"/>
      <c r="Y606" s="8"/>
      <c r="Z606" s="25"/>
    </row>
    <row r="607" spans="1:26">
      <c r="A607" s="8">
        <v>606</v>
      </c>
      <c r="B607" s="8"/>
      <c r="C607" s="8"/>
      <c r="D607" s="8" t="s">
        <v>2057</v>
      </c>
      <c r="E607" s="16" t="s">
        <v>2058</v>
      </c>
      <c r="F607" s="17" t="s">
        <v>2051</v>
      </c>
      <c r="G607" s="18" t="s">
        <v>256</v>
      </c>
      <c r="H607" s="19"/>
      <c r="I607" s="20"/>
      <c r="J607" s="8">
        <f>2.1*1000</f>
        <v>2100</v>
      </c>
      <c r="K607" s="21">
        <v>1.9791666666666668E-3</v>
      </c>
      <c r="L607" s="22" t="s">
        <v>2016</v>
      </c>
      <c r="M607" s="8"/>
      <c r="N607" s="8"/>
      <c r="O607" s="8"/>
      <c r="P607" s="8"/>
      <c r="Q607" s="8"/>
      <c r="R607" s="8"/>
      <c r="S607" s="8"/>
      <c r="T607" s="8"/>
      <c r="U607" s="8"/>
      <c r="V607" s="8"/>
      <c r="W607" s="8"/>
      <c r="X607" s="8"/>
      <c r="Y607" s="8"/>
      <c r="Z607" s="25"/>
    </row>
    <row r="608" spans="1:26">
      <c r="A608" s="8">
        <v>607</v>
      </c>
      <c r="B608" s="8"/>
      <c r="C608" s="8"/>
      <c r="D608" s="8" t="s">
        <v>2059</v>
      </c>
      <c r="E608" s="16" t="s">
        <v>2060</v>
      </c>
      <c r="F608" s="17" t="s">
        <v>1426</v>
      </c>
      <c r="G608" s="18">
        <v>468</v>
      </c>
      <c r="H608" s="19"/>
      <c r="I608" s="20"/>
      <c r="J608" s="8">
        <f>468</f>
        <v>468</v>
      </c>
      <c r="K608" s="21">
        <v>8.7962962962962962E-4</v>
      </c>
      <c r="L608" s="22" t="s">
        <v>2016</v>
      </c>
      <c r="M608" s="8"/>
      <c r="N608" s="8"/>
      <c r="O608" s="8"/>
      <c r="P608" s="8"/>
      <c r="Q608" s="8"/>
      <c r="R608" s="8"/>
      <c r="S608" s="8"/>
      <c r="T608" s="8"/>
      <c r="U608" s="8"/>
      <c r="V608" s="8"/>
      <c r="W608" s="8"/>
      <c r="X608" s="8"/>
      <c r="Y608" s="8"/>
      <c r="Z608" s="25"/>
    </row>
    <row r="609" spans="1:26">
      <c r="A609" s="8">
        <v>608</v>
      </c>
      <c r="B609" s="8"/>
      <c r="C609" s="8"/>
      <c r="D609" s="8" t="s">
        <v>2061</v>
      </c>
      <c r="E609" s="16" t="s">
        <v>2062</v>
      </c>
      <c r="F609" s="17" t="s">
        <v>2063</v>
      </c>
      <c r="G609" s="18">
        <v>833</v>
      </c>
      <c r="H609" s="19"/>
      <c r="I609" s="20"/>
      <c r="J609" s="8">
        <f>833</f>
        <v>833</v>
      </c>
      <c r="K609" s="21">
        <v>1.9907407407407408E-3</v>
      </c>
      <c r="L609" s="22" t="s">
        <v>2016</v>
      </c>
      <c r="M609" s="8"/>
      <c r="N609" s="8"/>
      <c r="O609" s="8"/>
      <c r="P609" s="8"/>
      <c r="Q609" s="8"/>
      <c r="R609" s="8"/>
      <c r="S609" s="8"/>
      <c r="T609" s="8"/>
      <c r="U609" s="8"/>
      <c r="V609" s="8"/>
      <c r="W609" s="8"/>
      <c r="X609" s="8"/>
      <c r="Y609" s="8"/>
      <c r="Z609" s="25"/>
    </row>
    <row r="610" spans="1:26">
      <c r="A610" s="8">
        <v>609</v>
      </c>
      <c r="B610" s="8"/>
      <c r="C610" s="8"/>
      <c r="D610" s="8" t="s">
        <v>2064</v>
      </c>
      <c r="E610" s="16" t="s">
        <v>2065</v>
      </c>
      <c r="F610" s="27" t="s">
        <v>2066</v>
      </c>
      <c r="G610" s="18" t="s">
        <v>2067</v>
      </c>
      <c r="H610" s="19"/>
      <c r="I610" s="20"/>
      <c r="J610" s="8">
        <f>32*1000</f>
        <v>32000</v>
      </c>
      <c r="K610" s="21">
        <v>3.8900462962962963E-2</v>
      </c>
      <c r="L610" s="22" t="s">
        <v>2016</v>
      </c>
      <c r="M610" s="8"/>
      <c r="N610" s="8"/>
      <c r="O610" s="8"/>
      <c r="P610" s="8"/>
      <c r="Q610" s="8"/>
      <c r="R610" s="8"/>
      <c r="S610" s="8"/>
      <c r="T610" s="8"/>
      <c r="U610" s="8"/>
      <c r="V610" s="8"/>
      <c r="W610" s="8"/>
      <c r="X610" s="8"/>
      <c r="Y610" s="8"/>
      <c r="Z610" s="25"/>
    </row>
    <row r="611" spans="1:26">
      <c r="A611" s="8">
        <v>610</v>
      </c>
      <c r="B611" s="8"/>
      <c r="C611" s="8"/>
      <c r="D611" s="8" t="s">
        <v>2068</v>
      </c>
      <c r="E611" s="16" t="s">
        <v>2069</v>
      </c>
      <c r="F611" s="17" t="s">
        <v>1917</v>
      </c>
      <c r="G611" s="18" t="s">
        <v>264</v>
      </c>
      <c r="H611" s="19"/>
      <c r="I611" s="20"/>
      <c r="J611" s="8">
        <f>14*1000</f>
        <v>14000</v>
      </c>
      <c r="K611" s="21">
        <v>1.1423611111111112E-2</v>
      </c>
      <c r="L611" s="22" t="s">
        <v>2016</v>
      </c>
      <c r="M611" s="8"/>
      <c r="N611" s="8"/>
      <c r="O611" s="8"/>
      <c r="P611" s="8"/>
      <c r="Q611" s="8"/>
      <c r="R611" s="8"/>
      <c r="S611" s="8"/>
      <c r="T611" s="8"/>
      <c r="U611" s="8"/>
      <c r="V611" s="8"/>
      <c r="W611" s="8"/>
      <c r="X611" s="8"/>
      <c r="Y611" s="8"/>
      <c r="Z611" s="25"/>
    </row>
    <row r="612" spans="1:26">
      <c r="A612" s="8">
        <v>611</v>
      </c>
      <c r="B612" s="8"/>
      <c r="C612" s="8"/>
      <c r="D612" s="8" t="s">
        <v>2070</v>
      </c>
      <c r="E612" s="16" t="s">
        <v>2071</v>
      </c>
      <c r="F612" s="17" t="s">
        <v>2048</v>
      </c>
      <c r="G612" s="18">
        <v>617</v>
      </c>
      <c r="H612" s="19"/>
      <c r="I612" s="20"/>
      <c r="J612" s="8">
        <f>617</f>
        <v>617</v>
      </c>
      <c r="K612" s="21">
        <v>5.6481481481481478E-3</v>
      </c>
      <c r="L612" s="22" t="s">
        <v>2016</v>
      </c>
      <c r="M612" s="8"/>
      <c r="N612" s="8"/>
      <c r="O612" s="8"/>
      <c r="P612" s="8"/>
      <c r="Q612" s="8"/>
      <c r="R612" s="8"/>
      <c r="S612" s="8"/>
      <c r="T612" s="8"/>
      <c r="U612" s="8"/>
      <c r="V612" s="8"/>
      <c r="W612" s="8"/>
      <c r="X612" s="8"/>
      <c r="Y612" s="8"/>
      <c r="Z612" s="25"/>
    </row>
    <row r="613" spans="1:26">
      <c r="A613" s="8">
        <v>612</v>
      </c>
      <c r="B613" s="8"/>
      <c r="C613" s="8"/>
      <c r="D613" s="8" t="s">
        <v>2072</v>
      </c>
      <c r="E613" s="16" t="s">
        <v>2073</v>
      </c>
      <c r="F613" s="29" t="s">
        <v>2074</v>
      </c>
      <c r="G613" s="18" t="s">
        <v>2075</v>
      </c>
      <c r="H613" s="19"/>
      <c r="I613" s="20"/>
      <c r="J613" s="8">
        <f>8.2*1000</f>
        <v>8200</v>
      </c>
      <c r="K613" s="21">
        <v>4.3622685185185188E-2</v>
      </c>
      <c r="L613" s="22" t="s">
        <v>2016</v>
      </c>
      <c r="M613" s="8"/>
      <c r="N613" s="8"/>
      <c r="O613" s="8"/>
      <c r="P613" s="8"/>
      <c r="Q613" s="8"/>
      <c r="R613" s="8"/>
      <c r="S613" s="8"/>
      <c r="T613" s="8"/>
      <c r="U613" s="8"/>
      <c r="V613" s="8"/>
      <c r="W613" s="8"/>
      <c r="X613" s="8"/>
      <c r="Y613" s="8"/>
      <c r="Z613" s="25"/>
    </row>
    <row r="614" spans="1:26">
      <c r="A614" s="8">
        <v>613</v>
      </c>
      <c r="B614" s="8"/>
      <c r="C614" s="8"/>
      <c r="D614" s="8" t="s">
        <v>2076</v>
      </c>
      <c r="E614" s="16" t="s">
        <v>2077</v>
      </c>
      <c r="F614" s="17" t="s">
        <v>2078</v>
      </c>
      <c r="G614" s="18">
        <v>878</v>
      </c>
      <c r="H614" s="19"/>
      <c r="I614" s="20"/>
      <c r="J614" s="8">
        <f>878</f>
        <v>878</v>
      </c>
      <c r="K614" s="21">
        <v>3.2870370370370367E-3</v>
      </c>
      <c r="L614" s="22" t="s">
        <v>2016</v>
      </c>
      <c r="M614" s="8"/>
      <c r="N614" s="8"/>
      <c r="O614" s="8"/>
      <c r="P614" s="8"/>
      <c r="Q614" s="8"/>
      <c r="R614" s="8"/>
      <c r="S614" s="8"/>
      <c r="T614" s="8"/>
      <c r="U614" s="8"/>
      <c r="V614" s="8"/>
      <c r="W614" s="8"/>
      <c r="X614" s="8"/>
      <c r="Y614" s="8"/>
      <c r="Z614" s="25"/>
    </row>
    <row r="615" spans="1:26">
      <c r="A615" s="8">
        <v>614</v>
      </c>
      <c r="B615" s="8"/>
      <c r="C615" s="8"/>
      <c r="D615" s="8" t="s">
        <v>2079</v>
      </c>
      <c r="E615" s="16" t="s">
        <v>2080</v>
      </c>
      <c r="F615" s="17" t="s">
        <v>2081</v>
      </c>
      <c r="G615" s="18" t="s">
        <v>770</v>
      </c>
      <c r="H615" s="19"/>
      <c r="I615" s="20"/>
      <c r="J615" s="8">
        <f>2.7*1000</f>
        <v>2700</v>
      </c>
      <c r="K615" s="21">
        <v>3.483796296296296E-3</v>
      </c>
      <c r="L615" s="22" t="s">
        <v>2016</v>
      </c>
      <c r="M615" s="8"/>
      <c r="N615" s="8"/>
      <c r="O615" s="8"/>
      <c r="P615" s="8"/>
      <c r="Q615" s="8"/>
      <c r="R615" s="8"/>
      <c r="S615" s="8"/>
      <c r="T615" s="8"/>
      <c r="U615" s="8"/>
      <c r="V615" s="8"/>
      <c r="W615" s="8"/>
      <c r="X615" s="8"/>
      <c r="Y615" s="8"/>
      <c r="Z615" s="25"/>
    </row>
    <row r="616" spans="1:26">
      <c r="A616" s="8">
        <v>615</v>
      </c>
      <c r="B616" s="8"/>
      <c r="C616" s="8"/>
      <c r="D616" s="8" t="s">
        <v>2082</v>
      </c>
      <c r="E616" s="16" t="s">
        <v>2083</v>
      </c>
      <c r="F616" s="29" t="s">
        <v>2084</v>
      </c>
      <c r="G616" s="18" t="s">
        <v>1126</v>
      </c>
      <c r="H616" s="19"/>
      <c r="I616" s="20"/>
      <c r="J616" s="8">
        <f>4.3*1000</f>
        <v>4300</v>
      </c>
      <c r="K616" s="21">
        <v>5.004629629629629E-2</v>
      </c>
      <c r="L616" s="22" t="s">
        <v>2016</v>
      </c>
      <c r="M616" s="8"/>
      <c r="N616" s="8"/>
      <c r="O616" s="8"/>
      <c r="P616" s="8"/>
      <c r="Q616" s="8"/>
      <c r="R616" s="8"/>
      <c r="S616" s="8"/>
      <c r="T616" s="8"/>
      <c r="U616" s="8"/>
      <c r="V616" s="8"/>
      <c r="W616" s="8"/>
      <c r="X616" s="8"/>
      <c r="Y616" s="8"/>
      <c r="Z616" s="25"/>
    </row>
    <row r="617" spans="1:26">
      <c r="A617" s="8">
        <v>616</v>
      </c>
      <c r="B617" s="8"/>
      <c r="C617" s="8"/>
      <c r="D617" s="8" t="s">
        <v>2085</v>
      </c>
      <c r="E617" s="16" t="s">
        <v>2086</v>
      </c>
      <c r="F617" s="27" t="s">
        <v>2087</v>
      </c>
      <c r="G617" s="18" t="s">
        <v>2088</v>
      </c>
      <c r="H617" s="19"/>
      <c r="I617" s="20"/>
      <c r="J617" s="8">
        <f>8.9*1000</f>
        <v>8900</v>
      </c>
      <c r="K617" s="21">
        <v>3.8819444444444441E-2</v>
      </c>
      <c r="L617" s="22" t="s">
        <v>2089</v>
      </c>
      <c r="M617" s="8"/>
      <c r="N617" s="8"/>
      <c r="O617" s="8"/>
      <c r="P617" s="8"/>
      <c r="Q617" s="8"/>
      <c r="R617" s="8"/>
      <c r="S617" s="8"/>
      <c r="T617" s="8"/>
      <c r="U617" s="8"/>
      <c r="V617" s="8"/>
      <c r="W617" s="8"/>
      <c r="X617" s="8"/>
      <c r="Y617" s="8"/>
      <c r="Z617" s="25"/>
    </row>
    <row r="618" spans="1:26">
      <c r="A618" s="8">
        <v>617</v>
      </c>
      <c r="B618" s="8"/>
      <c r="C618" s="8"/>
      <c r="D618" s="8" t="s">
        <v>2090</v>
      </c>
      <c r="E618" s="16" t="s">
        <v>2091</v>
      </c>
      <c r="F618" s="29" t="s">
        <v>2092</v>
      </c>
      <c r="G618" s="18" t="s">
        <v>2093</v>
      </c>
      <c r="H618" s="19"/>
      <c r="I618" s="20"/>
      <c r="J618" s="8">
        <f>72*1000</f>
        <v>72000</v>
      </c>
      <c r="K618" s="21">
        <v>0.11864583333333334</v>
      </c>
      <c r="L618" s="22" t="s">
        <v>2089</v>
      </c>
      <c r="M618" s="8"/>
      <c r="N618" s="8"/>
      <c r="O618" s="8"/>
      <c r="P618" s="8"/>
      <c r="Q618" s="8"/>
      <c r="R618" s="8"/>
      <c r="S618" s="8"/>
      <c r="T618" s="8"/>
      <c r="U618" s="8"/>
      <c r="V618" s="8"/>
      <c r="W618" s="8"/>
      <c r="X618" s="8"/>
      <c r="Y618" s="8"/>
      <c r="Z618" s="25"/>
    </row>
    <row r="619" spans="1:26">
      <c r="A619" s="8">
        <v>618</v>
      </c>
      <c r="B619" s="8"/>
      <c r="C619" s="8"/>
      <c r="D619" s="8" t="s">
        <v>2094</v>
      </c>
      <c r="E619" s="16" t="s">
        <v>2095</v>
      </c>
      <c r="F619" s="27" t="s">
        <v>2096</v>
      </c>
      <c r="G619" s="18" t="s">
        <v>825</v>
      </c>
      <c r="H619" s="19"/>
      <c r="I619" s="20"/>
      <c r="J619" s="8">
        <f>12*1000</f>
        <v>12000</v>
      </c>
      <c r="K619" s="21">
        <v>3.2708333333333332E-2</v>
      </c>
      <c r="L619" s="22" t="s">
        <v>2089</v>
      </c>
      <c r="M619" s="8"/>
      <c r="N619" s="8"/>
      <c r="O619" s="8"/>
      <c r="P619" s="8"/>
      <c r="Q619" s="8"/>
      <c r="R619" s="8"/>
      <c r="S619" s="8"/>
      <c r="T619" s="8"/>
      <c r="U619" s="8"/>
      <c r="V619" s="8"/>
      <c r="W619" s="8"/>
      <c r="X619" s="8"/>
      <c r="Y619" s="8"/>
      <c r="Z619" s="25"/>
    </row>
    <row r="620" spans="1:26">
      <c r="A620" s="8">
        <v>619</v>
      </c>
      <c r="B620" s="8"/>
      <c r="C620" s="8"/>
      <c r="D620" s="8" t="s">
        <v>2097</v>
      </c>
      <c r="E620" s="16" t="s">
        <v>2098</v>
      </c>
      <c r="F620" s="17" t="s">
        <v>2099</v>
      </c>
      <c r="G620" s="18">
        <v>657</v>
      </c>
      <c r="H620" s="19"/>
      <c r="I620" s="20"/>
      <c r="J620" s="8">
        <f>657</f>
        <v>657</v>
      </c>
      <c r="K620" s="21">
        <v>3.7847222222222223E-3</v>
      </c>
      <c r="L620" s="22" t="s">
        <v>2089</v>
      </c>
      <c r="M620" s="8"/>
      <c r="N620" s="8"/>
      <c r="O620" s="8"/>
      <c r="P620" s="8"/>
      <c r="Q620" s="8"/>
      <c r="R620" s="8"/>
      <c r="S620" s="8"/>
      <c r="T620" s="8"/>
      <c r="U620" s="8"/>
      <c r="V620" s="8"/>
      <c r="W620" s="8"/>
      <c r="X620" s="8"/>
      <c r="Y620" s="8"/>
      <c r="Z620" s="25"/>
    </row>
    <row r="621" spans="1:26">
      <c r="A621" s="8">
        <v>620</v>
      </c>
      <c r="B621" s="8"/>
      <c r="C621" s="8"/>
      <c r="D621" s="8" t="s">
        <v>2100</v>
      </c>
      <c r="E621" s="16" t="s">
        <v>2101</v>
      </c>
      <c r="F621" s="17" t="s">
        <v>2102</v>
      </c>
      <c r="G621" s="18">
        <v>624</v>
      </c>
      <c r="H621" s="19"/>
      <c r="I621" s="20"/>
      <c r="J621" s="8">
        <f>624</f>
        <v>624</v>
      </c>
      <c r="K621" s="21">
        <v>6.2500000000000001E-4</v>
      </c>
      <c r="L621" s="22" t="s">
        <v>2089</v>
      </c>
      <c r="M621" s="8"/>
      <c r="N621" s="8"/>
      <c r="O621" s="8"/>
      <c r="P621" s="8"/>
      <c r="Q621" s="8"/>
      <c r="R621" s="8"/>
      <c r="S621" s="8"/>
      <c r="T621" s="8"/>
      <c r="U621" s="8"/>
      <c r="V621" s="8"/>
      <c r="W621" s="8"/>
      <c r="X621" s="8"/>
      <c r="Y621" s="8"/>
      <c r="Z621" s="25"/>
    </row>
    <row r="622" spans="1:26">
      <c r="A622" s="8">
        <v>621</v>
      </c>
      <c r="B622" s="8"/>
      <c r="C622" s="8"/>
      <c r="D622" s="8" t="s">
        <v>2103</v>
      </c>
      <c r="E622" s="16" t="s">
        <v>2104</v>
      </c>
      <c r="F622" s="17" t="s">
        <v>231</v>
      </c>
      <c r="G622" s="18">
        <v>461</v>
      </c>
      <c r="H622" s="19"/>
      <c r="I622" s="20"/>
      <c r="J622" s="8">
        <f>461</f>
        <v>461</v>
      </c>
      <c r="K622" s="21">
        <v>1.3078703703703705E-3</v>
      </c>
      <c r="L622" s="22" t="s">
        <v>2089</v>
      </c>
      <c r="M622" s="8"/>
      <c r="N622" s="8"/>
      <c r="O622" s="8"/>
      <c r="P622" s="8"/>
      <c r="Q622" s="8"/>
      <c r="R622" s="8"/>
      <c r="S622" s="8"/>
      <c r="T622" s="8"/>
      <c r="U622" s="8"/>
      <c r="V622" s="8"/>
      <c r="W622" s="8"/>
      <c r="X622" s="8"/>
      <c r="Y622" s="8"/>
      <c r="Z622" s="25"/>
    </row>
    <row r="623" spans="1:26">
      <c r="A623" s="8">
        <v>622</v>
      </c>
      <c r="B623" s="8"/>
      <c r="C623" s="8"/>
      <c r="D623" s="8" t="s">
        <v>2105</v>
      </c>
      <c r="E623" s="16" t="s">
        <v>2106</v>
      </c>
      <c r="F623" s="17" t="s">
        <v>932</v>
      </c>
      <c r="G623" s="18">
        <v>369</v>
      </c>
      <c r="H623" s="19"/>
      <c r="I623" s="20"/>
      <c r="J623" s="8">
        <f>369</f>
        <v>369</v>
      </c>
      <c r="K623" s="21">
        <v>2.5462962962962961E-3</v>
      </c>
      <c r="L623" s="22" t="s">
        <v>2089</v>
      </c>
      <c r="M623" s="8"/>
      <c r="N623" s="8"/>
      <c r="O623" s="8"/>
      <c r="P623" s="8"/>
      <c r="Q623" s="8"/>
      <c r="R623" s="8"/>
      <c r="S623" s="8"/>
      <c r="T623" s="8"/>
      <c r="U623" s="8"/>
      <c r="V623" s="8"/>
      <c r="W623" s="8"/>
      <c r="X623" s="8"/>
      <c r="Y623" s="8"/>
      <c r="Z623" s="25"/>
    </row>
    <row r="624" spans="1:26">
      <c r="A624" s="8">
        <v>623</v>
      </c>
      <c r="B624" s="8"/>
      <c r="C624" s="8"/>
      <c r="D624" s="8" t="s">
        <v>2107</v>
      </c>
      <c r="E624" s="16" t="s">
        <v>2108</v>
      </c>
      <c r="F624" s="17" t="s">
        <v>2109</v>
      </c>
      <c r="G624" s="18">
        <v>554</v>
      </c>
      <c r="H624" s="19"/>
      <c r="I624" s="20"/>
      <c r="J624" s="8">
        <f>554</f>
        <v>554</v>
      </c>
      <c r="K624" s="21">
        <v>5.3125000000000004E-3</v>
      </c>
      <c r="L624" s="22" t="s">
        <v>2089</v>
      </c>
      <c r="M624" s="8"/>
      <c r="N624" s="8"/>
      <c r="O624" s="8"/>
      <c r="P624" s="8"/>
      <c r="Q624" s="8"/>
      <c r="R624" s="8"/>
      <c r="S624" s="8"/>
      <c r="T624" s="8"/>
      <c r="U624" s="8"/>
      <c r="V624" s="8"/>
      <c r="W624" s="8"/>
      <c r="X624" s="8"/>
      <c r="Y624" s="8"/>
      <c r="Z624" s="25"/>
    </row>
    <row r="625" spans="1:26">
      <c r="A625" s="8">
        <v>624</v>
      </c>
      <c r="B625" s="8"/>
      <c r="C625" s="8"/>
      <c r="D625" s="8" t="s">
        <v>2110</v>
      </c>
      <c r="E625" s="16" t="s">
        <v>2111</v>
      </c>
      <c r="F625" s="29" t="s">
        <v>2112</v>
      </c>
      <c r="G625" s="18" t="s">
        <v>226</v>
      </c>
      <c r="H625" s="19"/>
      <c r="I625" s="20"/>
      <c r="J625" s="8">
        <f>8.5*1000</f>
        <v>8500</v>
      </c>
      <c r="K625" s="21">
        <v>5.7048611111111112E-2</v>
      </c>
      <c r="L625" s="22" t="s">
        <v>2089</v>
      </c>
      <c r="M625" s="8"/>
      <c r="N625" s="8"/>
      <c r="O625" s="8"/>
      <c r="P625" s="8"/>
      <c r="Q625" s="8"/>
      <c r="R625" s="8"/>
      <c r="S625" s="8"/>
      <c r="T625" s="8"/>
      <c r="U625" s="8"/>
      <c r="V625" s="8"/>
      <c r="W625" s="8"/>
      <c r="X625" s="8"/>
      <c r="Y625" s="8"/>
      <c r="Z625" s="25"/>
    </row>
    <row r="626" spans="1:26">
      <c r="A626" s="8">
        <v>625</v>
      </c>
      <c r="B626" s="8"/>
      <c r="C626" s="8"/>
      <c r="D626" s="8" t="s">
        <v>2113</v>
      </c>
      <c r="E626" s="16" t="s">
        <v>2114</v>
      </c>
      <c r="F626" s="17" t="s">
        <v>2115</v>
      </c>
      <c r="G626" s="18">
        <v>686</v>
      </c>
      <c r="H626" s="19"/>
      <c r="I626" s="20"/>
      <c r="J626" s="8">
        <f>686</f>
        <v>686</v>
      </c>
      <c r="K626" s="21">
        <v>8.3333333333333339E-4</v>
      </c>
      <c r="L626" s="22" t="s">
        <v>2089</v>
      </c>
      <c r="M626" s="8"/>
      <c r="N626" s="8"/>
      <c r="O626" s="8"/>
      <c r="P626" s="8"/>
      <c r="Q626" s="8"/>
      <c r="R626" s="8"/>
      <c r="S626" s="8"/>
      <c r="T626" s="8"/>
      <c r="U626" s="8"/>
      <c r="V626" s="8"/>
      <c r="W626" s="8"/>
      <c r="X626" s="8"/>
      <c r="Y626" s="8"/>
      <c r="Z626" s="25"/>
    </row>
    <row r="627" spans="1:26">
      <c r="A627" s="8">
        <v>626</v>
      </c>
      <c r="B627" s="8"/>
      <c r="C627" s="8"/>
      <c r="D627" s="8" t="s">
        <v>2116</v>
      </c>
      <c r="E627" s="16" t="s">
        <v>2117</v>
      </c>
      <c r="F627" s="29" t="s">
        <v>2118</v>
      </c>
      <c r="G627" s="18" t="s">
        <v>2119</v>
      </c>
      <c r="H627" s="19"/>
      <c r="I627" s="20"/>
      <c r="J627" s="8">
        <f>7.1*1000</f>
        <v>7100</v>
      </c>
      <c r="K627" s="21">
        <v>4.221064814814815E-2</v>
      </c>
      <c r="L627" s="22" t="s">
        <v>2089</v>
      </c>
      <c r="M627" s="8"/>
      <c r="N627" s="8"/>
      <c r="O627" s="8"/>
      <c r="P627" s="8"/>
      <c r="Q627" s="8"/>
      <c r="R627" s="8"/>
      <c r="S627" s="8"/>
      <c r="T627" s="8"/>
      <c r="U627" s="8"/>
      <c r="V627" s="8"/>
      <c r="W627" s="8"/>
      <c r="X627" s="8"/>
      <c r="Y627" s="8"/>
      <c r="Z627" s="25"/>
    </row>
    <row r="628" spans="1:26">
      <c r="A628" s="8">
        <v>627</v>
      </c>
      <c r="B628" s="8"/>
      <c r="C628" s="8"/>
      <c r="D628" s="8" t="s">
        <v>2120</v>
      </c>
      <c r="E628" s="16" t="s">
        <v>2121</v>
      </c>
      <c r="F628" s="17" t="s">
        <v>2122</v>
      </c>
      <c r="G628" s="18">
        <v>265</v>
      </c>
      <c r="H628" s="19"/>
      <c r="I628" s="20"/>
      <c r="J628" s="8">
        <f>265</f>
        <v>265</v>
      </c>
      <c r="K628" s="21">
        <v>1.2847222222222223E-3</v>
      </c>
      <c r="L628" s="22" t="s">
        <v>2089</v>
      </c>
      <c r="M628" s="8"/>
      <c r="N628" s="8"/>
      <c r="O628" s="8"/>
      <c r="P628" s="8"/>
      <c r="Q628" s="8"/>
      <c r="R628" s="8"/>
      <c r="S628" s="8"/>
      <c r="T628" s="8"/>
      <c r="U628" s="8"/>
      <c r="V628" s="8"/>
      <c r="W628" s="8"/>
      <c r="X628" s="8"/>
      <c r="Y628" s="8"/>
      <c r="Z628" s="25"/>
    </row>
    <row r="629" spans="1:26">
      <c r="A629" s="8">
        <v>628</v>
      </c>
      <c r="B629" s="8"/>
      <c r="C629" s="8"/>
      <c r="D629" s="8" t="s">
        <v>2123</v>
      </c>
      <c r="E629" s="16" t="s">
        <v>2124</v>
      </c>
      <c r="F629" s="17" t="s">
        <v>2125</v>
      </c>
      <c r="G629" s="18">
        <v>476</v>
      </c>
      <c r="H629" s="19"/>
      <c r="I629" s="20"/>
      <c r="J629" s="8">
        <f>476</f>
        <v>476</v>
      </c>
      <c r="K629" s="21">
        <v>2.1064814814814813E-3</v>
      </c>
      <c r="L629" s="22" t="s">
        <v>2089</v>
      </c>
      <c r="M629" s="8"/>
      <c r="N629" s="8"/>
      <c r="O629" s="8"/>
      <c r="P629" s="8"/>
      <c r="Q629" s="8"/>
      <c r="R629" s="8"/>
      <c r="S629" s="8"/>
      <c r="T629" s="8"/>
      <c r="U629" s="8"/>
      <c r="V629" s="8"/>
      <c r="W629" s="8"/>
      <c r="X629" s="8"/>
      <c r="Y629" s="8"/>
      <c r="Z629" s="25"/>
    </row>
    <row r="630" spans="1:26">
      <c r="A630" s="8">
        <v>629</v>
      </c>
      <c r="B630" s="8"/>
      <c r="C630" s="8"/>
      <c r="D630" s="8" t="s">
        <v>2126</v>
      </c>
      <c r="E630" s="16" t="s">
        <v>2127</v>
      </c>
      <c r="F630" s="17" t="s">
        <v>1491</v>
      </c>
      <c r="G630" s="18">
        <v>359</v>
      </c>
      <c r="H630" s="19"/>
      <c r="I630" s="20"/>
      <c r="J630" s="8">
        <f>359</f>
        <v>359</v>
      </c>
      <c r="K630" s="21">
        <v>2.5115740740740741E-3</v>
      </c>
      <c r="L630" s="22" t="s">
        <v>2089</v>
      </c>
      <c r="M630" s="8"/>
      <c r="N630" s="8"/>
      <c r="O630" s="8"/>
      <c r="P630" s="8"/>
      <c r="Q630" s="8"/>
      <c r="R630" s="8"/>
      <c r="S630" s="8"/>
      <c r="T630" s="8"/>
      <c r="U630" s="8"/>
      <c r="V630" s="8"/>
      <c r="W630" s="8"/>
      <c r="X630" s="8"/>
      <c r="Y630" s="8"/>
      <c r="Z630" s="25"/>
    </row>
    <row r="631" spans="1:26">
      <c r="A631" s="8">
        <v>630</v>
      </c>
      <c r="B631" s="8"/>
      <c r="C631" s="8"/>
      <c r="D631" s="8" t="s">
        <v>2128</v>
      </c>
      <c r="E631" s="16" t="s">
        <v>2129</v>
      </c>
      <c r="F631" s="17" t="s">
        <v>879</v>
      </c>
      <c r="G631" s="18">
        <v>522</v>
      </c>
      <c r="H631" s="19"/>
      <c r="I631" s="20"/>
      <c r="J631" s="8">
        <f>522</f>
        <v>522</v>
      </c>
      <c r="K631" s="21">
        <v>1.8750000000000001E-3</v>
      </c>
      <c r="L631" s="22" t="s">
        <v>2089</v>
      </c>
      <c r="M631" s="8"/>
      <c r="N631" s="8"/>
      <c r="O631" s="8"/>
      <c r="P631" s="8"/>
      <c r="Q631" s="8"/>
      <c r="R631" s="8"/>
      <c r="S631" s="8"/>
      <c r="T631" s="8"/>
      <c r="U631" s="8"/>
      <c r="V631" s="8"/>
      <c r="W631" s="8"/>
      <c r="X631" s="8"/>
      <c r="Y631" s="8"/>
      <c r="Z631" s="25"/>
    </row>
    <row r="632" spans="1:26">
      <c r="A632" s="8">
        <v>631</v>
      </c>
      <c r="B632" s="8"/>
      <c r="C632" s="8"/>
      <c r="D632" s="8" t="s">
        <v>2130</v>
      </c>
      <c r="E632" s="16" t="s">
        <v>2131</v>
      </c>
      <c r="F632" s="17" t="s">
        <v>1354</v>
      </c>
      <c r="G632" s="18">
        <v>403</v>
      </c>
      <c r="H632" s="19"/>
      <c r="I632" s="20"/>
      <c r="J632" s="8">
        <f>403</f>
        <v>403</v>
      </c>
      <c r="K632" s="21">
        <v>1.1805555555555556E-3</v>
      </c>
      <c r="L632" s="22" t="s">
        <v>2089</v>
      </c>
      <c r="M632" s="8"/>
      <c r="N632" s="8"/>
      <c r="O632" s="8"/>
      <c r="P632" s="8"/>
      <c r="Q632" s="8"/>
      <c r="R632" s="8"/>
      <c r="S632" s="8"/>
      <c r="T632" s="8"/>
      <c r="U632" s="8"/>
      <c r="V632" s="8"/>
      <c r="W632" s="8"/>
      <c r="X632" s="8"/>
      <c r="Y632" s="8"/>
      <c r="Z632" s="25"/>
    </row>
    <row r="633" spans="1:26">
      <c r="A633" s="8">
        <v>632</v>
      </c>
      <c r="B633" s="8"/>
      <c r="C633" s="8"/>
      <c r="D633" s="8" t="s">
        <v>2132</v>
      </c>
      <c r="E633" s="16" t="s">
        <v>2133</v>
      </c>
      <c r="F633" s="17" t="s">
        <v>2134</v>
      </c>
      <c r="G633" s="18">
        <v>499</v>
      </c>
      <c r="H633" s="19"/>
      <c r="I633" s="20"/>
      <c r="J633" s="8">
        <f>499</f>
        <v>499</v>
      </c>
      <c r="K633" s="21">
        <v>1.4004629629629629E-3</v>
      </c>
      <c r="L633" s="22" t="s">
        <v>2089</v>
      </c>
      <c r="M633" s="8"/>
      <c r="N633" s="8"/>
      <c r="O633" s="8"/>
      <c r="P633" s="8"/>
      <c r="Q633" s="8"/>
      <c r="R633" s="8"/>
      <c r="S633" s="8"/>
      <c r="T633" s="8"/>
      <c r="U633" s="8"/>
      <c r="V633" s="8"/>
      <c r="W633" s="8"/>
      <c r="X633" s="8"/>
      <c r="Y633" s="8"/>
      <c r="Z633" s="25"/>
    </row>
    <row r="634" spans="1:26">
      <c r="A634" s="8">
        <v>633</v>
      </c>
      <c r="B634" s="8"/>
      <c r="C634" s="8"/>
      <c r="D634" s="8" t="s">
        <v>2135</v>
      </c>
      <c r="E634" s="16" t="s">
        <v>2136</v>
      </c>
      <c r="F634" s="17" t="s">
        <v>1641</v>
      </c>
      <c r="G634" s="18">
        <v>390</v>
      </c>
      <c r="H634" s="19"/>
      <c r="I634" s="20"/>
      <c r="J634" s="8">
        <f>390</f>
        <v>390</v>
      </c>
      <c r="K634" s="21">
        <v>1.6666666666666668E-3</v>
      </c>
      <c r="L634" s="22" t="s">
        <v>2089</v>
      </c>
      <c r="M634" s="8"/>
      <c r="N634" s="8"/>
      <c r="O634" s="8"/>
      <c r="P634" s="8"/>
      <c r="Q634" s="8"/>
      <c r="R634" s="8"/>
      <c r="S634" s="8"/>
      <c r="T634" s="8"/>
      <c r="U634" s="8"/>
      <c r="V634" s="8"/>
      <c r="W634" s="8"/>
      <c r="X634" s="8"/>
      <c r="Y634" s="8"/>
      <c r="Z634" s="25"/>
    </row>
    <row r="635" spans="1:26">
      <c r="A635" s="8">
        <v>634</v>
      </c>
      <c r="B635" s="8"/>
      <c r="C635" s="8"/>
      <c r="D635" s="8" t="s">
        <v>2137</v>
      </c>
      <c r="E635" s="16" t="s">
        <v>2138</v>
      </c>
      <c r="F635" s="17" t="s">
        <v>2139</v>
      </c>
      <c r="G635" s="18">
        <v>275</v>
      </c>
      <c r="H635" s="19"/>
      <c r="I635" s="20"/>
      <c r="J635" s="8">
        <f>275</f>
        <v>275</v>
      </c>
      <c r="K635" s="21">
        <v>1.1458333333333333E-3</v>
      </c>
      <c r="L635" s="22" t="s">
        <v>2089</v>
      </c>
      <c r="M635" s="8"/>
      <c r="N635" s="8"/>
      <c r="O635" s="8"/>
      <c r="P635" s="8"/>
      <c r="Q635" s="8"/>
      <c r="R635" s="8"/>
      <c r="S635" s="8"/>
      <c r="T635" s="8"/>
      <c r="U635" s="8"/>
      <c r="V635" s="8"/>
      <c r="W635" s="8"/>
      <c r="X635" s="8"/>
      <c r="Y635" s="8"/>
      <c r="Z635" s="25"/>
    </row>
    <row r="636" spans="1:26">
      <c r="A636" s="8">
        <v>635</v>
      </c>
      <c r="B636" s="8"/>
      <c r="C636" s="8"/>
      <c r="D636" s="8" t="s">
        <v>2140</v>
      </c>
      <c r="E636" s="16" t="s">
        <v>2141</v>
      </c>
      <c r="F636" s="17" t="s">
        <v>681</v>
      </c>
      <c r="G636" s="18">
        <v>822</v>
      </c>
      <c r="H636" s="19"/>
      <c r="I636" s="20"/>
      <c r="J636" s="8">
        <f>822</f>
        <v>822</v>
      </c>
      <c r="K636" s="21">
        <v>1.8055555555555557E-3</v>
      </c>
      <c r="L636" s="22" t="s">
        <v>2089</v>
      </c>
      <c r="M636" s="8"/>
      <c r="N636" s="8"/>
      <c r="O636" s="8"/>
      <c r="P636" s="8"/>
      <c r="Q636" s="8"/>
      <c r="R636" s="8"/>
      <c r="S636" s="8"/>
      <c r="T636" s="8"/>
      <c r="U636" s="8"/>
      <c r="V636" s="8"/>
      <c r="W636" s="8"/>
      <c r="X636" s="8"/>
      <c r="Y636" s="8"/>
      <c r="Z636" s="25"/>
    </row>
    <row r="637" spans="1:26">
      <c r="A637" s="8">
        <v>636</v>
      </c>
      <c r="B637" s="8"/>
      <c r="C637" s="8"/>
      <c r="D637" s="8" t="s">
        <v>2142</v>
      </c>
      <c r="E637" s="16" t="s">
        <v>2143</v>
      </c>
      <c r="F637" s="27" t="s">
        <v>2144</v>
      </c>
      <c r="G637" s="18" t="s">
        <v>1312</v>
      </c>
      <c r="H637" s="19"/>
      <c r="I637" s="20"/>
      <c r="J637" s="8">
        <f>2.2*1000</f>
        <v>2200</v>
      </c>
      <c r="K637" s="21">
        <v>2.255787037037037E-2</v>
      </c>
      <c r="L637" s="22" t="s">
        <v>2089</v>
      </c>
      <c r="M637" s="8"/>
      <c r="N637" s="8"/>
      <c r="O637" s="8"/>
      <c r="P637" s="8"/>
      <c r="Q637" s="8"/>
      <c r="R637" s="8"/>
      <c r="S637" s="8"/>
      <c r="T637" s="8"/>
      <c r="U637" s="8"/>
      <c r="V637" s="8"/>
      <c r="W637" s="8"/>
      <c r="X637" s="8"/>
      <c r="Y637" s="8"/>
      <c r="Z637" s="25"/>
    </row>
    <row r="638" spans="1:26">
      <c r="A638" s="8">
        <v>637</v>
      </c>
      <c r="B638" s="8"/>
      <c r="C638" s="8"/>
      <c r="D638" s="8" t="s">
        <v>2145</v>
      </c>
      <c r="E638" s="16" t="s">
        <v>2146</v>
      </c>
      <c r="F638" s="17" t="s">
        <v>1621</v>
      </c>
      <c r="G638" s="18" t="s">
        <v>374</v>
      </c>
      <c r="H638" s="19"/>
      <c r="I638" s="20"/>
      <c r="J638" s="8">
        <f>1.3*1000</f>
        <v>1300</v>
      </c>
      <c r="K638" s="21">
        <v>4.2129629629629626E-3</v>
      </c>
      <c r="L638" s="22" t="s">
        <v>2089</v>
      </c>
      <c r="M638" s="8"/>
      <c r="N638" s="8"/>
      <c r="O638" s="8"/>
      <c r="P638" s="8"/>
      <c r="Q638" s="8"/>
      <c r="R638" s="8"/>
      <c r="S638" s="8"/>
      <c r="T638" s="8"/>
      <c r="U638" s="8"/>
      <c r="V638" s="8"/>
      <c r="W638" s="8"/>
      <c r="X638" s="8"/>
      <c r="Y638" s="8"/>
      <c r="Z638" s="25"/>
    </row>
    <row r="639" spans="1:26">
      <c r="A639" s="8">
        <v>638</v>
      </c>
      <c r="B639" s="8"/>
      <c r="C639" s="8"/>
      <c r="D639" s="8" t="s">
        <v>2147</v>
      </c>
      <c r="E639" s="16" t="s">
        <v>2148</v>
      </c>
      <c r="F639" s="17" t="s">
        <v>1611</v>
      </c>
      <c r="G639" s="18">
        <v>481</v>
      </c>
      <c r="H639" s="19"/>
      <c r="I639" s="20"/>
      <c r="J639" s="8">
        <f>481</f>
        <v>481</v>
      </c>
      <c r="K639" s="21">
        <v>5.2777777777777771E-3</v>
      </c>
      <c r="L639" s="22" t="s">
        <v>2089</v>
      </c>
      <c r="M639" s="8"/>
      <c r="N639" s="8"/>
      <c r="O639" s="8"/>
      <c r="P639" s="8"/>
      <c r="Q639" s="8"/>
      <c r="R639" s="8"/>
      <c r="S639" s="8"/>
      <c r="T639" s="8"/>
      <c r="U639" s="8"/>
      <c r="V639" s="8"/>
      <c r="W639" s="8"/>
      <c r="X639" s="8"/>
      <c r="Y639" s="8"/>
      <c r="Z639" s="25"/>
    </row>
    <row r="640" spans="1:26">
      <c r="A640" s="8">
        <v>639</v>
      </c>
      <c r="B640" s="8"/>
      <c r="C640" s="8"/>
      <c r="D640" s="8" t="s">
        <v>2149</v>
      </c>
      <c r="E640" s="16" t="s">
        <v>2150</v>
      </c>
      <c r="F640" s="17" t="s">
        <v>2151</v>
      </c>
      <c r="G640" s="18">
        <v>411</v>
      </c>
      <c r="H640" s="19"/>
      <c r="I640" s="20"/>
      <c r="J640" s="8">
        <f>411</f>
        <v>411</v>
      </c>
      <c r="K640" s="21">
        <v>5.3240740740740744E-4</v>
      </c>
      <c r="L640" s="22" t="s">
        <v>2089</v>
      </c>
      <c r="M640" s="8"/>
      <c r="N640" s="8"/>
      <c r="O640" s="8"/>
      <c r="P640" s="8"/>
      <c r="Q640" s="8"/>
      <c r="R640" s="8"/>
      <c r="S640" s="8"/>
      <c r="T640" s="8"/>
      <c r="U640" s="8"/>
      <c r="V640" s="8"/>
      <c r="W640" s="8"/>
      <c r="X640" s="8"/>
      <c r="Y640" s="8"/>
      <c r="Z640" s="25"/>
    </row>
    <row r="641" spans="1:26">
      <c r="A641" s="8">
        <v>640</v>
      </c>
      <c r="B641" s="8"/>
      <c r="C641" s="8"/>
      <c r="D641" s="8" t="s">
        <v>2152</v>
      </c>
      <c r="E641" s="16" t="s">
        <v>2153</v>
      </c>
      <c r="F641" s="17" t="s">
        <v>219</v>
      </c>
      <c r="G641" s="18">
        <v>301</v>
      </c>
      <c r="H641" s="19"/>
      <c r="I641" s="20"/>
      <c r="J641" s="8">
        <f>301</f>
        <v>301</v>
      </c>
      <c r="K641" s="21">
        <v>1.1226851851851851E-3</v>
      </c>
      <c r="L641" s="22" t="s">
        <v>2089</v>
      </c>
      <c r="M641" s="8"/>
      <c r="N641" s="8"/>
      <c r="O641" s="8"/>
      <c r="P641" s="8"/>
      <c r="Q641" s="8"/>
      <c r="R641" s="8"/>
      <c r="S641" s="8"/>
      <c r="T641" s="8"/>
      <c r="U641" s="8"/>
      <c r="V641" s="8"/>
      <c r="W641" s="8"/>
      <c r="X641" s="8"/>
      <c r="Y641" s="8"/>
      <c r="Z641" s="25"/>
    </row>
    <row r="642" spans="1:26">
      <c r="A642" s="8">
        <v>641</v>
      </c>
      <c r="B642" s="8"/>
      <c r="C642" s="8"/>
      <c r="D642" s="8" t="s">
        <v>2154</v>
      </c>
      <c r="E642" s="16" t="s">
        <v>2155</v>
      </c>
      <c r="F642" s="17" t="s">
        <v>745</v>
      </c>
      <c r="G642" s="18">
        <v>343</v>
      </c>
      <c r="H642" s="19"/>
      <c r="I642" s="20"/>
      <c r="J642" s="8">
        <f>343</f>
        <v>343</v>
      </c>
      <c r="K642" s="21">
        <v>1.736111111111111E-3</v>
      </c>
      <c r="L642" s="22" t="s">
        <v>2089</v>
      </c>
      <c r="M642" s="8"/>
      <c r="N642" s="8"/>
      <c r="O642" s="8"/>
      <c r="P642" s="8"/>
      <c r="Q642" s="8"/>
      <c r="R642" s="8"/>
      <c r="S642" s="8"/>
      <c r="T642" s="8"/>
      <c r="U642" s="8"/>
      <c r="V642" s="8"/>
      <c r="W642" s="8"/>
      <c r="X642" s="8"/>
      <c r="Y642" s="8"/>
      <c r="Z642" s="25"/>
    </row>
    <row r="643" spans="1:26">
      <c r="A643" s="8">
        <v>642</v>
      </c>
      <c r="B643" s="8"/>
      <c r="C643" s="8"/>
      <c r="D643" s="8" t="s">
        <v>2156</v>
      </c>
      <c r="E643" s="16" t="s">
        <v>2157</v>
      </c>
      <c r="F643" s="17" t="s">
        <v>1426</v>
      </c>
      <c r="G643" s="18">
        <v>816</v>
      </c>
      <c r="H643" s="19"/>
      <c r="I643" s="20"/>
      <c r="J643" s="8">
        <f>816</f>
        <v>816</v>
      </c>
      <c r="K643" s="21">
        <v>8.7962962962962962E-4</v>
      </c>
      <c r="L643" s="22" t="s">
        <v>2089</v>
      </c>
      <c r="M643" s="8"/>
      <c r="N643" s="8"/>
      <c r="O643" s="8"/>
      <c r="P643" s="8"/>
      <c r="Q643" s="8"/>
      <c r="R643" s="8"/>
      <c r="S643" s="8"/>
      <c r="T643" s="8"/>
      <c r="U643" s="8"/>
      <c r="V643" s="8"/>
      <c r="W643" s="8"/>
      <c r="X643" s="8"/>
      <c r="Y643" s="8"/>
      <c r="Z643" s="25"/>
    </row>
    <row r="644" spans="1:26">
      <c r="A644" s="8">
        <v>643</v>
      </c>
      <c r="B644" s="8"/>
      <c r="C644" s="8"/>
      <c r="D644" s="8" t="s">
        <v>2158</v>
      </c>
      <c r="E644" s="16" t="s">
        <v>2159</v>
      </c>
      <c r="F644" s="17" t="s">
        <v>127</v>
      </c>
      <c r="G644" s="18">
        <v>443</v>
      </c>
      <c r="H644" s="19"/>
      <c r="I644" s="20"/>
      <c r="J644" s="8">
        <f>443</f>
        <v>443</v>
      </c>
      <c r="K644" s="21">
        <v>2.1643518518518518E-3</v>
      </c>
      <c r="L644" s="22" t="s">
        <v>2089</v>
      </c>
      <c r="M644" s="8"/>
      <c r="N644" s="8"/>
      <c r="O644" s="8"/>
      <c r="P644" s="8"/>
      <c r="Q644" s="8"/>
      <c r="R644" s="8"/>
      <c r="S644" s="8"/>
      <c r="T644" s="8"/>
      <c r="U644" s="8"/>
      <c r="V644" s="8"/>
      <c r="W644" s="8"/>
      <c r="X644" s="8"/>
      <c r="Y644" s="8"/>
      <c r="Z644" s="25"/>
    </row>
    <row r="645" spans="1:26">
      <c r="A645" s="8">
        <v>644</v>
      </c>
      <c r="B645" s="8"/>
      <c r="C645" s="8"/>
      <c r="D645" s="8" t="s">
        <v>2160</v>
      </c>
      <c r="E645" s="16" t="s">
        <v>2161</v>
      </c>
      <c r="F645" s="17" t="s">
        <v>2162</v>
      </c>
      <c r="G645" s="18">
        <v>467</v>
      </c>
      <c r="H645" s="19"/>
      <c r="I645" s="20"/>
      <c r="J645" s="8">
        <f>467</f>
        <v>467</v>
      </c>
      <c r="K645" s="21">
        <v>1.2268518518518518E-3</v>
      </c>
      <c r="L645" s="22" t="s">
        <v>2089</v>
      </c>
      <c r="M645" s="8"/>
      <c r="N645" s="8"/>
      <c r="O645" s="8"/>
      <c r="P645" s="8"/>
      <c r="Q645" s="8"/>
      <c r="R645" s="8"/>
      <c r="S645" s="8"/>
      <c r="T645" s="8"/>
      <c r="U645" s="8"/>
      <c r="V645" s="8"/>
      <c r="W645" s="8"/>
      <c r="X645" s="8"/>
      <c r="Y645" s="8"/>
      <c r="Z645" s="25"/>
    </row>
    <row r="646" spans="1:26">
      <c r="A646" s="8">
        <v>645</v>
      </c>
      <c r="B646" s="8"/>
      <c r="C646" s="8"/>
      <c r="D646" s="8" t="s">
        <v>2163</v>
      </c>
      <c r="E646" s="16" t="s">
        <v>2164</v>
      </c>
      <c r="F646" s="17" t="s">
        <v>932</v>
      </c>
      <c r="G646" s="18">
        <v>360</v>
      </c>
      <c r="H646" s="19"/>
      <c r="I646" s="20"/>
      <c r="J646" s="8">
        <f>360</f>
        <v>360</v>
      </c>
      <c r="K646" s="21">
        <v>2.5462962962962961E-3</v>
      </c>
      <c r="L646" s="22" t="s">
        <v>2089</v>
      </c>
      <c r="M646" s="8"/>
      <c r="N646" s="8"/>
      <c r="O646" s="8"/>
      <c r="P646" s="8"/>
      <c r="Q646" s="8"/>
      <c r="R646" s="8"/>
      <c r="S646" s="8"/>
      <c r="T646" s="8"/>
      <c r="U646" s="8"/>
      <c r="V646" s="8"/>
      <c r="W646" s="8"/>
      <c r="X646" s="8"/>
      <c r="Y646" s="8"/>
      <c r="Z646" s="25"/>
    </row>
    <row r="647" spans="1:26">
      <c r="A647" s="8">
        <v>646</v>
      </c>
      <c r="B647" s="8"/>
      <c r="C647" s="8"/>
      <c r="D647" s="8" t="s">
        <v>2165</v>
      </c>
      <c r="E647" s="16" t="s">
        <v>2166</v>
      </c>
      <c r="F647" s="17" t="s">
        <v>2167</v>
      </c>
      <c r="G647" s="18">
        <v>771</v>
      </c>
      <c r="H647" s="19"/>
      <c r="I647" s="20"/>
      <c r="J647" s="8">
        <f>771</f>
        <v>771</v>
      </c>
      <c r="K647" s="21">
        <v>4.2476851851851851E-3</v>
      </c>
      <c r="L647" s="22" t="s">
        <v>2089</v>
      </c>
      <c r="M647" s="8"/>
      <c r="N647" s="8"/>
      <c r="O647" s="8"/>
      <c r="P647" s="8"/>
      <c r="Q647" s="8"/>
      <c r="R647" s="8"/>
      <c r="S647" s="8"/>
      <c r="T647" s="8"/>
      <c r="U647" s="8"/>
      <c r="V647" s="8"/>
      <c r="W647" s="8"/>
      <c r="X647" s="8"/>
      <c r="Y647" s="8"/>
      <c r="Z647" s="25"/>
    </row>
    <row r="648" spans="1:26">
      <c r="A648" s="8">
        <v>647</v>
      </c>
      <c r="B648" s="8"/>
      <c r="C648" s="8"/>
      <c r="D648" s="8" t="s">
        <v>2168</v>
      </c>
      <c r="E648" s="16" t="s">
        <v>2169</v>
      </c>
      <c r="F648" s="17" t="s">
        <v>2125</v>
      </c>
      <c r="G648" s="18">
        <v>546</v>
      </c>
      <c r="H648" s="19"/>
      <c r="I648" s="20"/>
      <c r="J648" s="8">
        <f>546</f>
        <v>546</v>
      </c>
      <c r="K648" s="21">
        <v>2.1064814814814813E-3</v>
      </c>
      <c r="L648" s="22" t="s">
        <v>2089</v>
      </c>
      <c r="M648" s="8"/>
      <c r="N648" s="8"/>
      <c r="O648" s="8"/>
      <c r="P648" s="8"/>
      <c r="Q648" s="8"/>
      <c r="R648" s="8"/>
      <c r="S648" s="8"/>
      <c r="T648" s="8"/>
      <c r="U648" s="8"/>
      <c r="V648" s="8"/>
      <c r="W648" s="8"/>
      <c r="X648" s="8"/>
      <c r="Y648" s="8"/>
      <c r="Z648" s="25"/>
    </row>
    <row r="649" spans="1:26">
      <c r="A649" s="8">
        <v>648</v>
      </c>
      <c r="B649" s="8"/>
      <c r="C649" s="8"/>
      <c r="D649" s="8" t="s">
        <v>2170</v>
      </c>
      <c r="E649" s="16" t="s">
        <v>2171</v>
      </c>
      <c r="F649" s="17" t="s">
        <v>998</v>
      </c>
      <c r="G649" s="18" t="s">
        <v>462</v>
      </c>
      <c r="H649" s="19"/>
      <c r="I649" s="20"/>
      <c r="J649" s="8">
        <f>2.5*1000</f>
        <v>2500</v>
      </c>
      <c r="K649" s="21">
        <v>3.5532407407407405E-3</v>
      </c>
      <c r="L649" s="22" t="s">
        <v>2089</v>
      </c>
      <c r="M649" s="8"/>
      <c r="N649" s="8"/>
      <c r="O649" s="8"/>
      <c r="P649" s="8"/>
      <c r="Q649" s="8"/>
      <c r="R649" s="8"/>
      <c r="S649" s="8"/>
      <c r="T649" s="8"/>
      <c r="U649" s="8"/>
      <c r="V649" s="8"/>
      <c r="W649" s="8"/>
      <c r="X649" s="8"/>
      <c r="Y649" s="8"/>
      <c r="Z649" s="25"/>
    </row>
    <row r="650" spans="1:26">
      <c r="A650" s="8">
        <v>649</v>
      </c>
      <c r="B650" s="8"/>
      <c r="C650" s="8"/>
      <c r="D650" s="8" t="s">
        <v>2172</v>
      </c>
      <c r="E650" s="16" t="s">
        <v>2173</v>
      </c>
      <c r="F650" s="17" t="s">
        <v>1644</v>
      </c>
      <c r="G650" s="18">
        <v>570</v>
      </c>
      <c r="H650" s="19"/>
      <c r="I650" s="20"/>
      <c r="J650" s="8">
        <f>570</f>
        <v>570</v>
      </c>
      <c r="K650" s="21">
        <v>1.3773148148148147E-3</v>
      </c>
      <c r="L650" s="22" t="s">
        <v>2089</v>
      </c>
      <c r="M650" s="8"/>
      <c r="N650" s="8"/>
      <c r="O650" s="8"/>
      <c r="P650" s="8"/>
      <c r="Q650" s="8"/>
      <c r="R650" s="8"/>
      <c r="S650" s="8"/>
      <c r="T650" s="8"/>
      <c r="U650" s="8"/>
      <c r="V650" s="8"/>
      <c r="W650" s="8"/>
      <c r="X650" s="8"/>
      <c r="Y650" s="8"/>
      <c r="Z650" s="25"/>
    </row>
    <row r="651" spans="1:26">
      <c r="A651" s="8">
        <v>650</v>
      </c>
      <c r="B651" s="8"/>
      <c r="C651" s="8"/>
      <c r="D651" s="8" t="s">
        <v>2174</v>
      </c>
      <c r="E651" s="16" t="s">
        <v>2175</v>
      </c>
      <c r="F651" s="17" t="s">
        <v>2176</v>
      </c>
      <c r="G651" s="18" t="s">
        <v>597</v>
      </c>
      <c r="H651" s="19"/>
      <c r="I651" s="20"/>
      <c r="J651" s="8">
        <f>2.6*1000</f>
        <v>2600</v>
      </c>
      <c r="K651" s="21">
        <v>1.9212962962962962E-3</v>
      </c>
      <c r="L651" s="22" t="s">
        <v>2089</v>
      </c>
      <c r="M651" s="8"/>
      <c r="N651" s="8"/>
      <c r="O651" s="8"/>
      <c r="P651" s="8"/>
      <c r="Q651" s="8"/>
      <c r="R651" s="8"/>
      <c r="S651" s="8"/>
      <c r="T651" s="8"/>
      <c r="U651" s="8"/>
      <c r="V651" s="8"/>
      <c r="W651" s="8"/>
      <c r="X651" s="8"/>
      <c r="Y651" s="8"/>
      <c r="Z651" s="25"/>
    </row>
    <row r="652" spans="1:26">
      <c r="A652" s="8">
        <v>651</v>
      </c>
      <c r="B652" s="8"/>
      <c r="C652" s="8"/>
      <c r="D652" s="8" t="s">
        <v>2177</v>
      </c>
      <c r="E652" s="16" t="s">
        <v>2178</v>
      </c>
      <c r="F652" s="17" t="s">
        <v>2179</v>
      </c>
      <c r="G652" s="18">
        <v>173</v>
      </c>
      <c r="H652" s="19"/>
      <c r="I652" s="20"/>
      <c r="J652" s="8">
        <f>173</f>
        <v>173</v>
      </c>
      <c r="K652" s="21">
        <v>8.1018518518518516E-4</v>
      </c>
      <c r="L652" s="22" t="s">
        <v>2089</v>
      </c>
      <c r="M652" s="8"/>
      <c r="N652" s="8"/>
      <c r="O652" s="8"/>
      <c r="P652" s="8"/>
      <c r="Q652" s="8"/>
      <c r="R652" s="8"/>
      <c r="S652" s="8"/>
      <c r="T652" s="8"/>
      <c r="U652" s="8"/>
      <c r="V652" s="8"/>
      <c r="W652" s="8"/>
      <c r="X652" s="8"/>
      <c r="Y652" s="8"/>
      <c r="Z652" s="25"/>
    </row>
    <row r="653" spans="1:26">
      <c r="A653" s="8">
        <v>652</v>
      </c>
      <c r="B653" s="8"/>
      <c r="C653" s="8"/>
      <c r="D653" s="8" t="s">
        <v>2180</v>
      </c>
      <c r="E653" s="16" t="s">
        <v>2181</v>
      </c>
      <c r="F653" s="17" t="s">
        <v>2182</v>
      </c>
      <c r="G653" s="18">
        <v>789</v>
      </c>
      <c r="H653" s="19"/>
      <c r="I653" s="20"/>
      <c r="J653" s="8">
        <f>789</f>
        <v>789</v>
      </c>
      <c r="K653" s="21">
        <v>4.108796296296297E-3</v>
      </c>
      <c r="L653" s="22" t="s">
        <v>2089</v>
      </c>
      <c r="M653" s="8"/>
      <c r="N653" s="8"/>
      <c r="O653" s="8"/>
      <c r="P653" s="8"/>
      <c r="Q653" s="8"/>
      <c r="R653" s="8"/>
      <c r="S653" s="8"/>
      <c r="T653" s="8"/>
      <c r="U653" s="8"/>
      <c r="V653" s="8"/>
      <c r="W653" s="8"/>
      <c r="X653" s="8"/>
      <c r="Y653" s="8"/>
      <c r="Z653" s="25"/>
    </row>
    <row r="654" spans="1:26">
      <c r="A654" s="8">
        <v>653</v>
      </c>
      <c r="B654" s="8"/>
      <c r="C654" s="8"/>
      <c r="D654" s="8" t="s">
        <v>2183</v>
      </c>
      <c r="E654" s="16" t="s">
        <v>2184</v>
      </c>
      <c r="F654" s="29" t="s">
        <v>2185</v>
      </c>
      <c r="G654" s="18" t="s">
        <v>270</v>
      </c>
      <c r="H654" s="19"/>
      <c r="I654" s="20"/>
      <c r="J654" s="8">
        <f>15*1000</f>
        <v>15000</v>
      </c>
      <c r="K654" s="21">
        <v>9.2048611111111109E-2</v>
      </c>
      <c r="L654" s="22" t="s">
        <v>2089</v>
      </c>
      <c r="M654" s="8"/>
      <c r="N654" s="8"/>
      <c r="O654" s="8"/>
      <c r="P654" s="8"/>
      <c r="Q654" s="8"/>
      <c r="R654" s="8"/>
      <c r="S654" s="8"/>
      <c r="T654" s="8"/>
      <c r="U654" s="8"/>
      <c r="V654" s="8"/>
      <c r="W654" s="8"/>
      <c r="X654" s="8"/>
      <c r="Y654" s="8"/>
      <c r="Z654" s="25"/>
    </row>
    <row r="655" spans="1:26">
      <c r="A655" s="8">
        <v>654</v>
      </c>
      <c r="B655" s="8"/>
      <c r="C655" s="8"/>
      <c r="D655" s="8" t="s">
        <v>2186</v>
      </c>
      <c r="E655" s="16" t="s">
        <v>2187</v>
      </c>
      <c r="F655" s="17" t="s">
        <v>1469</v>
      </c>
      <c r="G655" s="18" t="s">
        <v>1005</v>
      </c>
      <c r="H655" s="19"/>
      <c r="I655" s="20"/>
      <c r="J655" s="8">
        <f>1.6*1000</f>
        <v>1600</v>
      </c>
      <c r="K655" s="21">
        <v>1.8171296296296297E-3</v>
      </c>
      <c r="L655" s="22" t="s">
        <v>2089</v>
      </c>
      <c r="M655" s="8"/>
      <c r="N655" s="8"/>
      <c r="O655" s="8"/>
      <c r="P655" s="8"/>
      <c r="Q655" s="8"/>
      <c r="R655" s="8"/>
      <c r="S655" s="8"/>
      <c r="T655" s="8"/>
      <c r="U655" s="8"/>
      <c r="V655" s="8"/>
      <c r="W655" s="8"/>
      <c r="X655" s="8"/>
      <c r="Y655" s="8"/>
      <c r="Z655" s="25"/>
    </row>
    <row r="656" spans="1:26">
      <c r="A656" s="8">
        <v>655</v>
      </c>
      <c r="B656" s="8"/>
      <c r="C656" s="8"/>
      <c r="D656" s="8" t="s">
        <v>2188</v>
      </c>
      <c r="E656" s="16" t="s">
        <v>2189</v>
      </c>
      <c r="F656" s="17" t="s">
        <v>1606</v>
      </c>
      <c r="G656" s="18" t="s">
        <v>445</v>
      </c>
      <c r="H656" s="19"/>
      <c r="I656" s="20"/>
      <c r="J656" s="8">
        <f>1.2*1000</f>
        <v>1200</v>
      </c>
      <c r="K656" s="21">
        <v>1.2152777777777778E-3</v>
      </c>
      <c r="L656" s="22" t="s">
        <v>2190</v>
      </c>
      <c r="M656" s="8"/>
      <c r="N656" s="8"/>
      <c r="O656" s="8"/>
      <c r="P656" s="8"/>
      <c r="Q656" s="8"/>
      <c r="R656" s="8"/>
      <c r="S656" s="8"/>
      <c r="T656" s="8"/>
      <c r="U656" s="8"/>
      <c r="V656" s="8"/>
      <c r="W656" s="8"/>
      <c r="X656" s="8"/>
      <c r="Y656" s="8"/>
      <c r="Z656" s="25"/>
    </row>
    <row r="657" spans="1:26">
      <c r="A657" s="8">
        <v>656</v>
      </c>
      <c r="B657" s="8"/>
      <c r="C657" s="8"/>
      <c r="D657" s="8" t="s">
        <v>2191</v>
      </c>
      <c r="E657" s="16" t="s">
        <v>2192</v>
      </c>
      <c r="F657" s="17" t="s">
        <v>2012</v>
      </c>
      <c r="G657" s="18" t="s">
        <v>438</v>
      </c>
      <c r="H657" s="19"/>
      <c r="I657" s="20"/>
      <c r="J657" s="8">
        <f>2.3*1000</f>
        <v>2300</v>
      </c>
      <c r="K657" s="21">
        <v>3.7962962962962963E-3</v>
      </c>
      <c r="L657" s="22" t="s">
        <v>2190</v>
      </c>
      <c r="M657" s="8"/>
      <c r="N657" s="8"/>
      <c r="O657" s="8"/>
      <c r="P657" s="8"/>
      <c r="Q657" s="8"/>
      <c r="R657" s="8"/>
      <c r="S657" s="8"/>
      <c r="T657" s="8"/>
      <c r="U657" s="8"/>
      <c r="V657" s="8"/>
      <c r="W657" s="8"/>
      <c r="X657" s="8"/>
      <c r="Y657" s="8"/>
      <c r="Z657" s="25"/>
    </row>
    <row r="658" spans="1:26">
      <c r="A658" s="8">
        <v>657</v>
      </c>
      <c r="B658" s="8"/>
      <c r="C658" s="8"/>
      <c r="D658" s="8" t="s">
        <v>2193</v>
      </c>
      <c r="E658" s="16" t="s">
        <v>2194</v>
      </c>
      <c r="F658" s="17" t="s">
        <v>2195</v>
      </c>
      <c r="G658" s="18" t="s">
        <v>597</v>
      </c>
      <c r="H658" s="19"/>
      <c r="I658" s="20"/>
      <c r="J658" s="8">
        <f>2.6*1000</f>
        <v>2600</v>
      </c>
      <c r="K658" s="21">
        <v>1.2916666666666667E-2</v>
      </c>
      <c r="L658" s="22" t="s">
        <v>2190</v>
      </c>
      <c r="M658" s="8"/>
      <c r="N658" s="8"/>
      <c r="O658" s="8"/>
      <c r="P658" s="8"/>
      <c r="Q658" s="8"/>
      <c r="R658" s="8"/>
      <c r="S658" s="8"/>
      <c r="T658" s="8"/>
      <c r="U658" s="8"/>
      <c r="V658" s="8"/>
      <c r="W658" s="8"/>
      <c r="X658" s="8"/>
      <c r="Y658" s="8"/>
      <c r="Z658" s="25"/>
    </row>
    <row r="659" spans="1:26">
      <c r="A659" s="8">
        <v>658</v>
      </c>
      <c r="B659" s="8"/>
      <c r="C659" s="8"/>
      <c r="D659" s="8" t="s">
        <v>2196</v>
      </c>
      <c r="E659" s="16" t="s">
        <v>2197</v>
      </c>
      <c r="F659" s="17" t="s">
        <v>2198</v>
      </c>
      <c r="G659" s="18" t="s">
        <v>498</v>
      </c>
      <c r="H659" s="19"/>
      <c r="I659" s="20"/>
      <c r="J659" s="8">
        <f>5.8*1000</f>
        <v>5800</v>
      </c>
      <c r="K659" s="21">
        <v>4.0046296296296297E-3</v>
      </c>
      <c r="L659" s="22" t="s">
        <v>2190</v>
      </c>
      <c r="M659" s="8"/>
      <c r="N659" s="8"/>
      <c r="O659" s="8"/>
      <c r="P659" s="8"/>
      <c r="Q659" s="8"/>
      <c r="R659" s="8"/>
      <c r="S659" s="8"/>
      <c r="T659" s="8"/>
      <c r="U659" s="8"/>
      <c r="V659" s="8"/>
      <c r="W659" s="8"/>
      <c r="X659" s="8"/>
      <c r="Y659" s="8"/>
      <c r="Z659" s="25"/>
    </row>
    <row r="660" spans="1:26">
      <c r="A660" s="8">
        <v>659</v>
      </c>
      <c r="B660" s="8"/>
      <c r="C660" s="8"/>
      <c r="D660" s="8" t="s">
        <v>2199</v>
      </c>
      <c r="E660" s="16" t="s">
        <v>2200</v>
      </c>
      <c r="F660" s="17" t="s">
        <v>1404</v>
      </c>
      <c r="G660" s="18" t="s">
        <v>568</v>
      </c>
      <c r="H660" s="19"/>
      <c r="I660" s="20"/>
      <c r="J660" s="8">
        <f>1.4*1000</f>
        <v>1400</v>
      </c>
      <c r="K660" s="21">
        <v>1.8634259259259261E-3</v>
      </c>
      <c r="L660" s="22" t="s">
        <v>2190</v>
      </c>
      <c r="M660" s="8"/>
      <c r="N660" s="8"/>
      <c r="O660" s="8"/>
      <c r="P660" s="8"/>
      <c r="Q660" s="8"/>
      <c r="R660" s="8"/>
      <c r="S660" s="8"/>
      <c r="T660" s="8"/>
      <c r="U660" s="8"/>
      <c r="V660" s="8"/>
      <c r="W660" s="8"/>
      <c r="X660" s="8"/>
      <c r="Y660" s="8"/>
      <c r="Z660" s="25"/>
    </row>
    <row r="661" spans="1:26">
      <c r="A661" s="8">
        <v>660</v>
      </c>
      <c r="B661" s="8"/>
      <c r="C661" s="8"/>
      <c r="D661" s="8" t="s">
        <v>2201</v>
      </c>
      <c r="E661" s="16" t="s">
        <v>2202</v>
      </c>
      <c r="F661" s="17" t="s">
        <v>1546</v>
      </c>
      <c r="G661" s="18">
        <v>773</v>
      </c>
      <c r="H661" s="19"/>
      <c r="I661" s="20"/>
      <c r="J661" s="8">
        <f>773</f>
        <v>773</v>
      </c>
      <c r="K661" s="21">
        <v>1.5624999999999999E-3</v>
      </c>
      <c r="L661" s="22" t="s">
        <v>2190</v>
      </c>
      <c r="M661" s="8"/>
      <c r="N661" s="8"/>
      <c r="O661" s="8"/>
      <c r="P661" s="8"/>
      <c r="Q661" s="8"/>
      <c r="R661" s="8"/>
      <c r="S661" s="8"/>
      <c r="T661" s="8"/>
      <c r="U661" s="8"/>
      <c r="V661" s="8"/>
      <c r="W661" s="8"/>
      <c r="X661" s="8"/>
      <c r="Y661" s="8"/>
      <c r="Z661" s="25"/>
    </row>
    <row r="662" spans="1:26">
      <c r="A662" s="8">
        <v>661</v>
      </c>
      <c r="B662" s="8"/>
      <c r="C662" s="8"/>
      <c r="D662" s="8" t="s">
        <v>2203</v>
      </c>
      <c r="E662" s="16" t="s">
        <v>2204</v>
      </c>
      <c r="F662" s="17" t="s">
        <v>2205</v>
      </c>
      <c r="G662" s="18" t="s">
        <v>214</v>
      </c>
      <c r="H662" s="19"/>
      <c r="I662" s="20"/>
      <c r="J662" s="8">
        <f>1*1000</f>
        <v>1000</v>
      </c>
      <c r="K662" s="21">
        <v>8.0324074074074065E-3</v>
      </c>
      <c r="L662" s="22" t="s">
        <v>2190</v>
      </c>
      <c r="M662" s="8"/>
      <c r="N662" s="8"/>
      <c r="O662" s="8"/>
      <c r="P662" s="8"/>
      <c r="Q662" s="8"/>
      <c r="R662" s="8"/>
      <c r="S662" s="8"/>
      <c r="T662" s="8"/>
      <c r="U662" s="8"/>
      <c r="V662" s="8"/>
      <c r="W662" s="8"/>
      <c r="X662" s="8"/>
      <c r="Y662" s="8"/>
      <c r="Z662" s="25"/>
    </row>
    <row r="663" spans="1:26">
      <c r="A663" s="8">
        <v>662</v>
      </c>
      <c r="B663" s="8"/>
      <c r="C663" s="8"/>
      <c r="D663" s="8" t="s">
        <v>2206</v>
      </c>
      <c r="E663" s="16" t="s">
        <v>2207</v>
      </c>
      <c r="F663" s="17" t="s">
        <v>1475</v>
      </c>
      <c r="G663" s="18">
        <v>536</v>
      </c>
      <c r="H663" s="19"/>
      <c r="I663" s="20"/>
      <c r="J663" s="8">
        <f>536</f>
        <v>536</v>
      </c>
      <c r="K663" s="21">
        <v>1.0995370370370371E-3</v>
      </c>
      <c r="L663" s="22" t="s">
        <v>2190</v>
      </c>
      <c r="M663" s="8"/>
      <c r="N663" s="8"/>
      <c r="O663" s="8"/>
      <c r="P663" s="8"/>
      <c r="Q663" s="8"/>
      <c r="R663" s="8"/>
      <c r="S663" s="8"/>
      <c r="T663" s="8"/>
      <c r="U663" s="8"/>
      <c r="V663" s="8"/>
      <c r="W663" s="8"/>
      <c r="X663" s="8"/>
      <c r="Y663" s="8"/>
      <c r="Z663" s="25"/>
    </row>
    <row r="664" spans="1:26">
      <c r="A664" s="8">
        <v>663</v>
      </c>
      <c r="B664" s="8"/>
      <c r="C664" s="8"/>
      <c r="D664" s="8" t="s">
        <v>2208</v>
      </c>
      <c r="E664" s="16" t="s">
        <v>2209</v>
      </c>
      <c r="F664" s="17" t="s">
        <v>2210</v>
      </c>
      <c r="G664" s="18">
        <v>912</v>
      </c>
      <c r="H664" s="19"/>
      <c r="I664" s="20"/>
      <c r="J664" s="8">
        <f>912</f>
        <v>912</v>
      </c>
      <c r="K664" s="21">
        <v>1.9444444444444442E-3</v>
      </c>
      <c r="L664" s="22" t="s">
        <v>2190</v>
      </c>
      <c r="M664" s="8"/>
      <c r="N664" s="8"/>
      <c r="O664" s="8"/>
      <c r="P664" s="8"/>
      <c r="Q664" s="8"/>
      <c r="R664" s="8"/>
      <c r="S664" s="8"/>
      <c r="T664" s="8"/>
      <c r="U664" s="8"/>
      <c r="V664" s="8"/>
      <c r="W664" s="8"/>
      <c r="X664" s="8"/>
      <c r="Y664" s="8"/>
      <c r="Z664" s="25"/>
    </row>
    <row r="665" spans="1:26">
      <c r="A665" s="8">
        <v>664</v>
      </c>
      <c r="B665" s="8"/>
      <c r="C665" s="8"/>
      <c r="D665" s="8" t="s">
        <v>2211</v>
      </c>
      <c r="E665" s="16" t="s">
        <v>2212</v>
      </c>
      <c r="F665" s="29" t="s">
        <v>2213</v>
      </c>
      <c r="G665" s="18" t="s">
        <v>532</v>
      </c>
      <c r="H665" s="19"/>
      <c r="I665" s="20"/>
      <c r="J665" s="8">
        <f>4.1*1000</f>
        <v>4100</v>
      </c>
      <c r="K665" s="21">
        <v>4.3020833333333335E-2</v>
      </c>
      <c r="L665" s="22" t="s">
        <v>2190</v>
      </c>
      <c r="M665" s="8"/>
      <c r="N665" s="8"/>
      <c r="O665" s="8"/>
      <c r="P665" s="8"/>
      <c r="Q665" s="8"/>
      <c r="R665" s="8"/>
      <c r="S665" s="8"/>
      <c r="T665" s="8"/>
      <c r="U665" s="8"/>
      <c r="V665" s="8"/>
      <c r="W665" s="8"/>
      <c r="X665" s="8"/>
      <c r="Y665" s="8"/>
      <c r="Z665" s="25"/>
    </row>
    <row r="666" spans="1:26">
      <c r="A666" s="8">
        <v>665</v>
      </c>
      <c r="B666" s="8"/>
      <c r="C666" s="8"/>
      <c r="D666" s="8" t="s">
        <v>2214</v>
      </c>
      <c r="E666" s="16" t="s">
        <v>2215</v>
      </c>
      <c r="F666" s="17" t="s">
        <v>965</v>
      </c>
      <c r="G666" s="18">
        <v>728</v>
      </c>
      <c r="H666" s="19"/>
      <c r="I666" s="20"/>
      <c r="J666" s="8">
        <f>728</f>
        <v>728</v>
      </c>
      <c r="K666" s="21">
        <v>1.5740740740740741E-3</v>
      </c>
      <c r="L666" s="22" t="s">
        <v>2190</v>
      </c>
      <c r="M666" s="8"/>
      <c r="N666" s="8"/>
      <c r="O666" s="8"/>
      <c r="P666" s="8"/>
      <c r="Q666" s="8"/>
      <c r="R666" s="8"/>
      <c r="S666" s="8"/>
      <c r="T666" s="8"/>
      <c r="U666" s="8"/>
      <c r="V666" s="8"/>
      <c r="W666" s="8"/>
      <c r="X666" s="8"/>
      <c r="Y666" s="8"/>
      <c r="Z666" s="25"/>
    </row>
    <row r="667" spans="1:26">
      <c r="A667" s="8">
        <v>666</v>
      </c>
      <c r="B667" s="8"/>
      <c r="C667" s="8"/>
      <c r="D667" s="8" t="s">
        <v>2216</v>
      </c>
      <c r="E667" s="16" t="s">
        <v>2217</v>
      </c>
      <c r="F667" s="17" t="s">
        <v>2218</v>
      </c>
      <c r="G667" s="18" t="s">
        <v>770</v>
      </c>
      <c r="H667" s="19"/>
      <c r="I667" s="20"/>
      <c r="J667" s="8">
        <f>2.7*1000</f>
        <v>2700</v>
      </c>
      <c r="K667" s="21">
        <v>2.4074074074074076E-3</v>
      </c>
      <c r="L667" s="22" t="s">
        <v>2190</v>
      </c>
      <c r="M667" s="8"/>
      <c r="N667" s="8"/>
      <c r="O667" s="8"/>
      <c r="P667" s="8"/>
      <c r="Q667" s="8"/>
      <c r="R667" s="8"/>
      <c r="S667" s="8"/>
      <c r="T667" s="8"/>
      <c r="U667" s="8"/>
      <c r="V667" s="8"/>
      <c r="W667" s="8"/>
      <c r="X667" s="8"/>
      <c r="Y667" s="8"/>
      <c r="Z667" s="25"/>
    </row>
    <row r="668" spans="1:26">
      <c r="A668" s="8">
        <v>667</v>
      </c>
      <c r="B668" s="8"/>
      <c r="C668" s="8"/>
      <c r="D668" s="8" t="s">
        <v>2219</v>
      </c>
      <c r="E668" s="16" t="s">
        <v>2220</v>
      </c>
      <c r="F668" s="17" t="s">
        <v>754</v>
      </c>
      <c r="G668" s="18" t="s">
        <v>249</v>
      </c>
      <c r="H668" s="19"/>
      <c r="I668" s="20"/>
      <c r="J668" s="8">
        <f>2.4*1000</f>
        <v>2400</v>
      </c>
      <c r="K668" s="21">
        <v>2.1180555555555553E-3</v>
      </c>
      <c r="L668" s="22" t="s">
        <v>2190</v>
      </c>
      <c r="M668" s="8"/>
      <c r="N668" s="8"/>
      <c r="O668" s="8"/>
      <c r="P668" s="8"/>
      <c r="Q668" s="8"/>
      <c r="R668" s="8"/>
      <c r="S668" s="8"/>
      <c r="T668" s="8"/>
      <c r="U668" s="8"/>
      <c r="V668" s="8"/>
      <c r="W668" s="8"/>
      <c r="X668" s="8"/>
      <c r="Y668" s="8"/>
      <c r="Z668" s="25"/>
    </row>
    <row r="669" spans="1:26">
      <c r="A669" s="8">
        <v>668</v>
      </c>
      <c r="B669" s="8"/>
      <c r="C669" s="8"/>
      <c r="D669" s="8" t="s">
        <v>2221</v>
      </c>
      <c r="E669" s="16" t="s">
        <v>2222</v>
      </c>
      <c r="F669" s="17" t="s">
        <v>2223</v>
      </c>
      <c r="G669" s="18" t="s">
        <v>919</v>
      </c>
      <c r="H669" s="19"/>
      <c r="I669" s="20"/>
      <c r="J669" s="8">
        <f>2.8*1000</f>
        <v>2800</v>
      </c>
      <c r="K669" s="21">
        <v>6.9444444444444441E-3</v>
      </c>
      <c r="L669" s="22" t="s">
        <v>2190</v>
      </c>
      <c r="M669" s="8"/>
      <c r="N669" s="8"/>
      <c r="O669" s="8"/>
      <c r="P669" s="8"/>
      <c r="Q669" s="8"/>
      <c r="R669" s="8"/>
      <c r="S669" s="8"/>
      <c r="T669" s="8"/>
      <c r="U669" s="8"/>
      <c r="V669" s="8"/>
      <c r="W669" s="8"/>
      <c r="X669" s="8"/>
      <c r="Y669" s="8"/>
      <c r="Z669" s="25"/>
    </row>
    <row r="670" spans="1:26">
      <c r="A670" s="8">
        <v>669</v>
      </c>
      <c r="B670" s="8"/>
      <c r="C670" s="8"/>
      <c r="D670" s="8" t="s">
        <v>2224</v>
      </c>
      <c r="E670" s="16" t="s">
        <v>2225</v>
      </c>
      <c r="F670" s="29" t="s">
        <v>2226</v>
      </c>
      <c r="G670" s="18" t="s">
        <v>264</v>
      </c>
      <c r="H670" s="19"/>
      <c r="I670" s="20"/>
      <c r="J670" s="8">
        <f>14*1000</f>
        <v>14000</v>
      </c>
      <c r="K670" s="21">
        <v>5.6435185185185179E-2</v>
      </c>
      <c r="L670" s="22" t="s">
        <v>2227</v>
      </c>
      <c r="M670" s="8"/>
      <c r="N670" s="8"/>
      <c r="O670" s="8"/>
      <c r="P670" s="8"/>
      <c r="Q670" s="8"/>
      <c r="R670" s="8"/>
      <c r="S670" s="8"/>
      <c r="T670" s="8"/>
      <c r="U670" s="8"/>
      <c r="V670" s="8"/>
      <c r="W670" s="8"/>
      <c r="X670" s="8"/>
      <c r="Y670" s="8"/>
      <c r="Z670" s="25"/>
    </row>
    <row r="671" spans="1:26">
      <c r="A671" s="8">
        <v>670</v>
      </c>
      <c r="B671" s="8"/>
      <c r="C671" s="8"/>
      <c r="D671" s="8" t="s">
        <v>2228</v>
      </c>
      <c r="E671" s="16" t="s">
        <v>2229</v>
      </c>
      <c r="F671" s="29" t="s">
        <v>2230</v>
      </c>
      <c r="G671" s="18" t="s">
        <v>270</v>
      </c>
      <c r="H671" s="19"/>
      <c r="I671" s="20"/>
      <c r="J671" s="8">
        <f>15*1000</f>
        <v>15000</v>
      </c>
      <c r="K671" s="21">
        <v>6.3055555555555545E-2</v>
      </c>
      <c r="L671" s="22" t="s">
        <v>2227</v>
      </c>
      <c r="M671" s="8"/>
      <c r="N671" s="8"/>
      <c r="O671" s="8"/>
      <c r="P671" s="8"/>
      <c r="Q671" s="8"/>
      <c r="R671" s="8"/>
      <c r="S671" s="8"/>
      <c r="T671" s="8"/>
      <c r="U671" s="8"/>
      <c r="V671" s="8"/>
      <c r="W671" s="8"/>
      <c r="X671" s="8"/>
      <c r="Y671" s="8"/>
      <c r="Z671" s="25"/>
    </row>
    <row r="672" spans="1:26">
      <c r="A672" s="8">
        <v>671</v>
      </c>
      <c r="B672" s="8"/>
      <c r="C672" s="8"/>
      <c r="D672" s="8" t="s">
        <v>2231</v>
      </c>
      <c r="E672" s="16" t="s">
        <v>2232</v>
      </c>
      <c r="F672" s="29" t="s">
        <v>2233</v>
      </c>
      <c r="G672" s="18" t="s">
        <v>837</v>
      </c>
      <c r="H672" s="19"/>
      <c r="I672" s="20"/>
      <c r="J672" s="8">
        <f>6.8*1000</f>
        <v>6800</v>
      </c>
      <c r="K672" s="21">
        <v>5.9907407407407409E-2</v>
      </c>
      <c r="L672" s="22" t="s">
        <v>2227</v>
      </c>
      <c r="M672" s="8"/>
      <c r="N672" s="8"/>
      <c r="O672" s="8"/>
      <c r="P672" s="8"/>
      <c r="Q672" s="8"/>
      <c r="R672" s="8"/>
      <c r="S672" s="8"/>
      <c r="T672" s="8"/>
      <c r="U672" s="8"/>
      <c r="V672" s="8"/>
      <c r="W672" s="8"/>
      <c r="X672" s="8"/>
      <c r="Y672" s="8"/>
      <c r="Z672" s="25"/>
    </row>
    <row r="673" spans="1:26">
      <c r="A673" s="8">
        <v>672</v>
      </c>
      <c r="B673" s="8"/>
      <c r="C673" s="8"/>
      <c r="D673" s="8" t="s">
        <v>2234</v>
      </c>
      <c r="E673" s="16" t="s">
        <v>2235</v>
      </c>
      <c r="F673" s="27" t="s">
        <v>2236</v>
      </c>
      <c r="G673" s="18" t="s">
        <v>1134</v>
      </c>
      <c r="H673" s="19"/>
      <c r="I673" s="20"/>
      <c r="J673" s="8">
        <f>27*1000</f>
        <v>27000</v>
      </c>
      <c r="K673" s="21">
        <v>2.4826388888888887E-2</v>
      </c>
      <c r="L673" s="22" t="s">
        <v>2227</v>
      </c>
      <c r="M673" s="8"/>
      <c r="N673" s="8"/>
      <c r="O673" s="8"/>
      <c r="P673" s="8"/>
      <c r="Q673" s="8"/>
      <c r="R673" s="8"/>
      <c r="S673" s="8"/>
      <c r="T673" s="8"/>
      <c r="U673" s="8"/>
      <c r="V673" s="8"/>
      <c r="W673" s="8"/>
      <c r="X673" s="8"/>
      <c r="Y673" s="8"/>
      <c r="Z673" s="25"/>
    </row>
    <row r="674" spans="1:26">
      <c r="A674" s="8">
        <v>673</v>
      </c>
      <c r="B674" s="8"/>
      <c r="C674" s="8"/>
      <c r="D674" s="8" t="s">
        <v>2237</v>
      </c>
      <c r="E674" s="16" t="s">
        <v>2238</v>
      </c>
      <c r="F674" s="27" t="s">
        <v>2239</v>
      </c>
      <c r="G674" s="18" t="s">
        <v>135</v>
      </c>
      <c r="H674" s="19"/>
      <c r="I674" s="20"/>
      <c r="J674" s="8">
        <f>10*1000</f>
        <v>10000</v>
      </c>
      <c r="K674" s="21">
        <v>2.8564814814814817E-2</v>
      </c>
      <c r="L674" s="22" t="s">
        <v>2240</v>
      </c>
      <c r="M674" s="8"/>
      <c r="N674" s="8"/>
      <c r="O674" s="8"/>
      <c r="P674" s="8"/>
      <c r="Q674" s="8"/>
      <c r="R674" s="8"/>
      <c r="S674" s="8"/>
      <c r="T674" s="8"/>
      <c r="U674" s="8"/>
      <c r="V674" s="8"/>
      <c r="W674" s="8"/>
      <c r="X674" s="8"/>
      <c r="Y674" s="8"/>
      <c r="Z674" s="25"/>
    </row>
    <row r="675" spans="1:26">
      <c r="A675" s="8">
        <v>674</v>
      </c>
      <c r="B675" s="8"/>
      <c r="C675" s="8"/>
      <c r="D675" s="8" t="s">
        <v>2241</v>
      </c>
      <c r="E675" s="16" t="s">
        <v>2242</v>
      </c>
      <c r="F675" s="17" t="s">
        <v>2243</v>
      </c>
      <c r="G675" s="18" t="s">
        <v>782</v>
      </c>
      <c r="H675" s="19"/>
      <c r="I675" s="20"/>
      <c r="J675" s="8">
        <f>1.8*1000</f>
        <v>1800</v>
      </c>
      <c r="K675" s="21">
        <v>3.9583333333333337E-3</v>
      </c>
      <c r="L675" s="22" t="s">
        <v>2240</v>
      </c>
      <c r="M675" s="8"/>
      <c r="N675" s="8"/>
      <c r="O675" s="8"/>
      <c r="P675" s="8"/>
      <c r="Q675" s="8"/>
      <c r="R675" s="8"/>
      <c r="S675" s="8"/>
      <c r="T675" s="8"/>
      <c r="U675" s="8"/>
      <c r="V675" s="8"/>
      <c r="W675" s="8"/>
      <c r="X675" s="8"/>
      <c r="Y675" s="8"/>
      <c r="Z675" s="25"/>
    </row>
    <row r="676" spans="1:26">
      <c r="A676" s="8">
        <v>675</v>
      </c>
      <c r="B676" s="8"/>
      <c r="C676" s="8"/>
      <c r="D676" s="8" t="s">
        <v>2244</v>
      </c>
      <c r="E676" s="16" t="s">
        <v>2245</v>
      </c>
      <c r="F676" s="29" t="s">
        <v>2246</v>
      </c>
      <c r="G676" s="18" t="s">
        <v>438</v>
      </c>
      <c r="H676" s="19"/>
      <c r="I676" s="20"/>
      <c r="J676" s="8">
        <f>2.3*1000</f>
        <v>2300</v>
      </c>
      <c r="K676" s="21">
        <v>6.3078703703703706E-2</v>
      </c>
      <c r="L676" s="22" t="s">
        <v>2240</v>
      </c>
      <c r="M676" s="8"/>
      <c r="N676" s="8"/>
      <c r="O676" s="8"/>
      <c r="P676" s="8"/>
      <c r="Q676" s="8"/>
      <c r="R676" s="8"/>
      <c r="S676" s="8"/>
      <c r="T676" s="8"/>
      <c r="U676" s="8"/>
      <c r="V676" s="8"/>
      <c r="W676" s="8"/>
      <c r="X676" s="8"/>
      <c r="Y676" s="8"/>
      <c r="Z676" s="25"/>
    </row>
    <row r="677" spans="1:26">
      <c r="A677" s="8">
        <v>676</v>
      </c>
      <c r="B677" s="8"/>
      <c r="C677" s="8"/>
      <c r="D677" s="8" t="s">
        <v>2247</v>
      </c>
      <c r="E677" s="16" t="s">
        <v>2248</v>
      </c>
      <c r="F677" s="29" t="s">
        <v>2249</v>
      </c>
      <c r="G677" s="18" t="s">
        <v>445</v>
      </c>
      <c r="H677" s="19"/>
      <c r="I677" s="20"/>
      <c r="J677" s="8">
        <f>1.2*1000</f>
        <v>1200</v>
      </c>
      <c r="K677" s="21">
        <v>6.5277777777777782E-2</v>
      </c>
      <c r="L677" s="22" t="s">
        <v>2240</v>
      </c>
      <c r="M677" s="8"/>
      <c r="N677" s="8"/>
      <c r="O677" s="8"/>
      <c r="P677" s="8"/>
      <c r="Q677" s="8"/>
      <c r="R677" s="8"/>
      <c r="S677" s="8"/>
      <c r="T677" s="8"/>
      <c r="U677" s="8"/>
      <c r="V677" s="8"/>
      <c r="W677" s="8"/>
      <c r="X677" s="8"/>
      <c r="Y677" s="8"/>
      <c r="Z677" s="25"/>
    </row>
    <row r="678" spans="1:26">
      <c r="A678" s="8">
        <v>677</v>
      </c>
      <c r="B678" s="8"/>
      <c r="C678" s="8"/>
      <c r="D678" s="8" t="s">
        <v>2250</v>
      </c>
      <c r="E678" s="16" t="s">
        <v>2251</v>
      </c>
      <c r="F678" s="27" t="s">
        <v>2252</v>
      </c>
      <c r="G678" s="18" t="s">
        <v>510</v>
      </c>
      <c r="H678" s="19"/>
      <c r="I678" s="20"/>
      <c r="J678" s="8">
        <f>3.7*1000</f>
        <v>3700</v>
      </c>
      <c r="K678" s="21">
        <v>3.770833333333333E-2</v>
      </c>
      <c r="L678" s="22" t="s">
        <v>2240</v>
      </c>
      <c r="M678" s="8"/>
      <c r="N678" s="8"/>
      <c r="O678" s="8"/>
      <c r="P678" s="8"/>
      <c r="Q678" s="8"/>
      <c r="R678" s="8"/>
      <c r="S678" s="8"/>
      <c r="T678" s="8"/>
      <c r="U678" s="8"/>
      <c r="V678" s="8"/>
      <c r="W678" s="8"/>
      <c r="X678" s="8"/>
      <c r="Y678" s="8"/>
      <c r="Z678" s="25"/>
    </row>
    <row r="679" spans="1:26">
      <c r="A679" s="8">
        <v>678</v>
      </c>
      <c r="B679" s="8"/>
      <c r="C679" s="8"/>
      <c r="D679" s="8" t="s">
        <v>2253</v>
      </c>
      <c r="E679" s="16" t="s">
        <v>2254</v>
      </c>
      <c r="F679" s="27" t="s">
        <v>2255</v>
      </c>
      <c r="G679" s="18" t="s">
        <v>1157</v>
      </c>
      <c r="H679" s="19"/>
      <c r="I679" s="20"/>
      <c r="J679" s="8">
        <f>6.7*1000</f>
        <v>6700</v>
      </c>
      <c r="K679" s="21">
        <v>2.7349537037037037E-2</v>
      </c>
      <c r="L679" s="22" t="s">
        <v>2240</v>
      </c>
      <c r="M679" s="8"/>
      <c r="N679" s="8"/>
      <c r="O679" s="8"/>
      <c r="P679" s="8"/>
      <c r="Q679" s="8"/>
      <c r="R679" s="8"/>
      <c r="S679" s="8"/>
      <c r="T679" s="8"/>
      <c r="U679" s="8"/>
      <c r="V679" s="8"/>
      <c r="W679" s="8"/>
      <c r="X679" s="8"/>
      <c r="Y679" s="8"/>
      <c r="Z679" s="25"/>
    </row>
    <row r="680" spans="1:26">
      <c r="A680" s="8">
        <v>679</v>
      </c>
      <c r="B680" s="8"/>
      <c r="C680" s="8"/>
      <c r="D680" s="8" t="s">
        <v>2256</v>
      </c>
      <c r="E680" s="16" t="s">
        <v>2257</v>
      </c>
      <c r="F680" s="27" t="s">
        <v>2258</v>
      </c>
      <c r="G680" s="18" t="s">
        <v>510</v>
      </c>
      <c r="H680" s="19"/>
      <c r="I680" s="20"/>
      <c r="J680" s="8">
        <f>3.7*1000</f>
        <v>3700</v>
      </c>
      <c r="K680" s="21">
        <v>2.8599537037037034E-2</v>
      </c>
      <c r="L680" s="22" t="s">
        <v>2240</v>
      </c>
      <c r="M680" s="8"/>
      <c r="N680" s="8"/>
      <c r="O680" s="8"/>
      <c r="P680" s="8"/>
      <c r="Q680" s="8"/>
      <c r="R680" s="8"/>
      <c r="S680" s="8"/>
      <c r="T680" s="8"/>
      <c r="U680" s="8"/>
      <c r="V680" s="8"/>
      <c r="W680" s="8"/>
      <c r="X680" s="8"/>
      <c r="Y680" s="8"/>
      <c r="Z680" s="25"/>
    </row>
    <row r="681" spans="1:26">
      <c r="A681" s="8">
        <v>680</v>
      </c>
      <c r="B681" s="8"/>
      <c r="C681" s="8"/>
      <c r="D681" s="8" t="s">
        <v>2259</v>
      </c>
      <c r="E681" s="16" t="s">
        <v>2260</v>
      </c>
      <c r="F681" s="27" t="s">
        <v>2261</v>
      </c>
      <c r="G681" s="18" t="s">
        <v>1983</v>
      </c>
      <c r="H681" s="19"/>
      <c r="I681" s="20"/>
      <c r="J681" s="8">
        <f>6.5*1000</f>
        <v>6500</v>
      </c>
      <c r="K681" s="21">
        <v>2.2685185185185183E-2</v>
      </c>
      <c r="L681" s="22" t="s">
        <v>2240</v>
      </c>
      <c r="M681" s="8"/>
      <c r="N681" s="8"/>
      <c r="O681" s="8"/>
      <c r="P681" s="8"/>
      <c r="Q681" s="8"/>
      <c r="R681" s="8"/>
      <c r="S681" s="8"/>
      <c r="T681" s="8"/>
      <c r="U681" s="8"/>
      <c r="V681" s="8"/>
      <c r="W681" s="8"/>
      <c r="X681" s="8"/>
      <c r="Y681" s="8"/>
      <c r="Z681" s="25"/>
    </row>
    <row r="682" spans="1:26">
      <c r="A682" s="8">
        <v>681</v>
      </c>
      <c r="B682" s="8"/>
      <c r="C682" s="8"/>
      <c r="D682" s="8" t="s">
        <v>2262</v>
      </c>
      <c r="E682" s="16" t="s">
        <v>2263</v>
      </c>
      <c r="F682" s="27" t="s">
        <v>2264</v>
      </c>
      <c r="G682" s="18" t="s">
        <v>455</v>
      </c>
      <c r="H682" s="19"/>
      <c r="I682" s="20"/>
      <c r="J682" s="8">
        <f>2.9*1000</f>
        <v>2900</v>
      </c>
      <c r="K682" s="21">
        <v>2.8888888888888891E-2</v>
      </c>
      <c r="L682" s="22" t="s">
        <v>2240</v>
      </c>
      <c r="M682" s="8"/>
      <c r="N682" s="8"/>
      <c r="O682" s="8"/>
      <c r="P682" s="8"/>
      <c r="Q682" s="8"/>
      <c r="R682" s="8"/>
      <c r="S682" s="8"/>
      <c r="T682" s="8"/>
      <c r="U682" s="8"/>
      <c r="V682" s="8"/>
      <c r="W682" s="8"/>
      <c r="X682" s="8"/>
      <c r="Y682" s="8"/>
      <c r="Z682" s="25"/>
    </row>
    <row r="683" spans="1:26">
      <c r="A683" s="8">
        <v>682</v>
      </c>
      <c r="B683" s="8"/>
      <c r="C683" s="8"/>
      <c r="D683" s="8" t="s">
        <v>2265</v>
      </c>
      <c r="E683" s="16" t="s">
        <v>2266</v>
      </c>
      <c r="F683" s="27" t="s">
        <v>2267</v>
      </c>
      <c r="G683" s="18" t="s">
        <v>256</v>
      </c>
      <c r="H683" s="19"/>
      <c r="I683" s="20"/>
      <c r="J683" s="8">
        <f>2.1*1000</f>
        <v>2100</v>
      </c>
      <c r="K683" s="21">
        <v>2.6261574074074076E-2</v>
      </c>
      <c r="L683" s="22" t="s">
        <v>2240</v>
      </c>
      <c r="M683" s="8"/>
      <c r="N683" s="8"/>
      <c r="O683" s="8"/>
      <c r="P683" s="8"/>
      <c r="Q683" s="8"/>
      <c r="R683" s="8"/>
      <c r="S683" s="8"/>
      <c r="T683" s="8"/>
      <c r="U683" s="8"/>
      <c r="V683" s="8"/>
      <c r="W683" s="8"/>
      <c r="X683" s="8"/>
      <c r="Y683" s="8"/>
      <c r="Z683" s="25"/>
    </row>
    <row r="684" spans="1:26">
      <c r="A684" s="8">
        <v>683</v>
      </c>
      <c r="B684" s="8"/>
      <c r="C684" s="8"/>
      <c r="D684" s="8" t="s">
        <v>2268</v>
      </c>
      <c r="E684" s="16" t="s">
        <v>2269</v>
      </c>
      <c r="F684" s="17" t="s">
        <v>2270</v>
      </c>
      <c r="G684" s="18" t="s">
        <v>350</v>
      </c>
      <c r="H684" s="19"/>
      <c r="I684" s="20"/>
      <c r="J684" s="8">
        <f>3*1000</f>
        <v>3000</v>
      </c>
      <c r="K684" s="21">
        <v>1.5324074074074073E-2</v>
      </c>
      <c r="L684" s="22" t="s">
        <v>2240</v>
      </c>
      <c r="M684" s="8"/>
      <c r="N684" s="8"/>
      <c r="O684" s="8"/>
      <c r="P684" s="8"/>
      <c r="Q684" s="8"/>
      <c r="R684" s="8"/>
      <c r="S684" s="8"/>
      <c r="T684" s="8"/>
      <c r="U684" s="8"/>
      <c r="V684" s="8"/>
      <c r="W684" s="8"/>
      <c r="X684" s="8"/>
      <c r="Y684" s="8"/>
      <c r="Z684" s="25"/>
    </row>
    <row r="685" spans="1:26">
      <c r="A685" s="8">
        <v>684</v>
      </c>
      <c r="B685" s="8"/>
      <c r="C685" s="8"/>
      <c r="D685" s="8" t="s">
        <v>2271</v>
      </c>
      <c r="E685" s="16" t="s">
        <v>2272</v>
      </c>
      <c r="F685" s="27" t="s">
        <v>2273</v>
      </c>
      <c r="G685" s="18" t="s">
        <v>2274</v>
      </c>
      <c r="H685" s="19"/>
      <c r="I685" s="20"/>
      <c r="J685" s="8">
        <f>5.4*1000</f>
        <v>5400</v>
      </c>
      <c r="K685" s="21">
        <v>1.9583333333333331E-2</v>
      </c>
      <c r="L685" s="22" t="s">
        <v>2240</v>
      </c>
      <c r="M685" s="8"/>
      <c r="N685" s="8"/>
      <c r="O685" s="8"/>
      <c r="P685" s="8"/>
      <c r="Q685" s="8"/>
      <c r="R685" s="8"/>
      <c r="S685" s="8"/>
      <c r="T685" s="8"/>
      <c r="U685" s="8"/>
      <c r="V685" s="8"/>
      <c r="W685" s="8"/>
      <c r="X685" s="8"/>
      <c r="Y685" s="8"/>
      <c r="Z685" s="25"/>
    </row>
    <row r="686" spans="1:26">
      <c r="A686" s="8">
        <v>685</v>
      </c>
      <c r="B686" s="8"/>
      <c r="C686" s="8"/>
      <c r="D686" s="8" t="s">
        <v>2275</v>
      </c>
      <c r="E686" s="16" t="s">
        <v>2276</v>
      </c>
      <c r="F686" s="17" t="s">
        <v>2277</v>
      </c>
      <c r="G686" s="18" t="s">
        <v>357</v>
      </c>
      <c r="H686" s="19"/>
      <c r="I686" s="20"/>
      <c r="J686" s="8">
        <f>3.3*1000</f>
        <v>3300</v>
      </c>
      <c r="K686" s="21">
        <v>1.6331018518518519E-2</v>
      </c>
      <c r="L686" s="22" t="s">
        <v>2240</v>
      </c>
      <c r="M686" s="8"/>
      <c r="N686" s="8"/>
      <c r="O686" s="8"/>
      <c r="P686" s="8"/>
      <c r="Q686" s="8"/>
      <c r="R686" s="8"/>
      <c r="S686" s="8"/>
      <c r="T686" s="8"/>
      <c r="U686" s="8"/>
      <c r="V686" s="8"/>
      <c r="W686" s="8"/>
      <c r="X686" s="8"/>
      <c r="Y686" s="8"/>
      <c r="Z686" s="25"/>
    </row>
    <row r="687" spans="1:26">
      <c r="A687" s="8">
        <v>686</v>
      </c>
      <c r="B687" s="8"/>
      <c r="C687" s="8"/>
      <c r="D687" s="8" t="s">
        <v>2278</v>
      </c>
      <c r="E687" s="16" t="s">
        <v>2279</v>
      </c>
      <c r="F687" s="27" t="s">
        <v>2280</v>
      </c>
      <c r="G687" s="18" t="s">
        <v>597</v>
      </c>
      <c r="H687" s="19"/>
      <c r="I687" s="20"/>
      <c r="J687" s="8">
        <f>2.6*1000</f>
        <v>2600</v>
      </c>
      <c r="K687" s="21">
        <v>2.1944444444444447E-2</v>
      </c>
      <c r="L687" s="22" t="s">
        <v>2240</v>
      </c>
      <c r="M687" s="8"/>
      <c r="N687" s="8"/>
      <c r="O687" s="8"/>
      <c r="P687" s="8"/>
      <c r="Q687" s="8"/>
      <c r="R687" s="8"/>
      <c r="S687" s="8"/>
      <c r="T687" s="8"/>
      <c r="U687" s="8"/>
      <c r="V687" s="8"/>
      <c r="W687" s="8"/>
      <c r="X687" s="8"/>
      <c r="Y687" s="8"/>
      <c r="Z687" s="25"/>
    </row>
    <row r="688" spans="1:26">
      <c r="A688" s="8">
        <v>687</v>
      </c>
      <c r="B688" s="8"/>
      <c r="C688" s="8"/>
      <c r="D688" s="8" t="s">
        <v>2281</v>
      </c>
      <c r="E688" s="16" t="s">
        <v>2282</v>
      </c>
      <c r="F688" s="17" t="s">
        <v>2283</v>
      </c>
      <c r="G688" s="18" t="s">
        <v>498</v>
      </c>
      <c r="H688" s="19"/>
      <c r="I688" s="20"/>
      <c r="J688" s="8">
        <f>5.8*1000</f>
        <v>5800</v>
      </c>
      <c r="K688" s="21">
        <v>6.122685185185185E-3</v>
      </c>
      <c r="L688" s="22" t="s">
        <v>2240</v>
      </c>
      <c r="M688" s="8"/>
      <c r="N688" s="8"/>
      <c r="O688" s="8"/>
      <c r="P688" s="8"/>
      <c r="Q688" s="8"/>
      <c r="R688" s="8"/>
      <c r="S688" s="8"/>
      <c r="T688" s="8"/>
      <c r="U688" s="8"/>
      <c r="V688" s="8"/>
      <c r="W688" s="8"/>
      <c r="X688" s="8"/>
      <c r="Y688" s="8"/>
      <c r="Z688" s="25"/>
    </row>
    <row r="689" spans="1:26">
      <c r="A689" s="8">
        <v>688</v>
      </c>
      <c r="B689" s="8"/>
      <c r="C689" s="8"/>
      <c r="D689" s="8" t="s">
        <v>2284</v>
      </c>
      <c r="E689" s="16" t="s">
        <v>2285</v>
      </c>
      <c r="F689" s="17" t="s">
        <v>2286</v>
      </c>
      <c r="G689" s="18" t="s">
        <v>825</v>
      </c>
      <c r="H689" s="19"/>
      <c r="I689" s="20"/>
      <c r="J689" s="8">
        <f>12*1000</f>
        <v>12000</v>
      </c>
      <c r="K689" s="21">
        <v>7.905092592592592E-3</v>
      </c>
      <c r="L689" s="22" t="s">
        <v>2240</v>
      </c>
      <c r="M689" s="8"/>
      <c r="N689" s="8"/>
      <c r="O689" s="8"/>
      <c r="P689" s="8"/>
      <c r="Q689" s="8"/>
      <c r="R689" s="8"/>
      <c r="S689" s="8"/>
      <c r="T689" s="8"/>
      <c r="U689" s="8"/>
      <c r="V689" s="8"/>
      <c r="W689" s="8"/>
      <c r="X689" s="8"/>
      <c r="Y689" s="8"/>
      <c r="Z689" s="25"/>
    </row>
    <row r="690" spans="1:26">
      <c r="A690" s="8">
        <v>689</v>
      </c>
      <c r="B690" s="8"/>
      <c r="C690" s="8"/>
      <c r="D690" s="8" t="s">
        <v>2287</v>
      </c>
      <c r="E690" s="16" t="s">
        <v>2288</v>
      </c>
      <c r="F690" s="17" t="s">
        <v>2289</v>
      </c>
      <c r="G690" s="18" t="s">
        <v>1827</v>
      </c>
      <c r="H690" s="19"/>
      <c r="I690" s="20"/>
      <c r="J690" s="8">
        <f>4.8*1000</f>
        <v>4800</v>
      </c>
      <c r="K690" s="21">
        <v>3.1134259259259257E-3</v>
      </c>
      <c r="L690" s="22" t="s">
        <v>2240</v>
      </c>
      <c r="M690" s="8"/>
      <c r="N690" s="8"/>
      <c r="O690" s="8"/>
      <c r="P690" s="8"/>
      <c r="Q690" s="8"/>
      <c r="R690" s="8"/>
      <c r="S690" s="8"/>
      <c r="T690" s="8"/>
      <c r="U690" s="8"/>
      <c r="V690" s="8"/>
      <c r="W690" s="8"/>
      <c r="X690" s="8"/>
      <c r="Y690" s="8"/>
      <c r="Z690" s="25"/>
    </row>
    <row r="691" spans="1:26">
      <c r="A691" s="8">
        <v>690</v>
      </c>
      <c r="B691" s="8"/>
      <c r="C691" s="8"/>
      <c r="D691" s="8" t="s">
        <v>2290</v>
      </c>
      <c r="E691" s="16" t="s">
        <v>2291</v>
      </c>
      <c r="F691" s="27" t="s">
        <v>2292</v>
      </c>
      <c r="G691" s="18" t="s">
        <v>2293</v>
      </c>
      <c r="H691" s="19"/>
      <c r="I691" s="20"/>
      <c r="J691" s="8">
        <f>9.1*1000</f>
        <v>9100</v>
      </c>
      <c r="K691" s="21">
        <v>3.2106481481481479E-2</v>
      </c>
      <c r="L691" s="22" t="s">
        <v>2240</v>
      </c>
      <c r="M691" s="8"/>
      <c r="N691" s="8"/>
      <c r="O691" s="8"/>
      <c r="P691" s="8"/>
      <c r="Q691" s="8"/>
      <c r="R691" s="8"/>
      <c r="S691" s="8"/>
      <c r="T691" s="8"/>
      <c r="U691" s="8"/>
      <c r="V691" s="8"/>
      <c r="W691" s="8"/>
      <c r="X691" s="8"/>
      <c r="Y691" s="8"/>
      <c r="Z691" s="25"/>
    </row>
    <row r="692" spans="1:26">
      <c r="A692" s="8">
        <v>691</v>
      </c>
      <c r="B692" s="8"/>
      <c r="C692" s="8"/>
      <c r="D692" s="8" t="s">
        <v>2294</v>
      </c>
      <c r="E692" s="16" t="s">
        <v>2295</v>
      </c>
      <c r="F692" s="29" t="s">
        <v>2296</v>
      </c>
      <c r="G692" s="18" t="s">
        <v>2297</v>
      </c>
      <c r="H692" s="19"/>
      <c r="I692" s="20"/>
      <c r="J692" s="8">
        <f>24*1000</f>
        <v>24000</v>
      </c>
      <c r="K692" s="21">
        <v>4.4583333333333336E-2</v>
      </c>
      <c r="L692" s="22" t="s">
        <v>2240</v>
      </c>
      <c r="M692" s="8"/>
      <c r="N692" s="8"/>
      <c r="O692" s="8"/>
      <c r="P692" s="8"/>
      <c r="Q692" s="8"/>
      <c r="R692" s="8"/>
      <c r="S692" s="8"/>
      <c r="T692" s="8"/>
      <c r="U692" s="8"/>
      <c r="V692" s="8"/>
      <c r="W692" s="8"/>
      <c r="X692" s="8"/>
      <c r="Y692" s="8"/>
      <c r="Z692" s="25"/>
    </row>
    <row r="693" spans="1:26">
      <c r="A693" s="8">
        <v>692</v>
      </c>
      <c r="B693" s="8"/>
      <c r="C693" s="8"/>
      <c r="D693" s="8" t="s">
        <v>2298</v>
      </c>
      <c r="E693" s="16" t="s">
        <v>2299</v>
      </c>
      <c r="F693" s="27" t="s">
        <v>2300</v>
      </c>
      <c r="G693" s="18" t="s">
        <v>238</v>
      </c>
      <c r="H693" s="19"/>
      <c r="I693" s="20"/>
      <c r="J693" s="8">
        <f>4.9*1000</f>
        <v>4900</v>
      </c>
      <c r="K693" s="21">
        <v>2.8055555555555556E-2</v>
      </c>
      <c r="L693" s="22" t="s">
        <v>2240</v>
      </c>
      <c r="M693" s="8"/>
      <c r="N693" s="8"/>
      <c r="O693" s="8"/>
      <c r="P693" s="8"/>
      <c r="Q693" s="8"/>
      <c r="R693" s="8"/>
      <c r="S693" s="8"/>
      <c r="T693" s="8"/>
      <c r="U693" s="8"/>
      <c r="V693" s="8"/>
      <c r="W693" s="8"/>
      <c r="X693" s="8"/>
      <c r="Y693" s="8"/>
      <c r="Z693" s="25"/>
    </row>
    <row r="694" spans="1:26">
      <c r="A694" s="8">
        <v>693</v>
      </c>
      <c r="B694" s="8"/>
      <c r="C694" s="8"/>
      <c r="D694" s="8" t="s">
        <v>2301</v>
      </c>
      <c r="E694" s="16" t="s">
        <v>2302</v>
      </c>
      <c r="F694" s="17" t="s">
        <v>2303</v>
      </c>
      <c r="G694" s="18" t="s">
        <v>2304</v>
      </c>
      <c r="H694" s="19"/>
      <c r="I694" s="20"/>
      <c r="J694" s="8">
        <f>5.3*1000</f>
        <v>5300</v>
      </c>
      <c r="K694" s="21">
        <v>1.4733796296296295E-2</v>
      </c>
      <c r="L694" s="22" t="s">
        <v>2240</v>
      </c>
      <c r="M694" s="8"/>
      <c r="N694" s="8"/>
      <c r="O694" s="8"/>
      <c r="P694" s="8"/>
      <c r="Q694" s="8"/>
      <c r="R694" s="8"/>
      <c r="S694" s="8"/>
      <c r="T694" s="8"/>
      <c r="U694" s="8"/>
      <c r="V694" s="8"/>
      <c r="W694" s="8"/>
      <c r="X694" s="8"/>
      <c r="Y694" s="8"/>
      <c r="Z694" s="25"/>
    </row>
    <row r="695" spans="1:26">
      <c r="A695" s="8">
        <v>694</v>
      </c>
      <c r="B695" s="8"/>
      <c r="C695" s="8"/>
      <c r="D695" s="8" t="s">
        <v>2305</v>
      </c>
      <c r="E695" s="16" t="s">
        <v>2306</v>
      </c>
      <c r="F695" s="27" t="s">
        <v>2307</v>
      </c>
      <c r="G695" s="18" t="s">
        <v>2308</v>
      </c>
      <c r="H695" s="19"/>
      <c r="I695" s="20"/>
      <c r="J695" s="8">
        <f>18*1000</f>
        <v>18000</v>
      </c>
      <c r="K695" s="21">
        <v>3.3402777777777774E-2</v>
      </c>
      <c r="L695" s="22" t="s">
        <v>2309</v>
      </c>
      <c r="M695" s="8"/>
      <c r="N695" s="8"/>
      <c r="O695" s="8"/>
      <c r="P695" s="8"/>
      <c r="Q695" s="8"/>
      <c r="R695" s="8"/>
      <c r="S695" s="8"/>
      <c r="T695" s="8"/>
      <c r="U695" s="8"/>
      <c r="V695" s="8"/>
      <c r="W695" s="8"/>
      <c r="X695" s="8"/>
      <c r="Y695" s="8"/>
      <c r="Z695" s="25"/>
    </row>
    <row r="696" spans="1:26">
      <c r="A696" s="8">
        <v>695</v>
      </c>
      <c r="B696" s="8"/>
      <c r="C696" s="8"/>
      <c r="D696" s="8" t="s">
        <v>2310</v>
      </c>
      <c r="E696" s="16" t="s">
        <v>2311</v>
      </c>
      <c r="F696" s="29" t="s">
        <v>2312</v>
      </c>
      <c r="G696" s="18" t="s">
        <v>2293</v>
      </c>
      <c r="H696" s="19"/>
      <c r="I696" s="20"/>
      <c r="J696" s="8">
        <f>9.1*1000</f>
        <v>9100</v>
      </c>
      <c r="K696" s="21">
        <v>4.2349537037037033E-2</v>
      </c>
      <c r="L696" s="22" t="s">
        <v>2309</v>
      </c>
      <c r="M696" s="8"/>
      <c r="N696" s="8"/>
      <c r="O696" s="8"/>
      <c r="P696" s="8"/>
      <c r="Q696" s="8"/>
      <c r="R696" s="8"/>
      <c r="S696" s="8"/>
      <c r="T696" s="8"/>
      <c r="U696" s="8"/>
      <c r="V696" s="8"/>
      <c r="W696" s="8"/>
      <c r="X696" s="8"/>
      <c r="Y696" s="8"/>
      <c r="Z696" s="25"/>
    </row>
    <row r="697" spans="1:26">
      <c r="A697" s="8">
        <v>696</v>
      </c>
      <c r="B697" s="8"/>
      <c r="C697" s="8"/>
      <c r="D697" s="8" t="s">
        <v>2313</v>
      </c>
      <c r="E697" s="16" t="s">
        <v>2314</v>
      </c>
      <c r="F697" s="27" t="s">
        <v>2315</v>
      </c>
      <c r="G697" s="18" t="s">
        <v>135</v>
      </c>
      <c r="H697" s="19"/>
      <c r="I697" s="20"/>
      <c r="J697" s="8">
        <f>10*1000</f>
        <v>10000</v>
      </c>
      <c r="K697" s="21">
        <v>2.1979166666666664E-2</v>
      </c>
      <c r="L697" s="22" t="s">
        <v>2309</v>
      </c>
      <c r="M697" s="8"/>
      <c r="N697" s="8"/>
      <c r="O697" s="8"/>
      <c r="P697" s="8"/>
      <c r="Q697" s="8"/>
      <c r="R697" s="8"/>
      <c r="S697" s="8"/>
      <c r="T697" s="8"/>
      <c r="U697" s="8"/>
      <c r="V697" s="8"/>
      <c r="W697" s="8"/>
      <c r="X697" s="8"/>
      <c r="Y697" s="8"/>
      <c r="Z697" s="25"/>
    </row>
    <row r="698" spans="1:26">
      <c r="A698" s="8">
        <v>697</v>
      </c>
      <c r="B698" s="8"/>
      <c r="C698" s="8"/>
      <c r="D698" s="8" t="s">
        <v>2316</v>
      </c>
      <c r="E698" s="16" t="s">
        <v>2317</v>
      </c>
      <c r="F698" s="17" t="s">
        <v>2045</v>
      </c>
      <c r="G698" s="18" t="s">
        <v>510</v>
      </c>
      <c r="H698" s="19"/>
      <c r="I698" s="20"/>
      <c r="J698" s="8">
        <f>3.7*1000</f>
        <v>3700</v>
      </c>
      <c r="K698" s="21">
        <v>1.7824074074074072E-3</v>
      </c>
      <c r="L698" s="22" t="s">
        <v>2309</v>
      </c>
      <c r="M698" s="8"/>
      <c r="N698" s="8"/>
      <c r="O698" s="8"/>
      <c r="P698" s="8"/>
      <c r="Q698" s="8"/>
      <c r="R698" s="8"/>
      <c r="S698" s="8"/>
      <c r="T698" s="8"/>
      <c r="U698" s="8"/>
      <c r="V698" s="8"/>
      <c r="W698" s="8"/>
      <c r="X698" s="8"/>
      <c r="Y698" s="8"/>
      <c r="Z698" s="25"/>
    </row>
    <row r="699" spans="1:26">
      <c r="A699" s="8">
        <v>698</v>
      </c>
      <c r="B699" s="8"/>
      <c r="C699" s="8"/>
      <c r="D699" s="8" t="s">
        <v>2318</v>
      </c>
      <c r="E699" s="16" t="s">
        <v>2319</v>
      </c>
      <c r="F699" s="27" t="s">
        <v>2320</v>
      </c>
      <c r="G699" s="18" t="s">
        <v>1289</v>
      </c>
      <c r="H699" s="19"/>
      <c r="I699" s="20"/>
      <c r="J699" s="8">
        <f t="shared" ref="J699:J700" si="11">16*1000</f>
        <v>16000</v>
      </c>
      <c r="K699" s="21">
        <v>3.8483796296296294E-2</v>
      </c>
      <c r="L699" s="22" t="s">
        <v>2309</v>
      </c>
      <c r="M699" s="8"/>
      <c r="N699" s="8"/>
      <c r="O699" s="8"/>
      <c r="P699" s="8"/>
      <c r="Q699" s="8"/>
      <c r="R699" s="8"/>
      <c r="S699" s="8"/>
      <c r="T699" s="8"/>
      <c r="U699" s="8"/>
      <c r="V699" s="8"/>
      <c r="W699" s="8"/>
      <c r="X699" s="8"/>
      <c r="Y699" s="8"/>
      <c r="Z699" s="25"/>
    </row>
    <row r="700" spans="1:26">
      <c r="A700" s="8">
        <v>699</v>
      </c>
      <c r="B700" s="8"/>
      <c r="C700" s="8"/>
      <c r="D700" s="8" t="s">
        <v>2321</v>
      </c>
      <c r="E700" s="16" t="s">
        <v>2322</v>
      </c>
      <c r="F700" s="27" t="s">
        <v>2323</v>
      </c>
      <c r="G700" s="18" t="s">
        <v>1289</v>
      </c>
      <c r="H700" s="19"/>
      <c r="I700" s="20"/>
      <c r="J700" s="8">
        <f t="shared" si="11"/>
        <v>16000</v>
      </c>
      <c r="K700" s="21">
        <v>3.5312500000000004E-2</v>
      </c>
      <c r="L700" s="22" t="s">
        <v>2309</v>
      </c>
      <c r="M700" s="8"/>
      <c r="N700" s="8"/>
      <c r="O700" s="8"/>
      <c r="P700" s="8"/>
      <c r="Q700" s="8"/>
      <c r="R700" s="8"/>
      <c r="S700" s="8"/>
      <c r="T700" s="8"/>
      <c r="U700" s="8"/>
      <c r="V700" s="8"/>
      <c r="W700" s="8"/>
      <c r="X700" s="8"/>
      <c r="Y700" s="8"/>
      <c r="Z700" s="25"/>
    </row>
    <row r="701" spans="1:26">
      <c r="A701" s="8">
        <v>700</v>
      </c>
      <c r="B701" s="8"/>
      <c r="C701" s="8"/>
      <c r="D701" s="8" t="s">
        <v>2324</v>
      </c>
      <c r="E701" s="16" t="s">
        <v>2325</v>
      </c>
      <c r="F701" s="27" t="s">
        <v>2326</v>
      </c>
      <c r="G701" s="18" t="s">
        <v>825</v>
      </c>
      <c r="H701" s="19"/>
      <c r="I701" s="20"/>
      <c r="J701" s="8">
        <f>12*1000</f>
        <v>12000</v>
      </c>
      <c r="K701" s="21">
        <v>2.7951388888888887E-2</v>
      </c>
      <c r="L701" s="22" t="s">
        <v>2309</v>
      </c>
      <c r="M701" s="8"/>
      <c r="N701" s="8"/>
      <c r="O701" s="8"/>
      <c r="P701" s="8"/>
      <c r="Q701" s="8"/>
      <c r="R701" s="8"/>
      <c r="S701" s="8"/>
      <c r="T701" s="8"/>
      <c r="U701" s="8"/>
      <c r="V701" s="8"/>
      <c r="W701" s="8"/>
      <c r="X701" s="8"/>
      <c r="Y701" s="8"/>
      <c r="Z701" s="25"/>
    </row>
    <row r="702" spans="1:26">
      <c r="A702" s="8">
        <v>701</v>
      </c>
      <c r="B702" s="8"/>
      <c r="C702" s="8"/>
      <c r="D702" s="8" t="s">
        <v>2327</v>
      </c>
      <c r="E702" s="16" t="s">
        <v>2328</v>
      </c>
      <c r="F702" s="17" t="s">
        <v>2329</v>
      </c>
      <c r="G702" s="18">
        <v>895</v>
      </c>
      <c r="H702" s="19"/>
      <c r="I702" s="20"/>
      <c r="J702" s="8">
        <f>895</f>
        <v>895</v>
      </c>
      <c r="K702" s="21">
        <v>1.5902777777777776E-2</v>
      </c>
      <c r="L702" s="22" t="s">
        <v>2330</v>
      </c>
      <c r="M702" s="8"/>
      <c r="N702" s="8"/>
      <c r="O702" s="8"/>
      <c r="P702" s="8"/>
      <c r="Q702" s="8"/>
      <c r="R702" s="8"/>
      <c r="S702" s="8"/>
      <c r="T702" s="8"/>
      <c r="U702" s="8"/>
      <c r="V702" s="8"/>
      <c r="W702" s="8"/>
      <c r="X702" s="8"/>
      <c r="Y702" s="8"/>
      <c r="Z702" s="25"/>
    </row>
    <row r="703" spans="1:26">
      <c r="A703" s="8">
        <v>702</v>
      </c>
      <c r="B703" s="8"/>
      <c r="C703" s="8"/>
      <c r="D703" s="8" t="s">
        <v>2331</v>
      </c>
      <c r="E703" s="16" t="s">
        <v>2332</v>
      </c>
      <c r="F703" s="27" t="s">
        <v>2333</v>
      </c>
      <c r="G703" s="18">
        <v>214</v>
      </c>
      <c r="H703" s="19"/>
      <c r="I703" s="20"/>
      <c r="J703" s="8">
        <f>214</f>
        <v>214</v>
      </c>
      <c r="K703" s="21">
        <v>3.0034722222222223E-2</v>
      </c>
      <c r="L703" s="22" t="s">
        <v>2330</v>
      </c>
      <c r="M703" s="8"/>
      <c r="N703" s="8"/>
      <c r="O703" s="8"/>
      <c r="P703" s="8"/>
      <c r="Q703" s="8"/>
      <c r="R703" s="8"/>
      <c r="S703" s="8"/>
      <c r="T703" s="8"/>
      <c r="U703" s="8"/>
      <c r="V703" s="8"/>
      <c r="W703" s="8"/>
      <c r="X703" s="8"/>
      <c r="Y703" s="8"/>
      <c r="Z703" s="25"/>
    </row>
    <row r="704" spans="1:26">
      <c r="A704" s="8">
        <v>703</v>
      </c>
      <c r="B704" s="8"/>
      <c r="C704" s="8"/>
      <c r="D704" s="8" t="s">
        <v>2334</v>
      </c>
      <c r="E704" s="16" t="s">
        <v>2335</v>
      </c>
      <c r="F704" s="27" t="s">
        <v>715</v>
      </c>
      <c r="G704" s="18" t="s">
        <v>568</v>
      </c>
      <c r="H704" s="19"/>
      <c r="I704" s="20"/>
      <c r="J704" s="8">
        <f>1.4*1000</f>
        <v>1400</v>
      </c>
      <c r="K704" s="21">
        <v>2.5208333333333333E-2</v>
      </c>
      <c r="L704" s="22" t="s">
        <v>2330</v>
      </c>
      <c r="M704" s="8"/>
      <c r="N704" s="8"/>
      <c r="O704" s="8"/>
      <c r="P704" s="8"/>
      <c r="Q704" s="8"/>
      <c r="R704" s="8"/>
      <c r="S704" s="8"/>
      <c r="T704" s="8"/>
      <c r="U704" s="8"/>
      <c r="V704" s="8"/>
      <c r="W704" s="8"/>
      <c r="X704" s="8"/>
      <c r="Y704" s="8"/>
      <c r="Z704" s="25"/>
    </row>
    <row r="705" spans="1:26">
      <c r="A705" s="8">
        <v>704</v>
      </c>
      <c r="B705" s="8"/>
      <c r="C705" s="8"/>
      <c r="D705" s="8" t="s">
        <v>2336</v>
      </c>
      <c r="E705" s="16" t="s">
        <v>2337</v>
      </c>
      <c r="F705" s="17" t="s">
        <v>2338</v>
      </c>
      <c r="G705" s="18">
        <v>159</v>
      </c>
      <c r="H705" s="19"/>
      <c r="I705" s="20"/>
      <c r="J705" s="8">
        <f>159</f>
        <v>159</v>
      </c>
      <c r="K705" s="21">
        <v>1.3703703703703704E-2</v>
      </c>
      <c r="L705" s="22" t="s">
        <v>2330</v>
      </c>
      <c r="M705" s="8"/>
      <c r="N705" s="8"/>
      <c r="O705" s="8"/>
      <c r="P705" s="8"/>
      <c r="Q705" s="8"/>
      <c r="R705" s="8"/>
      <c r="S705" s="8"/>
      <c r="T705" s="8"/>
      <c r="U705" s="8"/>
      <c r="V705" s="8"/>
      <c r="W705" s="8"/>
      <c r="X705" s="8"/>
      <c r="Y705" s="8"/>
      <c r="Z705" s="25"/>
    </row>
    <row r="706" spans="1:26">
      <c r="A706" s="8">
        <v>705</v>
      </c>
      <c r="B706" s="8"/>
      <c r="C706" s="8"/>
      <c r="D706" s="8" t="s">
        <v>2339</v>
      </c>
      <c r="E706" s="16" t="s">
        <v>2340</v>
      </c>
      <c r="F706" s="27" t="s">
        <v>2315</v>
      </c>
      <c r="G706" s="18" t="s">
        <v>144</v>
      </c>
      <c r="H706" s="19"/>
      <c r="I706" s="20"/>
      <c r="J706" s="8">
        <f>1.7*1000</f>
        <v>1700</v>
      </c>
      <c r="K706" s="21">
        <v>2.1979166666666664E-2</v>
      </c>
      <c r="L706" s="22" t="s">
        <v>2330</v>
      </c>
      <c r="M706" s="8"/>
      <c r="N706" s="8"/>
      <c r="O706" s="8"/>
      <c r="P706" s="8"/>
      <c r="Q706" s="8"/>
      <c r="R706" s="8"/>
      <c r="S706" s="8"/>
      <c r="T706" s="8"/>
      <c r="U706" s="8"/>
      <c r="V706" s="8"/>
      <c r="W706" s="8"/>
      <c r="X706" s="8"/>
      <c r="Y706" s="8"/>
      <c r="Z706" s="25"/>
    </row>
    <row r="707" spans="1:26">
      <c r="A707" s="8">
        <v>706</v>
      </c>
      <c r="B707" s="8"/>
      <c r="C707" s="8"/>
      <c r="D707" s="8" t="s">
        <v>2341</v>
      </c>
      <c r="E707" s="16" t="s">
        <v>2342</v>
      </c>
      <c r="F707" s="17" t="s">
        <v>2343</v>
      </c>
      <c r="G707" s="18">
        <v>395</v>
      </c>
      <c r="H707" s="19"/>
      <c r="I707" s="20"/>
      <c r="J707" s="8">
        <f>395</f>
        <v>395</v>
      </c>
      <c r="K707" s="21">
        <v>1.0601851851851854E-2</v>
      </c>
      <c r="L707" s="22" t="s">
        <v>2330</v>
      </c>
      <c r="M707" s="8"/>
      <c r="N707" s="8"/>
      <c r="O707" s="8"/>
      <c r="P707" s="8"/>
      <c r="Q707" s="8"/>
      <c r="R707" s="8"/>
      <c r="S707" s="8"/>
      <c r="T707" s="8"/>
      <c r="U707" s="8"/>
      <c r="V707" s="8"/>
      <c r="W707" s="8"/>
      <c r="X707" s="8"/>
      <c r="Y707" s="8"/>
      <c r="Z707" s="25"/>
    </row>
    <row r="708" spans="1:26">
      <c r="A708" s="8">
        <v>707</v>
      </c>
      <c r="B708" s="8"/>
      <c r="C708" s="8"/>
      <c r="D708" s="8" t="s">
        <v>2344</v>
      </c>
      <c r="E708" s="16" t="s">
        <v>2345</v>
      </c>
      <c r="F708" s="27" t="s">
        <v>2346</v>
      </c>
      <c r="G708" s="18" t="s">
        <v>912</v>
      </c>
      <c r="H708" s="19"/>
      <c r="I708" s="20"/>
      <c r="J708" s="8">
        <f>4.2*1000</f>
        <v>4200</v>
      </c>
      <c r="K708" s="21">
        <v>2.4050925925925924E-2</v>
      </c>
      <c r="L708" s="22" t="s">
        <v>2330</v>
      </c>
      <c r="M708" s="8"/>
      <c r="N708" s="8"/>
      <c r="O708" s="8"/>
      <c r="P708" s="8"/>
      <c r="Q708" s="8"/>
      <c r="R708" s="8"/>
      <c r="S708" s="8"/>
      <c r="T708" s="8"/>
      <c r="U708" s="8"/>
      <c r="V708" s="8"/>
      <c r="W708" s="8"/>
      <c r="X708" s="8"/>
      <c r="Y708" s="8"/>
      <c r="Z708" s="25"/>
    </row>
    <row r="709" spans="1:26">
      <c r="A709" s="8">
        <v>708</v>
      </c>
      <c r="B709" s="8"/>
      <c r="C709" s="8"/>
      <c r="D709" s="8" t="s">
        <v>2347</v>
      </c>
      <c r="E709" s="16" t="s">
        <v>2348</v>
      </c>
      <c r="F709" s="17" t="s">
        <v>356</v>
      </c>
      <c r="G709" s="18">
        <v>131</v>
      </c>
      <c r="H709" s="19"/>
      <c r="I709" s="20"/>
      <c r="J709" s="8">
        <f>131</f>
        <v>131</v>
      </c>
      <c r="K709" s="21">
        <v>8.8657407407407417E-3</v>
      </c>
      <c r="L709" s="22" t="s">
        <v>2330</v>
      </c>
      <c r="M709" s="8"/>
      <c r="N709" s="8"/>
      <c r="O709" s="8"/>
      <c r="P709" s="8"/>
      <c r="Q709" s="8"/>
      <c r="R709" s="8"/>
      <c r="S709" s="8"/>
      <c r="T709" s="8"/>
      <c r="U709" s="8"/>
      <c r="V709" s="8"/>
      <c r="W709" s="8"/>
      <c r="X709" s="8"/>
      <c r="Y709" s="8"/>
      <c r="Z709" s="25"/>
    </row>
    <row r="710" spans="1:26">
      <c r="A710" s="8">
        <v>709</v>
      </c>
      <c r="B710" s="8"/>
      <c r="C710" s="8"/>
      <c r="D710" s="8" t="s">
        <v>2349</v>
      </c>
      <c r="E710" s="16" t="s">
        <v>2350</v>
      </c>
      <c r="F710" s="17" t="s">
        <v>2351</v>
      </c>
      <c r="G710" s="18">
        <v>420</v>
      </c>
      <c r="H710" s="19"/>
      <c r="I710" s="20"/>
      <c r="J710" s="8">
        <f>420</f>
        <v>420</v>
      </c>
      <c r="K710" s="21">
        <v>5.0000000000000001E-3</v>
      </c>
      <c r="L710" s="22" t="s">
        <v>2330</v>
      </c>
      <c r="M710" s="8"/>
      <c r="N710" s="8"/>
      <c r="O710" s="8"/>
      <c r="P710" s="8"/>
      <c r="Q710" s="8"/>
      <c r="R710" s="8"/>
      <c r="S710" s="8"/>
      <c r="T710" s="8"/>
      <c r="U710" s="8"/>
      <c r="V710" s="8"/>
      <c r="W710" s="8"/>
      <c r="X710" s="8"/>
      <c r="Y710" s="8"/>
      <c r="Z710" s="25"/>
    </row>
    <row r="711" spans="1:26">
      <c r="A711" s="8">
        <v>710</v>
      </c>
      <c r="B711" s="8"/>
      <c r="C711" s="8"/>
      <c r="D711" s="8" t="s">
        <v>2352</v>
      </c>
      <c r="E711" s="16" t="s">
        <v>2353</v>
      </c>
      <c r="F711" s="27" t="s">
        <v>2354</v>
      </c>
      <c r="G711" s="18" t="s">
        <v>214</v>
      </c>
      <c r="H711" s="19"/>
      <c r="I711" s="20"/>
      <c r="J711" s="8">
        <f>1*1000</f>
        <v>1000</v>
      </c>
      <c r="K711" s="21">
        <v>2.0324074074074074E-2</v>
      </c>
      <c r="L711" s="22" t="s">
        <v>2330</v>
      </c>
      <c r="M711" s="8"/>
      <c r="N711" s="8"/>
      <c r="O711" s="8"/>
      <c r="P711" s="8"/>
      <c r="Q711" s="8"/>
      <c r="R711" s="8"/>
      <c r="S711" s="8"/>
      <c r="T711" s="8"/>
      <c r="U711" s="8"/>
      <c r="V711" s="8"/>
      <c r="W711" s="8"/>
      <c r="X711" s="8"/>
      <c r="Y711" s="8"/>
      <c r="Z711" s="25"/>
    </row>
    <row r="712" spans="1:26">
      <c r="A712" s="8">
        <v>711</v>
      </c>
      <c r="B712" s="8"/>
      <c r="C712" s="8"/>
      <c r="D712" s="8" t="s">
        <v>2355</v>
      </c>
      <c r="E712" s="16" t="s">
        <v>2356</v>
      </c>
      <c r="F712" s="27" t="s">
        <v>2357</v>
      </c>
      <c r="G712" s="18">
        <v>508</v>
      </c>
      <c r="H712" s="19"/>
      <c r="I712" s="20"/>
      <c r="J712" s="8">
        <f>508</f>
        <v>508</v>
      </c>
      <c r="K712" s="21">
        <v>1.9409722222222221E-2</v>
      </c>
      <c r="L712" s="22" t="s">
        <v>2330</v>
      </c>
      <c r="M712" s="8"/>
      <c r="N712" s="8"/>
      <c r="O712" s="8"/>
      <c r="P712" s="8"/>
      <c r="Q712" s="8"/>
      <c r="R712" s="8"/>
      <c r="S712" s="8"/>
      <c r="T712" s="8"/>
      <c r="U712" s="8"/>
      <c r="V712" s="8"/>
      <c r="W712" s="8"/>
      <c r="X712" s="8"/>
      <c r="Y712" s="8"/>
      <c r="Z712" s="25"/>
    </row>
    <row r="713" spans="1:26">
      <c r="A713" s="8">
        <v>712</v>
      </c>
      <c r="B713" s="8"/>
      <c r="C713" s="8"/>
      <c r="D713" s="8" t="s">
        <v>2358</v>
      </c>
      <c r="E713" s="16" t="s">
        <v>2359</v>
      </c>
      <c r="F713" s="17" t="s">
        <v>2360</v>
      </c>
      <c r="G713" s="18">
        <v>710</v>
      </c>
      <c r="H713" s="19"/>
      <c r="I713" s="20"/>
      <c r="J713" s="8">
        <f>710</f>
        <v>710</v>
      </c>
      <c r="K713" s="21">
        <v>1.2604166666666666E-2</v>
      </c>
      <c r="L713" s="22" t="s">
        <v>2330</v>
      </c>
      <c r="M713" s="8"/>
      <c r="N713" s="8"/>
      <c r="O713" s="8"/>
      <c r="P713" s="8"/>
      <c r="Q713" s="8"/>
      <c r="R713" s="8"/>
      <c r="S713" s="8"/>
      <c r="T713" s="8"/>
      <c r="U713" s="8"/>
      <c r="V713" s="8"/>
      <c r="W713" s="8"/>
      <c r="X713" s="8"/>
      <c r="Y713" s="8"/>
      <c r="Z713" s="25"/>
    </row>
    <row r="714" spans="1:26">
      <c r="A714" s="8">
        <v>713</v>
      </c>
      <c r="B714" s="8"/>
      <c r="C714" s="8"/>
      <c r="D714" s="8" t="s">
        <v>2361</v>
      </c>
      <c r="E714" s="16" t="s">
        <v>2362</v>
      </c>
      <c r="F714" s="17" t="s">
        <v>2363</v>
      </c>
      <c r="G714" s="18" t="s">
        <v>214</v>
      </c>
      <c r="H714" s="19"/>
      <c r="I714" s="20"/>
      <c r="J714" s="8">
        <f>1*1000</f>
        <v>1000</v>
      </c>
      <c r="K714" s="21">
        <v>1.5243055555555557E-2</v>
      </c>
      <c r="L714" s="22" t="s">
        <v>2330</v>
      </c>
      <c r="M714" s="8"/>
      <c r="N714" s="8"/>
      <c r="O714" s="8"/>
      <c r="P714" s="8"/>
      <c r="Q714" s="8"/>
      <c r="R714" s="8"/>
      <c r="S714" s="8"/>
      <c r="T714" s="8"/>
      <c r="U714" s="8"/>
      <c r="V714" s="8"/>
      <c r="W714" s="8"/>
      <c r="X714" s="8"/>
      <c r="Y714" s="8"/>
      <c r="Z714" s="25"/>
    </row>
    <row r="715" spans="1:26">
      <c r="A715" s="8">
        <v>714</v>
      </c>
      <c r="B715" s="8"/>
      <c r="C715" s="8"/>
      <c r="D715" s="8" t="s">
        <v>2364</v>
      </c>
      <c r="E715" s="16" t="s">
        <v>2365</v>
      </c>
      <c r="F715" s="27" t="s">
        <v>2366</v>
      </c>
      <c r="G715" s="18">
        <v>878</v>
      </c>
      <c r="H715" s="19"/>
      <c r="I715" s="20"/>
      <c r="J715" s="8">
        <f>878</f>
        <v>878</v>
      </c>
      <c r="K715" s="21">
        <v>1.892361111111111E-2</v>
      </c>
      <c r="L715" s="22" t="s">
        <v>2330</v>
      </c>
      <c r="M715" s="8"/>
      <c r="N715" s="8"/>
      <c r="O715" s="8"/>
      <c r="P715" s="8"/>
      <c r="Q715" s="8"/>
      <c r="R715" s="8"/>
      <c r="S715" s="8"/>
      <c r="T715" s="8"/>
      <c r="U715" s="8"/>
      <c r="V715" s="8"/>
      <c r="W715" s="8"/>
      <c r="X715" s="8"/>
      <c r="Y715" s="8"/>
      <c r="Z715" s="25"/>
    </row>
    <row r="716" spans="1:26">
      <c r="A716" s="8">
        <v>715</v>
      </c>
      <c r="B716" s="8"/>
      <c r="C716" s="8"/>
      <c r="D716" s="8" t="s">
        <v>2367</v>
      </c>
      <c r="E716" s="16" t="s">
        <v>2368</v>
      </c>
      <c r="F716" s="17" t="s">
        <v>1901</v>
      </c>
      <c r="G716" s="18" t="s">
        <v>396</v>
      </c>
      <c r="H716" s="19"/>
      <c r="I716" s="20"/>
      <c r="J716" s="8">
        <f>1.1*1000</f>
        <v>1100</v>
      </c>
      <c r="K716" s="21">
        <v>1.4074074074074074E-2</v>
      </c>
      <c r="L716" s="22" t="s">
        <v>2330</v>
      </c>
      <c r="M716" s="8"/>
      <c r="N716" s="8"/>
      <c r="O716" s="8"/>
      <c r="P716" s="8"/>
      <c r="Q716" s="8"/>
      <c r="R716" s="8"/>
      <c r="S716" s="8"/>
      <c r="T716" s="8"/>
      <c r="U716" s="8"/>
      <c r="V716" s="8"/>
      <c r="W716" s="8"/>
      <c r="X716" s="8"/>
      <c r="Y716" s="8"/>
      <c r="Z716" s="25"/>
    </row>
    <row r="717" spans="1:26">
      <c r="A717" s="8">
        <v>716</v>
      </c>
      <c r="B717" s="8"/>
      <c r="C717" s="8"/>
      <c r="D717" s="8" t="s">
        <v>2369</v>
      </c>
      <c r="E717" s="16" t="s">
        <v>2370</v>
      </c>
      <c r="F717" s="27" t="s">
        <v>2371</v>
      </c>
      <c r="G717" s="18">
        <v>347</v>
      </c>
      <c r="H717" s="19"/>
      <c r="I717" s="20"/>
      <c r="J717" s="8">
        <f>347</f>
        <v>347</v>
      </c>
      <c r="K717" s="21">
        <v>1.9259259259259261E-2</v>
      </c>
      <c r="L717" s="22" t="s">
        <v>2330</v>
      </c>
      <c r="M717" s="8"/>
      <c r="N717" s="8"/>
      <c r="O717" s="8"/>
      <c r="P717" s="8"/>
      <c r="Q717" s="8"/>
      <c r="R717" s="8"/>
      <c r="S717" s="8"/>
      <c r="T717" s="8"/>
      <c r="U717" s="8"/>
      <c r="V717" s="8"/>
      <c r="W717" s="8"/>
      <c r="X717" s="8"/>
      <c r="Y717" s="8"/>
      <c r="Z717" s="25"/>
    </row>
    <row r="718" spans="1:26">
      <c r="A718" s="8">
        <v>717</v>
      </c>
      <c r="B718" s="8"/>
      <c r="C718" s="8"/>
      <c r="D718" s="8" t="s">
        <v>2372</v>
      </c>
      <c r="E718" s="16" t="s">
        <v>2373</v>
      </c>
      <c r="F718" s="17" t="s">
        <v>2374</v>
      </c>
      <c r="G718" s="18">
        <v>465</v>
      </c>
      <c r="H718" s="19"/>
      <c r="I718" s="20"/>
      <c r="J718" s="8">
        <f>465</f>
        <v>465</v>
      </c>
      <c r="K718" s="21">
        <v>1.4363425925925925E-2</v>
      </c>
      <c r="L718" s="22" t="s">
        <v>2330</v>
      </c>
      <c r="M718" s="8"/>
      <c r="N718" s="8"/>
      <c r="O718" s="8"/>
      <c r="P718" s="8"/>
      <c r="Q718" s="8"/>
      <c r="R718" s="8"/>
      <c r="S718" s="8"/>
      <c r="T718" s="8"/>
      <c r="U718" s="8"/>
      <c r="V718" s="8"/>
      <c r="W718" s="8"/>
      <c r="X718" s="8"/>
      <c r="Y718" s="8"/>
      <c r="Z718" s="25"/>
    </row>
    <row r="719" spans="1:26">
      <c r="A719" s="8">
        <v>718</v>
      </c>
      <c r="B719" s="8"/>
      <c r="C719" s="8"/>
      <c r="D719" s="8" t="s">
        <v>2375</v>
      </c>
      <c r="E719" s="16" t="s">
        <v>2376</v>
      </c>
      <c r="F719" s="17" t="s">
        <v>712</v>
      </c>
      <c r="G719" s="18" t="s">
        <v>396</v>
      </c>
      <c r="H719" s="19"/>
      <c r="I719" s="20"/>
      <c r="J719" s="8">
        <f>1.1*1000</f>
        <v>1100</v>
      </c>
      <c r="K719" s="21">
        <v>3.1249999999999997E-3</v>
      </c>
      <c r="L719" s="22" t="s">
        <v>2330</v>
      </c>
      <c r="M719" s="8"/>
      <c r="N719" s="8"/>
      <c r="O719" s="8"/>
      <c r="P719" s="8"/>
      <c r="Q719" s="8"/>
      <c r="R719" s="8"/>
      <c r="S719" s="8"/>
      <c r="T719" s="8"/>
      <c r="U719" s="8"/>
      <c r="V719" s="8"/>
      <c r="W719" s="8"/>
      <c r="X719" s="8"/>
      <c r="Y719" s="8"/>
      <c r="Z719" s="25"/>
    </row>
    <row r="720" spans="1:26">
      <c r="A720" s="8">
        <v>719</v>
      </c>
      <c r="B720" s="8"/>
      <c r="C720" s="8"/>
      <c r="D720" s="8" t="s">
        <v>2377</v>
      </c>
      <c r="E720" s="16" t="s">
        <v>2378</v>
      </c>
      <c r="F720" s="17" t="s">
        <v>2379</v>
      </c>
      <c r="G720" s="18">
        <v>690</v>
      </c>
      <c r="H720" s="19"/>
      <c r="I720" s="20"/>
      <c r="J720" s="8">
        <f>690</f>
        <v>690</v>
      </c>
      <c r="K720" s="21">
        <v>5.8217592592592592E-3</v>
      </c>
      <c r="L720" s="22" t="s">
        <v>2330</v>
      </c>
      <c r="M720" s="8"/>
      <c r="N720" s="8"/>
      <c r="O720" s="8"/>
      <c r="P720" s="8"/>
      <c r="Q720" s="8"/>
      <c r="R720" s="8"/>
      <c r="S720" s="8"/>
      <c r="T720" s="8"/>
      <c r="U720" s="8"/>
      <c r="V720" s="8"/>
      <c r="W720" s="8"/>
      <c r="X720" s="8"/>
      <c r="Y720" s="8"/>
      <c r="Z720" s="25"/>
    </row>
    <row r="721" spans="1:26">
      <c r="A721" s="8">
        <v>720</v>
      </c>
      <c r="B721" s="8"/>
      <c r="C721" s="8"/>
      <c r="D721" s="8" t="s">
        <v>2380</v>
      </c>
      <c r="E721" s="16" t="s">
        <v>2381</v>
      </c>
      <c r="F721" s="27" t="s">
        <v>2382</v>
      </c>
      <c r="G721" s="18">
        <v>734</v>
      </c>
      <c r="H721" s="19"/>
      <c r="I721" s="20"/>
      <c r="J721" s="8">
        <f>734</f>
        <v>734</v>
      </c>
      <c r="K721" s="21">
        <v>2.3784722222222221E-2</v>
      </c>
      <c r="L721" s="22" t="s">
        <v>2330</v>
      </c>
      <c r="M721" s="8"/>
      <c r="N721" s="8"/>
      <c r="O721" s="8"/>
      <c r="P721" s="8"/>
      <c r="Q721" s="8"/>
      <c r="R721" s="8"/>
      <c r="S721" s="8"/>
      <c r="T721" s="8"/>
      <c r="U721" s="8"/>
      <c r="V721" s="8"/>
      <c r="W721" s="8"/>
      <c r="X721" s="8"/>
      <c r="Y721" s="8"/>
      <c r="Z721" s="25"/>
    </row>
    <row r="722" spans="1:26">
      <c r="A722" s="8">
        <v>721</v>
      </c>
      <c r="B722" s="8"/>
      <c r="C722" s="8"/>
      <c r="D722" s="8" t="s">
        <v>2383</v>
      </c>
      <c r="E722" s="16" t="s">
        <v>2384</v>
      </c>
      <c r="F722" s="27" t="s">
        <v>2385</v>
      </c>
      <c r="G722" s="18" t="s">
        <v>249</v>
      </c>
      <c r="H722" s="19"/>
      <c r="I722" s="20"/>
      <c r="J722" s="8">
        <f>2.4*1000</f>
        <v>2400</v>
      </c>
      <c r="K722" s="21">
        <v>2.5509259259259259E-2</v>
      </c>
      <c r="L722" s="22" t="s">
        <v>2330</v>
      </c>
      <c r="M722" s="8"/>
      <c r="N722" s="8"/>
      <c r="O722" s="8"/>
      <c r="P722" s="8"/>
      <c r="Q722" s="8"/>
      <c r="R722" s="8"/>
      <c r="S722" s="8"/>
      <c r="T722" s="8"/>
      <c r="U722" s="8"/>
      <c r="V722" s="8"/>
      <c r="W722" s="8"/>
      <c r="X722" s="8"/>
      <c r="Y722" s="8"/>
      <c r="Z722" s="25"/>
    </row>
    <row r="723" spans="1:26">
      <c r="A723" s="8">
        <v>722</v>
      </c>
      <c r="B723" s="8"/>
      <c r="C723" s="8"/>
      <c r="D723" s="8" t="s">
        <v>2386</v>
      </c>
      <c r="E723" s="16" t="s">
        <v>2387</v>
      </c>
      <c r="F723" s="17" t="s">
        <v>2388</v>
      </c>
      <c r="G723" s="18">
        <v>698</v>
      </c>
      <c r="H723" s="19"/>
      <c r="I723" s="20"/>
      <c r="J723" s="8">
        <f>698</f>
        <v>698</v>
      </c>
      <c r="K723" s="21">
        <v>1.6608796296296299E-2</v>
      </c>
      <c r="L723" s="22" t="s">
        <v>2330</v>
      </c>
      <c r="M723" s="8"/>
      <c r="N723" s="8"/>
      <c r="O723" s="8"/>
      <c r="P723" s="8"/>
      <c r="Q723" s="8"/>
      <c r="R723" s="8"/>
      <c r="S723" s="8"/>
      <c r="T723" s="8"/>
      <c r="U723" s="8"/>
      <c r="V723" s="8"/>
      <c r="W723" s="8"/>
      <c r="X723" s="8"/>
      <c r="Y723" s="8"/>
      <c r="Z723" s="25"/>
    </row>
    <row r="724" spans="1:26">
      <c r="A724" s="8">
        <v>723</v>
      </c>
      <c r="B724" s="8"/>
      <c r="C724" s="8"/>
      <c r="D724" s="8" t="s">
        <v>2389</v>
      </c>
      <c r="E724" s="16" t="s">
        <v>2390</v>
      </c>
      <c r="F724" s="17" t="s">
        <v>2391</v>
      </c>
      <c r="G724" s="18">
        <v>587</v>
      </c>
      <c r="H724" s="19"/>
      <c r="I724" s="20"/>
      <c r="J724" s="8">
        <f>587</f>
        <v>587</v>
      </c>
      <c r="K724" s="21">
        <v>1.3506944444444445E-2</v>
      </c>
      <c r="L724" s="22" t="s">
        <v>2330</v>
      </c>
      <c r="M724" s="8"/>
      <c r="N724" s="8"/>
      <c r="O724" s="8"/>
      <c r="P724" s="8"/>
      <c r="Q724" s="8"/>
      <c r="R724" s="8"/>
      <c r="S724" s="8"/>
      <c r="T724" s="8"/>
      <c r="U724" s="8"/>
      <c r="V724" s="8"/>
      <c r="W724" s="8"/>
      <c r="X724" s="8"/>
      <c r="Y724" s="8"/>
      <c r="Z724" s="25"/>
    </row>
    <row r="725" spans="1:26">
      <c r="A725" s="8">
        <v>724</v>
      </c>
      <c r="B725" s="8"/>
      <c r="C725" s="8"/>
      <c r="D725" s="8" t="s">
        <v>2392</v>
      </c>
      <c r="E725" s="16" t="s">
        <v>2393</v>
      </c>
      <c r="F725" s="27" t="s">
        <v>2394</v>
      </c>
      <c r="G725" s="18">
        <v>304</v>
      </c>
      <c r="H725" s="19"/>
      <c r="I725" s="20"/>
      <c r="J725" s="8">
        <f>304</f>
        <v>304</v>
      </c>
      <c r="K725" s="21">
        <v>2.2141203703703705E-2</v>
      </c>
      <c r="L725" s="22" t="s">
        <v>2330</v>
      </c>
      <c r="M725" s="8"/>
      <c r="N725" s="8"/>
      <c r="O725" s="8"/>
      <c r="P725" s="8"/>
      <c r="Q725" s="8"/>
      <c r="R725" s="8"/>
      <c r="S725" s="8"/>
      <c r="T725" s="8"/>
      <c r="U725" s="8"/>
      <c r="V725" s="8"/>
      <c r="W725" s="8"/>
      <c r="X725" s="8"/>
      <c r="Y725" s="8"/>
      <c r="Z725" s="25"/>
    </row>
    <row r="726" spans="1:26">
      <c r="A726" s="8">
        <v>725</v>
      </c>
      <c r="B726" s="8"/>
      <c r="C726" s="8"/>
      <c r="D726" s="8" t="s">
        <v>2395</v>
      </c>
      <c r="E726" s="16" t="s">
        <v>2396</v>
      </c>
      <c r="F726" s="27" t="s">
        <v>2397</v>
      </c>
      <c r="G726" s="18">
        <v>361</v>
      </c>
      <c r="H726" s="19"/>
      <c r="I726" s="20"/>
      <c r="J726" s="8">
        <f>361</f>
        <v>361</v>
      </c>
      <c r="K726" s="21">
        <v>2.568287037037037E-2</v>
      </c>
      <c r="L726" s="22" t="s">
        <v>2330</v>
      </c>
      <c r="M726" s="8"/>
      <c r="N726" s="8"/>
      <c r="O726" s="8"/>
      <c r="P726" s="8"/>
      <c r="Q726" s="8"/>
      <c r="R726" s="8"/>
      <c r="S726" s="8"/>
      <c r="T726" s="8"/>
      <c r="U726" s="8"/>
      <c r="V726" s="8"/>
      <c r="W726" s="8"/>
      <c r="X726" s="8"/>
      <c r="Y726" s="8"/>
      <c r="Z726" s="25"/>
    </row>
    <row r="727" spans="1:26">
      <c r="A727" s="8">
        <v>726</v>
      </c>
      <c r="B727" s="8"/>
      <c r="C727" s="8"/>
      <c r="D727" s="8" t="s">
        <v>2398</v>
      </c>
      <c r="E727" s="16" t="s">
        <v>2399</v>
      </c>
      <c r="F727" s="27" t="s">
        <v>2400</v>
      </c>
      <c r="G727" s="18" t="s">
        <v>1312</v>
      </c>
      <c r="H727" s="19"/>
      <c r="I727" s="20"/>
      <c r="J727" s="8">
        <f>2.2*1000</f>
        <v>2200</v>
      </c>
      <c r="K727" s="21">
        <v>1.9722222222222221E-2</v>
      </c>
      <c r="L727" s="22" t="s">
        <v>2330</v>
      </c>
      <c r="M727" s="8"/>
      <c r="N727" s="8"/>
      <c r="O727" s="8"/>
      <c r="P727" s="8"/>
      <c r="Q727" s="8"/>
      <c r="R727" s="8"/>
      <c r="S727" s="8"/>
      <c r="T727" s="8"/>
      <c r="U727" s="8"/>
      <c r="V727" s="8"/>
      <c r="W727" s="8"/>
      <c r="X727" s="8"/>
      <c r="Y727" s="8"/>
      <c r="Z727" s="25"/>
    </row>
    <row r="728" spans="1:26">
      <c r="A728" s="8">
        <v>727</v>
      </c>
      <c r="B728" s="8"/>
      <c r="C728" s="8"/>
      <c r="D728" s="8" t="s">
        <v>2401</v>
      </c>
      <c r="E728" s="16" t="s">
        <v>2402</v>
      </c>
      <c r="F728" s="27" t="s">
        <v>2403</v>
      </c>
      <c r="G728" s="18" t="s">
        <v>1005</v>
      </c>
      <c r="H728" s="19"/>
      <c r="I728" s="20"/>
      <c r="J728" s="8">
        <f>1.6*1000</f>
        <v>1600</v>
      </c>
      <c r="K728" s="21">
        <v>3.3888888888888885E-2</v>
      </c>
      <c r="L728" s="22" t="s">
        <v>2330</v>
      </c>
      <c r="M728" s="8"/>
      <c r="N728" s="8"/>
      <c r="O728" s="8"/>
      <c r="P728" s="8"/>
      <c r="Q728" s="8"/>
      <c r="R728" s="8"/>
      <c r="S728" s="8"/>
      <c r="T728" s="8"/>
      <c r="U728" s="8"/>
      <c r="V728" s="8"/>
      <c r="W728" s="8"/>
      <c r="X728" s="8"/>
      <c r="Y728" s="8"/>
      <c r="Z728" s="25"/>
    </row>
    <row r="729" spans="1:26">
      <c r="A729" s="8">
        <v>728</v>
      </c>
      <c r="B729" s="8"/>
      <c r="C729" s="8"/>
      <c r="D729" s="8" t="s">
        <v>2404</v>
      </c>
      <c r="E729" s="16" t="s">
        <v>2405</v>
      </c>
      <c r="F729" s="27" t="s">
        <v>2406</v>
      </c>
      <c r="G729" s="18">
        <v>245</v>
      </c>
      <c r="H729" s="19"/>
      <c r="I729" s="20"/>
      <c r="J729" s="8">
        <f>245</f>
        <v>245</v>
      </c>
      <c r="K729" s="21">
        <v>2.344907407407407E-2</v>
      </c>
      <c r="L729" s="22" t="s">
        <v>2330</v>
      </c>
      <c r="M729" s="8"/>
      <c r="N729" s="8"/>
      <c r="O729" s="8"/>
      <c r="P729" s="8"/>
      <c r="Q729" s="8"/>
      <c r="R729" s="8"/>
      <c r="S729" s="8"/>
      <c r="T729" s="8"/>
      <c r="U729" s="8"/>
      <c r="V729" s="8"/>
      <c r="W729" s="8"/>
      <c r="X729" s="8"/>
      <c r="Y729" s="8"/>
      <c r="Z729" s="25"/>
    </row>
    <row r="730" spans="1:26">
      <c r="A730" s="8">
        <v>729</v>
      </c>
      <c r="B730" s="8"/>
      <c r="C730" s="8"/>
      <c r="D730" s="8" t="s">
        <v>2407</v>
      </c>
      <c r="E730" s="16" t="s">
        <v>2408</v>
      </c>
      <c r="F730" s="27" t="s">
        <v>2409</v>
      </c>
      <c r="G730" s="18">
        <v>479</v>
      </c>
      <c r="H730" s="19"/>
      <c r="I730" s="20"/>
      <c r="J730" s="8">
        <f>479</f>
        <v>479</v>
      </c>
      <c r="K730" s="21">
        <v>2.9953703703703705E-2</v>
      </c>
      <c r="L730" s="22" t="s">
        <v>2330</v>
      </c>
      <c r="M730" s="8"/>
      <c r="N730" s="8"/>
      <c r="O730" s="8"/>
      <c r="P730" s="8"/>
      <c r="Q730" s="8"/>
      <c r="R730" s="8"/>
      <c r="S730" s="8"/>
      <c r="T730" s="8"/>
      <c r="U730" s="8"/>
      <c r="V730" s="8"/>
      <c r="W730" s="8"/>
      <c r="X730" s="8"/>
      <c r="Y730" s="8"/>
      <c r="Z730" s="25"/>
    </row>
    <row r="731" spans="1:26">
      <c r="A731" s="8">
        <v>730</v>
      </c>
      <c r="B731" s="8"/>
      <c r="C731" s="8"/>
      <c r="D731" s="8" t="s">
        <v>2410</v>
      </c>
      <c r="E731" s="16" t="s">
        <v>2411</v>
      </c>
      <c r="F731" s="17" t="s">
        <v>2412</v>
      </c>
      <c r="G731" s="18">
        <v>217</v>
      </c>
      <c r="H731" s="19"/>
      <c r="I731" s="20"/>
      <c r="J731" s="8">
        <f>217</f>
        <v>217</v>
      </c>
      <c r="K731" s="21">
        <v>1.2881944444444446E-2</v>
      </c>
      <c r="L731" s="22" t="s">
        <v>2330</v>
      </c>
      <c r="M731" s="8"/>
      <c r="N731" s="8"/>
      <c r="O731" s="8"/>
      <c r="P731" s="8"/>
      <c r="Q731" s="8"/>
      <c r="R731" s="8"/>
      <c r="S731" s="8"/>
      <c r="T731" s="8"/>
      <c r="U731" s="8"/>
      <c r="V731" s="8"/>
      <c r="W731" s="8"/>
      <c r="X731" s="8"/>
      <c r="Y731" s="8"/>
      <c r="Z731" s="25"/>
    </row>
    <row r="732" spans="1:26">
      <c r="A732" s="8">
        <v>731</v>
      </c>
      <c r="B732" s="8"/>
      <c r="C732" s="8"/>
      <c r="D732" s="8" t="s">
        <v>2413</v>
      </c>
      <c r="E732" s="16" t="s">
        <v>2414</v>
      </c>
      <c r="F732" s="27" t="s">
        <v>2415</v>
      </c>
      <c r="G732" s="18" t="s">
        <v>2416</v>
      </c>
      <c r="H732" s="19"/>
      <c r="I732" s="20"/>
      <c r="J732" s="8">
        <f>5.5*1000</f>
        <v>5500</v>
      </c>
      <c r="K732" s="21">
        <v>1.8912037037037036E-2</v>
      </c>
      <c r="L732" s="22" t="s">
        <v>2330</v>
      </c>
      <c r="M732" s="8"/>
      <c r="N732" s="8"/>
      <c r="O732" s="8"/>
      <c r="P732" s="8"/>
      <c r="Q732" s="8"/>
      <c r="R732" s="8"/>
      <c r="S732" s="8"/>
      <c r="T732" s="8"/>
      <c r="U732" s="8"/>
      <c r="V732" s="8"/>
      <c r="W732" s="8"/>
      <c r="X732" s="8"/>
      <c r="Y732" s="8"/>
      <c r="Z732" s="25"/>
    </row>
    <row r="733" spans="1:26">
      <c r="A733" s="8">
        <v>732</v>
      </c>
      <c r="B733" s="8"/>
      <c r="C733" s="8"/>
      <c r="D733" s="8" t="s">
        <v>2417</v>
      </c>
      <c r="E733" s="16" t="s">
        <v>2418</v>
      </c>
      <c r="F733" s="27" t="s">
        <v>2419</v>
      </c>
      <c r="G733" s="18">
        <v>335</v>
      </c>
      <c r="H733" s="19"/>
      <c r="I733" s="20"/>
      <c r="J733" s="8">
        <f>335</f>
        <v>335</v>
      </c>
      <c r="K733" s="21">
        <v>2.3877314814814813E-2</v>
      </c>
      <c r="L733" s="22" t="s">
        <v>2330</v>
      </c>
      <c r="M733" s="8"/>
      <c r="N733" s="8"/>
      <c r="O733" s="8"/>
      <c r="P733" s="8"/>
      <c r="Q733" s="8"/>
      <c r="R733" s="8"/>
      <c r="S733" s="8"/>
      <c r="T733" s="8"/>
      <c r="U733" s="8"/>
      <c r="V733" s="8"/>
      <c r="W733" s="8"/>
      <c r="X733" s="8"/>
      <c r="Y733" s="8"/>
      <c r="Z733" s="25"/>
    </row>
    <row r="734" spans="1:26">
      <c r="A734" s="8">
        <v>733</v>
      </c>
      <c r="B734" s="8"/>
      <c r="C734" s="8"/>
      <c r="D734" s="8" t="s">
        <v>2420</v>
      </c>
      <c r="E734" s="16" t="s">
        <v>2421</v>
      </c>
      <c r="F734" s="27" t="s">
        <v>2422</v>
      </c>
      <c r="G734" s="18" t="s">
        <v>351</v>
      </c>
      <c r="H734" s="19"/>
      <c r="I734" s="20"/>
      <c r="J734" s="8">
        <f>4.4*1000</f>
        <v>4400</v>
      </c>
      <c r="K734" s="21">
        <v>1.7638888888888888E-2</v>
      </c>
      <c r="L734" s="22" t="s">
        <v>2330</v>
      </c>
      <c r="M734" s="8"/>
      <c r="N734" s="8"/>
      <c r="O734" s="8"/>
      <c r="P734" s="8"/>
      <c r="Q734" s="8"/>
      <c r="R734" s="8"/>
      <c r="S734" s="8"/>
      <c r="T734" s="8"/>
      <c r="U734" s="8"/>
      <c r="V734" s="8"/>
      <c r="W734" s="8"/>
      <c r="X734" s="8"/>
      <c r="Y734" s="8"/>
      <c r="Z734" s="25"/>
    </row>
    <row r="735" spans="1:26">
      <c r="A735" s="8">
        <v>734</v>
      </c>
      <c r="B735" s="8"/>
      <c r="C735" s="8"/>
      <c r="D735" s="8" t="s">
        <v>2423</v>
      </c>
      <c r="E735" s="16" t="s">
        <v>2424</v>
      </c>
      <c r="F735" s="17" t="s">
        <v>2425</v>
      </c>
      <c r="G735" s="18" t="s">
        <v>374</v>
      </c>
      <c r="H735" s="19"/>
      <c r="I735" s="20"/>
      <c r="J735" s="8">
        <f>1.3*1000</f>
        <v>1300</v>
      </c>
      <c r="K735" s="21">
        <v>1.2222222222222223E-2</v>
      </c>
      <c r="L735" s="22" t="s">
        <v>2330</v>
      </c>
      <c r="M735" s="8"/>
      <c r="N735" s="8"/>
      <c r="O735" s="8"/>
      <c r="P735" s="8"/>
      <c r="Q735" s="8"/>
      <c r="R735" s="8"/>
      <c r="S735" s="8"/>
      <c r="T735" s="8"/>
      <c r="U735" s="8"/>
      <c r="V735" s="8"/>
      <c r="W735" s="8"/>
      <c r="X735" s="8"/>
      <c r="Y735" s="8"/>
      <c r="Z735" s="25"/>
    </row>
    <row r="736" spans="1:26">
      <c r="A736" s="8">
        <v>735</v>
      </c>
      <c r="B736" s="8"/>
      <c r="C736" s="8"/>
      <c r="D736" s="8" t="s">
        <v>2426</v>
      </c>
      <c r="E736" s="16" t="s">
        <v>2427</v>
      </c>
      <c r="F736" s="17" t="s">
        <v>667</v>
      </c>
      <c r="G736" s="18">
        <v>684</v>
      </c>
      <c r="H736" s="19"/>
      <c r="I736" s="20"/>
      <c r="J736" s="8">
        <f>684</f>
        <v>684</v>
      </c>
      <c r="K736" s="21">
        <v>3.0092592592592588E-3</v>
      </c>
      <c r="L736" s="22" t="s">
        <v>2330</v>
      </c>
      <c r="M736" s="8"/>
      <c r="N736" s="8"/>
      <c r="O736" s="8"/>
      <c r="P736" s="8"/>
      <c r="Q736" s="8"/>
      <c r="R736" s="8"/>
      <c r="S736" s="8"/>
      <c r="T736" s="8"/>
      <c r="U736" s="8"/>
      <c r="V736" s="8"/>
      <c r="W736" s="8"/>
      <c r="X736" s="8"/>
      <c r="Y736" s="8"/>
      <c r="Z736" s="25"/>
    </row>
    <row r="737" spans="1:26">
      <c r="A737" s="8">
        <v>736</v>
      </c>
      <c r="B737" s="8"/>
      <c r="C737" s="8"/>
      <c r="D737" s="8" t="s">
        <v>2428</v>
      </c>
      <c r="E737" s="16" t="s">
        <v>2429</v>
      </c>
      <c r="F737" s="17" t="s">
        <v>2430</v>
      </c>
      <c r="G737" s="18">
        <v>570</v>
      </c>
      <c r="H737" s="19"/>
      <c r="I737" s="20"/>
      <c r="J737" s="8">
        <f>570</f>
        <v>570</v>
      </c>
      <c r="K737" s="21">
        <v>5.2893518518518515E-3</v>
      </c>
      <c r="L737" s="22" t="s">
        <v>2330</v>
      </c>
      <c r="M737" s="8"/>
      <c r="N737" s="8"/>
      <c r="O737" s="8"/>
      <c r="P737" s="8"/>
      <c r="Q737" s="8"/>
      <c r="R737" s="8"/>
      <c r="S737" s="8"/>
      <c r="T737" s="8"/>
      <c r="U737" s="8"/>
      <c r="V737" s="8"/>
      <c r="W737" s="8"/>
      <c r="X737" s="8"/>
      <c r="Y737" s="8"/>
      <c r="Z737" s="25"/>
    </row>
    <row r="738" spans="1:26">
      <c r="A738" s="8">
        <v>737</v>
      </c>
      <c r="B738" s="8"/>
      <c r="C738" s="8"/>
      <c r="D738" s="8" t="s">
        <v>2431</v>
      </c>
      <c r="E738" s="16" t="s">
        <v>2432</v>
      </c>
      <c r="F738" s="17" t="s">
        <v>2433</v>
      </c>
      <c r="G738" s="18">
        <v>431</v>
      </c>
      <c r="H738" s="19"/>
      <c r="I738" s="20"/>
      <c r="J738" s="8">
        <f>431</f>
        <v>431</v>
      </c>
      <c r="K738" s="21">
        <v>5.347222222222222E-3</v>
      </c>
      <c r="L738" s="22" t="s">
        <v>2330</v>
      </c>
      <c r="M738" s="8"/>
      <c r="N738" s="8"/>
      <c r="O738" s="8"/>
      <c r="P738" s="8"/>
      <c r="Q738" s="8"/>
      <c r="R738" s="8"/>
      <c r="S738" s="8"/>
      <c r="T738" s="8"/>
      <c r="U738" s="8"/>
      <c r="V738" s="8"/>
      <c r="W738" s="8"/>
      <c r="X738" s="8"/>
      <c r="Y738" s="8"/>
      <c r="Z738" s="25"/>
    </row>
    <row r="739" spans="1:26">
      <c r="A739" s="8">
        <v>738</v>
      </c>
      <c r="B739" s="8"/>
      <c r="C739" s="8"/>
      <c r="D739" s="8" t="s">
        <v>2434</v>
      </c>
      <c r="E739" s="16" t="s">
        <v>2435</v>
      </c>
      <c r="F739" s="27" t="s">
        <v>2436</v>
      </c>
      <c r="G739" s="18" t="s">
        <v>374</v>
      </c>
      <c r="H739" s="19"/>
      <c r="I739" s="20"/>
      <c r="J739" s="8">
        <f>1.3*1000</f>
        <v>1300</v>
      </c>
      <c r="K739" s="21">
        <v>2.2812499999999999E-2</v>
      </c>
      <c r="L739" s="22" t="s">
        <v>2330</v>
      </c>
      <c r="M739" s="8"/>
      <c r="N739" s="8"/>
      <c r="O739" s="8"/>
      <c r="P739" s="8"/>
      <c r="Q739" s="8"/>
      <c r="R739" s="8"/>
      <c r="S739" s="8"/>
      <c r="T739" s="8"/>
      <c r="U739" s="8"/>
      <c r="V739" s="8"/>
      <c r="W739" s="8"/>
      <c r="X739" s="8"/>
      <c r="Y739" s="8"/>
      <c r="Z739" s="25"/>
    </row>
    <row r="740" spans="1:26">
      <c r="A740" s="8">
        <v>739</v>
      </c>
      <c r="B740" s="8"/>
      <c r="C740" s="8"/>
      <c r="D740" s="8" t="s">
        <v>2437</v>
      </c>
      <c r="E740" s="16" t="s">
        <v>2438</v>
      </c>
      <c r="F740" s="27" t="s">
        <v>2439</v>
      </c>
      <c r="G740" s="18" t="s">
        <v>264</v>
      </c>
      <c r="H740" s="19"/>
      <c r="I740" s="20"/>
      <c r="J740" s="8">
        <f>14*1000</f>
        <v>14000</v>
      </c>
      <c r="K740" s="21">
        <v>3.953703703703703E-2</v>
      </c>
      <c r="L740" s="22" t="s">
        <v>2330</v>
      </c>
      <c r="M740" s="8"/>
      <c r="N740" s="8"/>
      <c r="O740" s="8"/>
      <c r="P740" s="8"/>
      <c r="Q740" s="8"/>
      <c r="R740" s="8"/>
      <c r="S740" s="8"/>
      <c r="T740" s="8"/>
      <c r="U740" s="8"/>
      <c r="V740" s="8"/>
      <c r="W740" s="8"/>
      <c r="X740" s="8"/>
      <c r="Y740" s="8"/>
      <c r="Z740" s="25"/>
    </row>
    <row r="741" spans="1:26">
      <c r="A741" s="8">
        <v>740</v>
      </c>
      <c r="B741" s="8"/>
      <c r="C741" s="8"/>
      <c r="D741" s="8" t="s">
        <v>2440</v>
      </c>
      <c r="E741" s="16" t="s">
        <v>2441</v>
      </c>
      <c r="F741" s="29" t="s">
        <v>2442</v>
      </c>
      <c r="G741" s="18" t="s">
        <v>892</v>
      </c>
      <c r="H741" s="19"/>
      <c r="I741" s="20"/>
      <c r="J741" s="8">
        <f>8.1*1000</f>
        <v>8100</v>
      </c>
      <c r="K741" s="21">
        <v>7.2326388888888885E-2</v>
      </c>
      <c r="L741" s="22" t="s">
        <v>2330</v>
      </c>
      <c r="M741" s="8"/>
      <c r="N741" s="8"/>
      <c r="O741" s="8"/>
      <c r="P741" s="8"/>
      <c r="Q741" s="8"/>
      <c r="R741" s="8"/>
      <c r="S741" s="8"/>
      <c r="T741" s="8"/>
      <c r="U741" s="8"/>
      <c r="V741" s="8"/>
      <c r="W741" s="8"/>
      <c r="X741" s="8"/>
      <c r="Y741" s="8"/>
      <c r="Z741" s="25"/>
    </row>
    <row r="742" spans="1:26">
      <c r="A742" s="8">
        <v>741</v>
      </c>
      <c r="B742" s="8"/>
      <c r="C742" s="8"/>
      <c r="D742" s="8" t="s">
        <v>2443</v>
      </c>
      <c r="E742" s="16" t="s">
        <v>2441</v>
      </c>
      <c r="F742" s="29" t="s">
        <v>2444</v>
      </c>
      <c r="G742" s="18" t="s">
        <v>861</v>
      </c>
      <c r="H742" s="19"/>
      <c r="I742" s="20"/>
      <c r="J742" s="8">
        <f>9.4*1000</f>
        <v>9400</v>
      </c>
      <c r="K742" s="21">
        <v>7.0520833333333324E-2</v>
      </c>
      <c r="L742" s="22" t="s">
        <v>2330</v>
      </c>
      <c r="M742" s="8"/>
      <c r="N742" s="8"/>
      <c r="O742" s="8"/>
      <c r="P742" s="8"/>
      <c r="Q742" s="8"/>
      <c r="R742" s="8"/>
      <c r="S742" s="8"/>
      <c r="T742" s="8"/>
      <c r="U742" s="8"/>
      <c r="V742" s="8"/>
      <c r="W742" s="8"/>
      <c r="X742" s="8"/>
      <c r="Y742" s="8"/>
      <c r="Z742" s="25"/>
    </row>
    <row r="743" spans="1:26">
      <c r="A743" s="8">
        <v>742</v>
      </c>
      <c r="B743" s="8"/>
      <c r="C743" s="8"/>
      <c r="D743" s="8" t="s">
        <v>2445</v>
      </c>
      <c r="E743" s="16" t="s">
        <v>2446</v>
      </c>
      <c r="F743" s="29" t="s">
        <v>2447</v>
      </c>
      <c r="G743" s="18" t="s">
        <v>2308</v>
      </c>
      <c r="H743" s="19"/>
      <c r="I743" s="20"/>
      <c r="J743" s="8">
        <f>18*1000</f>
        <v>18000</v>
      </c>
      <c r="K743" s="21">
        <v>4.4467592592592593E-2</v>
      </c>
      <c r="L743" s="22" t="s">
        <v>2330</v>
      </c>
      <c r="M743" s="8"/>
      <c r="N743" s="8"/>
      <c r="O743" s="8"/>
      <c r="P743" s="8"/>
      <c r="Q743" s="8"/>
      <c r="R743" s="8"/>
      <c r="S743" s="8"/>
      <c r="T743" s="8"/>
      <c r="U743" s="8"/>
      <c r="V743" s="8"/>
      <c r="W743" s="8"/>
      <c r="X743" s="8"/>
      <c r="Y743" s="8"/>
      <c r="Z743" s="25"/>
    </row>
    <row r="744" spans="1:26">
      <c r="A744" s="8">
        <v>743</v>
      </c>
      <c r="B744" s="8"/>
      <c r="C744" s="8"/>
      <c r="D744" s="8" t="s">
        <v>2448</v>
      </c>
      <c r="E744" s="16" t="s">
        <v>2449</v>
      </c>
      <c r="F744" s="29" t="s">
        <v>2450</v>
      </c>
      <c r="G744" s="18" t="s">
        <v>135</v>
      </c>
      <c r="H744" s="19"/>
      <c r="I744" s="20"/>
      <c r="J744" s="8">
        <f>10*1000</f>
        <v>10000</v>
      </c>
      <c r="K744" s="21">
        <v>4.5474537037037042E-2</v>
      </c>
      <c r="L744" s="22" t="s">
        <v>2330</v>
      </c>
      <c r="M744" s="8"/>
      <c r="N744" s="8"/>
      <c r="O744" s="8"/>
      <c r="P744" s="8"/>
      <c r="Q744" s="8"/>
      <c r="R744" s="8"/>
      <c r="S744" s="8"/>
      <c r="T744" s="8"/>
      <c r="U744" s="8"/>
      <c r="V744" s="8"/>
      <c r="W744" s="8"/>
      <c r="X744" s="8"/>
      <c r="Y744" s="8"/>
      <c r="Z744" s="25"/>
    </row>
    <row r="745" spans="1:26">
      <c r="A745" s="8">
        <v>744</v>
      </c>
      <c r="B745" s="8"/>
      <c r="C745" s="8"/>
      <c r="D745" s="8" t="s">
        <v>2451</v>
      </c>
      <c r="E745" s="16" t="s">
        <v>2452</v>
      </c>
      <c r="F745" s="29" t="s">
        <v>2453</v>
      </c>
      <c r="G745" s="18" t="s">
        <v>2454</v>
      </c>
      <c r="H745" s="19"/>
      <c r="I745" s="20"/>
      <c r="J745" s="8">
        <f>114*1000</f>
        <v>114000</v>
      </c>
      <c r="K745" s="21">
        <v>4.2650462962962959E-2</v>
      </c>
      <c r="L745" s="22" t="s">
        <v>2455</v>
      </c>
      <c r="M745" s="8"/>
      <c r="N745" s="8"/>
      <c r="O745" s="8"/>
      <c r="P745" s="8"/>
      <c r="Q745" s="8"/>
      <c r="R745" s="8"/>
      <c r="S745" s="8"/>
      <c r="T745" s="8"/>
      <c r="U745" s="8"/>
      <c r="V745" s="8"/>
      <c r="W745" s="8"/>
      <c r="X745" s="8"/>
      <c r="Y745" s="8"/>
      <c r="Z745" s="25"/>
    </row>
    <row r="746" spans="1:26">
      <c r="A746" s="8">
        <v>745</v>
      </c>
      <c r="B746" s="8"/>
      <c r="C746" s="8"/>
      <c r="D746" s="8" t="s">
        <v>2456</v>
      </c>
      <c r="E746" s="16" t="s">
        <v>2457</v>
      </c>
      <c r="F746" s="29" t="s">
        <v>2458</v>
      </c>
      <c r="G746" s="18" t="s">
        <v>1134</v>
      </c>
      <c r="H746" s="19"/>
      <c r="I746" s="20"/>
      <c r="J746" s="8">
        <f>27*1000</f>
        <v>27000</v>
      </c>
      <c r="K746" s="21">
        <v>4.2083333333333334E-2</v>
      </c>
      <c r="L746" s="22" t="s">
        <v>2455</v>
      </c>
      <c r="M746" s="8"/>
      <c r="N746" s="8"/>
      <c r="O746" s="8"/>
      <c r="P746" s="8"/>
      <c r="Q746" s="8"/>
      <c r="R746" s="8"/>
      <c r="S746" s="8"/>
      <c r="T746" s="8"/>
      <c r="U746" s="8"/>
      <c r="V746" s="8"/>
      <c r="W746" s="8"/>
      <c r="X746" s="8"/>
      <c r="Y746" s="8"/>
      <c r="Z746" s="25"/>
    </row>
    <row r="747" spans="1:26">
      <c r="A747" s="8">
        <v>746</v>
      </c>
      <c r="B747" s="8"/>
      <c r="C747" s="8"/>
      <c r="D747" s="8" t="s">
        <v>2459</v>
      </c>
      <c r="E747" s="16" t="s">
        <v>2460</v>
      </c>
      <c r="F747" s="27" t="s">
        <v>2461</v>
      </c>
      <c r="G747" s="18" t="s">
        <v>2462</v>
      </c>
      <c r="H747" s="19"/>
      <c r="I747" s="20"/>
      <c r="J747" s="8">
        <f>17*1000</f>
        <v>17000</v>
      </c>
      <c r="K747" s="21">
        <v>3.9560185185185184E-2</v>
      </c>
      <c r="L747" s="22" t="s">
        <v>2455</v>
      </c>
      <c r="M747" s="8"/>
      <c r="N747" s="8"/>
      <c r="O747" s="8"/>
      <c r="P747" s="8"/>
      <c r="Q747" s="8"/>
      <c r="R747" s="8"/>
      <c r="S747" s="8"/>
      <c r="T747" s="8"/>
      <c r="U747" s="8"/>
      <c r="V747" s="8"/>
      <c r="W747" s="8"/>
      <c r="X747" s="8"/>
      <c r="Y747" s="8"/>
      <c r="Z747" s="25"/>
    </row>
    <row r="748" spans="1:26">
      <c r="A748" s="8">
        <v>747</v>
      </c>
      <c r="B748" s="8"/>
      <c r="C748" s="8"/>
      <c r="D748" s="8" t="s">
        <v>2463</v>
      </c>
      <c r="E748" s="16" t="s">
        <v>2464</v>
      </c>
      <c r="F748" s="29" t="s">
        <v>2465</v>
      </c>
      <c r="G748" s="18" t="s">
        <v>2297</v>
      </c>
      <c r="H748" s="19"/>
      <c r="I748" s="20"/>
      <c r="J748" s="8">
        <f>24*1000</f>
        <v>24000</v>
      </c>
      <c r="K748" s="21">
        <v>4.5462962962962962E-2</v>
      </c>
      <c r="L748" s="22" t="s">
        <v>2455</v>
      </c>
      <c r="M748" s="8"/>
      <c r="N748" s="8"/>
      <c r="O748" s="8"/>
      <c r="P748" s="8"/>
      <c r="Q748" s="8"/>
      <c r="R748" s="8"/>
      <c r="S748" s="8"/>
      <c r="T748" s="8"/>
      <c r="U748" s="8"/>
      <c r="V748" s="8"/>
      <c r="W748" s="8"/>
      <c r="X748" s="8"/>
      <c r="Y748" s="8"/>
      <c r="Z748" s="25"/>
    </row>
    <row r="749" spans="1:26">
      <c r="A749" s="8">
        <v>748</v>
      </c>
      <c r="B749" s="8"/>
      <c r="C749" s="8"/>
      <c r="D749" s="8" t="s">
        <v>2466</v>
      </c>
      <c r="E749" s="16" t="s">
        <v>2467</v>
      </c>
      <c r="F749" s="27" t="s">
        <v>2468</v>
      </c>
      <c r="G749" s="18" t="s">
        <v>575</v>
      </c>
      <c r="H749" s="19"/>
      <c r="I749" s="20"/>
      <c r="J749" s="8">
        <f>22*1000</f>
        <v>22000</v>
      </c>
      <c r="K749" s="21">
        <v>3.2557870370370369E-2</v>
      </c>
      <c r="L749" s="22" t="s">
        <v>2455</v>
      </c>
      <c r="M749" s="8"/>
      <c r="N749" s="8"/>
      <c r="O749" s="8"/>
      <c r="P749" s="8"/>
      <c r="Q749" s="8"/>
      <c r="R749" s="8"/>
      <c r="S749" s="8"/>
      <c r="T749" s="8"/>
      <c r="U749" s="8"/>
      <c r="V749" s="8"/>
      <c r="W749" s="8"/>
      <c r="X749" s="8"/>
      <c r="Y749" s="8"/>
      <c r="Z749" s="25"/>
    </row>
    <row r="750" spans="1:26">
      <c r="A750" s="8">
        <v>749</v>
      </c>
      <c r="B750" s="8"/>
      <c r="C750" s="8"/>
      <c r="D750" s="8" t="s">
        <v>2469</v>
      </c>
      <c r="E750" s="16" t="s">
        <v>2470</v>
      </c>
      <c r="F750" s="27" t="s">
        <v>2471</v>
      </c>
      <c r="G750" s="18" t="s">
        <v>1134</v>
      </c>
      <c r="H750" s="19"/>
      <c r="I750" s="20"/>
      <c r="J750" s="8">
        <f>27*1000</f>
        <v>27000</v>
      </c>
      <c r="K750" s="21">
        <v>3.3379629629629634E-2</v>
      </c>
      <c r="L750" s="22" t="s">
        <v>2472</v>
      </c>
      <c r="M750" s="8"/>
      <c r="N750" s="8"/>
      <c r="O750" s="8"/>
      <c r="P750" s="8"/>
      <c r="Q750" s="8"/>
      <c r="R750" s="8"/>
      <c r="S750" s="8"/>
      <c r="T750" s="8"/>
      <c r="U750" s="8"/>
      <c r="V750" s="8"/>
      <c r="W750" s="8"/>
      <c r="X750" s="8"/>
      <c r="Y750" s="8"/>
      <c r="Z750" s="25"/>
    </row>
    <row r="751" spans="1:26">
      <c r="A751" s="8">
        <v>750</v>
      </c>
      <c r="B751" s="8"/>
      <c r="C751" s="8"/>
      <c r="D751" s="8" t="s">
        <v>2473</v>
      </c>
      <c r="E751" s="16" t="s">
        <v>2474</v>
      </c>
      <c r="F751" s="29" t="s">
        <v>2475</v>
      </c>
      <c r="G751" s="18" t="s">
        <v>264</v>
      </c>
      <c r="H751" s="19"/>
      <c r="I751" s="20"/>
      <c r="J751" s="8">
        <f>14*1000</f>
        <v>14000</v>
      </c>
      <c r="K751" s="21">
        <v>4.2465277777777775E-2</v>
      </c>
      <c r="L751" s="22" t="s">
        <v>2472</v>
      </c>
      <c r="M751" s="8"/>
      <c r="N751" s="8"/>
      <c r="O751" s="8"/>
      <c r="P751" s="8"/>
      <c r="Q751" s="8"/>
      <c r="R751" s="8"/>
      <c r="S751" s="8"/>
      <c r="T751" s="8"/>
      <c r="U751" s="8"/>
      <c r="V751" s="8"/>
      <c r="W751" s="8"/>
      <c r="X751" s="8"/>
      <c r="Y751" s="8"/>
      <c r="Z751" s="25"/>
    </row>
    <row r="752" spans="1:26">
      <c r="A752" s="8">
        <v>751</v>
      </c>
      <c r="B752" s="8"/>
      <c r="C752" s="8"/>
      <c r="D752" s="8" t="s">
        <v>2476</v>
      </c>
      <c r="E752" s="16" t="s">
        <v>2477</v>
      </c>
      <c r="F752" s="29" t="s">
        <v>2478</v>
      </c>
      <c r="G752" s="18" t="s">
        <v>1157</v>
      </c>
      <c r="H752" s="19"/>
      <c r="I752" s="20"/>
      <c r="J752" s="8">
        <f>6.7*1000</f>
        <v>6700</v>
      </c>
      <c r="K752" s="21">
        <v>8.1655092592592585E-2</v>
      </c>
      <c r="L752" s="22" t="s">
        <v>2472</v>
      </c>
      <c r="M752" s="8"/>
      <c r="N752" s="8"/>
      <c r="O752" s="8"/>
      <c r="P752" s="8"/>
      <c r="Q752" s="8"/>
      <c r="R752" s="8"/>
      <c r="S752" s="8"/>
      <c r="T752" s="8"/>
      <c r="U752" s="8"/>
      <c r="V752" s="8"/>
      <c r="W752" s="8"/>
      <c r="X752" s="8"/>
      <c r="Y752" s="8"/>
      <c r="Z752" s="25"/>
    </row>
    <row r="753" spans="1:26">
      <c r="A753" s="8">
        <v>752</v>
      </c>
      <c r="B753" s="8"/>
      <c r="C753" s="8"/>
      <c r="D753" s="8" t="s">
        <v>2479</v>
      </c>
      <c r="E753" s="16" t="s">
        <v>2480</v>
      </c>
      <c r="F753" s="27" t="s">
        <v>2481</v>
      </c>
      <c r="G753" s="18" t="s">
        <v>2482</v>
      </c>
      <c r="H753" s="19"/>
      <c r="I753" s="20"/>
      <c r="J753" s="8">
        <f>39*1000</f>
        <v>39000</v>
      </c>
      <c r="K753" s="21">
        <v>2.6944444444444441E-2</v>
      </c>
      <c r="L753" s="22" t="s">
        <v>2472</v>
      </c>
      <c r="M753" s="8"/>
      <c r="N753" s="8"/>
      <c r="O753" s="8"/>
      <c r="P753" s="8"/>
      <c r="Q753" s="8"/>
      <c r="R753" s="8"/>
      <c r="S753" s="8"/>
      <c r="T753" s="8"/>
      <c r="U753" s="8"/>
      <c r="V753" s="8"/>
      <c r="W753" s="8"/>
      <c r="X753" s="8"/>
      <c r="Y753" s="8"/>
      <c r="Z753" s="25"/>
    </row>
    <row r="754" spans="1:26">
      <c r="A754" s="8">
        <v>753</v>
      </c>
      <c r="B754" s="8"/>
      <c r="C754" s="8"/>
      <c r="D754" s="8" t="s">
        <v>2483</v>
      </c>
      <c r="E754" s="16" t="s">
        <v>2484</v>
      </c>
      <c r="F754" s="29" t="s">
        <v>2485</v>
      </c>
      <c r="G754" s="18" t="s">
        <v>135</v>
      </c>
      <c r="H754" s="19"/>
      <c r="I754" s="20"/>
      <c r="J754" s="8">
        <f>10*1000</f>
        <v>10000</v>
      </c>
      <c r="K754" s="21">
        <v>4.3171296296296298E-2</v>
      </c>
      <c r="L754" s="22" t="s">
        <v>2472</v>
      </c>
      <c r="M754" s="8"/>
      <c r="N754" s="8"/>
      <c r="O754" s="8"/>
      <c r="P754" s="8"/>
      <c r="Q754" s="8"/>
      <c r="R754" s="8"/>
      <c r="S754" s="8"/>
      <c r="T754" s="8"/>
      <c r="U754" s="8"/>
      <c r="V754" s="8"/>
      <c r="W754" s="8"/>
      <c r="X754" s="8"/>
      <c r="Y754" s="8"/>
      <c r="Z754" s="25"/>
    </row>
    <row r="755" spans="1:26">
      <c r="A755" s="8">
        <v>754</v>
      </c>
      <c r="B755" s="8"/>
      <c r="C755" s="8"/>
      <c r="D755" s="8" t="s">
        <v>2486</v>
      </c>
      <c r="E755" s="16" t="s">
        <v>2487</v>
      </c>
      <c r="F755" s="29" t="s">
        <v>2488</v>
      </c>
      <c r="G755" s="18" t="s">
        <v>575</v>
      </c>
      <c r="H755" s="19"/>
      <c r="I755" s="20"/>
      <c r="J755" s="8">
        <f>22*1000</f>
        <v>22000</v>
      </c>
      <c r="K755" s="21">
        <v>5.1331018518518519E-2</v>
      </c>
      <c r="L755" s="22" t="s">
        <v>2489</v>
      </c>
      <c r="M755" s="8"/>
      <c r="N755" s="8"/>
      <c r="O755" s="8"/>
      <c r="P755" s="8"/>
      <c r="Q755" s="8"/>
      <c r="R755" s="8"/>
      <c r="S755" s="8"/>
      <c r="T755" s="8"/>
      <c r="U755" s="8"/>
      <c r="V755" s="8"/>
      <c r="W755" s="8"/>
      <c r="X755" s="8"/>
      <c r="Y755" s="8"/>
      <c r="Z755" s="25"/>
    </row>
    <row r="756" spans="1:26">
      <c r="A756" s="8">
        <v>755</v>
      </c>
      <c r="B756" s="8"/>
      <c r="C756" s="8"/>
      <c r="D756" s="8" t="s">
        <v>2490</v>
      </c>
      <c r="E756" s="16" t="s">
        <v>2491</v>
      </c>
      <c r="F756" s="29" t="s">
        <v>2492</v>
      </c>
      <c r="G756" s="18" t="s">
        <v>825</v>
      </c>
      <c r="H756" s="19"/>
      <c r="I756" s="20"/>
      <c r="J756" s="8">
        <f>12*1000</f>
        <v>12000</v>
      </c>
      <c r="K756" s="21">
        <v>6.8020833333333336E-2</v>
      </c>
      <c r="L756" s="22" t="s">
        <v>2493</v>
      </c>
      <c r="M756" s="8"/>
      <c r="N756" s="8"/>
      <c r="O756" s="8"/>
      <c r="P756" s="8"/>
      <c r="Q756" s="8"/>
      <c r="R756" s="8"/>
      <c r="S756" s="8"/>
      <c r="T756" s="8"/>
      <c r="U756" s="8"/>
      <c r="V756" s="8"/>
      <c r="W756" s="8"/>
      <c r="X756" s="8"/>
      <c r="Y756" s="8"/>
      <c r="Z756" s="25"/>
    </row>
    <row r="757" spans="1:26">
      <c r="A757" s="8">
        <v>756</v>
      </c>
      <c r="B757" s="8"/>
      <c r="C757" s="8"/>
      <c r="D757" s="8" t="s">
        <v>2494</v>
      </c>
      <c r="E757" s="16" t="s">
        <v>2495</v>
      </c>
      <c r="F757" s="27" t="s">
        <v>2403</v>
      </c>
      <c r="G757" s="18" t="s">
        <v>2462</v>
      </c>
      <c r="H757" s="19"/>
      <c r="I757" s="20"/>
      <c r="J757" s="8">
        <f>17*1000</f>
        <v>17000</v>
      </c>
      <c r="K757" s="21">
        <v>3.3888888888888885E-2</v>
      </c>
      <c r="L757" s="22" t="s">
        <v>2496</v>
      </c>
      <c r="M757" s="8"/>
      <c r="N757" s="8"/>
      <c r="O757" s="8"/>
      <c r="P757" s="8"/>
      <c r="Q757" s="8"/>
      <c r="R757" s="8"/>
      <c r="S757" s="8"/>
      <c r="T757" s="8"/>
      <c r="U757" s="8"/>
      <c r="V757" s="8"/>
      <c r="W757" s="8"/>
      <c r="X757" s="8"/>
      <c r="Y757" s="8"/>
      <c r="Z757" s="25"/>
    </row>
    <row r="758" spans="1:26">
      <c r="A758" s="8">
        <v>757</v>
      </c>
      <c r="B758" s="8"/>
      <c r="C758" s="8"/>
      <c r="D758" s="8" t="s">
        <v>2497</v>
      </c>
      <c r="E758" s="16" t="s">
        <v>2498</v>
      </c>
      <c r="F758" s="29" t="s">
        <v>2499</v>
      </c>
      <c r="G758" s="18" t="s">
        <v>1488</v>
      </c>
      <c r="H758" s="19"/>
      <c r="I758" s="20"/>
      <c r="J758" s="8">
        <f>9.5*1000</f>
        <v>9500</v>
      </c>
      <c r="K758" s="21">
        <v>5.0972222222222224E-2</v>
      </c>
      <c r="L758" s="18" t="s">
        <v>2500</v>
      </c>
      <c r="M758" s="8"/>
      <c r="N758" s="8"/>
      <c r="O758" s="8"/>
      <c r="P758" s="8"/>
      <c r="Q758" s="8"/>
      <c r="R758" s="8"/>
      <c r="S758" s="8"/>
      <c r="T758" s="8"/>
      <c r="U758" s="8"/>
      <c r="V758" s="8"/>
      <c r="W758" s="8"/>
      <c r="X758" s="8"/>
      <c r="Y758" s="8"/>
      <c r="Z758" s="25"/>
    </row>
    <row r="759" spans="1:26">
      <c r="A759" s="8"/>
      <c r="B759" s="8"/>
      <c r="C759" s="8"/>
      <c r="D759" s="8"/>
      <c r="E759" s="19"/>
      <c r="F759" s="8"/>
      <c r="G759" s="22"/>
      <c r="H759" s="8"/>
      <c r="I759" s="28"/>
      <c r="J759" s="8"/>
      <c r="K759" s="8"/>
      <c r="L759" s="22"/>
      <c r="M759" s="25"/>
      <c r="N759" s="25"/>
      <c r="O759" s="25"/>
      <c r="P759" s="25"/>
      <c r="Q759" s="25"/>
      <c r="R759" s="25"/>
      <c r="S759" s="25"/>
      <c r="V759" s="25"/>
      <c r="Z759" s="25"/>
    </row>
    <row r="760" spans="1:26">
      <c r="A760" s="8"/>
      <c r="B760" s="8"/>
      <c r="C760" s="8"/>
      <c r="D760" s="8"/>
      <c r="E760" s="19"/>
      <c r="F760" s="8"/>
      <c r="G760" s="22"/>
      <c r="H760" s="8"/>
      <c r="I760" s="28"/>
      <c r="J760" s="8"/>
      <c r="K760" s="8"/>
      <c r="L760" s="22"/>
      <c r="M760" s="25"/>
      <c r="N760" s="25"/>
      <c r="O760" s="25"/>
      <c r="P760" s="25"/>
      <c r="Q760" s="25"/>
      <c r="R760" s="25"/>
      <c r="S760" s="25"/>
      <c r="V760" s="25"/>
      <c r="Z760" s="25"/>
    </row>
    <row r="761" spans="1:26">
      <c r="A761" s="8"/>
      <c r="B761" s="8"/>
      <c r="C761" s="8"/>
      <c r="D761" s="8"/>
      <c r="E761" s="19"/>
      <c r="F761" s="8"/>
      <c r="G761" s="22"/>
      <c r="H761" s="8"/>
      <c r="I761" s="28"/>
      <c r="J761" s="8"/>
      <c r="K761" s="8"/>
      <c r="L761" s="22"/>
      <c r="M761" s="25"/>
      <c r="N761" s="25"/>
      <c r="O761" s="25"/>
      <c r="P761" s="25"/>
      <c r="Q761" s="25"/>
      <c r="R761" s="25"/>
      <c r="S761" s="25"/>
      <c r="V761" s="25"/>
      <c r="Z761" s="25"/>
    </row>
    <row r="762" spans="1:26">
      <c r="A762" s="8"/>
      <c r="B762" s="8"/>
      <c r="C762" s="8"/>
      <c r="D762" s="8"/>
      <c r="E762" s="19"/>
      <c r="F762" s="8"/>
      <c r="G762" s="22"/>
      <c r="H762" s="8"/>
      <c r="I762" s="28"/>
      <c r="J762" s="8"/>
      <c r="K762" s="8"/>
      <c r="L762" s="22"/>
      <c r="M762" s="25"/>
      <c r="N762" s="25"/>
      <c r="O762" s="25"/>
      <c r="P762" s="25"/>
      <c r="Q762" s="25"/>
      <c r="R762" s="25"/>
      <c r="S762" s="25"/>
      <c r="V762" s="25"/>
      <c r="Z762" s="25"/>
    </row>
    <row r="763" spans="1:26">
      <c r="A763" s="8"/>
      <c r="B763" s="8"/>
      <c r="C763" s="8"/>
      <c r="D763" s="8"/>
      <c r="E763" s="19"/>
      <c r="F763" s="8"/>
      <c r="G763" s="22"/>
      <c r="H763" s="8"/>
      <c r="I763" s="28"/>
      <c r="J763" s="8"/>
      <c r="K763" s="8"/>
      <c r="L763" s="22"/>
      <c r="M763" s="25"/>
      <c r="N763" s="25"/>
      <c r="O763" s="25"/>
      <c r="P763" s="25"/>
      <c r="Q763" s="25"/>
      <c r="R763" s="25"/>
      <c r="S763" s="25"/>
      <c r="V763" s="25"/>
      <c r="Z763" s="25"/>
    </row>
    <row r="764" spans="1:26">
      <c r="A764" s="8"/>
      <c r="B764" s="8"/>
      <c r="C764" s="8"/>
      <c r="D764" s="8"/>
      <c r="E764" s="19"/>
      <c r="F764" s="8"/>
      <c r="G764" s="22"/>
      <c r="H764" s="8"/>
      <c r="I764" s="28"/>
      <c r="J764" s="8"/>
      <c r="K764" s="8"/>
      <c r="L764" s="22"/>
      <c r="M764" s="25"/>
      <c r="N764" s="25"/>
      <c r="O764" s="25"/>
      <c r="P764" s="25"/>
      <c r="Q764" s="25"/>
      <c r="R764" s="25"/>
      <c r="S764" s="25"/>
      <c r="V764" s="25"/>
      <c r="Z764" s="25"/>
    </row>
    <row r="765" spans="1:26">
      <c r="A765" s="8"/>
      <c r="B765" s="8"/>
      <c r="C765" s="8"/>
      <c r="D765" s="8"/>
      <c r="E765" s="19"/>
      <c r="F765" s="8"/>
      <c r="G765" s="22"/>
      <c r="H765" s="8"/>
      <c r="I765" s="28"/>
      <c r="J765" s="8"/>
      <c r="K765" s="8"/>
      <c r="L765" s="22"/>
      <c r="M765" s="25"/>
      <c r="N765" s="25"/>
      <c r="O765" s="25"/>
      <c r="P765" s="25"/>
      <c r="Q765" s="25"/>
      <c r="R765" s="25"/>
      <c r="S765" s="25"/>
      <c r="V765" s="25"/>
      <c r="Z765" s="25"/>
    </row>
    <row r="766" spans="1:26">
      <c r="A766" s="8"/>
      <c r="B766" s="8"/>
      <c r="C766" s="8"/>
      <c r="D766" s="8"/>
      <c r="E766" s="19"/>
      <c r="F766" s="8"/>
      <c r="G766" s="22"/>
      <c r="H766" s="8"/>
      <c r="I766" s="28"/>
      <c r="J766" s="8"/>
      <c r="K766" s="8"/>
      <c r="L766" s="22"/>
      <c r="M766" s="25"/>
      <c r="N766" s="25"/>
      <c r="O766" s="25"/>
      <c r="P766" s="25"/>
      <c r="Q766" s="25"/>
      <c r="R766" s="25"/>
      <c r="S766" s="25"/>
      <c r="V766" s="25"/>
      <c r="Z766" s="25"/>
    </row>
    <row r="767" spans="1:26">
      <c r="A767" s="8"/>
      <c r="B767" s="8"/>
      <c r="C767" s="8"/>
      <c r="D767" s="8"/>
      <c r="E767" s="19"/>
      <c r="F767" s="8"/>
      <c r="G767" s="22"/>
      <c r="H767" s="8"/>
      <c r="I767" s="28"/>
      <c r="J767" s="8"/>
      <c r="K767" s="8"/>
      <c r="L767" s="22"/>
      <c r="M767" s="25"/>
      <c r="N767" s="25"/>
      <c r="O767" s="25"/>
      <c r="P767" s="25"/>
      <c r="Q767" s="25"/>
      <c r="R767" s="25"/>
      <c r="S767" s="25"/>
      <c r="V767" s="25"/>
      <c r="Z767" s="25"/>
    </row>
    <row r="768" spans="1:26">
      <c r="A768" s="8"/>
      <c r="B768" s="8"/>
      <c r="C768" s="8"/>
      <c r="D768" s="8"/>
      <c r="E768" s="19"/>
      <c r="F768" s="8"/>
      <c r="G768" s="22"/>
      <c r="H768" s="8"/>
      <c r="I768" s="28"/>
      <c r="J768" s="8"/>
      <c r="K768" s="8"/>
      <c r="L768" s="22"/>
      <c r="M768" s="25"/>
      <c r="N768" s="25"/>
      <c r="O768" s="25"/>
      <c r="P768" s="25"/>
      <c r="Q768" s="25"/>
      <c r="R768" s="25"/>
      <c r="S768" s="25"/>
      <c r="V768" s="25"/>
      <c r="Z768" s="25"/>
    </row>
    <row r="769" spans="1:26">
      <c r="A769" s="8"/>
      <c r="B769" s="8"/>
      <c r="C769" s="8"/>
      <c r="D769" s="8"/>
      <c r="E769" s="19"/>
      <c r="F769" s="8"/>
      <c r="G769" s="22"/>
      <c r="H769" s="8"/>
      <c r="I769" s="28"/>
      <c r="J769" s="8"/>
      <c r="K769" s="8"/>
      <c r="L769" s="22"/>
      <c r="M769" s="25"/>
      <c r="N769" s="25"/>
      <c r="O769" s="25"/>
      <c r="P769" s="25"/>
      <c r="Q769" s="25"/>
      <c r="R769" s="25"/>
      <c r="S769" s="25"/>
      <c r="V769" s="25"/>
      <c r="Z769" s="25"/>
    </row>
    <row r="770" spans="1:26">
      <c r="A770" s="8"/>
      <c r="B770" s="8"/>
      <c r="C770" s="8"/>
      <c r="D770" s="8"/>
      <c r="E770" s="19"/>
      <c r="F770" s="8"/>
      <c r="G770" s="22"/>
      <c r="H770" s="8"/>
      <c r="I770" s="28"/>
      <c r="J770" s="8"/>
      <c r="K770" s="8"/>
      <c r="L770" s="22"/>
      <c r="M770" s="25"/>
      <c r="N770" s="25"/>
      <c r="O770" s="25"/>
      <c r="P770" s="25"/>
      <c r="Q770" s="25"/>
      <c r="R770" s="25"/>
      <c r="S770" s="25"/>
      <c r="V770" s="25"/>
      <c r="Z770" s="25"/>
    </row>
    <row r="771" spans="1:26">
      <c r="A771" s="8"/>
      <c r="B771" s="8"/>
      <c r="C771" s="8"/>
      <c r="D771" s="8"/>
      <c r="E771" s="19"/>
      <c r="F771" s="8"/>
      <c r="G771" s="22"/>
      <c r="H771" s="8"/>
      <c r="I771" s="28"/>
      <c r="J771" s="8"/>
      <c r="K771" s="8"/>
      <c r="L771" s="22"/>
      <c r="M771" s="25"/>
      <c r="N771" s="25"/>
      <c r="O771" s="25"/>
      <c r="P771" s="25"/>
      <c r="Q771" s="25"/>
      <c r="R771" s="25"/>
      <c r="S771" s="25"/>
      <c r="V771" s="25"/>
      <c r="Z771" s="25"/>
    </row>
    <row r="772" spans="1:26">
      <c r="A772" s="8"/>
      <c r="B772" s="8"/>
      <c r="C772" s="8"/>
      <c r="D772" s="8"/>
      <c r="E772" s="19"/>
      <c r="F772" s="8"/>
      <c r="G772" s="22"/>
      <c r="H772" s="8"/>
      <c r="I772" s="28"/>
      <c r="J772" s="8"/>
      <c r="K772" s="8"/>
      <c r="L772" s="22"/>
      <c r="M772" s="25"/>
      <c r="N772" s="25"/>
      <c r="O772" s="25"/>
      <c r="P772" s="25"/>
      <c r="Q772" s="25"/>
      <c r="R772" s="25"/>
      <c r="S772" s="25"/>
      <c r="V772" s="25"/>
      <c r="Z772" s="25"/>
    </row>
    <row r="773" spans="1:26">
      <c r="A773" s="8"/>
      <c r="B773" s="8"/>
      <c r="C773" s="8"/>
      <c r="D773" s="8"/>
      <c r="E773" s="19"/>
      <c r="F773" s="8"/>
      <c r="G773" s="22"/>
      <c r="H773" s="8"/>
      <c r="I773" s="28"/>
      <c r="J773" s="8"/>
      <c r="K773" s="8"/>
      <c r="L773" s="22"/>
      <c r="M773" s="25"/>
      <c r="N773" s="25"/>
      <c r="O773" s="25"/>
      <c r="P773" s="25"/>
      <c r="Q773" s="25"/>
      <c r="R773" s="25"/>
      <c r="S773" s="25"/>
      <c r="V773" s="25"/>
      <c r="Z773" s="25"/>
    </row>
    <row r="774" spans="1:26">
      <c r="A774" s="8"/>
      <c r="B774" s="8"/>
      <c r="C774" s="8"/>
      <c r="D774" s="8"/>
      <c r="E774" s="19"/>
      <c r="F774" s="8"/>
      <c r="G774" s="22"/>
      <c r="H774" s="8"/>
      <c r="I774" s="28"/>
      <c r="J774" s="8"/>
      <c r="K774" s="8"/>
      <c r="L774" s="22"/>
      <c r="M774" s="25"/>
      <c r="N774" s="25"/>
      <c r="O774" s="25"/>
      <c r="P774" s="25"/>
      <c r="Q774" s="25"/>
      <c r="R774" s="25"/>
      <c r="S774" s="25"/>
      <c r="V774" s="25"/>
      <c r="Z774" s="25"/>
    </row>
    <row r="775" spans="1:26">
      <c r="A775" s="8"/>
      <c r="B775" s="8"/>
      <c r="C775" s="8"/>
      <c r="D775" s="8"/>
      <c r="E775" s="19"/>
      <c r="F775" s="8"/>
      <c r="G775" s="22"/>
      <c r="H775" s="8"/>
      <c r="I775" s="28"/>
      <c r="J775" s="8"/>
      <c r="K775" s="8"/>
      <c r="L775" s="22"/>
      <c r="M775" s="25"/>
      <c r="N775" s="25"/>
      <c r="O775" s="25"/>
      <c r="P775" s="25"/>
      <c r="Q775" s="25"/>
      <c r="R775" s="25"/>
      <c r="S775" s="25"/>
      <c r="V775" s="25"/>
      <c r="Z775" s="25"/>
    </row>
    <row r="776" spans="1:26">
      <c r="A776" s="8"/>
      <c r="B776" s="8"/>
      <c r="C776" s="8"/>
      <c r="D776" s="8"/>
      <c r="E776" s="19"/>
      <c r="F776" s="8"/>
      <c r="G776" s="22"/>
      <c r="H776" s="8"/>
      <c r="I776" s="28"/>
      <c r="J776" s="8"/>
      <c r="K776" s="8"/>
      <c r="L776" s="22"/>
      <c r="M776" s="25"/>
      <c r="N776" s="25"/>
      <c r="O776" s="25"/>
      <c r="P776" s="25"/>
      <c r="Q776" s="25"/>
      <c r="R776" s="25"/>
      <c r="S776" s="25"/>
      <c r="V776" s="25"/>
      <c r="Z776" s="25"/>
    </row>
    <row r="777" spans="1:26">
      <c r="A777" s="8"/>
      <c r="B777" s="8"/>
      <c r="C777" s="8"/>
      <c r="D777" s="8"/>
      <c r="E777" s="8"/>
      <c r="F777" s="8"/>
      <c r="G777" s="22"/>
      <c r="H777" s="8"/>
      <c r="I777" s="28"/>
      <c r="J777" s="8"/>
      <c r="K777" s="8"/>
      <c r="L777" s="22"/>
      <c r="M777" s="25"/>
      <c r="N777" s="25"/>
      <c r="O777" s="25"/>
      <c r="P777" s="25"/>
      <c r="Q777" s="25"/>
      <c r="R777" s="25"/>
      <c r="S777" s="25"/>
      <c r="V777" s="25"/>
      <c r="Z777" s="25"/>
    </row>
    <row r="778" spans="1:26">
      <c r="A778" s="8"/>
      <c r="B778" s="8"/>
      <c r="C778" s="8"/>
      <c r="D778" s="8"/>
      <c r="E778" s="8"/>
      <c r="F778" s="8"/>
      <c r="G778" s="22"/>
      <c r="H778" s="8"/>
      <c r="I778" s="28"/>
      <c r="J778" s="8"/>
      <c r="K778" s="8"/>
      <c r="L778" s="22"/>
      <c r="M778" s="25"/>
      <c r="N778" s="25"/>
      <c r="O778" s="25"/>
      <c r="P778" s="25"/>
      <c r="Q778" s="25"/>
      <c r="R778" s="25"/>
      <c r="S778" s="25"/>
      <c r="V778" s="25"/>
      <c r="Z778" s="25"/>
    </row>
    <row r="779" spans="1:26">
      <c r="A779" s="8"/>
      <c r="B779" s="8"/>
      <c r="C779" s="8"/>
      <c r="D779" s="8"/>
      <c r="E779" s="8"/>
      <c r="F779" s="8"/>
      <c r="G779" s="22"/>
      <c r="H779" s="8"/>
      <c r="I779" s="28"/>
      <c r="J779" s="8"/>
      <c r="K779" s="8"/>
      <c r="L779" s="22"/>
      <c r="M779" s="25"/>
      <c r="N779" s="25"/>
      <c r="O779" s="25"/>
      <c r="P779" s="25"/>
      <c r="Q779" s="25"/>
      <c r="R779" s="25"/>
      <c r="S779" s="25"/>
      <c r="V779" s="25"/>
      <c r="Z779" s="25"/>
    </row>
    <row r="780" spans="1:26">
      <c r="A780" s="8"/>
      <c r="B780" s="8"/>
      <c r="C780" s="8"/>
      <c r="D780" s="8"/>
      <c r="E780" s="8"/>
      <c r="F780" s="8"/>
      <c r="G780" s="22"/>
      <c r="H780" s="8"/>
      <c r="I780" s="28"/>
      <c r="J780" s="8"/>
      <c r="K780" s="8"/>
      <c r="L780" s="22"/>
      <c r="M780" s="25"/>
      <c r="N780" s="25"/>
      <c r="O780" s="25"/>
      <c r="P780" s="25"/>
      <c r="Q780" s="25"/>
      <c r="R780" s="25"/>
      <c r="S780" s="25"/>
      <c r="V780" s="25"/>
      <c r="Z780" s="25"/>
    </row>
    <row r="781" spans="1:26">
      <c r="A781" s="8"/>
      <c r="B781" s="8"/>
      <c r="C781" s="8"/>
      <c r="D781" s="8"/>
      <c r="E781" s="8"/>
      <c r="F781" s="8"/>
      <c r="G781" s="22"/>
      <c r="H781" s="8"/>
      <c r="I781" s="28"/>
      <c r="J781" s="8"/>
      <c r="K781" s="8"/>
      <c r="L781" s="22"/>
      <c r="M781" s="25"/>
      <c r="N781" s="25"/>
      <c r="O781" s="25"/>
      <c r="P781" s="25"/>
      <c r="Q781" s="25"/>
      <c r="R781" s="25"/>
      <c r="S781" s="25"/>
      <c r="V781" s="25"/>
      <c r="Z781" s="25"/>
    </row>
    <row r="782" spans="1:26">
      <c r="A782" s="8"/>
      <c r="B782" s="8"/>
      <c r="C782" s="8"/>
      <c r="D782" s="8"/>
      <c r="E782" s="8"/>
      <c r="F782" s="8"/>
      <c r="G782" s="22"/>
      <c r="H782" s="8"/>
      <c r="I782" s="28"/>
      <c r="J782" s="8"/>
      <c r="K782" s="8"/>
      <c r="L782" s="22"/>
      <c r="M782" s="25"/>
      <c r="N782" s="25"/>
      <c r="O782" s="25"/>
      <c r="P782" s="25"/>
      <c r="Q782" s="25"/>
      <c r="R782" s="25"/>
      <c r="S782" s="25"/>
      <c r="V782" s="25"/>
      <c r="Z782" s="25"/>
    </row>
    <row r="783" spans="1:26">
      <c r="A783" s="8"/>
      <c r="B783" s="8"/>
      <c r="C783" s="8"/>
      <c r="D783" s="8"/>
      <c r="E783" s="8"/>
      <c r="F783" s="8"/>
      <c r="G783" s="22"/>
      <c r="H783" s="8"/>
      <c r="I783" s="28"/>
      <c r="J783" s="8"/>
      <c r="K783" s="8"/>
      <c r="L783" s="22"/>
      <c r="M783" s="25"/>
      <c r="N783" s="25"/>
      <c r="O783" s="25"/>
      <c r="P783" s="25"/>
      <c r="Q783" s="25"/>
      <c r="R783" s="25"/>
      <c r="S783" s="25"/>
      <c r="V783" s="25"/>
      <c r="Z783" s="25"/>
    </row>
    <row r="784" spans="1:26">
      <c r="A784" s="8"/>
      <c r="B784" s="8"/>
      <c r="C784" s="8"/>
      <c r="D784" s="8"/>
      <c r="E784" s="8"/>
      <c r="F784" s="8"/>
      <c r="G784" s="22"/>
      <c r="H784" s="8"/>
      <c r="I784" s="28"/>
      <c r="J784" s="8"/>
      <c r="K784" s="8"/>
      <c r="L784" s="22"/>
      <c r="M784" s="25"/>
      <c r="N784" s="25"/>
      <c r="O784" s="25"/>
      <c r="P784" s="25"/>
      <c r="Q784" s="25"/>
      <c r="R784" s="25"/>
      <c r="S784" s="25"/>
      <c r="V784" s="25"/>
      <c r="Z784" s="25"/>
    </row>
    <row r="785" spans="1:26">
      <c r="A785" s="8"/>
      <c r="B785" s="8"/>
      <c r="C785" s="8"/>
      <c r="D785" s="8"/>
      <c r="E785" s="8"/>
      <c r="F785" s="8"/>
      <c r="G785" s="22"/>
      <c r="H785" s="8"/>
      <c r="I785" s="28"/>
      <c r="J785" s="8"/>
      <c r="K785" s="8"/>
      <c r="L785" s="22"/>
      <c r="M785" s="25"/>
      <c r="N785" s="25"/>
      <c r="O785" s="25"/>
      <c r="P785" s="25"/>
      <c r="Q785" s="25"/>
      <c r="R785" s="25"/>
      <c r="S785" s="25"/>
      <c r="V785" s="25"/>
      <c r="Z785" s="25"/>
    </row>
    <row r="786" spans="1:26">
      <c r="A786" s="8"/>
      <c r="B786" s="8"/>
      <c r="C786" s="8"/>
      <c r="D786" s="8"/>
      <c r="E786" s="8"/>
      <c r="F786" s="8"/>
      <c r="G786" s="22"/>
      <c r="H786" s="8"/>
      <c r="I786" s="28"/>
      <c r="J786" s="8"/>
      <c r="K786" s="8"/>
      <c r="L786" s="22"/>
      <c r="M786" s="25"/>
      <c r="N786" s="25"/>
      <c r="O786" s="25"/>
      <c r="P786" s="25"/>
      <c r="Q786" s="25"/>
      <c r="R786" s="25"/>
      <c r="S786" s="25"/>
      <c r="V786" s="25"/>
      <c r="Z786" s="25"/>
    </row>
    <row r="787" spans="1:26">
      <c r="A787" s="8"/>
      <c r="B787" s="8"/>
      <c r="C787" s="8"/>
      <c r="D787" s="8"/>
      <c r="E787" s="8"/>
      <c r="F787" s="8"/>
      <c r="G787" s="22"/>
      <c r="H787" s="8"/>
      <c r="I787" s="28"/>
      <c r="J787" s="8"/>
      <c r="K787" s="8"/>
      <c r="L787" s="22"/>
      <c r="M787" s="25"/>
      <c r="N787" s="25"/>
      <c r="O787" s="25"/>
      <c r="P787" s="25"/>
      <c r="Q787" s="25"/>
      <c r="R787" s="25"/>
      <c r="S787" s="25"/>
      <c r="V787" s="25"/>
      <c r="Z787" s="25"/>
    </row>
    <row r="788" spans="1:26">
      <c r="A788" s="8"/>
      <c r="B788" s="8"/>
      <c r="C788" s="8"/>
      <c r="D788" s="8"/>
      <c r="E788" s="8"/>
      <c r="F788" s="8"/>
      <c r="G788" s="22"/>
      <c r="H788" s="8"/>
      <c r="I788" s="28"/>
      <c r="J788" s="8"/>
      <c r="K788" s="8"/>
      <c r="L788" s="22"/>
      <c r="M788" s="25"/>
      <c r="N788" s="25"/>
      <c r="O788" s="25"/>
      <c r="P788" s="25"/>
      <c r="Q788" s="25"/>
      <c r="R788" s="25"/>
      <c r="S788" s="25"/>
      <c r="V788" s="25"/>
      <c r="Z788" s="25"/>
    </row>
    <row r="789" spans="1:26">
      <c r="A789" s="8"/>
      <c r="B789" s="8"/>
      <c r="C789" s="8"/>
      <c r="D789" s="8"/>
      <c r="E789" s="8"/>
      <c r="F789" s="8"/>
      <c r="G789" s="22"/>
      <c r="H789" s="8"/>
      <c r="I789" s="28"/>
      <c r="J789" s="8"/>
      <c r="K789" s="8"/>
      <c r="L789" s="22"/>
      <c r="M789" s="25"/>
      <c r="N789" s="25"/>
      <c r="O789" s="25"/>
      <c r="P789" s="25"/>
      <c r="Q789" s="25"/>
      <c r="R789" s="25"/>
      <c r="S789" s="25"/>
      <c r="V789" s="25"/>
      <c r="Z789" s="25"/>
    </row>
    <row r="790" spans="1:26">
      <c r="A790" s="8"/>
      <c r="B790" s="8"/>
      <c r="C790" s="8"/>
      <c r="D790" s="8"/>
      <c r="E790" s="8"/>
      <c r="F790" s="8"/>
      <c r="G790" s="22"/>
      <c r="H790" s="8"/>
      <c r="I790" s="28"/>
      <c r="J790" s="8"/>
      <c r="K790" s="8"/>
      <c r="L790" s="22"/>
      <c r="M790" s="25"/>
      <c r="N790" s="25"/>
      <c r="O790" s="25"/>
      <c r="P790" s="25"/>
      <c r="Q790" s="25"/>
      <c r="R790" s="25"/>
      <c r="S790" s="25"/>
      <c r="V790" s="25"/>
      <c r="Z790" s="25"/>
    </row>
    <row r="791" spans="1:26">
      <c r="A791" s="8"/>
      <c r="B791" s="8"/>
      <c r="C791" s="8"/>
      <c r="D791" s="8"/>
      <c r="E791" s="8"/>
      <c r="F791" s="8"/>
      <c r="G791" s="22"/>
      <c r="H791" s="8"/>
      <c r="I791" s="28"/>
      <c r="J791" s="8"/>
      <c r="K791" s="8"/>
      <c r="L791" s="22"/>
      <c r="M791" s="25"/>
      <c r="N791" s="25"/>
      <c r="O791" s="25"/>
      <c r="P791" s="25"/>
      <c r="Q791" s="25"/>
      <c r="R791" s="25"/>
      <c r="S791" s="25"/>
      <c r="V791" s="25"/>
      <c r="Z791" s="25"/>
    </row>
    <row r="792" spans="1:26">
      <c r="A792" s="8"/>
      <c r="B792" s="8"/>
      <c r="C792" s="8"/>
      <c r="D792" s="8"/>
      <c r="E792" s="8"/>
      <c r="F792" s="8"/>
      <c r="G792" s="22"/>
      <c r="H792" s="8"/>
      <c r="I792" s="28"/>
      <c r="J792" s="8"/>
      <c r="K792" s="8"/>
      <c r="L792" s="22"/>
      <c r="M792" s="25"/>
      <c r="N792" s="25"/>
      <c r="O792" s="25"/>
      <c r="P792" s="25"/>
      <c r="Q792" s="25"/>
      <c r="R792" s="25"/>
      <c r="S792" s="25"/>
      <c r="V792" s="25"/>
      <c r="Z792" s="25"/>
    </row>
    <row r="793" spans="1:26">
      <c r="A793" s="8"/>
      <c r="B793" s="8"/>
      <c r="C793" s="8"/>
      <c r="D793" s="8"/>
      <c r="E793" s="8"/>
      <c r="F793" s="8"/>
      <c r="G793" s="22"/>
      <c r="H793" s="8"/>
      <c r="I793" s="28"/>
      <c r="J793" s="8"/>
      <c r="K793" s="8"/>
      <c r="L793" s="22"/>
      <c r="M793" s="25"/>
      <c r="N793" s="25"/>
      <c r="O793" s="25"/>
      <c r="P793" s="25"/>
      <c r="Q793" s="25"/>
      <c r="R793" s="25"/>
      <c r="S793" s="25"/>
      <c r="V793" s="25"/>
      <c r="Z793" s="25"/>
    </row>
    <row r="794" spans="1:26">
      <c r="A794" s="8"/>
      <c r="B794" s="8"/>
      <c r="C794" s="8"/>
      <c r="D794" s="8"/>
      <c r="E794" s="8"/>
      <c r="F794" s="8"/>
      <c r="G794" s="22"/>
      <c r="H794" s="8"/>
      <c r="I794" s="28"/>
      <c r="J794" s="8"/>
      <c r="K794" s="8"/>
      <c r="L794" s="22"/>
      <c r="M794" s="25"/>
      <c r="N794" s="25"/>
      <c r="O794" s="25"/>
      <c r="P794" s="25"/>
      <c r="Q794" s="25"/>
      <c r="R794" s="25"/>
      <c r="S794" s="25"/>
      <c r="V794" s="25"/>
      <c r="Z794" s="25"/>
    </row>
    <row r="795" spans="1:26">
      <c r="A795" s="8"/>
      <c r="B795" s="8"/>
      <c r="C795" s="8"/>
      <c r="D795" s="8"/>
      <c r="E795" s="8"/>
      <c r="F795" s="8"/>
      <c r="G795" s="22"/>
      <c r="H795" s="8"/>
      <c r="I795" s="28"/>
      <c r="J795" s="8"/>
      <c r="K795" s="8"/>
      <c r="L795" s="22"/>
      <c r="M795" s="25"/>
      <c r="N795" s="25"/>
      <c r="O795" s="25"/>
      <c r="P795" s="25"/>
      <c r="Q795" s="25"/>
      <c r="R795" s="25"/>
      <c r="S795" s="25"/>
      <c r="V795" s="25"/>
      <c r="Z795" s="25"/>
    </row>
    <row r="796" spans="1:26">
      <c r="A796" s="8"/>
      <c r="B796" s="8"/>
      <c r="C796" s="8"/>
      <c r="D796" s="8"/>
      <c r="E796" s="8"/>
      <c r="F796" s="8"/>
      <c r="G796" s="22"/>
      <c r="H796" s="8"/>
      <c r="I796" s="28"/>
      <c r="J796" s="8"/>
      <c r="K796" s="8"/>
      <c r="L796" s="22"/>
      <c r="M796" s="25"/>
      <c r="N796" s="25"/>
      <c r="O796" s="25"/>
      <c r="P796" s="25"/>
      <c r="Q796" s="25"/>
      <c r="R796" s="25"/>
      <c r="S796" s="25"/>
      <c r="V796" s="25"/>
      <c r="Z796" s="25"/>
    </row>
    <row r="797" spans="1:26">
      <c r="A797" s="8"/>
      <c r="B797" s="8"/>
      <c r="C797" s="8"/>
      <c r="D797" s="8"/>
      <c r="E797" s="8"/>
      <c r="F797" s="8"/>
      <c r="G797" s="22"/>
      <c r="H797" s="8"/>
      <c r="I797" s="28"/>
      <c r="J797" s="8"/>
      <c r="K797" s="8"/>
      <c r="L797" s="22"/>
      <c r="M797" s="25"/>
      <c r="N797" s="25"/>
      <c r="O797" s="25"/>
      <c r="P797" s="25"/>
      <c r="Q797" s="25"/>
      <c r="R797" s="25"/>
      <c r="S797" s="25"/>
      <c r="V797" s="25"/>
      <c r="Z797" s="25"/>
    </row>
    <row r="798" spans="1:26">
      <c r="A798" s="8"/>
      <c r="B798" s="8"/>
      <c r="C798" s="8"/>
      <c r="D798" s="8"/>
      <c r="E798" s="8"/>
      <c r="F798" s="8"/>
      <c r="G798" s="22"/>
      <c r="H798" s="8"/>
      <c r="I798" s="28"/>
      <c r="J798" s="8"/>
      <c r="K798" s="8"/>
      <c r="L798" s="22"/>
      <c r="M798" s="25"/>
      <c r="N798" s="25"/>
      <c r="O798" s="25"/>
      <c r="P798" s="25"/>
      <c r="Q798" s="25"/>
      <c r="R798" s="25"/>
      <c r="S798" s="25"/>
      <c r="V798" s="25"/>
      <c r="Z798" s="25"/>
    </row>
    <row r="799" spans="1:26">
      <c r="A799" s="8"/>
      <c r="B799" s="8"/>
      <c r="C799" s="8"/>
      <c r="D799" s="8"/>
      <c r="E799" s="8"/>
      <c r="F799" s="8"/>
      <c r="G799" s="22"/>
      <c r="H799" s="8"/>
      <c r="I799" s="28"/>
      <c r="J799" s="8"/>
      <c r="K799" s="8"/>
      <c r="L799" s="22"/>
      <c r="M799" s="25"/>
      <c r="N799" s="25"/>
      <c r="O799" s="25"/>
      <c r="P799" s="25"/>
      <c r="Q799" s="25"/>
      <c r="R799" s="25"/>
      <c r="S799" s="25"/>
      <c r="V799" s="25"/>
      <c r="Z799" s="25"/>
    </row>
    <row r="800" spans="1:26">
      <c r="A800" s="8"/>
      <c r="B800" s="8"/>
      <c r="C800" s="8"/>
      <c r="D800" s="8"/>
      <c r="E800" s="8"/>
      <c r="F800" s="8"/>
      <c r="G800" s="22"/>
      <c r="H800" s="8"/>
      <c r="I800" s="28"/>
      <c r="J800" s="8"/>
      <c r="K800" s="8"/>
      <c r="L800" s="22"/>
      <c r="M800" s="25"/>
      <c r="N800" s="25"/>
      <c r="O800" s="25"/>
      <c r="P800" s="25"/>
      <c r="Q800" s="25"/>
      <c r="R800" s="25"/>
      <c r="S800" s="25"/>
      <c r="V800" s="25"/>
      <c r="Z800" s="25"/>
    </row>
    <row r="801" spans="1:26">
      <c r="A801" s="8"/>
      <c r="B801" s="8"/>
      <c r="C801" s="8"/>
      <c r="D801" s="8"/>
      <c r="E801" s="8"/>
      <c r="F801" s="8"/>
      <c r="G801" s="22"/>
      <c r="H801" s="8"/>
      <c r="I801" s="28"/>
      <c r="J801" s="8"/>
      <c r="K801" s="8"/>
      <c r="L801" s="22"/>
      <c r="M801" s="25"/>
      <c r="N801" s="25"/>
      <c r="O801" s="25"/>
      <c r="P801" s="25"/>
      <c r="Q801" s="25"/>
      <c r="R801" s="25"/>
      <c r="S801" s="25"/>
      <c r="V801" s="25"/>
      <c r="Z801" s="25"/>
    </row>
    <row r="802" spans="1:26">
      <c r="A802" s="8"/>
      <c r="B802" s="8"/>
      <c r="C802" s="8"/>
      <c r="D802" s="8"/>
      <c r="E802" s="8"/>
      <c r="F802" s="8"/>
      <c r="G802" s="22"/>
      <c r="H802" s="8"/>
      <c r="I802" s="28"/>
      <c r="J802" s="8"/>
      <c r="K802" s="8"/>
      <c r="L802" s="22"/>
      <c r="M802" s="25"/>
      <c r="N802" s="25"/>
      <c r="O802" s="25"/>
      <c r="P802" s="25"/>
      <c r="Q802" s="25"/>
      <c r="R802" s="25"/>
      <c r="S802" s="25"/>
      <c r="V802" s="25"/>
      <c r="Z802" s="25"/>
    </row>
    <row r="803" spans="1:26">
      <c r="A803" s="8"/>
      <c r="B803" s="8"/>
      <c r="C803" s="8"/>
      <c r="D803" s="8"/>
      <c r="E803" s="8"/>
      <c r="F803" s="8"/>
      <c r="G803" s="22"/>
      <c r="H803" s="8"/>
      <c r="I803" s="28"/>
      <c r="J803" s="8"/>
      <c r="K803" s="8"/>
      <c r="L803" s="22"/>
      <c r="M803" s="25"/>
      <c r="N803" s="25"/>
      <c r="O803" s="25"/>
      <c r="P803" s="25"/>
      <c r="Q803" s="25"/>
      <c r="R803" s="25"/>
      <c r="S803" s="25"/>
      <c r="V803" s="25"/>
      <c r="Z803" s="25"/>
    </row>
    <row r="804" spans="1:26">
      <c r="A804" s="8"/>
      <c r="B804" s="8"/>
      <c r="C804" s="8"/>
      <c r="D804" s="8"/>
      <c r="E804" s="8"/>
      <c r="F804" s="8"/>
      <c r="G804" s="22"/>
      <c r="H804" s="8"/>
      <c r="I804" s="28"/>
      <c r="J804" s="8"/>
      <c r="K804" s="8"/>
      <c r="L804" s="22"/>
      <c r="M804" s="25"/>
      <c r="N804" s="25"/>
      <c r="O804" s="25"/>
      <c r="P804" s="25"/>
      <c r="Q804" s="25"/>
      <c r="R804" s="25"/>
      <c r="S804" s="25"/>
      <c r="V804" s="25"/>
      <c r="Z804" s="25"/>
    </row>
    <row r="805" spans="1:26">
      <c r="A805" s="8"/>
      <c r="B805" s="8"/>
      <c r="C805" s="8"/>
      <c r="D805" s="8"/>
      <c r="E805" s="8"/>
      <c r="F805" s="8"/>
      <c r="G805" s="22"/>
      <c r="H805" s="8"/>
      <c r="I805" s="28"/>
      <c r="J805" s="8"/>
      <c r="K805" s="8"/>
      <c r="L805" s="22"/>
      <c r="M805" s="25"/>
      <c r="N805" s="25"/>
      <c r="O805" s="25"/>
      <c r="P805" s="25"/>
      <c r="Q805" s="25"/>
      <c r="R805" s="25"/>
      <c r="S805" s="25"/>
      <c r="V805" s="25"/>
      <c r="Z805" s="25"/>
    </row>
    <row r="806" spans="1:26">
      <c r="A806" s="8"/>
      <c r="B806" s="8"/>
      <c r="C806" s="8"/>
      <c r="D806" s="8"/>
      <c r="E806" s="8"/>
      <c r="F806" s="8"/>
      <c r="G806" s="22"/>
      <c r="H806" s="8"/>
      <c r="I806" s="28"/>
      <c r="J806" s="8"/>
      <c r="K806" s="8"/>
      <c r="L806" s="22"/>
      <c r="M806" s="25"/>
      <c r="N806" s="25"/>
      <c r="O806" s="25"/>
      <c r="P806" s="25"/>
      <c r="Q806" s="25"/>
      <c r="R806" s="25"/>
      <c r="S806" s="25"/>
      <c r="V806" s="25"/>
      <c r="Z806" s="25"/>
    </row>
    <row r="807" spans="1:26">
      <c r="A807" s="8"/>
      <c r="B807" s="8"/>
      <c r="C807" s="8"/>
      <c r="D807" s="8"/>
      <c r="E807" s="8"/>
      <c r="F807" s="8"/>
      <c r="G807" s="22"/>
      <c r="H807" s="8"/>
      <c r="I807" s="28"/>
      <c r="J807" s="8"/>
      <c r="K807" s="8"/>
      <c r="L807" s="22"/>
      <c r="M807" s="25"/>
      <c r="N807" s="25"/>
      <c r="O807" s="25"/>
      <c r="P807" s="25"/>
      <c r="Q807" s="25"/>
      <c r="R807" s="25"/>
      <c r="S807" s="25"/>
      <c r="V807" s="25"/>
      <c r="Z807" s="25"/>
    </row>
    <row r="808" spans="1:26">
      <c r="A808" s="8"/>
      <c r="B808" s="8"/>
      <c r="C808" s="8"/>
      <c r="D808" s="8"/>
      <c r="E808" s="8"/>
      <c r="F808" s="8"/>
      <c r="G808" s="22"/>
      <c r="H808" s="8"/>
      <c r="I808" s="28"/>
      <c r="J808" s="8"/>
      <c r="K808" s="8"/>
      <c r="L808" s="22"/>
      <c r="M808" s="25"/>
      <c r="N808" s="25"/>
      <c r="O808" s="25"/>
      <c r="P808" s="25"/>
      <c r="Q808" s="25"/>
      <c r="R808" s="25"/>
      <c r="S808" s="25"/>
      <c r="V808" s="25"/>
      <c r="Z808" s="25"/>
    </row>
    <row r="809" spans="1:26">
      <c r="A809" s="8"/>
      <c r="B809" s="8"/>
      <c r="C809" s="8"/>
      <c r="D809" s="8"/>
      <c r="E809" s="8"/>
      <c r="F809" s="8"/>
      <c r="G809" s="22"/>
      <c r="H809" s="8"/>
      <c r="I809" s="28"/>
      <c r="J809" s="8"/>
      <c r="K809" s="8"/>
      <c r="L809" s="22"/>
      <c r="M809" s="25"/>
      <c r="N809" s="25"/>
      <c r="O809" s="25"/>
      <c r="P809" s="25"/>
      <c r="Q809" s="25"/>
      <c r="R809" s="25"/>
      <c r="S809" s="25"/>
      <c r="V809" s="25"/>
      <c r="Z809" s="25"/>
    </row>
    <row r="810" spans="1:26">
      <c r="A810" s="8"/>
      <c r="B810" s="8"/>
      <c r="C810" s="8"/>
      <c r="D810" s="8"/>
      <c r="E810" s="8"/>
      <c r="F810" s="8"/>
      <c r="G810" s="22"/>
      <c r="H810" s="8"/>
      <c r="I810" s="28"/>
      <c r="J810" s="8"/>
      <c r="K810" s="8"/>
      <c r="L810" s="22"/>
      <c r="M810" s="25"/>
      <c r="N810" s="25"/>
      <c r="O810" s="25"/>
      <c r="P810" s="25"/>
      <c r="Q810" s="25"/>
      <c r="R810" s="25"/>
      <c r="S810" s="25"/>
      <c r="V810" s="25"/>
      <c r="Z810" s="25"/>
    </row>
    <row r="811" spans="1:26">
      <c r="A811" s="8"/>
      <c r="B811" s="8"/>
      <c r="C811" s="8"/>
      <c r="D811" s="8"/>
      <c r="E811" s="8"/>
      <c r="F811" s="8"/>
      <c r="G811" s="22"/>
      <c r="H811" s="8"/>
      <c r="I811" s="28"/>
      <c r="J811" s="8"/>
      <c r="K811" s="8"/>
      <c r="L811" s="22"/>
      <c r="M811" s="25"/>
      <c r="N811" s="25"/>
      <c r="O811" s="25"/>
      <c r="P811" s="25"/>
      <c r="Q811" s="25"/>
      <c r="R811" s="25"/>
      <c r="S811" s="25"/>
      <c r="V811" s="25"/>
      <c r="Z811" s="25"/>
    </row>
    <row r="812" spans="1:26">
      <c r="A812" s="8"/>
      <c r="B812" s="8"/>
      <c r="C812" s="8"/>
      <c r="D812" s="8"/>
      <c r="E812" s="8"/>
      <c r="F812" s="8"/>
      <c r="G812" s="22"/>
      <c r="H812" s="8"/>
      <c r="I812" s="28"/>
      <c r="J812" s="8"/>
      <c r="K812" s="8"/>
      <c r="L812" s="22"/>
      <c r="M812" s="25"/>
      <c r="N812" s="25"/>
      <c r="O812" s="25"/>
      <c r="P812" s="25"/>
      <c r="Q812" s="25"/>
      <c r="R812" s="25"/>
      <c r="S812" s="25"/>
      <c r="V812" s="25"/>
      <c r="Z812" s="25"/>
    </row>
    <row r="813" spans="1:26">
      <c r="A813" s="8"/>
      <c r="B813" s="8"/>
      <c r="C813" s="8"/>
      <c r="D813" s="8"/>
      <c r="E813" s="8"/>
      <c r="F813" s="8"/>
      <c r="G813" s="22"/>
      <c r="H813" s="8"/>
      <c r="I813" s="28"/>
      <c r="J813" s="8"/>
      <c r="K813" s="8"/>
      <c r="L813" s="22"/>
      <c r="M813" s="25"/>
      <c r="N813" s="25"/>
      <c r="O813" s="25"/>
      <c r="P813" s="25"/>
      <c r="Q813" s="25"/>
      <c r="R813" s="25"/>
      <c r="S813" s="25"/>
      <c r="V813" s="25"/>
      <c r="Z813" s="25"/>
    </row>
    <row r="814" spans="1:26">
      <c r="A814" s="8"/>
      <c r="B814" s="8"/>
      <c r="C814" s="8"/>
      <c r="D814" s="8"/>
      <c r="E814" s="8"/>
      <c r="F814" s="8"/>
      <c r="G814" s="22"/>
      <c r="H814" s="8"/>
      <c r="I814" s="28"/>
      <c r="J814" s="8"/>
      <c r="K814" s="8"/>
      <c r="L814" s="22"/>
      <c r="M814" s="25"/>
      <c r="N814" s="25"/>
      <c r="O814" s="25"/>
      <c r="P814" s="25"/>
      <c r="Q814" s="25"/>
      <c r="R814" s="25"/>
      <c r="S814" s="25"/>
      <c r="V814" s="25"/>
      <c r="Z814" s="25"/>
    </row>
    <row r="815" spans="1:26">
      <c r="A815" s="8"/>
      <c r="B815" s="8"/>
      <c r="C815" s="8"/>
      <c r="D815" s="8"/>
      <c r="E815" s="8"/>
      <c r="F815" s="8"/>
      <c r="G815" s="22"/>
      <c r="H815" s="8"/>
      <c r="I815" s="28"/>
      <c r="J815" s="8"/>
      <c r="K815" s="8"/>
      <c r="L815" s="22"/>
      <c r="M815" s="25"/>
      <c r="N815" s="25"/>
      <c r="O815" s="25"/>
      <c r="P815" s="25"/>
      <c r="Q815" s="25"/>
      <c r="R815" s="25"/>
      <c r="S815" s="25"/>
      <c r="V815" s="25"/>
      <c r="Z815" s="25"/>
    </row>
    <row r="816" spans="1:26">
      <c r="A816" s="8"/>
      <c r="B816" s="8"/>
      <c r="C816" s="8"/>
      <c r="D816" s="8"/>
      <c r="E816" s="8"/>
      <c r="F816" s="8"/>
      <c r="G816" s="22"/>
      <c r="H816" s="8"/>
      <c r="I816" s="28"/>
      <c r="J816" s="8"/>
      <c r="K816" s="8"/>
      <c r="L816" s="22"/>
      <c r="M816" s="25"/>
      <c r="N816" s="25"/>
      <c r="O816" s="25"/>
      <c r="P816" s="25"/>
      <c r="Q816" s="25"/>
      <c r="R816" s="25"/>
      <c r="S816" s="25"/>
      <c r="V816" s="25"/>
      <c r="Z816" s="25"/>
    </row>
    <row r="817" spans="1:26">
      <c r="A817" s="8"/>
      <c r="B817" s="8"/>
      <c r="C817" s="8"/>
      <c r="D817" s="8"/>
      <c r="E817" s="8"/>
      <c r="F817" s="8"/>
      <c r="G817" s="22"/>
      <c r="H817" s="8"/>
      <c r="I817" s="28"/>
      <c r="J817" s="8"/>
      <c r="K817" s="8"/>
      <c r="L817" s="22"/>
      <c r="M817" s="25"/>
      <c r="N817" s="25"/>
      <c r="O817" s="25"/>
      <c r="P817" s="25"/>
      <c r="Q817" s="25"/>
      <c r="R817" s="25"/>
      <c r="S817" s="25"/>
      <c r="V817" s="25"/>
      <c r="Z817" s="25"/>
    </row>
    <row r="818" spans="1:26">
      <c r="A818" s="8"/>
      <c r="B818" s="8"/>
      <c r="C818" s="8"/>
      <c r="D818" s="8"/>
      <c r="E818" s="8"/>
      <c r="F818" s="8"/>
      <c r="G818" s="22"/>
      <c r="H818" s="8"/>
      <c r="I818" s="28"/>
      <c r="J818" s="8"/>
      <c r="K818" s="8"/>
      <c r="L818" s="22"/>
      <c r="M818" s="25"/>
      <c r="N818" s="25"/>
      <c r="O818" s="25"/>
      <c r="P818" s="25"/>
      <c r="Q818" s="25"/>
      <c r="R818" s="25"/>
      <c r="S818" s="25"/>
      <c r="V818" s="25"/>
      <c r="Z818" s="25"/>
    </row>
    <row r="819" spans="1:26">
      <c r="A819" s="8"/>
      <c r="B819" s="8"/>
      <c r="C819" s="8"/>
      <c r="D819" s="8"/>
      <c r="E819" s="8"/>
      <c r="F819" s="8"/>
      <c r="G819" s="22"/>
      <c r="H819" s="8"/>
      <c r="I819" s="28"/>
      <c r="J819" s="8"/>
      <c r="K819" s="8"/>
      <c r="L819" s="22"/>
      <c r="M819" s="25"/>
      <c r="N819" s="25"/>
      <c r="O819" s="25"/>
      <c r="P819" s="25"/>
      <c r="Q819" s="25"/>
      <c r="R819" s="25"/>
      <c r="S819" s="25"/>
      <c r="V819" s="25"/>
      <c r="Z819" s="25"/>
    </row>
    <row r="820" spans="1:26">
      <c r="A820" s="8"/>
      <c r="B820" s="8"/>
      <c r="C820" s="8"/>
      <c r="D820" s="8"/>
      <c r="E820" s="8"/>
      <c r="F820" s="8"/>
      <c r="G820" s="22"/>
      <c r="H820" s="8"/>
      <c r="I820" s="28"/>
      <c r="J820" s="8"/>
      <c r="K820" s="8"/>
      <c r="L820" s="22"/>
      <c r="M820" s="25"/>
      <c r="N820" s="25"/>
      <c r="O820" s="25"/>
      <c r="P820" s="25"/>
      <c r="Q820" s="25"/>
      <c r="R820" s="25"/>
      <c r="S820" s="25"/>
      <c r="V820" s="25"/>
      <c r="Z820" s="25"/>
    </row>
    <row r="821" spans="1:26">
      <c r="A821" s="8"/>
      <c r="B821" s="8"/>
      <c r="C821" s="8"/>
      <c r="D821" s="8"/>
      <c r="E821" s="8"/>
      <c r="F821" s="8"/>
      <c r="G821" s="22"/>
      <c r="H821" s="8"/>
      <c r="I821" s="28"/>
      <c r="J821" s="8"/>
      <c r="K821" s="8"/>
      <c r="L821" s="22"/>
      <c r="M821" s="25"/>
      <c r="N821" s="25"/>
      <c r="O821" s="25"/>
      <c r="P821" s="25"/>
      <c r="Q821" s="25"/>
      <c r="R821" s="25"/>
      <c r="S821" s="25"/>
      <c r="V821" s="25"/>
      <c r="Z821" s="25"/>
    </row>
    <row r="822" spans="1:26">
      <c r="A822" s="8"/>
      <c r="B822" s="8"/>
      <c r="C822" s="8"/>
      <c r="D822" s="8"/>
      <c r="E822" s="8"/>
      <c r="F822" s="8"/>
      <c r="G822" s="22"/>
      <c r="H822" s="8"/>
      <c r="I822" s="28"/>
      <c r="J822" s="8"/>
      <c r="K822" s="8"/>
      <c r="L822" s="22"/>
      <c r="M822" s="25"/>
      <c r="N822" s="25"/>
      <c r="O822" s="25"/>
      <c r="P822" s="25"/>
      <c r="Q822" s="25"/>
      <c r="R822" s="25"/>
      <c r="S822" s="25"/>
      <c r="V822" s="25"/>
      <c r="Z822" s="25"/>
    </row>
    <row r="823" spans="1:26">
      <c r="A823" s="8"/>
      <c r="B823" s="8"/>
      <c r="C823" s="8"/>
      <c r="D823" s="8"/>
      <c r="E823" s="8"/>
      <c r="F823" s="8"/>
      <c r="G823" s="22"/>
      <c r="H823" s="8"/>
      <c r="I823" s="28"/>
      <c r="J823" s="8"/>
      <c r="K823" s="8"/>
      <c r="L823" s="22"/>
      <c r="M823" s="25"/>
      <c r="N823" s="25"/>
      <c r="O823" s="25"/>
      <c r="P823" s="25"/>
      <c r="Q823" s="25"/>
      <c r="R823" s="25"/>
      <c r="S823" s="25"/>
      <c r="V823" s="25"/>
      <c r="Z823" s="25"/>
    </row>
    <row r="824" spans="1:26">
      <c r="A824" s="8"/>
      <c r="B824" s="8"/>
      <c r="C824" s="8"/>
      <c r="D824" s="8"/>
      <c r="E824" s="8"/>
      <c r="F824" s="8"/>
      <c r="G824" s="22"/>
      <c r="H824" s="8"/>
      <c r="I824" s="28"/>
      <c r="J824" s="8"/>
      <c r="K824" s="8"/>
      <c r="L824" s="22"/>
      <c r="M824" s="25"/>
      <c r="N824" s="25"/>
      <c r="O824" s="25"/>
      <c r="P824" s="25"/>
      <c r="Q824" s="25"/>
      <c r="R824" s="25"/>
      <c r="S824" s="25"/>
      <c r="V824" s="25"/>
      <c r="Z824" s="25"/>
    </row>
    <row r="825" spans="1:26">
      <c r="A825" s="8"/>
      <c r="B825" s="8"/>
      <c r="C825" s="8"/>
      <c r="D825" s="8"/>
      <c r="E825" s="8"/>
      <c r="F825" s="8"/>
      <c r="G825" s="22"/>
      <c r="H825" s="8"/>
      <c r="I825" s="28"/>
      <c r="J825" s="8"/>
      <c r="K825" s="8"/>
      <c r="L825" s="22"/>
      <c r="M825" s="25"/>
      <c r="N825" s="25"/>
      <c r="O825" s="25"/>
      <c r="P825" s="25"/>
      <c r="Q825" s="25"/>
      <c r="R825" s="25"/>
      <c r="S825" s="25"/>
      <c r="V825" s="25"/>
      <c r="Z825" s="25"/>
    </row>
    <row r="826" spans="1:26">
      <c r="A826" s="8"/>
      <c r="B826" s="8"/>
      <c r="C826" s="8"/>
      <c r="D826" s="8"/>
      <c r="E826" s="8"/>
      <c r="F826" s="8"/>
      <c r="G826" s="22"/>
      <c r="H826" s="8"/>
      <c r="I826" s="28"/>
      <c r="J826" s="8"/>
      <c r="K826" s="8"/>
      <c r="L826" s="22"/>
      <c r="M826" s="25"/>
      <c r="N826" s="25"/>
      <c r="O826" s="25"/>
      <c r="P826" s="25"/>
      <c r="Q826" s="25"/>
      <c r="R826" s="25"/>
      <c r="S826" s="25"/>
      <c r="V826" s="25"/>
      <c r="Z826" s="25"/>
    </row>
    <row r="827" spans="1:26">
      <c r="A827" s="8"/>
      <c r="B827" s="8"/>
      <c r="C827" s="8"/>
      <c r="D827" s="8"/>
      <c r="E827" s="8"/>
      <c r="F827" s="8"/>
      <c r="G827" s="22"/>
      <c r="H827" s="8"/>
      <c r="I827" s="28"/>
      <c r="J827" s="8"/>
      <c r="K827" s="8"/>
      <c r="L827" s="22"/>
      <c r="M827" s="25"/>
      <c r="N827" s="25"/>
      <c r="O827" s="25"/>
      <c r="P827" s="25"/>
      <c r="Q827" s="25"/>
      <c r="R827" s="25"/>
      <c r="S827" s="25"/>
      <c r="V827" s="25"/>
      <c r="Z827" s="25"/>
    </row>
    <row r="828" spans="1:26">
      <c r="A828" s="8"/>
      <c r="B828" s="8"/>
      <c r="C828" s="8"/>
      <c r="D828" s="8"/>
      <c r="E828" s="8"/>
      <c r="F828" s="8"/>
      <c r="G828" s="22"/>
      <c r="H828" s="8"/>
      <c r="I828" s="28"/>
      <c r="J828" s="8"/>
      <c r="K828" s="8"/>
      <c r="L828" s="22"/>
      <c r="M828" s="25"/>
      <c r="N828" s="25"/>
      <c r="O828" s="25"/>
      <c r="P828" s="25"/>
      <c r="Q828" s="25"/>
      <c r="R828" s="25"/>
      <c r="S828" s="25"/>
      <c r="V828" s="25"/>
      <c r="Z828" s="25"/>
    </row>
    <row r="829" spans="1:26">
      <c r="A829" s="8"/>
      <c r="B829" s="8"/>
      <c r="C829" s="8"/>
      <c r="D829" s="8"/>
      <c r="E829" s="8"/>
      <c r="F829" s="8"/>
      <c r="G829" s="22"/>
      <c r="H829" s="8"/>
      <c r="I829" s="28"/>
      <c r="J829" s="8"/>
      <c r="K829" s="8"/>
      <c r="L829" s="22"/>
      <c r="M829" s="25"/>
      <c r="N829" s="25"/>
      <c r="O829" s="25"/>
      <c r="P829" s="25"/>
      <c r="Q829" s="25"/>
      <c r="R829" s="25"/>
      <c r="S829" s="25"/>
      <c r="V829" s="25"/>
      <c r="Z829" s="25"/>
    </row>
    <row r="830" spans="1:26">
      <c r="A830" s="8"/>
      <c r="B830" s="8"/>
      <c r="C830" s="8"/>
      <c r="D830" s="8"/>
      <c r="E830" s="8"/>
      <c r="F830" s="8"/>
      <c r="G830" s="22"/>
      <c r="H830" s="8"/>
      <c r="I830" s="28"/>
      <c r="J830" s="8"/>
      <c r="K830" s="8"/>
      <c r="L830" s="22"/>
      <c r="M830" s="25"/>
      <c r="N830" s="25"/>
      <c r="O830" s="25"/>
      <c r="P830" s="25"/>
      <c r="Q830" s="25"/>
      <c r="R830" s="25"/>
      <c r="S830" s="25"/>
      <c r="V830" s="25"/>
      <c r="Z830" s="25"/>
    </row>
    <row r="831" spans="1:26">
      <c r="A831" s="8"/>
      <c r="B831" s="8"/>
      <c r="C831" s="8"/>
      <c r="D831" s="8"/>
      <c r="E831" s="8"/>
      <c r="F831" s="8"/>
      <c r="G831" s="22"/>
      <c r="H831" s="8"/>
      <c r="I831" s="28"/>
      <c r="J831" s="8"/>
      <c r="K831" s="8"/>
      <c r="L831" s="22"/>
      <c r="M831" s="25"/>
      <c r="N831" s="25"/>
      <c r="O831" s="25"/>
      <c r="P831" s="25"/>
      <c r="Q831" s="25"/>
      <c r="R831" s="25"/>
      <c r="S831" s="25"/>
      <c r="V831" s="25"/>
      <c r="Z831" s="25"/>
    </row>
    <row r="832" spans="1:26">
      <c r="A832" s="8"/>
      <c r="B832" s="8"/>
      <c r="C832" s="8"/>
      <c r="D832" s="8"/>
      <c r="E832" s="8"/>
      <c r="F832" s="8"/>
      <c r="G832" s="22"/>
      <c r="H832" s="8"/>
      <c r="I832" s="28"/>
      <c r="J832" s="8"/>
      <c r="K832" s="8"/>
      <c r="L832" s="22"/>
      <c r="M832" s="25"/>
      <c r="N832" s="25"/>
      <c r="O832" s="25"/>
      <c r="P832" s="25"/>
      <c r="Q832" s="25"/>
      <c r="R832" s="25"/>
      <c r="S832" s="25"/>
      <c r="V832" s="25"/>
      <c r="Z832" s="25"/>
    </row>
    <row r="833" spans="1:26">
      <c r="A833" s="8"/>
      <c r="B833" s="8"/>
      <c r="C833" s="8"/>
      <c r="D833" s="8"/>
      <c r="E833" s="8"/>
      <c r="F833" s="8"/>
      <c r="G833" s="22"/>
      <c r="H833" s="8"/>
      <c r="I833" s="28"/>
      <c r="J833" s="8"/>
      <c r="K833" s="8"/>
      <c r="L833" s="22"/>
      <c r="M833" s="25"/>
      <c r="N833" s="25"/>
      <c r="O833" s="25"/>
      <c r="P833" s="25"/>
      <c r="Q833" s="25"/>
      <c r="R833" s="25"/>
      <c r="S833" s="25"/>
      <c r="V833" s="25"/>
      <c r="Z833" s="25"/>
    </row>
    <row r="834" spans="1:26">
      <c r="A834" s="8"/>
      <c r="B834" s="8"/>
      <c r="C834" s="8"/>
      <c r="D834" s="8"/>
      <c r="E834" s="8"/>
      <c r="F834" s="8"/>
      <c r="G834" s="22"/>
      <c r="H834" s="8"/>
      <c r="I834" s="28"/>
      <c r="J834" s="8"/>
      <c r="K834" s="8"/>
      <c r="L834" s="22"/>
      <c r="M834" s="25"/>
      <c r="N834" s="25"/>
      <c r="O834" s="25"/>
      <c r="P834" s="25"/>
      <c r="Q834" s="25"/>
      <c r="R834" s="25"/>
      <c r="S834" s="25"/>
      <c r="V834" s="25"/>
      <c r="Z834" s="25"/>
    </row>
    <row r="835" spans="1:26">
      <c r="A835" s="8"/>
      <c r="B835" s="8"/>
      <c r="C835" s="8"/>
      <c r="D835" s="8"/>
      <c r="E835" s="8"/>
      <c r="F835" s="8"/>
      <c r="G835" s="22"/>
      <c r="H835" s="8"/>
      <c r="I835" s="28"/>
      <c r="J835" s="8"/>
      <c r="K835" s="8"/>
      <c r="L835" s="22"/>
      <c r="M835" s="25"/>
      <c r="N835" s="25"/>
      <c r="O835" s="25"/>
      <c r="P835" s="25"/>
      <c r="Q835" s="25"/>
      <c r="R835" s="25"/>
      <c r="S835" s="25"/>
      <c r="V835" s="25"/>
      <c r="Z835" s="25"/>
    </row>
    <row r="836" spans="1:26">
      <c r="A836" s="8"/>
      <c r="B836" s="8"/>
      <c r="C836" s="8"/>
      <c r="D836" s="8"/>
      <c r="E836" s="8"/>
      <c r="F836" s="8"/>
      <c r="G836" s="22"/>
      <c r="H836" s="8"/>
      <c r="I836" s="28"/>
      <c r="J836" s="8"/>
      <c r="K836" s="8"/>
      <c r="L836" s="22"/>
      <c r="M836" s="25"/>
      <c r="N836" s="25"/>
      <c r="O836" s="25"/>
      <c r="P836" s="25"/>
      <c r="Q836" s="25"/>
      <c r="R836" s="25"/>
      <c r="S836" s="25"/>
      <c r="V836" s="25"/>
      <c r="Z836" s="25"/>
    </row>
    <row r="837" spans="1:26">
      <c r="A837" s="8"/>
      <c r="B837" s="8"/>
      <c r="C837" s="8"/>
      <c r="D837" s="8"/>
      <c r="E837" s="8"/>
      <c r="F837" s="8"/>
      <c r="G837" s="22"/>
      <c r="H837" s="8"/>
      <c r="I837" s="28"/>
      <c r="J837" s="8"/>
      <c r="K837" s="8"/>
      <c r="L837" s="22"/>
      <c r="M837" s="25"/>
      <c r="N837" s="25"/>
      <c r="O837" s="25"/>
      <c r="P837" s="25"/>
      <c r="Q837" s="25"/>
      <c r="R837" s="25"/>
      <c r="S837" s="25"/>
      <c r="V837" s="25"/>
      <c r="Z837" s="25"/>
    </row>
    <row r="838" spans="1:26">
      <c r="A838" s="8"/>
      <c r="B838" s="8"/>
      <c r="C838" s="8"/>
      <c r="D838" s="8"/>
      <c r="E838" s="8"/>
      <c r="F838" s="8"/>
      <c r="G838" s="22"/>
      <c r="H838" s="8"/>
      <c r="I838" s="28"/>
      <c r="J838" s="8"/>
      <c r="K838" s="8"/>
      <c r="L838" s="22"/>
      <c r="M838" s="25"/>
      <c r="N838" s="25"/>
      <c r="O838" s="25"/>
      <c r="P838" s="25"/>
      <c r="Q838" s="25"/>
      <c r="R838" s="25"/>
      <c r="S838" s="25"/>
      <c r="V838" s="25"/>
      <c r="Z838" s="25"/>
    </row>
    <row r="839" spans="1:26">
      <c r="A839" s="8"/>
      <c r="B839" s="8"/>
      <c r="C839" s="8"/>
      <c r="D839" s="8"/>
      <c r="E839" s="8"/>
      <c r="F839" s="8"/>
      <c r="G839" s="22"/>
      <c r="H839" s="8"/>
      <c r="I839" s="28"/>
      <c r="J839" s="8"/>
      <c r="K839" s="8"/>
      <c r="L839" s="22"/>
      <c r="M839" s="25"/>
      <c r="N839" s="25"/>
      <c r="O839" s="25"/>
      <c r="P839" s="25"/>
      <c r="Q839" s="25"/>
      <c r="R839" s="25"/>
      <c r="S839" s="25"/>
      <c r="V839" s="25"/>
      <c r="Z839" s="25"/>
    </row>
    <row r="840" spans="1:26">
      <c r="A840" s="8"/>
      <c r="B840" s="8"/>
      <c r="C840" s="8"/>
      <c r="D840" s="8"/>
      <c r="E840" s="8"/>
      <c r="F840" s="8"/>
      <c r="G840" s="22"/>
      <c r="H840" s="8"/>
      <c r="I840" s="28"/>
      <c r="J840" s="8"/>
      <c r="K840" s="8"/>
      <c r="L840" s="22"/>
      <c r="M840" s="25"/>
      <c r="N840" s="25"/>
      <c r="O840" s="25"/>
      <c r="P840" s="25"/>
      <c r="Q840" s="25"/>
      <c r="R840" s="25"/>
      <c r="S840" s="25"/>
      <c r="V840" s="25"/>
      <c r="Z840" s="25"/>
    </row>
    <row r="841" spans="1:26">
      <c r="A841" s="8"/>
      <c r="B841" s="8"/>
      <c r="C841" s="8"/>
      <c r="D841" s="8"/>
      <c r="E841" s="8"/>
      <c r="F841" s="8"/>
      <c r="G841" s="22"/>
      <c r="H841" s="8"/>
      <c r="I841" s="28"/>
      <c r="J841" s="8"/>
      <c r="K841" s="8"/>
      <c r="L841" s="22"/>
      <c r="M841" s="25"/>
      <c r="N841" s="25"/>
      <c r="O841" s="25"/>
      <c r="P841" s="25"/>
      <c r="Q841" s="25"/>
      <c r="R841" s="25"/>
      <c r="S841" s="25"/>
      <c r="V841" s="25"/>
      <c r="Z841" s="25"/>
    </row>
    <row r="842" spans="1:26">
      <c r="A842" s="8"/>
      <c r="B842" s="8"/>
      <c r="C842" s="8"/>
      <c r="D842" s="8"/>
      <c r="E842" s="8"/>
      <c r="F842" s="8"/>
      <c r="G842" s="22"/>
      <c r="H842" s="8"/>
      <c r="I842" s="28"/>
      <c r="J842" s="8"/>
      <c r="K842" s="8"/>
      <c r="L842" s="22"/>
      <c r="M842" s="25"/>
      <c r="N842" s="25"/>
      <c r="O842" s="25"/>
      <c r="P842" s="25"/>
      <c r="Q842" s="25"/>
      <c r="R842" s="25"/>
      <c r="S842" s="25"/>
      <c r="V842" s="25"/>
      <c r="Z842" s="25"/>
    </row>
    <row r="843" spans="1:26">
      <c r="A843" s="8"/>
      <c r="B843" s="8"/>
      <c r="C843" s="8"/>
      <c r="D843" s="8"/>
      <c r="E843" s="8"/>
      <c r="F843" s="8"/>
      <c r="G843" s="22"/>
      <c r="H843" s="8"/>
      <c r="I843" s="28"/>
      <c r="J843" s="8"/>
      <c r="K843" s="8"/>
      <c r="L843" s="22"/>
      <c r="M843" s="25"/>
      <c r="N843" s="25"/>
      <c r="O843" s="25"/>
      <c r="P843" s="25"/>
      <c r="Q843" s="25"/>
      <c r="R843" s="25"/>
      <c r="S843" s="25"/>
      <c r="V843" s="25"/>
      <c r="Z843" s="25"/>
    </row>
    <row r="844" spans="1:26">
      <c r="A844" s="8"/>
      <c r="B844" s="8"/>
      <c r="C844" s="8"/>
      <c r="D844" s="8"/>
      <c r="E844" s="8"/>
      <c r="F844" s="8"/>
      <c r="G844" s="22"/>
      <c r="H844" s="8"/>
      <c r="I844" s="28"/>
      <c r="J844" s="8"/>
      <c r="K844" s="8"/>
      <c r="L844" s="22"/>
      <c r="M844" s="25"/>
      <c r="N844" s="25"/>
      <c r="O844" s="25"/>
      <c r="P844" s="25"/>
      <c r="Q844" s="25"/>
      <c r="R844" s="25"/>
      <c r="S844" s="25"/>
      <c r="V844" s="25"/>
      <c r="Z844" s="25"/>
    </row>
    <row r="845" spans="1:26">
      <c r="A845" s="8"/>
      <c r="B845" s="8"/>
      <c r="C845" s="8"/>
      <c r="D845" s="8"/>
      <c r="E845" s="8"/>
      <c r="F845" s="8"/>
      <c r="G845" s="22"/>
      <c r="H845" s="8"/>
      <c r="I845" s="28"/>
      <c r="J845" s="8"/>
      <c r="K845" s="8"/>
      <c r="L845" s="22"/>
      <c r="M845" s="25"/>
      <c r="N845" s="25"/>
      <c r="O845" s="25"/>
      <c r="P845" s="25"/>
      <c r="Q845" s="25"/>
      <c r="R845" s="25"/>
      <c r="S845" s="25"/>
      <c r="V845" s="25"/>
      <c r="Z845" s="25"/>
    </row>
    <row r="846" spans="1:26">
      <c r="A846" s="8"/>
      <c r="B846" s="8"/>
      <c r="C846" s="8"/>
      <c r="D846" s="8"/>
      <c r="E846" s="8"/>
      <c r="F846" s="8"/>
      <c r="G846" s="22"/>
      <c r="H846" s="8"/>
      <c r="I846" s="28"/>
      <c r="J846" s="8"/>
      <c r="K846" s="8"/>
      <c r="L846" s="22"/>
      <c r="M846" s="25"/>
      <c r="N846" s="25"/>
      <c r="O846" s="25"/>
      <c r="P846" s="25"/>
      <c r="Q846" s="25"/>
      <c r="R846" s="25"/>
      <c r="S846" s="25"/>
      <c r="V846" s="25"/>
      <c r="Z846" s="25"/>
    </row>
    <row r="847" spans="1:26">
      <c r="A847" s="8"/>
      <c r="B847" s="8"/>
      <c r="C847" s="8"/>
      <c r="D847" s="8"/>
      <c r="E847" s="8"/>
      <c r="F847" s="8"/>
      <c r="G847" s="22"/>
      <c r="H847" s="8"/>
      <c r="I847" s="28"/>
      <c r="J847" s="8"/>
      <c r="K847" s="8"/>
      <c r="L847" s="22"/>
      <c r="M847" s="25"/>
      <c r="N847" s="25"/>
      <c r="O847" s="25"/>
      <c r="P847" s="25"/>
      <c r="Q847" s="25"/>
      <c r="R847" s="25"/>
      <c r="S847" s="25"/>
      <c r="V847" s="25"/>
      <c r="Z847" s="25"/>
    </row>
    <row r="848" spans="1:26">
      <c r="A848" s="8"/>
      <c r="B848" s="8"/>
      <c r="C848" s="8"/>
      <c r="D848" s="8"/>
      <c r="E848" s="8"/>
      <c r="F848" s="8"/>
      <c r="G848" s="22"/>
      <c r="H848" s="8"/>
      <c r="I848" s="28"/>
      <c r="J848" s="8"/>
      <c r="K848" s="8"/>
      <c r="L848" s="22"/>
      <c r="M848" s="25"/>
      <c r="N848" s="25"/>
      <c r="O848" s="25"/>
      <c r="P848" s="25"/>
      <c r="Q848" s="25"/>
      <c r="R848" s="25"/>
      <c r="S848" s="25"/>
      <c r="V848" s="25"/>
      <c r="Z848" s="25"/>
    </row>
    <row r="849" spans="1:26">
      <c r="A849" s="8"/>
      <c r="B849" s="8"/>
      <c r="C849" s="8"/>
      <c r="D849" s="8"/>
      <c r="E849" s="8"/>
      <c r="F849" s="8"/>
      <c r="G849" s="22"/>
      <c r="H849" s="8"/>
      <c r="I849" s="28"/>
      <c r="J849" s="8"/>
      <c r="K849" s="8"/>
      <c r="L849" s="22"/>
      <c r="M849" s="25"/>
      <c r="N849" s="25"/>
      <c r="O849" s="25"/>
      <c r="P849" s="25"/>
      <c r="Q849" s="25"/>
      <c r="R849" s="25"/>
      <c r="S849" s="25"/>
      <c r="V849" s="25"/>
      <c r="Z849" s="25"/>
    </row>
    <row r="850" spans="1:26">
      <c r="A850" s="8"/>
      <c r="B850" s="8"/>
      <c r="C850" s="8"/>
      <c r="D850" s="8"/>
      <c r="E850" s="8"/>
      <c r="F850" s="8"/>
      <c r="G850" s="22"/>
      <c r="H850" s="8"/>
      <c r="I850" s="28"/>
      <c r="J850" s="8"/>
      <c r="K850" s="8"/>
      <c r="L850" s="22"/>
      <c r="M850" s="25"/>
      <c r="N850" s="25"/>
      <c r="O850" s="25"/>
      <c r="P850" s="25"/>
      <c r="Q850" s="25"/>
      <c r="R850" s="25"/>
      <c r="S850" s="25"/>
      <c r="V850" s="25"/>
      <c r="Z850" s="25"/>
    </row>
    <row r="851" spans="1:26">
      <c r="A851" s="8"/>
      <c r="B851" s="8"/>
      <c r="C851" s="8"/>
      <c r="D851" s="8"/>
      <c r="E851" s="8"/>
      <c r="F851" s="8"/>
      <c r="G851" s="22"/>
      <c r="H851" s="8"/>
      <c r="I851" s="28"/>
      <c r="J851" s="8"/>
      <c r="K851" s="8"/>
      <c r="L851" s="22"/>
      <c r="M851" s="25"/>
      <c r="N851" s="25"/>
      <c r="O851" s="25"/>
      <c r="P851" s="25"/>
      <c r="Q851" s="25"/>
      <c r="R851" s="25"/>
      <c r="S851" s="25"/>
      <c r="V851" s="25"/>
      <c r="Z851" s="25"/>
    </row>
    <row r="852" spans="1:26">
      <c r="A852" s="8"/>
      <c r="B852" s="8"/>
      <c r="C852" s="8"/>
      <c r="D852" s="8"/>
      <c r="E852" s="8"/>
      <c r="F852" s="8"/>
      <c r="G852" s="22"/>
      <c r="H852" s="8"/>
      <c r="I852" s="28"/>
      <c r="J852" s="8"/>
      <c r="K852" s="8"/>
      <c r="L852" s="22"/>
      <c r="M852" s="25"/>
      <c r="N852" s="25"/>
      <c r="O852" s="25"/>
      <c r="P852" s="25"/>
      <c r="Q852" s="25"/>
      <c r="R852" s="25"/>
      <c r="S852" s="25"/>
      <c r="V852" s="25"/>
      <c r="Z852" s="25"/>
    </row>
    <row r="853" spans="1:26">
      <c r="A853" s="8"/>
      <c r="B853" s="8"/>
      <c r="C853" s="8"/>
      <c r="D853" s="8"/>
      <c r="E853" s="8"/>
      <c r="F853" s="8"/>
      <c r="G853" s="22"/>
      <c r="H853" s="8"/>
      <c r="I853" s="28"/>
      <c r="J853" s="8"/>
      <c r="K853" s="8"/>
      <c r="L853" s="22"/>
      <c r="M853" s="25"/>
      <c r="N853" s="25"/>
      <c r="O853" s="25"/>
      <c r="P853" s="25"/>
      <c r="Q853" s="25"/>
      <c r="R853" s="25"/>
      <c r="S853" s="25"/>
      <c r="V853" s="25"/>
      <c r="Z853" s="25"/>
    </row>
    <row r="854" spans="1:26">
      <c r="A854" s="8"/>
      <c r="B854" s="8"/>
      <c r="C854" s="8"/>
      <c r="D854" s="8"/>
      <c r="E854" s="8"/>
      <c r="F854" s="8"/>
      <c r="G854" s="22"/>
      <c r="H854" s="8"/>
      <c r="I854" s="28"/>
      <c r="J854" s="8"/>
      <c r="K854" s="8"/>
      <c r="L854" s="22"/>
      <c r="M854" s="25"/>
      <c r="N854" s="25"/>
      <c r="O854" s="25"/>
      <c r="P854" s="25"/>
      <c r="Q854" s="25"/>
      <c r="R854" s="25"/>
      <c r="S854" s="25"/>
      <c r="V854" s="25"/>
      <c r="Z854" s="25"/>
    </row>
    <row r="855" spans="1:26">
      <c r="A855" s="8"/>
      <c r="B855" s="8"/>
      <c r="C855" s="8"/>
      <c r="D855" s="8"/>
      <c r="E855" s="8"/>
      <c r="F855" s="8"/>
      <c r="G855" s="22"/>
      <c r="H855" s="8"/>
      <c r="I855" s="28"/>
      <c r="J855" s="8"/>
      <c r="K855" s="8"/>
      <c r="L855" s="22"/>
      <c r="M855" s="25"/>
      <c r="N855" s="25"/>
      <c r="O855" s="25"/>
      <c r="P855" s="25"/>
      <c r="Q855" s="25"/>
      <c r="R855" s="25"/>
      <c r="S855" s="25"/>
      <c r="V855" s="25"/>
      <c r="Z855" s="25"/>
    </row>
    <row r="856" spans="1:26">
      <c r="A856" s="8"/>
      <c r="B856" s="8"/>
      <c r="C856" s="8"/>
      <c r="D856" s="8"/>
      <c r="E856" s="8"/>
      <c r="F856" s="8"/>
      <c r="G856" s="22"/>
      <c r="H856" s="8"/>
      <c r="I856" s="28"/>
      <c r="J856" s="8"/>
      <c r="K856" s="8"/>
      <c r="L856" s="22"/>
      <c r="M856" s="25"/>
      <c r="N856" s="25"/>
      <c r="O856" s="25"/>
      <c r="P856" s="25"/>
      <c r="Q856" s="25"/>
      <c r="R856" s="25"/>
      <c r="S856" s="25"/>
      <c r="V856" s="25"/>
      <c r="Z856" s="25"/>
    </row>
    <row r="857" spans="1:26">
      <c r="A857" s="8"/>
      <c r="B857" s="8"/>
      <c r="C857" s="8"/>
      <c r="D857" s="8"/>
      <c r="E857" s="8"/>
      <c r="F857" s="8"/>
      <c r="G857" s="22"/>
      <c r="H857" s="8"/>
      <c r="I857" s="28"/>
      <c r="J857" s="8"/>
      <c r="K857" s="8"/>
      <c r="L857" s="22"/>
      <c r="M857" s="25"/>
      <c r="N857" s="25"/>
      <c r="O857" s="25"/>
      <c r="P857" s="25"/>
      <c r="Q857" s="25"/>
      <c r="R857" s="25"/>
      <c r="S857" s="25"/>
      <c r="V857" s="25"/>
      <c r="Z857" s="25"/>
    </row>
    <row r="858" spans="1:26">
      <c r="A858" s="8"/>
      <c r="B858" s="8"/>
      <c r="C858" s="8"/>
      <c r="D858" s="8"/>
      <c r="E858" s="8"/>
      <c r="F858" s="8"/>
      <c r="G858" s="22"/>
      <c r="H858" s="8"/>
      <c r="I858" s="28"/>
      <c r="J858" s="8"/>
      <c r="K858" s="8"/>
      <c r="L858" s="22"/>
      <c r="M858" s="25"/>
      <c r="N858" s="25"/>
      <c r="O858" s="25"/>
      <c r="P858" s="25"/>
      <c r="Q858" s="25"/>
      <c r="R858" s="25"/>
      <c r="S858" s="25"/>
      <c r="V858" s="25"/>
      <c r="Z858" s="25"/>
    </row>
    <row r="859" spans="1:26">
      <c r="A859" s="8"/>
      <c r="B859" s="8"/>
      <c r="C859" s="8"/>
      <c r="D859" s="8"/>
      <c r="E859" s="8"/>
      <c r="F859" s="8"/>
      <c r="G859" s="22"/>
      <c r="H859" s="8"/>
      <c r="I859" s="28"/>
      <c r="J859" s="8"/>
      <c r="K859" s="8"/>
      <c r="L859" s="22"/>
      <c r="M859" s="25"/>
      <c r="N859" s="25"/>
      <c r="O859" s="25"/>
      <c r="P859" s="25"/>
      <c r="Q859" s="25"/>
      <c r="R859" s="25"/>
      <c r="S859" s="25"/>
      <c r="V859" s="25"/>
      <c r="Z859" s="25"/>
    </row>
    <row r="860" spans="1:26">
      <c r="A860" s="8"/>
      <c r="B860" s="8"/>
      <c r="C860" s="8"/>
      <c r="D860" s="8"/>
      <c r="E860" s="8"/>
      <c r="F860" s="8"/>
      <c r="G860" s="22"/>
      <c r="H860" s="8"/>
      <c r="I860" s="28"/>
      <c r="J860" s="8"/>
      <c r="K860" s="8"/>
      <c r="L860" s="22"/>
      <c r="M860" s="25"/>
      <c r="N860" s="25"/>
      <c r="O860" s="25"/>
      <c r="P860" s="25"/>
      <c r="Q860" s="25"/>
      <c r="R860" s="25"/>
      <c r="S860" s="25"/>
      <c r="V860" s="25"/>
      <c r="Z860" s="25"/>
    </row>
    <row r="861" spans="1:26">
      <c r="A861" s="8"/>
      <c r="B861" s="8"/>
      <c r="C861" s="8"/>
      <c r="D861" s="8"/>
      <c r="E861" s="8"/>
      <c r="F861" s="8"/>
      <c r="G861" s="22"/>
      <c r="H861" s="8"/>
      <c r="I861" s="28"/>
      <c r="J861" s="8"/>
      <c r="K861" s="8"/>
      <c r="L861" s="22"/>
      <c r="M861" s="25"/>
      <c r="N861" s="25"/>
      <c r="O861" s="25"/>
      <c r="P861" s="25"/>
      <c r="Q861" s="25"/>
      <c r="R861" s="25"/>
      <c r="S861" s="25"/>
      <c r="V861" s="25"/>
      <c r="Z861" s="25"/>
    </row>
    <row r="862" spans="1:26">
      <c r="A862" s="8"/>
      <c r="B862" s="8"/>
      <c r="C862" s="8"/>
      <c r="D862" s="8"/>
      <c r="E862" s="8"/>
      <c r="F862" s="8"/>
      <c r="G862" s="22"/>
      <c r="H862" s="8"/>
      <c r="I862" s="28"/>
      <c r="J862" s="8"/>
      <c r="K862" s="8"/>
      <c r="L862" s="22"/>
      <c r="M862" s="25"/>
      <c r="N862" s="25"/>
      <c r="O862" s="25"/>
      <c r="P862" s="25"/>
      <c r="Q862" s="25"/>
      <c r="R862" s="25"/>
      <c r="S862" s="25"/>
      <c r="V862" s="25"/>
      <c r="Z862" s="25"/>
    </row>
    <row r="863" spans="1:26">
      <c r="A863" s="8"/>
      <c r="B863" s="8"/>
      <c r="C863" s="8"/>
      <c r="D863" s="8"/>
      <c r="E863" s="8"/>
      <c r="F863" s="8"/>
      <c r="G863" s="22"/>
      <c r="H863" s="8"/>
      <c r="I863" s="28"/>
      <c r="J863" s="8"/>
      <c r="K863" s="8"/>
      <c r="L863" s="22"/>
      <c r="M863" s="25"/>
      <c r="N863" s="25"/>
      <c r="O863" s="25"/>
      <c r="P863" s="25"/>
      <c r="Q863" s="25"/>
      <c r="R863" s="25"/>
      <c r="S863" s="25"/>
      <c r="V863" s="25"/>
      <c r="Z863" s="25"/>
    </row>
    <row r="864" spans="1:26">
      <c r="A864" s="8"/>
      <c r="B864" s="8"/>
      <c r="C864" s="8"/>
      <c r="D864" s="8"/>
      <c r="E864" s="8"/>
      <c r="F864" s="8"/>
      <c r="G864" s="22"/>
      <c r="H864" s="8"/>
      <c r="I864" s="28"/>
      <c r="J864" s="8"/>
      <c r="K864" s="8"/>
      <c r="L864" s="22"/>
      <c r="M864" s="25"/>
      <c r="N864" s="25"/>
      <c r="O864" s="25"/>
      <c r="P864" s="25"/>
      <c r="Q864" s="25"/>
      <c r="R864" s="25"/>
      <c r="S864" s="25"/>
      <c r="V864" s="25"/>
      <c r="Z864" s="25"/>
    </row>
    <row r="865" spans="1:26">
      <c r="A865" s="8"/>
      <c r="B865" s="8"/>
      <c r="C865" s="8"/>
      <c r="D865" s="8"/>
      <c r="E865" s="8"/>
      <c r="F865" s="8"/>
      <c r="G865" s="22"/>
      <c r="H865" s="8"/>
      <c r="I865" s="28"/>
      <c r="J865" s="8"/>
      <c r="K865" s="8"/>
      <c r="L865" s="22"/>
      <c r="M865" s="25"/>
      <c r="N865" s="25"/>
      <c r="O865" s="25"/>
      <c r="P865" s="25"/>
      <c r="Q865" s="25"/>
      <c r="R865" s="25"/>
      <c r="S865" s="25"/>
      <c r="V865" s="25"/>
      <c r="Z865" s="25"/>
    </row>
    <row r="866" spans="1:26">
      <c r="A866" s="8"/>
      <c r="B866" s="8"/>
      <c r="C866" s="8"/>
      <c r="D866" s="8"/>
      <c r="E866" s="8"/>
      <c r="F866" s="8"/>
      <c r="G866" s="22"/>
      <c r="H866" s="8"/>
      <c r="I866" s="28"/>
      <c r="J866" s="8"/>
      <c r="K866" s="8"/>
      <c r="L866" s="22"/>
      <c r="M866" s="25"/>
      <c r="N866" s="25"/>
      <c r="O866" s="25"/>
      <c r="P866" s="25"/>
      <c r="Q866" s="25"/>
      <c r="R866" s="25"/>
      <c r="S866" s="25"/>
      <c r="V866" s="25"/>
      <c r="Z866" s="25"/>
    </row>
    <row r="867" spans="1:26">
      <c r="A867" s="8"/>
      <c r="B867" s="8"/>
      <c r="C867" s="8"/>
      <c r="D867" s="8"/>
      <c r="E867" s="8"/>
      <c r="F867" s="8"/>
      <c r="G867" s="22"/>
      <c r="H867" s="8"/>
      <c r="I867" s="28"/>
      <c r="J867" s="8"/>
      <c r="K867" s="8"/>
      <c r="L867" s="22"/>
      <c r="M867" s="25"/>
      <c r="N867" s="25"/>
      <c r="O867" s="25"/>
      <c r="P867" s="25"/>
      <c r="Q867" s="25"/>
      <c r="R867" s="25"/>
      <c r="S867" s="25"/>
      <c r="V867" s="25"/>
      <c r="Z867" s="25"/>
    </row>
    <row r="868" spans="1:26">
      <c r="A868" s="8"/>
      <c r="B868" s="8"/>
      <c r="C868" s="8"/>
      <c r="D868" s="8"/>
      <c r="E868" s="8"/>
      <c r="F868" s="8"/>
      <c r="G868" s="22"/>
      <c r="H868" s="8"/>
      <c r="I868" s="28"/>
      <c r="J868" s="8"/>
      <c r="K868" s="8"/>
      <c r="L868" s="22"/>
      <c r="M868" s="25"/>
      <c r="N868" s="25"/>
      <c r="O868" s="25"/>
      <c r="P868" s="25"/>
      <c r="Q868" s="25"/>
      <c r="R868" s="25"/>
      <c r="S868" s="25"/>
      <c r="V868" s="25"/>
      <c r="Z868" s="25"/>
    </row>
    <row r="869" spans="1:26">
      <c r="A869" s="8"/>
      <c r="B869" s="8"/>
      <c r="C869" s="8"/>
      <c r="D869" s="8"/>
      <c r="E869" s="8"/>
      <c r="F869" s="8"/>
      <c r="G869" s="22"/>
      <c r="H869" s="8"/>
      <c r="I869" s="28"/>
      <c r="J869" s="8"/>
      <c r="K869" s="8"/>
      <c r="L869" s="22"/>
      <c r="M869" s="25"/>
      <c r="N869" s="25"/>
      <c r="O869" s="25"/>
      <c r="P869" s="25"/>
      <c r="Q869" s="25"/>
      <c r="R869" s="25"/>
      <c r="S869" s="25"/>
      <c r="V869" s="25"/>
      <c r="Z869" s="25"/>
    </row>
    <row r="870" spans="1:26">
      <c r="A870" s="8"/>
      <c r="B870" s="8"/>
      <c r="C870" s="8"/>
      <c r="D870" s="8"/>
      <c r="E870" s="8"/>
      <c r="F870" s="8"/>
      <c r="G870" s="22"/>
      <c r="H870" s="8"/>
      <c r="I870" s="28"/>
      <c r="J870" s="8"/>
      <c r="K870" s="8"/>
      <c r="L870" s="22"/>
      <c r="M870" s="25"/>
      <c r="N870" s="25"/>
      <c r="O870" s="25"/>
      <c r="P870" s="25"/>
      <c r="Q870" s="25"/>
      <c r="R870" s="25"/>
      <c r="S870" s="25"/>
      <c r="V870" s="25"/>
      <c r="Z870" s="25"/>
    </row>
    <row r="871" spans="1:26">
      <c r="A871" s="8"/>
      <c r="B871" s="8"/>
      <c r="C871" s="8"/>
      <c r="D871" s="8"/>
      <c r="E871" s="8"/>
      <c r="F871" s="8"/>
      <c r="G871" s="22"/>
      <c r="H871" s="8"/>
      <c r="I871" s="28"/>
      <c r="J871" s="8"/>
      <c r="K871" s="8"/>
      <c r="L871" s="22"/>
      <c r="M871" s="25"/>
      <c r="N871" s="25"/>
      <c r="O871" s="25"/>
      <c r="P871" s="25"/>
      <c r="Q871" s="25"/>
      <c r="R871" s="25"/>
      <c r="S871" s="25"/>
      <c r="V871" s="25"/>
      <c r="Z871" s="25"/>
    </row>
    <row r="872" spans="1:26">
      <c r="A872" s="8"/>
      <c r="B872" s="8"/>
      <c r="C872" s="8"/>
      <c r="D872" s="8"/>
      <c r="E872" s="8"/>
      <c r="F872" s="8"/>
      <c r="G872" s="22"/>
      <c r="H872" s="8"/>
      <c r="I872" s="28"/>
      <c r="J872" s="8"/>
      <c r="K872" s="8"/>
      <c r="L872" s="22"/>
      <c r="M872" s="25"/>
      <c r="N872" s="25"/>
      <c r="O872" s="25"/>
      <c r="P872" s="25"/>
      <c r="Q872" s="25"/>
      <c r="R872" s="25"/>
      <c r="S872" s="25"/>
      <c r="V872" s="25"/>
      <c r="Z872" s="25"/>
    </row>
    <row r="873" spans="1:26">
      <c r="A873" s="8"/>
      <c r="B873" s="8"/>
      <c r="C873" s="8"/>
      <c r="D873" s="8"/>
      <c r="E873" s="8"/>
      <c r="F873" s="8"/>
      <c r="G873" s="22"/>
      <c r="H873" s="8"/>
      <c r="I873" s="28"/>
      <c r="J873" s="8"/>
      <c r="K873" s="8"/>
      <c r="L873" s="22"/>
      <c r="M873" s="25"/>
      <c r="N873" s="25"/>
      <c r="O873" s="25"/>
      <c r="P873" s="25"/>
      <c r="Q873" s="25"/>
      <c r="R873" s="25"/>
      <c r="S873" s="25"/>
      <c r="V873" s="25"/>
      <c r="Z873" s="25"/>
    </row>
    <row r="874" spans="1:26">
      <c r="A874" s="8"/>
      <c r="B874" s="8"/>
      <c r="C874" s="8"/>
      <c r="D874" s="8"/>
      <c r="E874" s="8"/>
      <c r="F874" s="8"/>
      <c r="G874" s="22"/>
      <c r="H874" s="8"/>
      <c r="I874" s="28"/>
      <c r="J874" s="8"/>
      <c r="K874" s="8"/>
      <c r="L874" s="22"/>
      <c r="M874" s="25"/>
      <c r="N874" s="25"/>
      <c r="O874" s="25"/>
      <c r="P874" s="25"/>
      <c r="Q874" s="25"/>
      <c r="R874" s="25"/>
      <c r="S874" s="25"/>
      <c r="V874" s="25"/>
      <c r="Z874" s="25"/>
    </row>
    <row r="875" spans="1:26">
      <c r="A875" s="8"/>
      <c r="B875" s="8"/>
      <c r="C875" s="8"/>
      <c r="D875" s="8"/>
      <c r="E875" s="8"/>
      <c r="F875" s="8"/>
      <c r="G875" s="22"/>
      <c r="H875" s="8"/>
      <c r="I875" s="28"/>
      <c r="J875" s="8"/>
      <c r="K875" s="8"/>
      <c r="L875" s="22"/>
      <c r="M875" s="25"/>
      <c r="N875" s="25"/>
      <c r="O875" s="25"/>
      <c r="P875" s="25"/>
      <c r="Q875" s="25"/>
      <c r="R875" s="25"/>
      <c r="S875" s="25"/>
      <c r="V875" s="25"/>
      <c r="Z875" s="25"/>
    </row>
    <row r="876" spans="1:26">
      <c r="A876" s="8"/>
      <c r="B876" s="8"/>
      <c r="C876" s="8"/>
      <c r="D876" s="8"/>
      <c r="E876" s="8"/>
      <c r="F876" s="8"/>
      <c r="G876" s="22"/>
      <c r="H876" s="8"/>
      <c r="I876" s="28"/>
      <c r="J876" s="8"/>
      <c r="K876" s="8"/>
      <c r="L876" s="22"/>
      <c r="M876" s="25"/>
      <c r="N876" s="25"/>
      <c r="O876" s="25"/>
      <c r="P876" s="25"/>
      <c r="Q876" s="25"/>
      <c r="R876" s="25"/>
      <c r="S876" s="25"/>
      <c r="V876" s="25"/>
      <c r="Z876" s="25"/>
    </row>
    <row r="877" spans="1:26">
      <c r="A877" s="8"/>
      <c r="B877" s="8"/>
      <c r="C877" s="8"/>
      <c r="D877" s="8"/>
      <c r="E877" s="8"/>
      <c r="F877" s="8"/>
      <c r="G877" s="22"/>
      <c r="H877" s="8"/>
      <c r="I877" s="28"/>
      <c r="J877" s="8"/>
      <c r="K877" s="8"/>
      <c r="L877" s="22"/>
      <c r="M877" s="25"/>
      <c r="N877" s="25"/>
      <c r="O877" s="25"/>
      <c r="P877" s="25"/>
      <c r="Q877" s="25"/>
      <c r="R877" s="25"/>
      <c r="S877" s="25"/>
      <c r="V877" s="25"/>
      <c r="Z877" s="25"/>
    </row>
    <row r="878" spans="1:26">
      <c r="A878" s="8"/>
      <c r="B878" s="8"/>
      <c r="C878" s="8"/>
      <c r="D878" s="8"/>
      <c r="E878" s="8"/>
      <c r="F878" s="8"/>
      <c r="G878" s="22"/>
      <c r="H878" s="8"/>
      <c r="I878" s="28"/>
      <c r="J878" s="8"/>
      <c r="K878" s="8"/>
      <c r="L878" s="22"/>
      <c r="M878" s="25"/>
      <c r="N878" s="25"/>
      <c r="O878" s="25"/>
      <c r="P878" s="25"/>
      <c r="Q878" s="25"/>
      <c r="R878" s="25"/>
      <c r="S878" s="25"/>
      <c r="V878" s="25"/>
      <c r="Z878" s="25"/>
    </row>
    <row r="879" spans="1:26">
      <c r="A879" s="8"/>
      <c r="B879" s="8"/>
      <c r="C879" s="8"/>
      <c r="D879" s="8"/>
      <c r="E879" s="8"/>
      <c r="F879" s="8"/>
      <c r="G879" s="22"/>
      <c r="H879" s="8"/>
      <c r="I879" s="28"/>
      <c r="J879" s="8"/>
      <c r="K879" s="8"/>
      <c r="L879" s="22"/>
      <c r="M879" s="25"/>
      <c r="N879" s="25"/>
      <c r="O879" s="25"/>
      <c r="P879" s="25"/>
      <c r="Q879" s="25"/>
      <c r="R879" s="25"/>
      <c r="S879" s="25"/>
      <c r="V879" s="25"/>
      <c r="Z879" s="25"/>
    </row>
    <row r="880" spans="1:26">
      <c r="A880" s="8"/>
      <c r="B880" s="8"/>
      <c r="C880" s="8"/>
      <c r="D880" s="8"/>
      <c r="E880" s="8"/>
      <c r="F880" s="8"/>
      <c r="G880" s="22"/>
      <c r="H880" s="8"/>
      <c r="I880" s="28"/>
      <c r="J880" s="8"/>
      <c r="K880" s="8"/>
      <c r="L880" s="22"/>
      <c r="M880" s="25"/>
      <c r="N880" s="25"/>
      <c r="O880" s="25"/>
      <c r="P880" s="25"/>
      <c r="Q880" s="25"/>
      <c r="R880" s="25"/>
      <c r="S880" s="25"/>
      <c r="V880" s="25"/>
      <c r="Z880" s="25"/>
    </row>
    <row r="881" spans="1:26">
      <c r="A881" s="8"/>
      <c r="B881" s="8"/>
      <c r="C881" s="8"/>
      <c r="D881" s="8"/>
      <c r="E881" s="8"/>
      <c r="F881" s="8"/>
      <c r="G881" s="22"/>
      <c r="H881" s="8"/>
      <c r="I881" s="28"/>
      <c r="J881" s="8"/>
      <c r="K881" s="8"/>
      <c r="L881" s="22"/>
      <c r="M881" s="25"/>
      <c r="N881" s="25"/>
      <c r="O881" s="25"/>
      <c r="P881" s="25"/>
      <c r="Q881" s="25"/>
      <c r="R881" s="25"/>
      <c r="S881" s="25"/>
      <c r="V881" s="25"/>
      <c r="Z881" s="25"/>
    </row>
    <row r="882" spans="1:26">
      <c r="A882" s="8"/>
      <c r="B882" s="8"/>
      <c r="C882" s="8"/>
      <c r="D882" s="8"/>
      <c r="E882" s="8"/>
      <c r="F882" s="8"/>
      <c r="G882" s="22"/>
      <c r="H882" s="8"/>
      <c r="I882" s="28"/>
      <c r="J882" s="8"/>
      <c r="K882" s="8"/>
      <c r="L882" s="22"/>
      <c r="M882" s="25"/>
      <c r="N882" s="25"/>
      <c r="O882" s="25"/>
      <c r="P882" s="25"/>
      <c r="Q882" s="25"/>
      <c r="R882" s="25"/>
      <c r="S882" s="25"/>
      <c r="V882" s="25"/>
      <c r="Z882" s="25"/>
    </row>
    <row r="883" spans="1:26">
      <c r="A883" s="8"/>
      <c r="B883" s="8"/>
      <c r="C883" s="8"/>
      <c r="D883" s="8"/>
      <c r="E883" s="8"/>
      <c r="F883" s="8"/>
      <c r="G883" s="22"/>
      <c r="H883" s="8"/>
      <c r="I883" s="28"/>
      <c r="J883" s="8"/>
      <c r="K883" s="8"/>
      <c r="L883" s="22"/>
      <c r="M883" s="25"/>
      <c r="N883" s="25"/>
      <c r="O883" s="25"/>
      <c r="P883" s="25"/>
      <c r="Q883" s="25"/>
      <c r="R883" s="25"/>
      <c r="S883" s="25"/>
      <c r="V883" s="25"/>
      <c r="Z883" s="25"/>
    </row>
    <row r="884" spans="1:26">
      <c r="A884" s="8"/>
      <c r="B884" s="8"/>
      <c r="C884" s="8"/>
      <c r="D884" s="8"/>
      <c r="E884" s="8"/>
      <c r="F884" s="8"/>
      <c r="G884" s="22"/>
      <c r="H884" s="8"/>
      <c r="I884" s="28"/>
      <c r="J884" s="8"/>
      <c r="K884" s="8"/>
      <c r="L884" s="22"/>
      <c r="M884" s="25"/>
      <c r="N884" s="25"/>
      <c r="O884" s="25"/>
      <c r="P884" s="25"/>
      <c r="Q884" s="25"/>
      <c r="R884" s="25"/>
      <c r="S884" s="25"/>
      <c r="V884" s="25"/>
      <c r="Z884" s="25"/>
    </row>
    <row r="885" spans="1:26">
      <c r="A885" s="8"/>
      <c r="B885" s="8"/>
      <c r="C885" s="8"/>
      <c r="D885" s="8"/>
      <c r="E885" s="8"/>
      <c r="F885" s="8"/>
      <c r="G885" s="22"/>
      <c r="H885" s="8"/>
      <c r="I885" s="28"/>
      <c r="J885" s="8"/>
      <c r="K885" s="8"/>
      <c r="L885" s="22"/>
      <c r="M885" s="25"/>
      <c r="N885" s="25"/>
      <c r="O885" s="25"/>
      <c r="P885" s="25"/>
      <c r="Q885" s="25"/>
      <c r="R885" s="25"/>
      <c r="S885" s="25"/>
      <c r="V885" s="25"/>
      <c r="Z885" s="25"/>
    </row>
    <row r="886" spans="1:26">
      <c r="A886" s="8"/>
      <c r="B886" s="8"/>
      <c r="C886" s="8"/>
      <c r="D886" s="8"/>
      <c r="E886" s="8"/>
      <c r="F886" s="8"/>
      <c r="G886" s="22"/>
      <c r="H886" s="8"/>
      <c r="I886" s="28"/>
      <c r="J886" s="8"/>
      <c r="K886" s="8"/>
      <c r="L886" s="22"/>
      <c r="M886" s="25"/>
      <c r="N886" s="25"/>
      <c r="O886" s="25"/>
      <c r="P886" s="25"/>
      <c r="Q886" s="25"/>
      <c r="R886" s="25"/>
      <c r="S886" s="25"/>
      <c r="V886" s="25"/>
      <c r="Z886" s="25"/>
    </row>
    <row r="887" spans="1:26">
      <c r="A887" s="8"/>
      <c r="B887" s="8"/>
      <c r="C887" s="8"/>
      <c r="D887" s="8"/>
      <c r="E887" s="8"/>
      <c r="F887" s="8"/>
      <c r="G887" s="22"/>
      <c r="H887" s="8"/>
      <c r="I887" s="28"/>
      <c r="J887" s="8"/>
      <c r="K887" s="8"/>
      <c r="L887" s="22"/>
      <c r="M887" s="25"/>
      <c r="N887" s="25"/>
      <c r="O887" s="25"/>
      <c r="P887" s="25"/>
      <c r="Q887" s="25"/>
      <c r="R887" s="25"/>
      <c r="S887" s="25"/>
      <c r="V887" s="25"/>
      <c r="Z887" s="25"/>
    </row>
    <row r="888" spans="1:26">
      <c r="A888" s="8"/>
      <c r="B888" s="8"/>
      <c r="C888" s="8"/>
      <c r="D888" s="8"/>
      <c r="E888" s="8"/>
      <c r="F888" s="8"/>
      <c r="G888" s="22"/>
      <c r="H888" s="8"/>
      <c r="I888" s="28"/>
      <c r="J888" s="8"/>
      <c r="K888" s="8"/>
      <c r="L888" s="22"/>
      <c r="M888" s="25"/>
      <c r="N888" s="25"/>
      <c r="O888" s="25"/>
      <c r="P888" s="25"/>
      <c r="Q888" s="25"/>
      <c r="R888" s="25"/>
      <c r="S888" s="25"/>
      <c r="V888" s="25"/>
      <c r="Z888" s="25"/>
    </row>
    <row r="889" spans="1:26">
      <c r="A889" s="8"/>
      <c r="B889" s="8"/>
      <c r="C889" s="8"/>
      <c r="D889" s="8"/>
      <c r="E889" s="8"/>
      <c r="F889" s="8"/>
      <c r="G889" s="22"/>
      <c r="H889" s="8"/>
      <c r="I889" s="28"/>
      <c r="J889" s="8"/>
      <c r="K889" s="8"/>
      <c r="L889" s="22"/>
      <c r="M889" s="25"/>
      <c r="N889" s="25"/>
      <c r="O889" s="25"/>
      <c r="P889" s="25"/>
      <c r="Q889" s="25"/>
      <c r="R889" s="25"/>
      <c r="S889" s="25"/>
      <c r="V889" s="25"/>
      <c r="Z889" s="25"/>
    </row>
    <row r="890" spans="1:26">
      <c r="A890" s="8"/>
      <c r="B890" s="8"/>
      <c r="C890" s="8"/>
      <c r="D890" s="8"/>
      <c r="E890" s="8"/>
      <c r="F890" s="8"/>
      <c r="G890" s="22"/>
      <c r="H890" s="8"/>
      <c r="I890" s="28"/>
      <c r="J890" s="8"/>
      <c r="K890" s="8"/>
      <c r="L890" s="22"/>
      <c r="M890" s="25"/>
      <c r="N890" s="25"/>
      <c r="O890" s="25"/>
      <c r="P890" s="25"/>
      <c r="Q890" s="25"/>
      <c r="R890" s="25"/>
      <c r="S890" s="25"/>
      <c r="V890" s="25"/>
      <c r="Z890" s="25"/>
    </row>
    <row r="891" spans="1:26">
      <c r="A891" s="8"/>
      <c r="B891" s="8"/>
      <c r="C891" s="8"/>
      <c r="D891" s="8"/>
      <c r="E891" s="8"/>
      <c r="F891" s="8"/>
      <c r="G891" s="22"/>
      <c r="H891" s="8"/>
      <c r="I891" s="28"/>
      <c r="J891" s="8"/>
      <c r="K891" s="8"/>
      <c r="L891" s="22"/>
      <c r="M891" s="25"/>
      <c r="N891" s="25"/>
      <c r="O891" s="25"/>
      <c r="P891" s="25"/>
      <c r="Q891" s="25"/>
      <c r="R891" s="25"/>
      <c r="S891" s="25"/>
      <c r="V891" s="25"/>
      <c r="Z891" s="25"/>
    </row>
    <row r="892" spans="1:26">
      <c r="A892" s="8"/>
      <c r="B892" s="8"/>
      <c r="C892" s="8"/>
      <c r="D892" s="8"/>
      <c r="E892" s="8"/>
      <c r="F892" s="8"/>
      <c r="G892" s="22"/>
      <c r="H892" s="8"/>
      <c r="I892" s="28"/>
      <c r="J892" s="8"/>
      <c r="K892" s="8"/>
      <c r="L892" s="22"/>
      <c r="M892" s="25"/>
      <c r="N892" s="25"/>
      <c r="O892" s="25"/>
      <c r="P892" s="25"/>
      <c r="Q892" s="25"/>
      <c r="R892" s="25"/>
      <c r="S892" s="25"/>
      <c r="V892" s="25"/>
      <c r="Z892" s="25"/>
    </row>
    <row r="893" spans="1:26">
      <c r="A893" s="8"/>
      <c r="B893" s="8"/>
      <c r="C893" s="8"/>
      <c r="D893" s="8"/>
      <c r="E893" s="8"/>
      <c r="F893" s="8"/>
      <c r="G893" s="22"/>
      <c r="H893" s="8"/>
      <c r="I893" s="28"/>
      <c r="J893" s="8"/>
      <c r="K893" s="8"/>
      <c r="L893" s="22"/>
      <c r="M893" s="25"/>
      <c r="N893" s="25"/>
      <c r="O893" s="25"/>
      <c r="P893" s="25"/>
      <c r="Q893" s="25"/>
      <c r="R893" s="25"/>
      <c r="S893" s="25"/>
      <c r="V893" s="25"/>
      <c r="Z893" s="25"/>
    </row>
    <row r="894" spans="1:26">
      <c r="A894" s="8"/>
      <c r="B894" s="8"/>
      <c r="C894" s="8"/>
      <c r="D894" s="8"/>
      <c r="E894" s="8"/>
      <c r="F894" s="8"/>
      <c r="G894" s="22"/>
      <c r="H894" s="8"/>
      <c r="I894" s="28"/>
      <c r="J894" s="8"/>
      <c r="K894" s="8"/>
      <c r="L894" s="22"/>
      <c r="M894" s="25"/>
      <c r="N894" s="25"/>
      <c r="O894" s="25"/>
      <c r="P894" s="25"/>
      <c r="Q894" s="25"/>
      <c r="R894" s="25"/>
      <c r="S894" s="25"/>
      <c r="V894" s="25"/>
      <c r="Z894" s="25"/>
    </row>
    <row r="895" spans="1:26">
      <c r="A895" s="8"/>
      <c r="B895" s="8"/>
      <c r="C895" s="8"/>
      <c r="D895" s="8"/>
      <c r="E895" s="8"/>
      <c r="F895" s="8"/>
      <c r="G895" s="22"/>
      <c r="H895" s="8"/>
      <c r="I895" s="28"/>
      <c r="J895" s="8"/>
      <c r="K895" s="8"/>
      <c r="L895" s="22"/>
      <c r="M895" s="25"/>
      <c r="N895" s="25"/>
      <c r="O895" s="25"/>
      <c r="P895" s="25"/>
      <c r="Q895" s="25"/>
      <c r="R895" s="25"/>
      <c r="S895" s="25"/>
      <c r="V895" s="25"/>
      <c r="Z895" s="25"/>
    </row>
    <row r="896" spans="1:26">
      <c r="A896" s="8"/>
      <c r="B896" s="8"/>
      <c r="C896" s="8"/>
      <c r="D896" s="8"/>
      <c r="E896" s="8"/>
      <c r="F896" s="8"/>
      <c r="G896" s="22"/>
      <c r="H896" s="8"/>
      <c r="I896" s="28"/>
      <c r="J896" s="8"/>
      <c r="K896" s="8"/>
      <c r="L896" s="22"/>
      <c r="M896" s="25"/>
      <c r="N896" s="25"/>
      <c r="O896" s="25"/>
      <c r="P896" s="25"/>
      <c r="Q896" s="25"/>
      <c r="R896" s="25"/>
      <c r="S896" s="25"/>
      <c r="V896" s="25"/>
      <c r="Z896" s="25"/>
    </row>
    <row r="897" spans="1:26">
      <c r="A897" s="8"/>
      <c r="B897" s="8"/>
      <c r="C897" s="8"/>
      <c r="D897" s="8"/>
      <c r="E897" s="8"/>
      <c r="F897" s="8"/>
      <c r="G897" s="22"/>
      <c r="H897" s="8"/>
      <c r="I897" s="28"/>
      <c r="J897" s="8"/>
      <c r="K897" s="8"/>
      <c r="L897" s="22"/>
      <c r="M897" s="25"/>
      <c r="N897" s="25"/>
      <c r="O897" s="25"/>
      <c r="P897" s="25"/>
      <c r="Q897" s="25"/>
      <c r="R897" s="25"/>
      <c r="S897" s="25"/>
      <c r="V897" s="25"/>
      <c r="Z897" s="25"/>
    </row>
    <row r="898" spans="1:26">
      <c r="A898" s="8"/>
      <c r="B898" s="8"/>
      <c r="C898" s="8"/>
      <c r="D898" s="8"/>
      <c r="E898" s="8"/>
      <c r="F898" s="8"/>
      <c r="G898" s="22"/>
      <c r="H898" s="8"/>
      <c r="I898" s="28"/>
      <c r="J898" s="8"/>
      <c r="K898" s="8"/>
      <c r="L898" s="22"/>
      <c r="M898" s="25"/>
      <c r="N898" s="25"/>
      <c r="O898" s="25"/>
      <c r="P898" s="25"/>
      <c r="Q898" s="25"/>
      <c r="R898" s="25"/>
      <c r="S898" s="25"/>
      <c r="V898" s="25"/>
      <c r="Z898" s="25"/>
    </row>
    <row r="899" spans="1:26">
      <c r="A899" s="8"/>
      <c r="B899" s="8"/>
      <c r="C899" s="8"/>
      <c r="D899" s="8"/>
      <c r="E899" s="8"/>
      <c r="F899" s="8"/>
      <c r="G899" s="22"/>
      <c r="H899" s="8"/>
      <c r="I899" s="28"/>
      <c r="J899" s="8"/>
      <c r="K899" s="8"/>
      <c r="L899" s="22"/>
      <c r="M899" s="25"/>
      <c r="N899" s="25"/>
      <c r="O899" s="25"/>
      <c r="P899" s="25"/>
      <c r="Q899" s="25"/>
      <c r="R899" s="25"/>
      <c r="S899" s="25"/>
      <c r="V899" s="25"/>
      <c r="Z899" s="25"/>
    </row>
    <row r="900" spans="1:26">
      <c r="A900" s="8"/>
      <c r="B900" s="8"/>
      <c r="C900" s="8"/>
      <c r="D900" s="8"/>
      <c r="E900" s="8"/>
      <c r="F900" s="8"/>
      <c r="G900" s="22"/>
      <c r="H900" s="8"/>
      <c r="I900" s="28"/>
      <c r="J900" s="8"/>
      <c r="K900" s="8"/>
      <c r="L900" s="22"/>
      <c r="M900" s="25"/>
      <c r="N900" s="25"/>
      <c r="O900" s="25"/>
      <c r="P900" s="25"/>
      <c r="Q900" s="25"/>
      <c r="R900" s="25"/>
      <c r="S900" s="25"/>
      <c r="V900" s="25"/>
      <c r="Z900" s="25"/>
    </row>
    <row r="901" spans="1:26">
      <c r="A901" s="8"/>
      <c r="B901" s="8"/>
      <c r="C901" s="8"/>
      <c r="D901" s="8"/>
      <c r="E901" s="8"/>
      <c r="F901" s="8"/>
      <c r="G901" s="22"/>
      <c r="H901" s="8"/>
      <c r="I901" s="28"/>
      <c r="J901" s="8"/>
      <c r="K901" s="8"/>
      <c r="L901" s="22"/>
      <c r="M901" s="25"/>
      <c r="N901" s="25"/>
      <c r="O901" s="25"/>
      <c r="P901" s="25"/>
      <c r="Q901" s="25"/>
      <c r="R901" s="25"/>
      <c r="S901" s="25"/>
      <c r="V901" s="25"/>
      <c r="Z901" s="25"/>
    </row>
    <row r="902" spans="1:26">
      <c r="A902" s="8"/>
      <c r="B902" s="8"/>
      <c r="C902" s="8"/>
      <c r="D902" s="8"/>
      <c r="E902" s="8"/>
      <c r="F902" s="8"/>
      <c r="G902" s="22"/>
      <c r="H902" s="8"/>
      <c r="I902" s="28"/>
      <c r="J902" s="8"/>
      <c r="K902" s="8"/>
      <c r="L902" s="22"/>
      <c r="M902" s="25"/>
      <c r="N902" s="25"/>
      <c r="O902" s="25"/>
      <c r="P902" s="25"/>
      <c r="Q902" s="25"/>
      <c r="R902" s="25"/>
      <c r="S902" s="25"/>
      <c r="V902" s="25"/>
      <c r="Z902" s="25"/>
    </row>
    <row r="903" spans="1:26">
      <c r="A903" s="8"/>
      <c r="B903" s="8"/>
      <c r="C903" s="8"/>
      <c r="D903" s="8"/>
      <c r="E903" s="8"/>
      <c r="F903" s="8"/>
      <c r="G903" s="22"/>
      <c r="H903" s="8"/>
      <c r="I903" s="28"/>
      <c r="J903" s="8"/>
      <c r="K903" s="8"/>
      <c r="L903" s="22"/>
      <c r="M903" s="25"/>
      <c r="N903" s="25"/>
      <c r="O903" s="25"/>
      <c r="P903" s="25"/>
      <c r="Q903" s="25"/>
      <c r="R903" s="25"/>
      <c r="S903" s="25"/>
      <c r="V903" s="25"/>
      <c r="Z903" s="25"/>
    </row>
    <row r="904" spans="1:26">
      <c r="A904" s="8"/>
      <c r="B904" s="8"/>
      <c r="C904" s="8"/>
      <c r="D904" s="8"/>
      <c r="E904" s="8"/>
      <c r="F904" s="8"/>
      <c r="G904" s="22"/>
      <c r="H904" s="8"/>
      <c r="I904" s="28"/>
      <c r="J904" s="8"/>
      <c r="K904" s="8"/>
      <c r="L904" s="22"/>
      <c r="M904" s="25"/>
      <c r="N904" s="25"/>
      <c r="O904" s="25"/>
      <c r="P904" s="25"/>
      <c r="Q904" s="25"/>
      <c r="R904" s="25"/>
      <c r="S904" s="25"/>
      <c r="V904" s="25"/>
      <c r="Z904" s="25"/>
    </row>
    <row r="905" spans="1:26">
      <c r="A905" s="8"/>
      <c r="B905" s="8"/>
      <c r="C905" s="8"/>
      <c r="D905" s="8"/>
      <c r="E905" s="8"/>
      <c r="F905" s="8"/>
      <c r="G905" s="22"/>
      <c r="H905" s="8"/>
      <c r="I905" s="28"/>
      <c r="J905" s="8"/>
      <c r="K905" s="8"/>
      <c r="L905" s="22"/>
      <c r="M905" s="25"/>
      <c r="N905" s="25"/>
      <c r="O905" s="25"/>
      <c r="P905" s="25"/>
      <c r="Q905" s="25"/>
      <c r="R905" s="25"/>
      <c r="S905" s="25"/>
      <c r="V905" s="25"/>
      <c r="Z905" s="25"/>
    </row>
    <row r="906" spans="1:26">
      <c r="A906" s="8"/>
      <c r="B906" s="8"/>
      <c r="C906" s="8"/>
      <c r="D906" s="8"/>
      <c r="E906" s="8"/>
      <c r="F906" s="8"/>
      <c r="G906" s="22"/>
      <c r="H906" s="8"/>
      <c r="I906" s="28"/>
      <c r="J906" s="8"/>
      <c r="K906" s="8"/>
      <c r="L906" s="22"/>
      <c r="M906" s="25"/>
      <c r="N906" s="25"/>
      <c r="O906" s="25"/>
      <c r="P906" s="25"/>
      <c r="Q906" s="25"/>
      <c r="R906" s="25"/>
      <c r="S906" s="25"/>
      <c r="V906" s="25"/>
      <c r="Z906" s="25"/>
    </row>
    <row r="907" spans="1:26">
      <c r="A907" s="8"/>
      <c r="B907" s="8"/>
      <c r="C907" s="8"/>
      <c r="D907" s="8"/>
      <c r="E907" s="8"/>
      <c r="F907" s="8"/>
      <c r="G907" s="22"/>
      <c r="H907" s="8"/>
      <c r="I907" s="28"/>
      <c r="J907" s="8"/>
      <c r="K907" s="8"/>
      <c r="L907" s="22"/>
      <c r="M907" s="25"/>
      <c r="N907" s="25"/>
      <c r="O907" s="25"/>
      <c r="P907" s="25"/>
      <c r="Q907" s="25"/>
      <c r="R907" s="25"/>
      <c r="S907" s="25"/>
      <c r="V907" s="25"/>
      <c r="Z907" s="25"/>
    </row>
    <row r="908" spans="1:26">
      <c r="A908" s="8"/>
      <c r="B908" s="8"/>
      <c r="C908" s="8"/>
      <c r="D908" s="8"/>
      <c r="E908" s="8"/>
      <c r="F908" s="8"/>
      <c r="G908" s="22"/>
      <c r="H908" s="8"/>
      <c r="I908" s="28"/>
      <c r="J908" s="8"/>
      <c r="K908" s="8"/>
      <c r="L908" s="22"/>
      <c r="M908" s="25"/>
      <c r="N908" s="25"/>
      <c r="O908" s="25"/>
      <c r="P908" s="25"/>
      <c r="Q908" s="25"/>
      <c r="R908" s="25"/>
      <c r="S908" s="25"/>
      <c r="V908" s="25"/>
      <c r="Z908" s="25"/>
    </row>
    <row r="909" spans="1:26">
      <c r="A909" s="8"/>
      <c r="B909" s="8"/>
      <c r="C909" s="8"/>
      <c r="D909" s="8"/>
      <c r="E909" s="8"/>
      <c r="F909" s="8"/>
      <c r="G909" s="22"/>
      <c r="H909" s="8"/>
      <c r="I909" s="28"/>
      <c r="J909" s="8"/>
      <c r="K909" s="8"/>
      <c r="L909" s="22"/>
      <c r="M909" s="25"/>
      <c r="N909" s="25"/>
      <c r="O909" s="25"/>
      <c r="P909" s="25"/>
      <c r="Q909" s="25"/>
      <c r="R909" s="25"/>
      <c r="S909" s="25"/>
      <c r="V909" s="25"/>
      <c r="Z909" s="25"/>
    </row>
    <row r="910" spans="1:26">
      <c r="A910" s="8"/>
      <c r="B910" s="8"/>
      <c r="C910" s="8"/>
      <c r="D910" s="8"/>
      <c r="E910" s="8"/>
      <c r="F910" s="8"/>
      <c r="G910" s="22"/>
      <c r="H910" s="8"/>
      <c r="I910" s="28"/>
      <c r="J910" s="8"/>
      <c r="K910" s="8"/>
      <c r="L910" s="22"/>
      <c r="M910" s="25"/>
      <c r="N910" s="25"/>
      <c r="O910" s="25"/>
      <c r="P910" s="25"/>
      <c r="Q910" s="25"/>
      <c r="R910" s="25"/>
      <c r="S910" s="25"/>
      <c r="V910" s="25"/>
      <c r="Z910" s="25"/>
    </row>
    <row r="911" spans="1:26">
      <c r="A911" s="8"/>
      <c r="B911" s="8"/>
      <c r="C911" s="8"/>
      <c r="D911" s="8"/>
      <c r="E911" s="8"/>
      <c r="F911" s="8"/>
      <c r="G911" s="22"/>
      <c r="H911" s="8"/>
      <c r="I911" s="28"/>
      <c r="J911" s="8"/>
      <c r="K911" s="8"/>
      <c r="L911" s="22"/>
      <c r="M911" s="25"/>
      <c r="N911" s="25"/>
      <c r="O911" s="25"/>
      <c r="P911" s="25"/>
      <c r="Q911" s="25"/>
      <c r="R911" s="25"/>
      <c r="S911" s="25"/>
      <c r="V911" s="25"/>
      <c r="Z911" s="25"/>
    </row>
    <row r="912" spans="1:26">
      <c r="A912" s="8"/>
      <c r="B912" s="8"/>
      <c r="C912" s="8"/>
      <c r="D912" s="8"/>
      <c r="E912" s="8"/>
      <c r="F912" s="8"/>
      <c r="G912" s="22"/>
      <c r="H912" s="8"/>
      <c r="I912" s="28"/>
      <c r="J912" s="8"/>
      <c r="K912" s="8"/>
      <c r="L912" s="22"/>
      <c r="M912" s="25"/>
      <c r="N912" s="25"/>
      <c r="O912" s="25"/>
      <c r="P912" s="25"/>
      <c r="Q912" s="25"/>
      <c r="R912" s="25"/>
      <c r="S912" s="25"/>
      <c r="V912" s="25"/>
      <c r="Z912" s="25"/>
    </row>
    <row r="913" spans="1:26">
      <c r="A913" s="8"/>
      <c r="B913" s="8"/>
      <c r="C913" s="8"/>
      <c r="D913" s="8"/>
      <c r="E913" s="8"/>
      <c r="F913" s="8"/>
      <c r="G913" s="22"/>
      <c r="H913" s="8"/>
      <c r="I913" s="28"/>
      <c r="J913" s="8"/>
      <c r="K913" s="8"/>
      <c r="L913" s="22"/>
      <c r="M913" s="25"/>
      <c r="N913" s="25"/>
      <c r="O913" s="25"/>
      <c r="P913" s="25"/>
      <c r="Q913" s="25"/>
      <c r="R913" s="25"/>
      <c r="S913" s="25"/>
      <c r="V913" s="25"/>
      <c r="Z913" s="25"/>
    </row>
    <row r="914" spans="1:26">
      <c r="A914" s="8"/>
      <c r="B914" s="8"/>
      <c r="C914" s="8"/>
      <c r="D914" s="8"/>
      <c r="E914" s="8"/>
      <c r="F914" s="8"/>
      <c r="G914" s="22"/>
      <c r="H914" s="8"/>
      <c r="I914" s="28"/>
      <c r="J914" s="8"/>
      <c r="K914" s="8"/>
      <c r="L914" s="22"/>
      <c r="M914" s="25"/>
      <c r="N914" s="25"/>
      <c r="O914" s="25"/>
      <c r="P914" s="25"/>
      <c r="Q914" s="25"/>
      <c r="R914" s="25"/>
      <c r="S914" s="25"/>
      <c r="V914" s="25"/>
      <c r="Z914" s="25"/>
    </row>
    <row r="915" spans="1:26">
      <c r="A915" s="8"/>
      <c r="B915" s="8"/>
      <c r="C915" s="8"/>
      <c r="D915" s="8"/>
      <c r="E915" s="8"/>
      <c r="F915" s="8"/>
      <c r="G915" s="22"/>
      <c r="H915" s="8"/>
      <c r="I915" s="28"/>
      <c r="J915" s="8"/>
      <c r="K915" s="8"/>
      <c r="L915" s="22"/>
      <c r="M915" s="25"/>
      <c r="N915" s="25"/>
      <c r="O915" s="25"/>
      <c r="P915" s="25"/>
      <c r="Q915" s="25"/>
      <c r="R915" s="25"/>
      <c r="S915" s="25"/>
      <c r="V915" s="25"/>
      <c r="Z915" s="25"/>
    </row>
    <row r="916" spans="1:26">
      <c r="A916" s="8"/>
      <c r="B916" s="8"/>
      <c r="C916" s="8"/>
      <c r="D916" s="8"/>
      <c r="E916" s="8"/>
      <c r="F916" s="8"/>
      <c r="G916" s="22"/>
      <c r="H916" s="8"/>
      <c r="I916" s="28"/>
      <c r="J916" s="8"/>
      <c r="K916" s="8"/>
      <c r="L916" s="22"/>
      <c r="M916" s="25"/>
      <c r="N916" s="25"/>
      <c r="O916" s="25"/>
      <c r="P916" s="25"/>
      <c r="Q916" s="25"/>
      <c r="R916" s="25"/>
      <c r="S916" s="25"/>
      <c r="V916" s="25"/>
      <c r="Z916" s="25"/>
    </row>
    <row r="917" spans="1:26">
      <c r="A917" s="8"/>
      <c r="B917" s="8"/>
      <c r="C917" s="8"/>
      <c r="D917" s="8"/>
      <c r="E917" s="8"/>
      <c r="F917" s="8"/>
      <c r="G917" s="22"/>
      <c r="H917" s="8"/>
      <c r="I917" s="28"/>
      <c r="J917" s="8"/>
      <c r="K917" s="8"/>
      <c r="L917" s="22"/>
      <c r="M917" s="25"/>
      <c r="N917" s="25"/>
      <c r="O917" s="25"/>
      <c r="P917" s="25"/>
      <c r="Q917" s="25"/>
      <c r="R917" s="25"/>
      <c r="S917" s="25"/>
      <c r="V917" s="25"/>
      <c r="Z917" s="25"/>
    </row>
    <row r="918" spans="1:26">
      <c r="A918" s="8"/>
      <c r="B918" s="8"/>
      <c r="C918" s="8"/>
      <c r="D918" s="8"/>
      <c r="E918" s="8"/>
      <c r="F918" s="8"/>
      <c r="G918" s="22"/>
      <c r="H918" s="8"/>
      <c r="I918" s="28"/>
      <c r="J918" s="8"/>
      <c r="K918" s="8"/>
      <c r="L918" s="22"/>
      <c r="M918" s="25"/>
      <c r="N918" s="25"/>
      <c r="O918" s="25"/>
      <c r="P918" s="25"/>
      <c r="Q918" s="25"/>
      <c r="R918" s="25"/>
      <c r="S918" s="25"/>
      <c r="V918" s="25"/>
      <c r="Z918" s="25"/>
    </row>
    <row r="919" spans="1:26">
      <c r="A919" s="8"/>
      <c r="B919" s="8"/>
      <c r="C919" s="8"/>
      <c r="D919" s="8"/>
      <c r="E919" s="8"/>
      <c r="F919" s="8"/>
      <c r="G919" s="22"/>
      <c r="H919" s="8"/>
      <c r="I919" s="28"/>
      <c r="J919" s="8"/>
      <c r="K919" s="8"/>
      <c r="L919" s="22"/>
      <c r="M919" s="25"/>
      <c r="N919" s="25"/>
      <c r="O919" s="25"/>
      <c r="P919" s="25"/>
      <c r="Q919" s="25"/>
      <c r="R919" s="25"/>
      <c r="S919" s="25"/>
      <c r="V919" s="25"/>
      <c r="Z919" s="25"/>
    </row>
    <row r="920" spans="1:26">
      <c r="A920" s="8"/>
      <c r="B920" s="8"/>
      <c r="C920" s="8"/>
      <c r="D920" s="8"/>
      <c r="E920" s="8"/>
      <c r="F920" s="8"/>
      <c r="G920" s="22"/>
      <c r="H920" s="8"/>
      <c r="I920" s="28"/>
      <c r="J920" s="8"/>
      <c r="K920" s="8"/>
      <c r="L920" s="22"/>
      <c r="M920" s="25"/>
      <c r="N920" s="25"/>
      <c r="O920" s="25"/>
      <c r="P920" s="25"/>
      <c r="Q920" s="25"/>
      <c r="R920" s="25"/>
      <c r="S920" s="25"/>
      <c r="V920" s="25"/>
      <c r="Z920" s="25"/>
    </row>
    <row r="921" spans="1:26">
      <c r="A921" s="8"/>
      <c r="B921" s="8"/>
      <c r="C921" s="8"/>
      <c r="D921" s="8"/>
      <c r="E921" s="8"/>
      <c r="F921" s="8"/>
      <c r="G921" s="22"/>
      <c r="H921" s="8"/>
      <c r="I921" s="28"/>
      <c r="J921" s="8"/>
      <c r="K921" s="8"/>
      <c r="L921" s="22"/>
      <c r="M921" s="25"/>
      <c r="N921" s="25"/>
      <c r="O921" s="25"/>
      <c r="P921" s="25"/>
      <c r="Q921" s="25"/>
      <c r="R921" s="25"/>
      <c r="S921" s="25"/>
      <c r="V921" s="25"/>
      <c r="Z921" s="25"/>
    </row>
    <row r="922" spans="1:26">
      <c r="A922" s="8"/>
      <c r="B922" s="8"/>
      <c r="C922" s="8"/>
      <c r="D922" s="8"/>
      <c r="E922" s="8"/>
      <c r="F922" s="8"/>
      <c r="G922" s="22"/>
      <c r="H922" s="8"/>
      <c r="I922" s="28"/>
      <c r="J922" s="8"/>
      <c r="K922" s="8"/>
      <c r="L922" s="22"/>
      <c r="M922" s="25"/>
      <c r="N922" s="25"/>
      <c r="O922" s="25"/>
      <c r="P922" s="25"/>
      <c r="Q922" s="25"/>
      <c r="R922" s="25"/>
      <c r="S922" s="25"/>
      <c r="V922" s="25"/>
      <c r="Z922" s="25"/>
    </row>
    <row r="923" spans="1:26">
      <c r="A923" s="8"/>
      <c r="B923" s="8"/>
      <c r="C923" s="8"/>
      <c r="D923" s="8"/>
      <c r="E923" s="8"/>
      <c r="F923" s="8"/>
      <c r="G923" s="22"/>
      <c r="H923" s="8"/>
      <c r="I923" s="28"/>
      <c r="J923" s="8"/>
      <c r="K923" s="8"/>
      <c r="L923" s="22"/>
      <c r="M923" s="25"/>
      <c r="N923" s="25"/>
      <c r="O923" s="25"/>
      <c r="P923" s="25"/>
      <c r="Q923" s="25"/>
      <c r="R923" s="25"/>
      <c r="S923" s="25"/>
      <c r="V923" s="25"/>
      <c r="Z923" s="25"/>
    </row>
    <row r="924" spans="1:26">
      <c r="A924" s="8"/>
      <c r="B924" s="8"/>
      <c r="C924" s="8"/>
      <c r="D924" s="8"/>
      <c r="E924" s="8"/>
      <c r="F924" s="8"/>
      <c r="G924" s="22"/>
      <c r="H924" s="8"/>
      <c r="I924" s="28"/>
      <c r="J924" s="8"/>
      <c r="K924" s="8"/>
      <c r="L924" s="22"/>
      <c r="M924" s="25"/>
      <c r="N924" s="25"/>
      <c r="O924" s="25"/>
      <c r="P924" s="25"/>
      <c r="Q924" s="25"/>
      <c r="R924" s="25"/>
      <c r="S924" s="25"/>
      <c r="V924" s="25"/>
      <c r="Z924" s="25"/>
    </row>
    <row r="925" spans="1:26">
      <c r="A925" s="8"/>
      <c r="B925" s="8"/>
      <c r="C925" s="8"/>
      <c r="D925" s="8"/>
      <c r="E925" s="8"/>
      <c r="F925" s="8"/>
      <c r="G925" s="22"/>
      <c r="H925" s="8"/>
      <c r="I925" s="28"/>
      <c r="J925" s="8"/>
      <c r="K925" s="8"/>
      <c r="L925" s="22"/>
      <c r="M925" s="25"/>
      <c r="N925" s="25"/>
      <c r="O925" s="25"/>
      <c r="P925" s="25"/>
      <c r="Q925" s="25"/>
      <c r="R925" s="25"/>
      <c r="S925" s="25"/>
      <c r="V925" s="25"/>
      <c r="Z925" s="25"/>
    </row>
    <row r="926" spans="1:26">
      <c r="A926" s="8"/>
      <c r="B926" s="8"/>
      <c r="C926" s="8"/>
      <c r="D926" s="8"/>
      <c r="E926" s="8"/>
      <c r="F926" s="8"/>
      <c r="G926" s="22"/>
      <c r="H926" s="8"/>
      <c r="I926" s="28"/>
      <c r="J926" s="8"/>
      <c r="K926" s="8"/>
      <c r="L926" s="22"/>
      <c r="M926" s="25"/>
      <c r="N926" s="25"/>
      <c r="O926" s="25"/>
      <c r="P926" s="25"/>
      <c r="Q926" s="25"/>
      <c r="R926" s="25"/>
      <c r="S926" s="25"/>
      <c r="V926" s="25"/>
      <c r="Z926" s="25"/>
    </row>
    <row r="927" spans="1:26">
      <c r="A927" s="8"/>
      <c r="B927" s="8"/>
      <c r="C927" s="8"/>
      <c r="D927" s="8"/>
      <c r="E927" s="8"/>
      <c r="F927" s="8"/>
      <c r="G927" s="22"/>
      <c r="H927" s="8"/>
      <c r="I927" s="28"/>
      <c r="J927" s="8"/>
      <c r="K927" s="8"/>
      <c r="L927" s="22"/>
      <c r="M927" s="25"/>
      <c r="N927" s="25"/>
      <c r="O927" s="25"/>
      <c r="P927" s="25"/>
      <c r="Q927" s="25"/>
      <c r="R927" s="25"/>
      <c r="S927" s="25"/>
      <c r="V927" s="25"/>
      <c r="Z927" s="25"/>
    </row>
    <row r="928" spans="1:26">
      <c r="A928" s="8"/>
      <c r="B928" s="8"/>
      <c r="C928" s="8"/>
      <c r="D928" s="8"/>
      <c r="E928" s="8"/>
      <c r="F928" s="8"/>
      <c r="G928" s="22"/>
      <c r="H928" s="8"/>
      <c r="I928" s="28"/>
      <c r="J928" s="8"/>
      <c r="K928" s="8"/>
      <c r="L928" s="22"/>
      <c r="M928" s="25"/>
      <c r="N928" s="25"/>
      <c r="O928" s="25"/>
      <c r="P928" s="25"/>
      <c r="Q928" s="25"/>
      <c r="R928" s="25"/>
      <c r="S928" s="25"/>
      <c r="V928" s="25"/>
      <c r="Z928" s="25"/>
    </row>
    <row r="929" spans="1:26">
      <c r="A929" s="8"/>
      <c r="B929" s="8"/>
      <c r="C929" s="8"/>
      <c r="D929" s="8"/>
      <c r="E929" s="8"/>
      <c r="F929" s="8"/>
      <c r="G929" s="22"/>
      <c r="H929" s="8"/>
      <c r="I929" s="28"/>
      <c r="J929" s="8"/>
      <c r="K929" s="8"/>
      <c r="L929" s="22"/>
      <c r="M929" s="25"/>
      <c r="N929" s="25"/>
      <c r="O929" s="25"/>
      <c r="P929" s="25"/>
      <c r="Q929" s="25"/>
      <c r="R929" s="25"/>
      <c r="S929" s="25"/>
      <c r="V929" s="25"/>
      <c r="Z929" s="25"/>
    </row>
    <row r="930" spans="1:26">
      <c r="A930" s="8"/>
      <c r="B930" s="8"/>
      <c r="C930" s="8"/>
      <c r="D930" s="8"/>
      <c r="E930" s="8"/>
      <c r="F930" s="8"/>
      <c r="G930" s="22"/>
      <c r="H930" s="8"/>
      <c r="I930" s="28"/>
      <c r="J930" s="8"/>
      <c r="K930" s="8"/>
      <c r="L930" s="22"/>
      <c r="M930" s="25"/>
      <c r="N930" s="25"/>
      <c r="O930" s="25"/>
      <c r="P930" s="25"/>
      <c r="Q930" s="25"/>
      <c r="R930" s="25"/>
      <c r="S930" s="25"/>
      <c r="V930" s="25"/>
      <c r="Z930" s="25"/>
    </row>
    <row r="931" spans="1:26">
      <c r="A931" s="8"/>
      <c r="B931" s="8"/>
      <c r="C931" s="8"/>
      <c r="D931" s="8"/>
      <c r="E931" s="8"/>
      <c r="F931" s="8"/>
      <c r="G931" s="22"/>
      <c r="H931" s="8"/>
      <c r="I931" s="28"/>
      <c r="J931" s="8"/>
      <c r="K931" s="8"/>
      <c r="L931" s="22"/>
      <c r="M931" s="25"/>
      <c r="N931" s="25"/>
      <c r="O931" s="25"/>
      <c r="P931" s="25"/>
      <c r="Q931" s="25"/>
      <c r="R931" s="25"/>
      <c r="S931" s="25"/>
      <c r="V931" s="25"/>
      <c r="Z931" s="25"/>
    </row>
    <row r="932" spans="1:26">
      <c r="A932" s="8"/>
      <c r="B932" s="8"/>
      <c r="C932" s="8"/>
      <c r="D932" s="8"/>
      <c r="E932" s="8"/>
      <c r="F932" s="8"/>
      <c r="G932" s="22"/>
      <c r="H932" s="8"/>
      <c r="I932" s="28"/>
      <c r="J932" s="8"/>
      <c r="K932" s="8"/>
      <c r="L932" s="22"/>
      <c r="M932" s="25"/>
      <c r="N932" s="25"/>
      <c r="O932" s="25"/>
      <c r="P932" s="25"/>
      <c r="Q932" s="25"/>
      <c r="R932" s="25"/>
      <c r="S932" s="25"/>
      <c r="V932" s="25"/>
      <c r="Z932" s="25"/>
    </row>
    <row r="933" spans="1:26">
      <c r="A933" s="8"/>
      <c r="B933" s="8"/>
      <c r="C933" s="8"/>
      <c r="D933" s="8"/>
      <c r="E933" s="8"/>
      <c r="F933" s="8"/>
      <c r="G933" s="22"/>
      <c r="H933" s="8"/>
      <c r="I933" s="28"/>
      <c r="J933" s="8"/>
      <c r="K933" s="8"/>
      <c r="L933" s="22"/>
      <c r="M933" s="25"/>
      <c r="N933" s="25"/>
      <c r="O933" s="25"/>
      <c r="P933" s="25"/>
      <c r="Q933" s="25"/>
      <c r="R933" s="25"/>
      <c r="S933" s="25"/>
      <c r="V933" s="25"/>
      <c r="Z933" s="25"/>
    </row>
    <row r="934" spans="1:26">
      <c r="A934" s="8"/>
      <c r="B934" s="8"/>
      <c r="C934" s="8"/>
      <c r="D934" s="8"/>
      <c r="E934" s="8"/>
      <c r="F934" s="8"/>
      <c r="G934" s="22"/>
      <c r="H934" s="8"/>
      <c r="I934" s="28"/>
      <c r="J934" s="8"/>
      <c r="K934" s="8"/>
      <c r="L934" s="22"/>
      <c r="M934" s="25"/>
      <c r="N934" s="25"/>
      <c r="O934" s="25"/>
      <c r="P934" s="25"/>
      <c r="Q934" s="25"/>
      <c r="R934" s="25"/>
      <c r="S934" s="25"/>
      <c r="V934" s="25"/>
      <c r="Z934" s="25"/>
    </row>
    <row r="935" spans="1:26">
      <c r="A935" s="8"/>
      <c r="B935" s="8"/>
      <c r="C935" s="8"/>
      <c r="D935" s="8"/>
      <c r="E935" s="8"/>
      <c r="F935" s="8"/>
      <c r="G935" s="22"/>
      <c r="H935" s="8"/>
      <c r="I935" s="28"/>
      <c r="J935" s="8"/>
      <c r="K935" s="8"/>
      <c r="L935" s="22"/>
      <c r="M935" s="25"/>
      <c r="N935" s="25"/>
      <c r="O935" s="25"/>
      <c r="P935" s="25"/>
      <c r="Q935" s="25"/>
      <c r="R935" s="25"/>
      <c r="S935" s="25"/>
      <c r="V935" s="25"/>
      <c r="Z935" s="25"/>
    </row>
    <row r="936" spans="1:26">
      <c r="A936" s="8"/>
      <c r="B936" s="8"/>
      <c r="C936" s="8"/>
      <c r="D936" s="8"/>
      <c r="E936" s="8"/>
      <c r="F936" s="8"/>
      <c r="G936" s="22"/>
      <c r="H936" s="8"/>
      <c r="I936" s="28"/>
      <c r="J936" s="8"/>
      <c r="K936" s="8"/>
      <c r="L936" s="22"/>
      <c r="M936" s="25"/>
      <c r="N936" s="25"/>
      <c r="O936" s="25"/>
      <c r="P936" s="25"/>
      <c r="Q936" s="25"/>
      <c r="R936" s="25"/>
      <c r="S936" s="25"/>
      <c r="V936" s="25"/>
      <c r="Z936" s="25"/>
    </row>
    <row r="937" spans="1:26">
      <c r="A937" s="8"/>
      <c r="B937" s="8"/>
      <c r="C937" s="8"/>
      <c r="D937" s="8"/>
      <c r="E937" s="8"/>
      <c r="F937" s="8"/>
      <c r="G937" s="22"/>
      <c r="H937" s="8"/>
      <c r="I937" s="28"/>
      <c r="J937" s="8"/>
      <c r="K937" s="8"/>
      <c r="L937" s="22"/>
      <c r="M937" s="25"/>
      <c r="N937" s="25"/>
      <c r="O937" s="25"/>
      <c r="P937" s="25"/>
      <c r="Q937" s="25"/>
      <c r="R937" s="25"/>
      <c r="S937" s="25"/>
      <c r="V937" s="25"/>
      <c r="Z937" s="25"/>
    </row>
    <row r="938" spans="1:26">
      <c r="A938" s="8"/>
      <c r="B938" s="8"/>
      <c r="C938" s="8"/>
      <c r="D938" s="8"/>
      <c r="E938" s="8"/>
      <c r="F938" s="8"/>
      <c r="G938" s="22"/>
      <c r="H938" s="8"/>
      <c r="I938" s="28"/>
      <c r="J938" s="8"/>
      <c r="K938" s="8"/>
      <c r="L938" s="22"/>
      <c r="M938" s="25"/>
      <c r="N938" s="25"/>
      <c r="O938" s="25"/>
      <c r="P938" s="25"/>
      <c r="Q938" s="25"/>
      <c r="R938" s="25"/>
      <c r="S938" s="25"/>
      <c r="V938" s="25"/>
      <c r="Z938" s="25"/>
    </row>
    <row r="939" spans="1:26">
      <c r="A939" s="8"/>
      <c r="B939" s="8"/>
      <c r="C939" s="8"/>
      <c r="D939" s="8"/>
      <c r="E939" s="8"/>
      <c r="F939" s="8"/>
      <c r="G939" s="22"/>
      <c r="H939" s="8"/>
      <c r="I939" s="28"/>
      <c r="J939" s="8"/>
      <c r="K939" s="8"/>
      <c r="L939" s="22"/>
      <c r="M939" s="25"/>
      <c r="N939" s="25"/>
      <c r="O939" s="25"/>
      <c r="P939" s="25"/>
      <c r="Q939" s="25"/>
      <c r="R939" s="25"/>
      <c r="S939" s="25"/>
      <c r="V939" s="25"/>
      <c r="Z939" s="25"/>
    </row>
    <row r="940" spans="1:26">
      <c r="A940" s="8"/>
      <c r="B940" s="8"/>
      <c r="C940" s="8"/>
      <c r="D940" s="8"/>
      <c r="E940" s="8"/>
      <c r="F940" s="8"/>
      <c r="G940" s="22"/>
      <c r="H940" s="8"/>
      <c r="I940" s="28"/>
      <c r="J940" s="8"/>
      <c r="K940" s="8"/>
      <c r="L940" s="22"/>
      <c r="M940" s="25"/>
      <c r="N940" s="25"/>
      <c r="O940" s="25"/>
      <c r="P940" s="25"/>
      <c r="Q940" s="25"/>
      <c r="R940" s="25"/>
      <c r="S940" s="25"/>
      <c r="V940" s="25"/>
      <c r="Z940" s="25"/>
    </row>
    <row r="941" spans="1:26">
      <c r="A941" s="8"/>
      <c r="B941" s="8"/>
      <c r="C941" s="8"/>
      <c r="D941" s="8"/>
      <c r="E941" s="8"/>
      <c r="F941" s="8"/>
      <c r="G941" s="22"/>
      <c r="H941" s="8"/>
      <c r="I941" s="28"/>
      <c r="J941" s="8"/>
      <c r="K941" s="8"/>
      <c r="L941" s="22"/>
      <c r="M941" s="25"/>
      <c r="N941" s="25"/>
      <c r="O941" s="25"/>
      <c r="P941" s="25"/>
      <c r="Q941" s="25"/>
      <c r="R941" s="25"/>
      <c r="S941" s="25"/>
      <c r="V941" s="25"/>
      <c r="Z941" s="25"/>
    </row>
    <row r="942" spans="1:26">
      <c r="A942" s="8"/>
      <c r="B942" s="8"/>
      <c r="C942" s="8"/>
      <c r="D942" s="8"/>
      <c r="E942" s="8"/>
      <c r="F942" s="8"/>
      <c r="G942" s="22"/>
      <c r="H942" s="8"/>
      <c r="I942" s="28"/>
      <c r="J942" s="8"/>
      <c r="K942" s="8"/>
      <c r="L942" s="22"/>
      <c r="M942" s="25"/>
      <c r="N942" s="25"/>
      <c r="O942" s="25"/>
      <c r="P942" s="25"/>
      <c r="Q942" s="25"/>
      <c r="R942" s="25"/>
      <c r="S942" s="25"/>
      <c r="V942" s="25"/>
      <c r="Z942" s="25"/>
    </row>
    <row r="943" spans="1:26">
      <c r="A943" s="8"/>
      <c r="B943" s="8"/>
      <c r="C943" s="8"/>
      <c r="D943" s="8"/>
      <c r="E943" s="8"/>
      <c r="F943" s="8"/>
      <c r="G943" s="22"/>
      <c r="H943" s="8"/>
      <c r="I943" s="28"/>
      <c r="J943" s="8"/>
      <c r="K943" s="8"/>
      <c r="L943" s="22"/>
      <c r="M943" s="25"/>
      <c r="N943" s="25"/>
      <c r="O943" s="25"/>
      <c r="P943" s="25"/>
      <c r="Q943" s="25"/>
      <c r="R943" s="25"/>
      <c r="S943" s="25"/>
      <c r="V943" s="25"/>
      <c r="Z943" s="25"/>
    </row>
    <row r="944" spans="1:26">
      <c r="A944" s="8"/>
      <c r="B944" s="8"/>
      <c r="C944" s="8"/>
      <c r="D944" s="8"/>
      <c r="E944" s="8"/>
      <c r="F944" s="8"/>
      <c r="G944" s="22"/>
      <c r="H944" s="8"/>
      <c r="I944" s="28"/>
      <c r="J944" s="8"/>
      <c r="K944" s="8"/>
      <c r="L944" s="22"/>
      <c r="M944" s="25"/>
      <c r="N944" s="25"/>
      <c r="O944" s="25"/>
      <c r="P944" s="25"/>
      <c r="Q944" s="25"/>
      <c r="R944" s="25"/>
      <c r="S944" s="25"/>
      <c r="V944" s="25"/>
      <c r="Z944" s="25"/>
    </row>
    <row r="945" spans="1:26">
      <c r="A945" s="8"/>
      <c r="B945" s="8"/>
      <c r="C945" s="8"/>
      <c r="D945" s="8"/>
      <c r="E945" s="8"/>
      <c r="F945" s="8"/>
      <c r="G945" s="22"/>
      <c r="H945" s="8"/>
      <c r="I945" s="28"/>
      <c r="J945" s="8"/>
      <c r="K945" s="8"/>
      <c r="L945" s="22"/>
      <c r="M945" s="25"/>
      <c r="N945" s="25"/>
      <c r="O945" s="25"/>
      <c r="P945" s="25"/>
      <c r="Q945" s="25"/>
      <c r="R945" s="25"/>
      <c r="S945" s="25"/>
      <c r="V945" s="25"/>
      <c r="Z945" s="25"/>
    </row>
    <row r="946" spans="1:26">
      <c r="A946" s="8"/>
      <c r="B946" s="8"/>
      <c r="C946" s="8"/>
      <c r="D946" s="8"/>
      <c r="E946" s="8"/>
      <c r="F946" s="8"/>
      <c r="G946" s="22"/>
      <c r="H946" s="8"/>
      <c r="I946" s="28"/>
      <c r="J946" s="8"/>
      <c r="K946" s="8"/>
      <c r="L946" s="22"/>
      <c r="M946" s="25"/>
      <c r="N946" s="25"/>
      <c r="O946" s="25"/>
      <c r="P946" s="25"/>
      <c r="Q946" s="25"/>
      <c r="R946" s="25"/>
      <c r="S946" s="25"/>
      <c r="V946" s="25"/>
      <c r="Z946" s="25"/>
    </row>
    <row r="947" spans="1:26">
      <c r="A947" s="8"/>
      <c r="B947" s="8"/>
      <c r="C947" s="8"/>
      <c r="D947" s="8"/>
      <c r="E947" s="8"/>
      <c r="F947" s="8"/>
      <c r="G947" s="22"/>
      <c r="H947" s="8"/>
      <c r="I947" s="28"/>
      <c r="J947" s="8"/>
      <c r="K947" s="8"/>
      <c r="L947" s="22"/>
      <c r="M947" s="25"/>
      <c r="N947" s="25"/>
      <c r="O947" s="25"/>
      <c r="P947" s="25"/>
      <c r="Q947" s="25"/>
      <c r="R947" s="25"/>
      <c r="S947" s="25"/>
      <c r="V947" s="25"/>
      <c r="Z947" s="25"/>
    </row>
    <row r="948" spans="1:26">
      <c r="A948" s="8"/>
      <c r="B948" s="8"/>
      <c r="C948" s="8"/>
      <c r="D948" s="8"/>
      <c r="E948" s="8"/>
      <c r="F948" s="8"/>
      <c r="G948" s="22"/>
      <c r="H948" s="8"/>
      <c r="I948" s="28"/>
      <c r="J948" s="8"/>
      <c r="K948" s="8"/>
      <c r="L948" s="22"/>
      <c r="M948" s="25"/>
      <c r="N948" s="25"/>
      <c r="O948" s="25"/>
      <c r="P948" s="25"/>
      <c r="Q948" s="25"/>
      <c r="R948" s="25"/>
      <c r="S948" s="25"/>
      <c r="V948" s="25"/>
      <c r="Z948" s="25"/>
    </row>
    <row r="949" spans="1:26">
      <c r="A949" s="8"/>
      <c r="B949" s="8"/>
      <c r="C949" s="8"/>
      <c r="D949" s="8"/>
      <c r="E949" s="8"/>
      <c r="F949" s="8"/>
      <c r="G949" s="22"/>
      <c r="H949" s="8"/>
      <c r="I949" s="28"/>
      <c r="J949" s="8"/>
      <c r="K949" s="8"/>
      <c r="L949" s="22"/>
      <c r="M949" s="25"/>
      <c r="N949" s="25"/>
      <c r="O949" s="25"/>
      <c r="P949" s="25"/>
      <c r="Q949" s="25"/>
      <c r="R949" s="25"/>
      <c r="S949" s="25"/>
      <c r="V949" s="25"/>
      <c r="Z949" s="25"/>
    </row>
    <row r="950" spans="1:26">
      <c r="A950" s="8"/>
      <c r="B950" s="8"/>
      <c r="C950" s="8"/>
      <c r="D950" s="8"/>
      <c r="E950" s="8"/>
      <c r="F950" s="8"/>
      <c r="G950" s="22"/>
      <c r="H950" s="8"/>
      <c r="I950" s="28"/>
      <c r="J950" s="8"/>
      <c r="K950" s="8"/>
      <c r="L950" s="22"/>
      <c r="M950" s="25"/>
      <c r="N950" s="25"/>
      <c r="O950" s="25"/>
      <c r="P950" s="25"/>
      <c r="Q950" s="25"/>
      <c r="R950" s="25"/>
      <c r="S950" s="25"/>
      <c r="V950" s="25"/>
      <c r="Z950" s="25"/>
    </row>
    <row r="951" spans="1:26">
      <c r="A951" s="8"/>
      <c r="B951" s="8"/>
      <c r="C951" s="8"/>
      <c r="D951" s="8"/>
      <c r="E951" s="8"/>
      <c r="F951" s="8"/>
      <c r="G951" s="22"/>
      <c r="H951" s="8"/>
      <c r="I951" s="28"/>
      <c r="J951" s="8"/>
      <c r="K951" s="8"/>
      <c r="L951" s="22"/>
      <c r="M951" s="25"/>
      <c r="N951" s="25"/>
      <c r="O951" s="25"/>
      <c r="P951" s="25"/>
      <c r="Q951" s="25"/>
      <c r="R951" s="25"/>
      <c r="S951" s="25"/>
      <c r="V951" s="25"/>
      <c r="Z951" s="25"/>
    </row>
    <row r="952" spans="1:26">
      <c r="A952" s="8"/>
      <c r="B952" s="8"/>
      <c r="C952" s="8"/>
      <c r="D952" s="8"/>
      <c r="E952" s="8"/>
      <c r="F952" s="8"/>
      <c r="G952" s="22"/>
      <c r="H952" s="8"/>
      <c r="I952" s="28"/>
      <c r="J952" s="8"/>
      <c r="K952" s="8"/>
      <c r="L952" s="22"/>
      <c r="M952" s="25"/>
      <c r="N952" s="25"/>
      <c r="O952" s="25"/>
      <c r="P952" s="25"/>
      <c r="Q952" s="25"/>
      <c r="R952" s="25"/>
      <c r="S952" s="25"/>
      <c r="V952" s="25"/>
      <c r="Z952" s="25"/>
    </row>
    <row r="953" spans="1:26">
      <c r="A953" s="8"/>
      <c r="B953" s="8"/>
      <c r="C953" s="8"/>
      <c r="D953" s="8"/>
      <c r="E953" s="8"/>
      <c r="F953" s="8"/>
      <c r="G953" s="22"/>
      <c r="H953" s="8"/>
      <c r="I953" s="28"/>
      <c r="J953" s="8"/>
      <c r="K953" s="8"/>
      <c r="L953" s="22"/>
      <c r="M953" s="25"/>
      <c r="N953" s="25"/>
      <c r="O953" s="25"/>
      <c r="P953" s="25"/>
      <c r="Q953" s="25"/>
      <c r="R953" s="25"/>
      <c r="S953" s="25"/>
      <c r="V953" s="25"/>
      <c r="Z953" s="25"/>
    </row>
    <row r="954" spans="1:26">
      <c r="A954" s="8"/>
      <c r="B954" s="8"/>
      <c r="C954" s="8"/>
      <c r="D954" s="8"/>
      <c r="E954" s="8"/>
      <c r="F954" s="8"/>
      <c r="G954" s="22"/>
      <c r="H954" s="8"/>
      <c r="I954" s="28"/>
      <c r="J954" s="8"/>
      <c r="K954" s="8"/>
      <c r="L954" s="22"/>
      <c r="M954" s="25"/>
      <c r="N954" s="25"/>
      <c r="O954" s="25"/>
      <c r="P954" s="25"/>
      <c r="Q954" s="25"/>
      <c r="R954" s="25"/>
      <c r="S954" s="25"/>
      <c r="V954" s="25"/>
      <c r="Z954" s="25"/>
    </row>
    <row r="955" spans="1:26">
      <c r="A955" s="8"/>
      <c r="B955" s="8"/>
      <c r="C955" s="8"/>
      <c r="D955" s="8"/>
      <c r="E955" s="8"/>
      <c r="F955" s="8"/>
      <c r="G955" s="22"/>
      <c r="H955" s="8"/>
      <c r="I955" s="28"/>
      <c r="J955" s="8"/>
      <c r="K955" s="8"/>
      <c r="L955" s="22"/>
      <c r="M955" s="25"/>
      <c r="N955" s="25"/>
      <c r="O955" s="25"/>
      <c r="P955" s="25"/>
      <c r="Q955" s="25"/>
      <c r="R955" s="25"/>
      <c r="S955" s="25"/>
      <c r="V955" s="25"/>
      <c r="Z955" s="25"/>
    </row>
    <row r="956" spans="1:26">
      <c r="A956" s="8"/>
      <c r="B956" s="8"/>
      <c r="C956" s="8"/>
      <c r="D956" s="8"/>
      <c r="E956" s="8"/>
      <c r="F956" s="8"/>
      <c r="G956" s="22"/>
      <c r="H956" s="8"/>
      <c r="I956" s="28"/>
      <c r="J956" s="8"/>
      <c r="K956" s="8"/>
      <c r="L956" s="22"/>
      <c r="M956" s="25"/>
      <c r="N956" s="25"/>
      <c r="O956" s="25"/>
      <c r="P956" s="25"/>
      <c r="Q956" s="25"/>
      <c r="R956" s="25"/>
      <c r="S956" s="25"/>
      <c r="V956" s="25"/>
      <c r="Z956" s="25"/>
    </row>
    <row r="957" spans="1:26">
      <c r="A957" s="8"/>
      <c r="B957" s="8"/>
      <c r="C957" s="8"/>
      <c r="D957" s="8"/>
      <c r="E957" s="8"/>
      <c r="F957" s="8"/>
      <c r="G957" s="22"/>
      <c r="H957" s="8"/>
      <c r="I957" s="28"/>
      <c r="J957" s="8"/>
      <c r="K957" s="8"/>
      <c r="L957" s="22"/>
      <c r="M957" s="25"/>
      <c r="N957" s="25"/>
      <c r="O957" s="25"/>
      <c r="P957" s="25"/>
      <c r="Q957" s="25"/>
      <c r="R957" s="25"/>
      <c r="S957" s="25"/>
      <c r="V957" s="25"/>
      <c r="Z957" s="25"/>
    </row>
    <row r="958" spans="1:26">
      <c r="A958" s="8"/>
      <c r="B958" s="8"/>
      <c r="C958" s="8"/>
      <c r="D958" s="8"/>
      <c r="E958" s="8"/>
      <c r="F958" s="8"/>
      <c r="G958" s="22"/>
      <c r="H958" s="8"/>
      <c r="I958" s="28"/>
      <c r="J958" s="8"/>
      <c r="K958" s="8"/>
      <c r="L958" s="22"/>
      <c r="M958" s="25"/>
      <c r="N958" s="25"/>
      <c r="O958" s="25"/>
      <c r="P958" s="25"/>
      <c r="Q958" s="25"/>
      <c r="R958" s="25"/>
      <c r="S958" s="25"/>
      <c r="V958" s="25"/>
      <c r="Z958" s="25"/>
    </row>
    <row r="959" spans="1:26">
      <c r="A959" s="8"/>
      <c r="B959" s="8"/>
      <c r="C959" s="8"/>
      <c r="D959" s="8"/>
      <c r="E959" s="8"/>
      <c r="F959" s="8"/>
      <c r="G959" s="22"/>
      <c r="H959" s="8"/>
      <c r="I959" s="28"/>
      <c r="J959" s="8"/>
      <c r="K959" s="8"/>
      <c r="L959" s="22"/>
      <c r="M959" s="25"/>
      <c r="N959" s="25"/>
      <c r="O959" s="25"/>
      <c r="P959" s="25"/>
      <c r="Q959" s="25"/>
      <c r="R959" s="25"/>
      <c r="S959" s="25"/>
      <c r="V959" s="25"/>
      <c r="Z959" s="25"/>
    </row>
    <row r="960" spans="1:26">
      <c r="A960" s="8"/>
      <c r="B960" s="8"/>
      <c r="C960" s="8"/>
      <c r="D960" s="8"/>
      <c r="E960" s="8"/>
      <c r="F960" s="8"/>
      <c r="G960" s="22"/>
      <c r="H960" s="8"/>
      <c r="I960" s="28"/>
      <c r="J960" s="8"/>
      <c r="K960" s="8"/>
      <c r="L960" s="22"/>
      <c r="M960" s="25"/>
      <c r="N960" s="25"/>
      <c r="O960" s="25"/>
      <c r="P960" s="25"/>
      <c r="Q960" s="25"/>
      <c r="R960" s="25"/>
      <c r="S960" s="25"/>
      <c r="V960" s="25"/>
      <c r="Z960" s="25"/>
    </row>
    <row r="961" spans="1:26">
      <c r="A961" s="8"/>
      <c r="B961" s="8"/>
      <c r="C961" s="8"/>
      <c r="D961" s="8"/>
      <c r="E961" s="8"/>
      <c r="F961" s="8"/>
      <c r="G961" s="22"/>
      <c r="H961" s="8"/>
      <c r="I961" s="28"/>
      <c r="J961" s="8"/>
      <c r="K961" s="8"/>
      <c r="L961" s="22"/>
      <c r="M961" s="25"/>
      <c r="N961" s="25"/>
      <c r="O961" s="25"/>
      <c r="P961" s="25"/>
      <c r="Q961" s="25"/>
      <c r="R961" s="25"/>
      <c r="S961" s="25"/>
      <c r="V961" s="25"/>
      <c r="Z961" s="25"/>
    </row>
    <row r="962" spans="1:26">
      <c r="A962" s="8"/>
      <c r="B962" s="8"/>
      <c r="C962" s="8"/>
      <c r="D962" s="8"/>
      <c r="E962" s="8"/>
      <c r="F962" s="8"/>
      <c r="G962" s="22"/>
      <c r="H962" s="8"/>
      <c r="I962" s="28"/>
      <c r="J962" s="8"/>
      <c r="K962" s="8"/>
      <c r="L962" s="22"/>
      <c r="M962" s="25"/>
      <c r="N962" s="25"/>
      <c r="O962" s="25"/>
      <c r="P962" s="25"/>
      <c r="Q962" s="25"/>
      <c r="R962" s="25"/>
      <c r="S962" s="25"/>
      <c r="V962" s="25"/>
      <c r="Z962" s="25"/>
    </row>
    <row r="963" spans="1:26">
      <c r="A963" s="8"/>
      <c r="B963" s="8"/>
      <c r="C963" s="8"/>
      <c r="D963" s="8"/>
      <c r="E963" s="8"/>
      <c r="F963" s="8"/>
      <c r="G963" s="22"/>
      <c r="H963" s="8"/>
      <c r="I963" s="28"/>
      <c r="J963" s="8"/>
      <c r="K963" s="8"/>
      <c r="L963" s="22"/>
      <c r="M963" s="25"/>
      <c r="N963" s="25"/>
      <c r="O963" s="25"/>
      <c r="P963" s="25"/>
      <c r="Q963" s="25"/>
      <c r="R963" s="25"/>
      <c r="S963" s="25"/>
      <c r="V963" s="25"/>
      <c r="Z963" s="25"/>
    </row>
    <row r="964" spans="1:26">
      <c r="A964" s="8"/>
      <c r="B964" s="8"/>
      <c r="C964" s="8"/>
      <c r="D964" s="8"/>
      <c r="E964" s="8"/>
      <c r="F964" s="8"/>
      <c r="G964" s="22"/>
      <c r="H964" s="8"/>
      <c r="I964" s="28"/>
      <c r="J964" s="8"/>
      <c r="K964" s="8"/>
      <c r="L964" s="22"/>
      <c r="M964" s="25"/>
      <c r="N964" s="25"/>
      <c r="O964" s="25"/>
      <c r="P964" s="25"/>
      <c r="Q964" s="25"/>
      <c r="R964" s="25"/>
      <c r="S964" s="25"/>
      <c r="V964" s="25"/>
      <c r="Z964" s="25"/>
    </row>
    <row r="965" spans="1:26">
      <c r="A965" s="8"/>
      <c r="B965" s="8"/>
      <c r="C965" s="8"/>
      <c r="D965" s="8"/>
      <c r="E965" s="8"/>
      <c r="F965" s="8"/>
      <c r="G965" s="22"/>
      <c r="H965" s="8"/>
      <c r="I965" s="28"/>
      <c r="J965" s="8"/>
      <c r="K965" s="8"/>
      <c r="L965" s="22"/>
      <c r="M965" s="25"/>
      <c r="N965" s="25"/>
      <c r="O965" s="25"/>
      <c r="P965" s="25"/>
      <c r="Q965" s="25"/>
      <c r="R965" s="25"/>
      <c r="S965" s="25"/>
      <c r="V965" s="25"/>
      <c r="Z965" s="25"/>
    </row>
    <row r="966" spans="1:26">
      <c r="A966" s="8"/>
      <c r="B966" s="8"/>
      <c r="C966" s="8"/>
      <c r="D966" s="8"/>
      <c r="E966" s="8"/>
      <c r="F966" s="8"/>
      <c r="G966" s="22"/>
      <c r="H966" s="8"/>
      <c r="I966" s="28"/>
      <c r="J966" s="8"/>
      <c r="K966" s="8"/>
      <c r="L966" s="22"/>
      <c r="M966" s="25"/>
      <c r="N966" s="25"/>
      <c r="O966" s="25"/>
      <c r="P966" s="25"/>
      <c r="Q966" s="25"/>
      <c r="R966" s="25"/>
      <c r="S966" s="25"/>
      <c r="V966" s="25"/>
      <c r="Z966" s="25"/>
    </row>
    <row r="967" spans="1:26">
      <c r="A967" s="8"/>
      <c r="B967" s="8"/>
      <c r="C967" s="8"/>
      <c r="D967" s="8"/>
      <c r="E967" s="8"/>
      <c r="F967" s="8"/>
      <c r="G967" s="22"/>
      <c r="H967" s="8"/>
      <c r="I967" s="28"/>
      <c r="J967" s="8"/>
      <c r="K967" s="8"/>
      <c r="L967" s="22"/>
      <c r="M967" s="25"/>
      <c r="N967" s="25"/>
      <c r="O967" s="25"/>
      <c r="P967" s="25"/>
      <c r="Q967" s="25"/>
      <c r="R967" s="25"/>
      <c r="S967" s="25"/>
      <c r="V967" s="25"/>
      <c r="Z967" s="25"/>
    </row>
    <row r="968" spans="1:26">
      <c r="A968" s="8"/>
      <c r="B968" s="8"/>
      <c r="C968" s="8"/>
      <c r="D968" s="8"/>
      <c r="E968" s="8"/>
      <c r="F968" s="8"/>
      <c r="G968" s="22"/>
      <c r="H968" s="8"/>
      <c r="I968" s="28"/>
      <c r="J968" s="8"/>
      <c r="K968" s="8"/>
      <c r="L968" s="22"/>
      <c r="M968" s="25"/>
      <c r="N968" s="25"/>
      <c r="O968" s="25"/>
      <c r="P968" s="25"/>
      <c r="Q968" s="25"/>
      <c r="R968" s="25"/>
      <c r="S968" s="25"/>
      <c r="V968" s="25"/>
      <c r="Z968" s="25"/>
    </row>
    <row r="969" spans="1:26">
      <c r="A969" s="8"/>
      <c r="B969" s="8"/>
      <c r="C969" s="8"/>
      <c r="D969" s="8"/>
      <c r="E969" s="8"/>
      <c r="F969" s="8"/>
      <c r="G969" s="22"/>
      <c r="H969" s="8"/>
      <c r="I969" s="28"/>
      <c r="J969" s="8"/>
      <c r="K969" s="8"/>
      <c r="L969" s="22"/>
      <c r="M969" s="25"/>
      <c r="N969" s="25"/>
      <c r="O969" s="25"/>
      <c r="P969" s="25"/>
      <c r="Q969" s="25"/>
      <c r="R969" s="25"/>
      <c r="S969" s="25"/>
      <c r="V969" s="25"/>
      <c r="Z969" s="25"/>
    </row>
    <row r="970" spans="1:26">
      <c r="A970" s="8"/>
      <c r="B970" s="8"/>
      <c r="C970" s="8"/>
      <c r="D970" s="8"/>
      <c r="E970" s="8"/>
      <c r="F970" s="8"/>
      <c r="G970" s="22"/>
      <c r="H970" s="8"/>
      <c r="I970" s="28"/>
      <c r="J970" s="8"/>
      <c r="K970" s="8"/>
      <c r="L970" s="22"/>
      <c r="M970" s="25"/>
      <c r="N970" s="25"/>
      <c r="O970" s="25"/>
      <c r="P970" s="25"/>
      <c r="Q970" s="25"/>
      <c r="R970" s="25"/>
      <c r="S970" s="25"/>
      <c r="V970" s="25"/>
      <c r="Z970" s="25"/>
    </row>
    <row r="971" spans="1:26">
      <c r="A971" s="8"/>
      <c r="B971" s="8"/>
      <c r="C971" s="8"/>
      <c r="D971" s="8"/>
      <c r="E971" s="8"/>
      <c r="F971" s="8"/>
      <c r="G971" s="22"/>
      <c r="H971" s="8"/>
      <c r="I971" s="28"/>
      <c r="J971" s="8"/>
      <c r="K971" s="8"/>
      <c r="L971" s="22"/>
      <c r="M971" s="25"/>
      <c r="N971" s="25"/>
      <c r="O971" s="25"/>
      <c r="P971" s="25"/>
      <c r="Q971" s="25"/>
      <c r="R971" s="25"/>
      <c r="S971" s="25"/>
      <c r="V971" s="25"/>
      <c r="Z971" s="25"/>
    </row>
    <row r="972" spans="1:26">
      <c r="A972" s="8"/>
      <c r="B972" s="8"/>
      <c r="C972" s="8"/>
      <c r="D972" s="8"/>
      <c r="E972" s="8"/>
      <c r="F972" s="8"/>
      <c r="G972" s="22"/>
      <c r="H972" s="8"/>
      <c r="I972" s="28"/>
      <c r="J972" s="8"/>
      <c r="K972" s="8"/>
      <c r="L972" s="22"/>
      <c r="M972" s="25"/>
      <c r="N972" s="25"/>
      <c r="O972" s="25"/>
      <c r="P972" s="25"/>
      <c r="Q972" s="25"/>
      <c r="R972" s="25"/>
      <c r="S972" s="25"/>
      <c r="V972" s="25"/>
      <c r="Z972" s="25"/>
    </row>
    <row r="973" spans="1:26">
      <c r="A973" s="8"/>
      <c r="B973" s="8"/>
      <c r="C973" s="8"/>
      <c r="D973" s="8"/>
      <c r="E973" s="8"/>
      <c r="F973" s="8"/>
      <c r="G973" s="22"/>
      <c r="H973" s="8"/>
      <c r="I973" s="28"/>
      <c r="J973" s="8"/>
      <c r="K973" s="8"/>
      <c r="L973" s="22"/>
      <c r="M973" s="25"/>
      <c r="N973" s="25"/>
      <c r="O973" s="25"/>
      <c r="P973" s="25"/>
      <c r="Q973" s="25"/>
      <c r="R973" s="25"/>
      <c r="S973" s="25"/>
      <c r="V973" s="25"/>
      <c r="Z973" s="25"/>
    </row>
    <row r="974" spans="1:26">
      <c r="A974" s="8"/>
      <c r="B974" s="8"/>
      <c r="C974" s="8"/>
      <c r="D974" s="8"/>
      <c r="E974" s="8"/>
      <c r="F974" s="8"/>
      <c r="G974" s="22"/>
      <c r="H974" s="8"/>
      <c r="I974" s="28"/>
      <c r="J974" s="8"/>
      <c r="K974" s="8"/>
      <c r="L974" s="22"/>
      <c r="M974" s="25"/>
      <c r="N974" s="25"/>
      <c r="O974" s="25"/>
      <c r="P974" s="25"/>
      <c r="Q974" s="25"/>
      <c r="R974" s="25"/>
      <c r="S974" s="25"/>
      <c r="V974" s="25"/>
      <c r="Z974" s="25"/>
    </row>
    <row r="975" spans="1:26">
      <c r="A975" s="8"/>
      <c r="B975" s="8"/>
      <c r="C975" s="8"/>
      <c r="D975" s="8"/>
      <c r="E975" s="8"/>
      <c r="F975" s="8"/>
      <c r="G975" s="22"/>
      <c r="H975" s="8"/>
      <c r="I975" s="28"/>
      <c r="J975" s="8"/>
      <c r="K975" s="8"/>
      <c r="L975" s="22"/>
      <c r="M975" s="25"/>
      <c r="N975" s="25"/>
      <c r="O975" s="25"/>
      <c r="P975" s="25"/>
      <c r="Q975" s="25"/>
      <c r="R975" s="25"/>
      <c r="S975" s="25"/>
      <c r="V975" s="25"/>
      <c r="Z975" s="25"/>
    </row>
    <row r="976" spans="1:26">
      <c r="A976" s="8"/>
      <c r="B976" s="8"/>
      <c r="C976" s="8"/>
      <c r="D976" s="8"/>
      <c r="E976" s="8"/>
      <c r="F976" s="8"/>
      <c r="G976" s="22"/>
      <c r="H976" s="8"/>
      <c r="I976" s="28"/>
      <c r="J976" s="8"/>
      <c r="K976" s="8"/>
      <c r="L976" s="22"/>
      <c r="M976" s="25"/>
      <c r="N976" s="25"/>
      <c r="O976" s="25"/>
      <c r="P976" s="25"/>
      <c r="Q976" s="25"/>
      <c r="R976" s="25"/>
      <c r="S976" s="25"/>
      <c r="V976" s="25"/>
      <c r="Z976" s="25"/>
    </row>
    <row r="977" spans="1:26">
      <c r="A977" s="8"/>
      <c r="B977" s="8"/>
      <c r="C977" s="8"/>
      <c r="D977" s="8"/>
      <c r="E977" s="8"/>
      <c r="F977" s="8"/>
      <c r="G977" s="22"/>
      <c r="H977" s="8"/>
      <c r="I977" s="28"/>
      <c r="J977" s="8"/>
      <c r="K977" s="8"/>
      <c r="L977" s="22"/>
      <c r="M977" s="25"/>
      <c r="N977" s="25"/>
      <c r="O977" s="25"/>
      <c r="P977" s="25"/>
      <c r="Q977" s="25"/>
      <c r="R977" s="25"/>
      <c r="S977" s="25"/>
      <c r="V977" s="25"/>
      <c r="Z977" s="25"/>
    </row>
    <row r="978" spans="1:26">
      <c r="A978" s="8"/>
      <c r="B978" s="8"/>
      <c r="C978" s="8"/>
      <c r="D978" s="8"/>
      <c r="E978" s="8"/>
      <c r="F978" s="8"/>
      <c r="G978" s="22"/>
      <c r="H978" s="8"/>
      <c r="I978" s="28"/>
      <c r="J978" s="8"/>
      <c r="K978" s="8"/>
      <c r="L978" s="22"/>
      <c r="M978" s="25"/>
      <c r="N978" s="25"/>
      <c r="O978" s="25"/>
      <c r="P978" s="25"/>
      <c r="Q978" s="25"/>
      <c r="R978" s="25"/>
      <c r="S978" s="25"/>
      <c r="V978" s="25"/>
      <c r="Z978" s="25"/>
    </row>
    <row r="979" spans="1:26">
      <c r="A979" s="8"/>
      <c r="B979" s="8"/>
      <c r="C979" s="8"/>
      <c r="D979" s="8"/>
      <c r="E979" s="8"/>
      <c r="F979" s="8"/>
      <c r="G979" s="22"/>
      <c r="H979" s="8"/>
      <c r="I979" s="28"/>
      <c r="J979" s="8"/>
      <c r="K979" s="8"/>
      <c r="L979" s="22"/>
      <c r="M979" s="25"/>
      <c r="N979" s="25"/>
      <c r="O979" s="25"/>
      <c r="P979" s="25"/>
      <c r="Q979" s="25"/>
      <c r="R979" s="25"/>
      <c r="S979" s="25"/>
      <c r="V979" s="25"/>
      <c r="Z979" s="25"/>
    </row>
    <row r="980" spans="1:26">
      <c r="A980" s="8"/>
      <c r="B980" s="8"/>
      <c r="C980" s="8"/>
      <c r="D980" s="8"/>
      <c r="E980" s="8"/>
      <c r="F980" s="8"/>
      <c r="G980" s="22"/>
      <c r="H980" s="8"/>
      <c r="I980" s="28"/>
      <c r="J980" s="8"/>
      <c r="K980" s="8"/>
      <c r="L980" s="22"/>
      <c r="M980" s="25"/>
      <c r="N980" s="25"/>
      <c r="O980" s="25"/>
      <c r="P980" s="25"/>
      <c r="Q980" s="25"/>
      <c r="R980" s="25"/>
      <c r="S980" s="25"/>
      <c r="V980" s="25"/>
      <c r="Z980" s="25"/>
    </row>
    <row r="981" spans="1:26">
      <c r="A981" s="8"/>
      <c r="B981" s="8"/>
      <c r="C981" s="8"/>
      <c r="D981" s="8"/>
      <c r="E981" s="8"/>
      <c r="F981" s="8"/>
      <c r="G981" s="22"/>
      <c r="H981" s="8"/>
      <c r="I981" s="28"/>
      <c r="J981" s="8"/>
      <c r="K981" s="8"/>
      <c r="L981" s="22"/>
      <c r="M981" s="25"/>
      <c r="N981" s="25"/>
      <c r="O981" s="25"/>
      <c r="P981" s="25"/>
      <c r="Q981" s="25"/>
      <c r="R981" s="25"/>
      <c r="S981" s="25"/>
      <c r="V981" s="25"/>
      <c r="Z981" s="25"/>
    </row>
    <row r="982" spans="1:26">
      <c r="A982" s="8"/>
      <c r="B982" s="8"/>
      <c r="C982" s="8"/>
      <c r="D982" s="8"/>
      <c r="E982" s="8"/>
      <c r="F982" s="8"/>
      <c r="G982" s="22"/>
      <c r="H982" s="8"/>
      <c r="I982" s="28"/>
      <c r="J982" s="8"/>
      <c r="K982" s="8"/>
      <c r="L982" s="22"/>
      <c r="M982" s="25"/>
      <c r="N982" s="25"/>
      <c r="O982" s="25"/>
      <c r="P982" s="25"/>
      <c r="Q982" s="25"/>
      <c r="R982" s="25"/>
      <c r="S982" s="25"/>
      <c r="V982" s="25"/>
      <c r="Z982" s="25"/>
    </row>
    <row r="983" spans="1:26">
      <c r="A983" s="8"/>
      <c r="B983" s="8"/>
      <c r="C983" s="8"/>
      <c r="D983" s="8"/>
      <c r="E983" s="8"/>
      <c r="F983" s="8"/>
      <c r="G983" s="22"/>
      <c r="H983" s="8"/>
      <c r="I983" s="28"/>
      <c r="J983" s="8"/>
      <c r="K983" s="8"/>
      <c r="L983" s="22"/>
      <c r="M983" s="25"/>
      <c r="N983" s="25"/>
      <c r="O983" s="25"/>
      <c r="P983" s="25"/>
      <c r="Q983" s="25"/>
      <c r="R983" s="25"/>
      <c r="S983" s="25"/>
      <c r="V983" s="25"/>
      <c r="Z983" s="25"/>
    </row>
    <row r="984" spans="1:26">
      <c r="A984" s="8"/>
      <c r="B984" s="8"/>
      <c r="C984" s="8"/>
      <c r="D984" s="8"/>
      <c r="E984" s="8"/>
      <c r="F984" s="8"/>
      <c r="G984" s="22"/>
      <c r="H984" s="8"/>
      <c r="I984" s="28"/>
      <c r="J984" s="8"/>
      <c r="K984" s="8"/>
      <c r="L984" s="22"/>
      <c r="M984" s="25"/>
      <c r="N984" s="25"/>
      <c r="O984" s="25"/>
      <c r="P984" s="25"/>
      <c r="Q984" s="25"/>
      <c r="R984" s="25"/>
      <c r="S984" s="25"/>
      <c r="V984" s="25"/>
      <c r="Z984" s="25"/>
    </row>
    <row r="985" spans="1:26">
      <c r="A985" s="8"/>
      <c r="B985" s="8"/>
      <c r="C985" s="8"/>
      <c r="D985" s="8"/>
      <c r="E985" s="8"/>
      <c r="F985" s="8"/>
      <c r="G985" s="22"/>
      <c r="H985" s="8"/>
      <c r="I985" s="28"/>
      <c r="J985" s="8"/>
      <c r="K985" s="8"/>
      <c r="L985" s="22"/>
      <c r="M985" s="25"/>
      <c r="N985" s="25"/>
      <c r="O985" s="25"/>
      <c r="P985" s="25"/>
      <c r="Q985" s="25"/>
      <c r="R985" s="25"/>
      <c r="S985" s="25"/>
      <c r="V985" s="25"/>
      <c r="Z985" s="25"/>
    </row>
    <row r="986" spans="1:26">
      <c r="A986" s="8"/>
      <c r="B986" s="8"/>
      <c r="C986" s="8"/>
      <c r="D986" s="8"/>
      <c r="E986" s="8"/>
      <c r="F986" s="8"/>
      <c r="G986" s="22"/>
      <c r="H986" s="8"/>
      <c r="I986" s="28"/>
      <c r="J986" s="8"/>
      <c r="K986" s="8"/>
      <c r="L986" s="22"/>
      <c r="M986" s="25"/>
      <c r="N986" s="25"/>
      <c r="O986" s="25"/>
      <c r="P986" s="25"/>
      <c r="Q986" s="25"/>
      <c r="R986" s="25"/>
      <c r="S986" s="25"/>
      <c r="V986" s="25"/>
      <c r="Z986" s="25"/>
    </row>
    <row r="987" spans="1:26">
      <c r="A987" s="8"/>
      <c r="B987" s="8"/>
      <c r="C987" s="8"/>
      <c r="D987" s="8"/>
      <c r="E987" s="8"/>
      <c r="F987" s="8"/>
      <c r="G987" s="22"/>
      <c r="H987" s="8"/>
      <c r="I987" s="28"/>
      <c r="J987" s="8"/>
      <c r="K987" s="8"/>
      <c r="L987" s="22"/>
      <c r="M987" s="25"/>
      <c r="N987" s="25"/>
      <c r="O987" s="25"/>
      <c r="P987" s="25"/>
      <c r="Q987" s="25"/>
      <c r="R987" s="25"/>
      <c r="S987" s="25"/>
      <c r="V987" s="25"/>
      <c r="Z987" s="25"/>
    </row>
    <row r="988" spans="1:26">
      <c r="A988" s="8"/>
      <c r="B988" s="8"/>
      <c r="C988" s="8"/>
      <c r="D988" s="8"/>
      <c r="E988" s="8"/>
      <c r="F988" s="8"/>
      <c r="G988" s="22"/>
      <c r="H988" s="8"/>
      <c r="I988" s="28"/>
      <c r="J988" s="8"/>
      <c r="K988" s="8"/>
      <c r="L988" s="22"/>
      <c r="M988" s="25"/>
      <c r="N988" s="25"/>
      <c r="O988" s="25"/>
      <c r="P988" s="25"/>
      <c r="Q988" s="25"/>
      <c r="R988" s="25"/>
      <c r="S988" s="25"/>
      <c r="V988" s="25"/>
      <c r="Z988" s="25"/>
    </row>
    <row r="989" spans="1:26">
      <c r="A989" s="8"/>
      <c r="B989" s="8"/>
      <c r="C989" s="8"/>
      <c r="D989" s="8"/>
      <c r="E989" s="8"/>
      <c r="F989" s="8"/>
      <c r="G989" s="22"/>
      <c r="H989" s="8"/>
      <c r="I989" s="28"/>
      <c r="J989" s="8"/>
      <c r="K989" s="8"/>
      <c r="L989" s="22"/>
      <c r="M989" s="25"/>
      <c r="N989" s="25"/>
      <c r="O989" s="25"/>
      <c r="P989" s="25"/>
      <c r="Q989" s="25"/>
      <c r="R989" s="25"/>
      <c r="S989" s="25"/>
      <c r="V989" s="25"/>
      <c r="Z989" s="25"/>
    </row>
    <row r="990" spans="1:26">
      <c r="A990" s="8"/>
      <c r="B990" s="8"/>
      <c r="C990" s="8"/>
      <c r="D990" s="8"/>
      <c r="E990" s="8"/>
      <c r="F990" s="8"/>
      <c r="G990" s="22"/>
      <c r="H990" s="8"/>
      <c r="I990" s="28"/>
      <c r="J990" s="8"/>
      <c r="K990" s="8"/>
      <c r="L990" s="22"/>
      <c r="M990" s="25"/>
      <c r="N990" s="25"/>
      <c r="O990" s="25"/>
      <c r="P990" s="25"/>
      <c r="Q990" s="25"/>
      <c r="R990" s="25"/>
      <c r="S990" s="25"/>
      <c r="V990" s="25"/>
      <c r="Z990" s="25"/>
    </row>
    <row r="991" spans="1:26">
      <c r="A991" s="8"/>
      <c r="B991" s="8"/>
      <c r="C991" s="8"/>
      <c r="D991" s="8"/>
      <c r="E991" s="8"/>
      <c r="F991" s="8"/>
      <c r="G991" s="22"/>
      <c r="H991" s="8"/>
      <c r="I991" s="28"/>
      <c r="J991" s="8"/>
      <c r="K991" s="8"/>
      <c r="L991" s="22"/>
      <c r="M991" s="25"/>
      <c r="N991" s="25"/>
      <c r="O991" s="25"/>
      <c r="P991" s="25"/>
      <c r="Q991" s="25"/>
      <c r="R991" s="25"/>
      <c r="S991" s="25"/>
      <c r="V991" s="25"/>
      <c r="Z991" s="25"/>
    </row>
    <row r="992" spans="1:26">
      <c r="A992" s="8"/>
      <c r="B992" s="8"/>
      <c r="C992" s="8"/>
      <c r="D992" s="8"/>
      <c r="E992" s="8"/>
      <c r="F992" s="8"/>
      <c r="G992" s="22"/>
      <c r="H992" s="8"/>
      <c r="I992" s="28"/>
      <c r="J992" s="8"/>
      <c r="K992" s="8"/>
      <c r="L992" s="22"/>
      <c r="M992" s="25"/>
      <c r="N992" s="25"/>
      <c r="O992" s="25"/>
      <c r="P992" s="25"/>
      <c r="Q992" s="25"/>
      <c r="R992" s="25"/>
      <c r="S992" s="25"/>
      <c r="V992" s="25"/>
      <c r="Z992" s="25"/>
    </row>
    <row r="993" spans="1:26">
      <c r="A993" s="8"/>
      <c r="B993" s="8"/>
      <c r="C993" s="8"/>
      <c r="D993" s="8"/>
      <c r="E993" s="8"/>
      <c r="F993" s="8"/>
      <c r="G993" s="22"/>
      <c r="H993" s="8"/>
      <c r="I993" s="28"/>
      <c r="J993" s="8"/>
      <c r="K993" s="8"/>
      <c r="L993" s="22"/>
      <c r="M993" s="25"/>
      <c r="N993" s="25"/>
      <c r="O993" s="25"/>
      <c r="P993" s="25"/>
      <c r="Q993" s="25"/>
      <c r="R993" s="25"/>
      <c r="S993" s="25"/>
      <c r="V993" s="25"/>
      <c r="Z993" s="25"/>
    </row>
    <row r="994" spans="1:26">
      <c r="A994" s="8"/>
      <c r="B994" s="8"/>
      <c r="C994" s="8"/>
      <c r="D994" s="8"/>
      <c r="E994" s="8"/>
      <c r="F994" s="8"/>
      <c r="G994" s="22"/>
      <c r="H994" s="8"/>
      <c r="I994" s="28"/>
      <c r="J994" s="8"/>
      <c r="K994" s="8"/>
      <c r="L994" s="22"/>
      <c r="M994" s="25"/>
      <c r="N994" s="25"/>
      <c r="O994" s="25"/>
      <c r="P994" s="25"/>
      <c r="Q994" s="25"/>
      <c r="R994" s="25"/>
      <c r="S994" s="25"/>
      <c r="V994" s="25"/>
      <c r="Z994" s="25"/>
    </row>
    <row r="995" spans="1:26">
      <c r="A995" s="8"/>
      <c r="B995" s="8"/>
      <c r="C995" s="8"/>
      <c r="D995" s="8"/>
      <c r="E995" s="8"/>
      <c r="F995" s="8"/>
      <c r="G995" s="22"/>
      <c r="H995" s="8"/>
      <c r="I995" s="28"/>
      <c r="J995" s="8"/>
      <c r="K995" s="8"/>
      <c r="L995" s="22"/>
      <c r="M995" s="25"/>
      <c r="N995" s="25"/>
      <c r="O995" s="25"/>
      <c r="P995" s="25"/>
      <c r="Q995" s="25"/>
      <c r="R995" s="25"/>
      <c r="S995" s="25"/>
      <c r="V995" s="25"/>
      <c r="Z995" s="25"/>
    </row>
    <row r="996" spans="1:26">
      <c r="A996" s="8"/>
      <c r="B996" s="8"/>
      <c r="C996" s="8"/>
      <c r="D996" s="8"/>
      <c r="E996" s="8"/>
      <c r="F996" s="8"/>
      <c r="G996" s="22"/>
      <c r="H996" s="8"/>
      <c r="I996" s="28"/>
      <c r="J996" s="8"/>
      <c r="K996" s="8"/>
      <c r="L996" s="22"/>
      <c r="M996" s="25"/>
      <c r="N996" s="25"/>
      <c r="O996" s="25"/>
      <c r="P996" s="25"/>
      <c r="Q996" s="25"/>
      <c r="R996" s="25"/>
      <c r="S996" s="25"/>
      <c r="V996" s="25"/>
      <c r="Z996" s="25"/>
    </row>
    <row r="997" spans="1:26">
      <c r="A997" s="8"/>
      <c r="B997" s="8"/>
      <c r="C997" s="8"/>
      <c r="D997" s="8"/>
      <c r="E997" s="8"/>
      <c r="F997" s="8"/>
      <c r="G997" s="22"/>
      <c r="H997" s="8"/>
      <c r="I997" s="28"/>
      <c r="J997" s="8"/>
      <c r="K997" s="8"/>
      <c r="L997" s="22"/>
      <c r="M997" s="25"/>
      <c r="N997" s="25"/>
      <c r="O997" s="25"/>
      <c r="P997" s="25"/>
      <c r="Q997" s="25"/>
      <c r="R997" s="25"/>
      <c r="S997" s="25"/>
      <c r="V997" s="25"/>
      <c r="Z997" s="25"/>
    </row>
    <row r="998" spans="1:26">
      <c r="A998" s="8"/>
      <c r="B998" s="8"/>
      <c r="C998" s="8"/>
      <c r="D998" s="8"/>
      <c r="E998" s="8"/>
      <c r="F998" s="8"/>
      <c r="G998" s="22"/>
      <c r="H998" s="8"/>
      <c r="I998" s="28"/>
      <c r="J998" s="8"/>
      <c r="K998" s="8"/>
      <c r="L998" s="22"/>
      <c r="M998" s="25"/>
      <c r="N998" s="25"/>
      <c r="O998" s="25"/>
      <c r="P998" s="25"/>
      <c r="Q998" s="25"/>
      <c r="R998" s="25"/>
      <c r="S998" s="25"/>
      <c r="V998" s="25"/>
      <c r="Z998" s="25"/>
    </row>
    <row r="999" spans="1:26">
      <c r="A999" s="8"/>
      <c r="B999" s="8"/>
      <c r="C999" s="8"/>
      <c r="D999" s="8"/>
      <c r="E999" s="8"/>
      <c r="F999" s="8"/>
      <c r="G999" s="22"/>
      <c r="H999" s="8"/>
      <c r="I999" s="28"/>
      <c r="J999" s="8"/>
      <c r="K999" s="8"/>
      <c r="L999" s="22"/>
      <c r="M999" s="25"/>
      <c r="N999" s="25"/>
      <c r="O999" s="25"/>
      <c r="P999" s="25"/>
      <c r="Q999" s="25"/>
      <c r="R999" s="25"/>
      <c r="S999" s="25"/>
      <c r="V999" s="25"/>
      <c r="Z999" s="25"/>
    </row>
    <row r="1000" spans="1:26">
      <c r="A1000" s="8"/>
      <c r="B1000" s="8"/>
      <c r="C1000" s="8"/>
      <c r="D1000" s="8"/>
      <c r="E1000" s="8"/>
      <c r="F1000" s="8"/>
      <c r="G1000" s="22"/>
      <c r="H1000" s="8"/>
      <c r="I1000" s="28"/>
      <c r="J1000" s="8"/>
      <c r="K1000" s="8"/>
      <c r="L1000" s="22"/>
      <c r="M1000" s="25"/>
      <c r="N1000" s="25"/>
      <c r="O1000" s="25"/>
      <c r="P1000" s="25"/>
      <c r="Q1000" s="25"/>
      <c r="R1000" s="25"/>
      <c r="S1000" s="25"/>
      <c r="V1000" s="25"/>
      <c r="Z1000" s="25"/>
    </row>
  </sheetData>
  <hyperlinks>
    <hyperlink ref="E2" r:id="rId1" xr:uid="{00000000-0004-0000-0200-000000000000}"/>
    <hyperlink ref="F2" r:id="rId2" xr:uid="{00000000-0004-0000-0200-000001000000}"/>
    <hyperlink ref="E3" r:id="rId3" xr:uid="{00000000-0004-0000-0200-000002000000}"/>
    <hyperlink ref="F3" r:id="rId4" xr:uid="{00000000-0004-0000-0200-000003000000}"/>
    <hyperlink ref="E4" r:id="rId5" xr:uid="{00000000-0004-0000-0200-000004000000}"/>
    <hyperlink ref="F4" r:id="rId6" xr:uid="{00000000-0004-0000-0200-000005000000}"/>
    <hyperlink ref="E5" r:id="rId7" xr:uid="{00000000-0004-0000-0200-000006000000}"/>
    <hyperlink ref="F5" r:id="rId8" xr:uid="{00000000-0004-0000-0200-000007000000}"/>
    <hyperlink ref="E6" r:id="rId9" xr:uid="{00000000-0004-0000-0200-000008000000}"/>
    <hyperlink ref="F6" r:id="rId10" xr:uid="{00000000-0004-0000-0200-000009000000}"/>
    <hyperlink ref="E7" r:id="rId11" xr:uid="{00000000-0004-0000-0200-00000A000000}"/>
    <hyperlink ref="F7" r:id="rId12" xr:uid="{00000000-0004-0000-0200-00000B000000}"/>
    <hyperlink ref="E8" r:id="rId13" xr:uid="{00000000-0004-0000-0200-00000C000000}"/>
    <hyperlink ref="F8" r:id="rId14" xr:uid="{00000000-0004-0000-0200-00000D000000}"/>
    <hyperlink ref="E9" r:id="rId15" xr:uid="{00000000-0004-0000-0200-00000E000000}"/>
    <hyperlink ref="F9" r:id="rId16" xr:uid="{00000000-0004-0000-0200-00000F000000}"/>
    <hyperlink ref="E10" r:id="rId17" xr:uid="{00000000-0004-0000-0200-000010000000}"/>
    <hyperlink ref="F10" r:id="rId18" xr:uid="{00000000-0004-0000-0200-000011000000}"/>
    <hyperlink ref="E11" r:id="rId19" xr:uid="{00000000-0004-0000-0200-000012000000}"/>
    <hyperlink ref="F11" r:id="rId20" xr:uid="{00000000-0004-0000-0200-000013000000}"/>
    <hyperlink ref="E12" r:id="rId21" xr:uid="{00000000-0004-0000-0200-000014000000}"/>
    <hyperlink ref="F12" r:id="rId22" xr:uid="{00000000-0004-0000-0200-000015000000}"/>
    <hyperlink ref="E13" r:id="rId23" xr:uid="{00000000-0004-0000-0200-000016000000}"/>
    <hyperlink ref="F13" r:id="rId24" xr:uid="{00000000-0004-0000-0200-000017000000}"/>
    <hyperlink ref="E14" r:id="rId25" xr:uid="{00000000-0004-0000-0200-000018000000}"/>
    <hyperlink ref="F14" r:id="rId26" xr:uid="{00000000-0004-0000-0200-000019000000}"/>
    <hyperlink ref="E15" r:id="rId27" xr:uid="{00000000-0004-0000-0200-00001A000000}"/>
    <hyperlink ref="F15" r:id="rId28" xr:uid="{00000000-0004-0000-0200-00001B000000}"/>
    <hyperlink ref="E16" r:id="rId29" xr:uid="{00000000-0004-0000-0200-00001C000000}"/>
    <hyperlink ref="F16" r:id="rId30" xr:uid="{00000000-0004-0000-0200-00001D000000}"/>
    <hyperlink ref="E17" r:id="rId31" xr:uid="{00000000-0004-0000-0200-00001E000000}"/>
    <hyperlink ref="F17" r:id="rId32" xr:uid="{00000000-0004-0000-0200-00001F000000}"/>
    <hyperlink ref="E18" r:id="rId33" xr:uid="{00000000-0004-0000-0200-000020000000}"/>
    <hyperlink ref="F18" r:id="rId34" xr:uid="{00000000-0004-0000-0200-000021000000}"/>
    <hyperlink ref="E19" r:id="rId35" xr:uid="{00000000-0004-0000-0200-000022000000}"/>
    <hyperlink ref="F19" r:id="rId36" xr:uid="{00000000-0004-0000-0200-000023000000}"/>
    <hyperlink ref="E20" r:id="rId37" xr:uid="{00000000-0004-0000-0200-000024000000}"/>
    <hyperlink ref="F20" r:id="rId38" xr:uid="{00000000-0004-0000-0200-000025000000}"/>
    <hyperlink ref="E21" r:id="rId39" xr:uid="{00000000-0004-0000-0200-000026000000}"/>
    <hyperlink ref="F21" r:id="rId40" xr:uid="{00000000-0004-0000-0200-000027000000}"/>
    <hyperlink ref="E22" r:id="rId41" xr:uid="{00000000-0004-0000-0200-000028000000}"/>
    <hyperlink ref="F22" r:id="rId42" xr:uid="{00000000-0004-0000-0200-000029000000}"/>
    <hyperlink ref="E23" r:id="rId43" xr:uid="{00000000-0004-0000-0200-00002A000000}"/>
    <hyperlink ref="F23" r:id="rId44" xr:uid="{00000000-0004-0000-0200-00002B000000}"/>
    <hyperlink ref="E24" r:id="rId45" xr:uid="{00000000-0004-0000-0200-00002C000000}"/>
    <hyperlink ref="F24" r:id="rId46" xr:uid="{00000000-0004-0000-0200-00002D000000}"/>
    <hyperlink ref="E25" r:id="rId47" xr:uid="{00000000-0004-0000-0200-00002E000000}"/>
    <hyperlink ref="F25" r:id="rId48" xr:uid="{00000000-0004-0000-0200-00002F000000}"/>
    <hyperlink ref="E26" r:id="rId49" xr:uid="{00000000-0004-0000-0200-000030000000}"/>
    <hyperlink ref="F26" r:id="rId50" xr:uid="{00000000-0004-0000-0200-000031000000}"/>
    <hyperlink ref="E27" r:id="rId51" xr:uid="{00000000-0004-0000-0200-000032000000}"/>
    <hyperlink ref="F27" r:id="rId52" xr:uid="{00000000-0004-0000-0200-000033000000}"/>
    <hyperlink ref="E28" r:id="rId53" xr:uid="{00000000-0004-0000-0200-000034000000}"/>
    <hyperlink ref="F28" r:id="rId54" xr:uid="{00000000-0004-0000-0200-000035000000}"/>
    <hyperlink ref="E29" r:id="rId55" xr:uid="{00000000-0004-0000-0200-000036000000}"/>
    <hyperlink ref="F29" r:id="rId56" xr:uid="{00000000-0004-0000-0200-000037000000}"/>
    <hyperlink ref="E30" r:id="rId57" xr:uid="{00000000-0004-0000-0200-000038000000}"/>
    <hyperlink ref="F30" r:id="rId58" xr:uid="{00000000-0004-0000-0200-000039000000}"/>
    <hyperlink ref="E31" r:id="rId59" xr:uid="{00000000-0004-0000-0200-00003A000000}"/>
    <hyperlink ref="F31" r:id="rId60" xr:uid="{00000000-0004-0000-0200-00003B000000}"/>
    <hyperlink ref="E32" r:id="rId61" xr:uid="{00000000-0004-0000-0200-00003C000000}"/>
    <hyperlink ref="F32" r:id="rId62" xr:uid="{00000000-0004-0000-0200-00003D000000}"/>
    <hyperlink ref="E33" r:id="rId63" xr:uid="{00000000-0004-0000-0200-00003E000000}"/>
    <hyperlink ref="F33" r:id="rId64" xr:uid="{00000000-0004-0000-0200-00003F000000}"/>
    <hyperlink ref="E34" r:id="rId65" xr:uid="{00000000-0004-0000-0200-000040000000}"/>
    <hyperlink ref="F34" r:id="rId66" xr:uid="{00000000-0004-0000-0200-000041000000}"/>
    <hyperlink ref="E35" r:id="rId67" xr:uid="{00000000-0004-0000-0200-000042000000}"/>
    <hyperlink ref="F35" r:id="rId68" xr:uid="{00000000-0004-0000-0200-000043000000}"/>
    <hyperlink ref="E36" r:id="rId69" xr:uid="{00000000-0004-0000-0200-000044000000}"/>
    <hyperlink ref="F36" r:id="rId70" xr:uid="{00000000-0004-0000-0200-000045000000}"/>
    <hyperlink ref="E37" r:id="rId71" xr:uid="{00000000-0004-0000-0200-000046000000}"/>
    <hyperlink ref="F37" r:id="rId72" xr:uid="{00000000-0004-0000-0200-000047000000}"/>
    <hyperlink ref="E38" r:id="rId73" xr:uid="{00000000-0004-0000-0200-000048000000}"/>
    <hyperlink ref="F38" r:id="rId74" xr:uid="{00000000-0004-0000-0200-000049000000}"/>
    <hyperlink ref="E39" r:id="rId75" xr:uid="{00000000-0004-0000-0200-00004A000000}"/>
    <hyperlink ref="F39" r:id="rId76" xr:uid="{00000000-0004-0000-0200-00004B000000}"/>
    <hyperlink ref="E40" r:id="rId77" xr:uid="{00000000-0004-0000-0200-00004C000000}"/>
    <hyperlink ref="F40" r:id="rId78" xr:uid="{00000000-0004-0000-0200-00004D000000}"/>
    <hyperlink ref="E41" r:id="rId79" xr:uid="{00000000-0004-0000-0200-00004E000000}"/>
    <hyperlink ref="F41" r:id="rId80" xr:uid="{00000000-0004-0000-0200-00004F000000}"/>
    <hyperlink ref="E42" r:id="rId81" xr:uid="{00000000-0004-0000-0200-000050000000}"/>
    <hyperlink ref="F42" r:id="rId82" xr:uid="{00000000-0004-0000-0200-000051000000}"/>
    <hyperlink ref="E43" r:id="rId83" xr:uid="{00000000-0004-0000-0200-000052000000}"/>
    <hyperlink ref="F43" r:id="rId84" xr:uid="{00000000-0004-0000-0200-000053000000}"/>
    <hyperlink ref="E44" r:id="rId85" xr:uid="{00000000-0004-0000-0200-000054000000}"/>
    <hyperlink ref="F44" r:id="rId86" xr:uid="{00000000-0004-0000-0200-000055000000}"/>
    <hyperlink ref="E45" r:id="rId87" xr:uid="{00000000-0004-0000-0200-000056000000}"/>
    <hyperlink ref="F45" r:id="rId88" xr:uid="{00000000-0004-0000-0200-000057000000}"/>
    <hyperlink ref="E46" r:id="rId89" xr:uid="{00000000-0004-0000-0200-000058000000}"/>
    <hyperlink ref="F46" r:id="rId90" xr:uid="{00000000-0004-0000-0200-000059000000}"/>
    <hyperlink ref="E47" r:id="rId91" xr:uid="{00000000-0004-0000-0200-00005A000000}"/>
    <hyperlink ref="F47" r:id="rId92" xr:uid="{00000000-0004-0000-0200-00005B000000}"/>
    <hyperlink ref="E48" r:id="rId93" xr:uid="{00000000-0004-0000-0200-00005C000000}"/>
    <hyperlink ref="F48" r:id="rId94" xr:uid="{00000000-0004-0000-0200-00005D000000}"/>
    <hyperlink ref="E49" r:id="rId95" xr:uid="{00000000-0004-0000-0200-00005E000000}"/>
    <hyperlink ref="F49" r:id="rId96" xr:uid="{00000000-0004-0000-0200-00005F000000}"/>
    <hyperlink ref="E50" r:id="rId97" xr:uid="{00000000-0004-0000-0200-000060000000}"/>
    <hyperlink ref="F50" r:id="rId98" xr:uid="{00000000-0004-0000-0200-000061000000}"/>
    <hyperlink ref="E51" r:id="rId99" xr:uid="{00000000-0004-0000-0200-000062000000}"/>
    <hyperlink ref="F51" r:id="rId100" xr:uid="{00000000-0004-0000-0200-000063000000}"/>
    <hyperlink ref="E52" r:id="rId101" xr:uid="{00000000-0004-0000-0200-000064000000}"/>
    <hyperlink ref="F52" r:id="rId102" xr:uid="{00000000-0004-0000-0200-000065000000}"/>
    <hyperlink ref="E53" r:id="rId103" xr:uid="{00000000-0004-0000-0200-000066000000}"/>
    <hyperlink ref="F53" r:id="rId104" xr:uid="{00000000-0004-0000-0200-000067000000}"/>
    <hyperlink ref="E54" r:id="rId105" xr:uid="{00000000-0004-0000-0200-000068000000}"/>
    <hyperlink ref="F54" r:id="rId106" xr:uid="{00000000-0004-0000-0200-000069000000}"/>
    <hyperlink ref="E55" r:id="rId107" xr:uid="{00000000-0004-0000-0200-00006A000000}"/>
    <hyperlink ref="F55" r:id="rId108" xr:uid="{00000000-0004-0000-0200-00006B000000}"/>
    <hyperlink ref="E56" r:id="rId109" xr:uid="{00000000-0004-0000-0200-00006C000000}"/>
    <hyperlink ref="F56" r:id="rId110" xr:uid="{00000000-0004-0000-0200-00006D000000}"/>
    <hyperlink ref="E57" r:id="rId111" xr:uid="{00000000-0004-0000-0200-00006E000000}"/>
    <hyperlink ref="F57" r:id="rId112" xr:uid="{00000000-0004-0000-0200-00006F000000}"/>
    <hyperlink ref="E58" r:id="rId113" xr:uid="{00000000-0004-0000-0200-000070000000}"/>
    <hyperlink ref="F58" r:id="rId114" xr:uid="{00000000-0004-0000-0200-000071000000}"/>
    <hyperlink ref="E59" r:id="rId115" xr:uid="{00000000-0004-0000-0200-000072000000}"/>
    <hyperlink ref="F59" r:id="rId116" xr:uid="{00000000-0004-0000-0200-000073000000}"/>
    <hyperlink ref="E60" r:id="rId117" xr:uid="{00000000-0004-0000-0200-000074000000}"/>
    <hyperlink ref="F60" r:id="rId118" xr:uid="{00000000-0004-0000-0200-000075000000}"/>
    <hyperlink ref="E61" r:id="rId119" xr:uid="{00000000-0004-0000-0200-000076000000}"/>
    <hyperlink ref="F61" r:id="rId120" xr:uid="{00000000-0004-0000-0200-000077000000}"/>
    <hyperlink ref="E62" r:id="rId121" xr:uid="{00000000-0004-0000-0200-000078000000}"/>
    <hyperlink ref="F62" r:id="rId122" xr:uid="{00000000-0004-0000-0200-000079000000}"/>
    <hyperlink ref="E63" r:id="rId123" xr:uid="{00000000-0004-0000-0200-00007A000000}"/>
    <hyperlink ref="F63" r:id="rId124" xr:uid="{00000000-0004-0000-0200-00007B000000}"/>
    <hyperlink ref="E64" r:id="rId125" xr:uid="{00000000-0004-0000-0200-00007C000000}"/>
    <hyperlink ref="F64" r:id="rId126" xr:uid="{00000000-0004-0000-0200-00007D000000}"/>
    <hyperlink ref="E65" r:id="rId127" xr:uid="{00000000-0004-0000-0200-00007E000000}"/>
    <hyperlink ref="F65" r:id="rId128" xr:uid="{00000000-0004-0000-0200-00007F000000}"/>
    <hyperlink ref="E66" r:id="rId129" xr:uid="{00000000-0004-0000-0200-000080000000}"/>
    <hyperlink ref="F66" r:id="rId130" xr:uid="{00000000-0004-0000-0200-000081000000}"/>
    <hyperlink ref="E67" r:id="rId131" xr:uid="{00000000-0004-0000-0200-000082000000}"/>
    <hyperlink ref="F67" r:id="rId132" xr:uid="{00000000-0004-0000-0200-000083000000}"/>
    <hyperlink ref="E68" r:id="rId133" xr:uid="{00000000-0004-0000-0200-000084000000}"/>
    <hyperlink ref="F68" r:id="rId134" xr:uid="{00000000-0004-0000-0200-000085000000}"/>
    <hyperlink ref="E69" r:id="rId135" xr:uid="{00000000-0004-0000-0200-000086000000}"/>
    <hyperlink ref="F69" r:id="rId136" xr:uid="{00000000-0004-0000-0200-000087000000}"/>
    <hyperlink ref="E70" r:id="rId137" xr:uid="{00000000-0004-0000-0200-000088000000}"/>
    <hyperlink ref="F70" r:id="rId138" xr:uid="{00000000-0004-0000-0200-000089000000}"/>
    <hyperlink ref="E71" r:id="rId139" xr:uid="{00000000-0004-0000-0200-00008A000000}"/>
    <hyperlink ref="F71" r:id="rId140" xr:uid="{00000000-0004-0000-0200-00008B000000}"/>
    <hyperlink ref="E72" r:id="rId141" xr:uid="{00000000-0004-0000-0200-00008C000000}"/>
    <hyperlink ref="F72" r:id="rId142" xr:uid="{00000000-0004-0000-0200-00008D000000}"/>
    <hyperlink ref="E73" r:id="rId143" xr:uid="{00000000-0004-0000-0200-00008E000000}"/>
    <hyperlink ref="F73" r:id="rId144" xr:uid="{00000000-0004-0000-0200-00008F000000}"/>
    <hyperlink ref="E74" r:id="rId145" xr:uid="{00000000-0004-0000-0200-000090000000}"/>
    <hyperlink ref="F74" r:id="rId146" xr:uid="{00000000-0004-0000-0200-000091000000}"/>
    <hyperlink ref="E75" r:id="rId147" xr:uid="{00000000-0004-0000-0200-000092000000}"/>
    <hyperlink ref="F75" r:id="rId148" xr:uid="{00000000-0004-0000-0200-000093000000}"/>
    <hyperlink ref="E76" r:id="rId149" xr:uid="{00000000-0004-0000-0200-000094000000}"/>
    <hyperlink ref="F76" r:id="rId150" xr:uid="{00000000-0004-0000-0200-000095000000}"/>
    <hyperlink ref="E77" r:id="rId151" xr:uid="{00000000-0004-0000-0200-000096000000}"/>
    <hyperlink ref="F77" r:id="rId152" xr:uid="{00000000-0004-0000-0200-000097000000}"/>
    <hyperlink ref="E78" r:id="rId153" xr:uid="{00000000-0004-0000-0200-000098000000}"/>
    <hyperlink ref="F78" r:id="rId154" xr:uid="{00000000-0004-0000-0200-000099000000}"/>
    <hyperlink ref="E79" r:id="rId155" xr:uid="{00000000-0004-0000-0200-00009A000000}"/>
    <hyperlink ref="F79" r:id="rId156" xr:uid="{00000000-0004-0000-0200-00009B000000}"/>
    <hyperlink ref="E80" r:id="rId157" xr:uid="{00000000-0004-0000-0200-00009C000000}"/>
    <hyperlink ref="F80" r:id="rId158" xr:uid="{00000000-0004-0000-0200-00009D000000}"/>
    <hyperlink ref="E81" r:id="rId159" xr:uid="{00000000-0004-0000-0200-00009E000000}"/>
    <hyperlink ref="F81" r:id="rId160" xr:uid="{00000000-0004-0000-0200-00009F000000}"/>
    <hyperlink ref="E82" r:id="rId161" xr:uid="{00000000-0004-0000-0200-0000A0000000}"/>
    <hyperlink ref="F82" r:id="rId162" xr:uid="{00000000-0004-0000-0200-0000A1000000}"/>
    <hyperlink ref="E83" r:id="rId163" xr:uid="{00000000-0004-0000-0200-0000A2000000}"/>
    <hyperlink ref="F83" r:id="rId164" xr:uid="{00000000-0004-0000-0200-0000A3000000}"/>
    <hyperlink ref="E84" r:id="rId165" xr:uid="{00000000-0004-0000-0200-0000A4000000}"/>
    <hyperlink ref="F84" r:id="rId166" xr:uid="{00000000-0004-0000-0200-0000A5000000}"/>
    <hyperlink ref="E85" r:id="rId167" xr:uid="{00000000-0004-0000-0200-0000A6000000}"/>
    <hyperlink ref="F85" r:id="rId168" xr:uid="{00000000-0004-0000-0200-0000A7000000}"/>
    <hyperlink ref="E86" r:id="rId169" xr:uid="{00000000-0004-0000-0200-0000A8000000}"/>
    <hyperlink ref="F86" r:id="rId170" xr:uid="{00000000-0004-0000-0200-0000A9000000}"/>
    <hyperlink ref="E87" r:id="rId171" xr:uid="{00000000-0004-0000-0200-0000AA000000}"/>
    <hyperlink ref="F87" r:id="rId172" xr:uid="{00000000-0004-0000-0200-0000AB000000}"/>
    <hyperlink ref="E88" r:id="rId173" xr:uid="{00000000-0004-0000-0200-0000AC000000}"/>
    <hyperlink ref="F88" r:id="rId174" xr:uid="{00000000-0004-0000-0200-0000AD000000}"/>
    <hyperlink ref="E89" r:id="rId175" xr:uid="{00000000-0004-0000-0200-0000AE000000}"/>
    <hyperlink ref="F89" r:id="rId176" xr:uid="{00000000-0004-0000-0200-0000AF000000}"/>
    <hyperlink ref="E90" r:id="rId177" xr:uid="{00000000-0004-0000-0200-0000B0000000}"/>
    <hyperlink ref="F90" r:id="rId178" xr:uid="{00000000-0004-0000-0200-0000B1000000}"/>
    <hyperlink ref="E91" r:id="rId179" xr:uid="{00000000-0004-0000-0200-0000B2000000}"/>
    <hyperlink ref="F91" r:id="rId180" xr:uid="{00000000-0004-0000-0200-0000B3000000}"/>
    <hyperlink ref="E92" r:id="rId181" xr:uid="{00000000-0004-0000-0200-0000B4000000}"/>
    <hyperlink ref="F92" r:id="rId182" xr:uid="{00000000-0004-0000-0200-0000B5000000}"/>
    <hyperlink ref="E93" r:id="rId183" xr:uid="{00000000-0004-0000-0200-0000B6000000}"/>
    <hyperlink ref="F93" r:id="rId184" xr:uid="{00000000-0004-0000-0200-0000B7000000}"/>
    <hyperlink ref="E94" r:id="rId185" xr:uid="{00000000-0004-0000-0200-0000B8000000}"/>
    <hyperlink ref="F94" r:id="rId186" xr:uid="{00000000-0004-0000-0200-0000B9000000}"/>
    <hyperlink ref="E95" r:id="rId187" xr:uid="{00000000-0004-0000-0200-0000BA000000}"/>
    <hyperlink ref="F95" r:id="rId188" xr:uid="{00000000-0004-0000-0200-0000BB000000}"/>
    <hyperlink ref="E96" r:id="rId189" xr:uid="{00000000-0004-0000-0200-0000BC000000}"/>
    <hyperlink ref="F96" r:id="rId190" xr:uid="{00000000-0004-0000-0200-0000BD000000}"/>
    <hyperlink ref="E97" r:id="rId191" xr:uid="{00000000-0004-0000-0200-0000BE000000}"/>
    <hyperlink ref="F97" r:id="rId192" xr:uid="{00000000-0004-0000-0200-0000BF000000}"/>
    <hyperlink ref="E98" r:id="rId193" xr:uid="{00000000-0004-0000-0200-0000C0000000}"/>
    <hyperlink ref="F98" r:id="rId194" xr:uid="{00000000-0004-0000-0200-0000C1000000}"/>
    <hyperlink ref="E99" r:id="rId195" xr:uid="{00000000-0004-0000-0200-0000C2000000}"/>
    <hyperlink ref="F99" r:id="rId196" xr:uid="{00000000-0004-0000-0200-0000C3000000}"/>
    <hyperlink ref="E100" r:id="rId197" xr:uid="{00000000-0004-0000-0200-0000C4000000}"/>
    <hyperlink ref="F100" r:id="rId198" xr:uid="{00000000-0004-0000-0200-0000C5000000}"/>
    <hyperlink ref="E101" r:id="rId199" xr:uid="{00000000-0004-0000-0200-0000C6000000}"/>
    <hyperlink ref="F101" r:id="rId200" xr:uid="{00000000-0004-0000-0200-0000C7000000}"/>
    <hyperlink ref="E102" r:id="rId201" xr:uid="{00000000-0004-0000-0200-0000C8000000}"/>
    <hyperlink ref="F102" r:id="rId202" xr:uid="{00000000-0004-0000-0200-0000C9000000}"/>
    <hyperlink ref="E103" r:id="rId203" xr:uid="{00000000-0004-0000-0200-0000CA000000}"/>
    <hyperlink ref="F103" r:id="rId204" xr:uid="{00000000-0004-0000-0200-0000CB000000}"/>
    <hyperlink ref="E104" r:id="rId205" xr:uid="{00000000-0004-0000-0200-0000CC000000}"/>
    <hyperlink ref="F104" r:id="rId206" xr:uid="{00000000-0004-0000-0200-0000CD000000}"/>
    <hyperlink ref="E105" r:id="rId207" xr:uid="{00000000-0004-0000-0200-0000CE000000}"/>
    <hyperlink ref="F105" r:id="rId208" xr:uid="{00000000-0004-0000-0200-0000CF000000}"/>
    <hyperlink ref="E106" r:id="rId209" xr:uid="{00000000-0004-0000-0200-0000D0000000}"/>
    <hyperlink ref="F106" r:id="rId210" xr:uid="{00000000-0004-0000-0200-0000D1000000}"/>
    <hyperlink ref="E107" r:id="rId211" xr:uid="{00000000-0004-0000-0200-0000D2000000}"/>
    <hyperlink ref="F107" r:id="rId212" xr:uid="{00000000-0004-0000-0200-0000D3000000}"/>
    <hyperlink ref="E108" r:id="rId213" xr:uid="{00000000-0004-0000-0200-0000D4000000}"/>
    <hyperlink ref="F108" r:id="rId214" xr:uid="{00000000-0004-0000-0200-0000D5000000}"/>
    <hyperlink ref="E109" r:id="rId215" xr:uid="{00000000-0004-0000-0200-0000D6000000}"/>
    <hyperlink ref="F109" r:id="rId216" xr:uid="{00000000-0004-0000-0200-0000D7000000}"/>
    <hyperlink ref="E110" r:id="rId217" xr:uid="{00000000-0004-0000-0200-0000D8000000}"/>
    <hyperlink ref="F110" r:id="rId218" xr:uid="{00000000-0004-0000-0200-0000D9000000}"/>
    <hyperlink ref="E111" r:id="rId219" xr:uid="{00000000-0004-0000-0200-0000DA000000}"/>
    <hyperlink ref="F111" r:id="rId220" xr:uid="{00000000-0004-0000-0200-0000DB000000}"/>
    <hyperlink ref="E112" r:id="rId221" xr:uid="{00000000-0004-0000-0200-0000DC000000}"/>
    <hyperlink ref="F112" r:id="rId222" xr:uid="{00000000-0004-0000-0200-0000DD000000}"/>
    <hyperlink ref="E113" r:id="rId223" xr:uid="{00000000-0004-0000-0200-0000DE000000}"/>
    <hyperlink ref="F113" r:id="rId224" xr:uid="{00000000-0004-0000-0200-0000DF000000}"/>
    <hyperlink ref="E114" r:id="rId225" xr:uid="{00000000-0004-0000-0200-0000E0000000}"/>
    <hyperlink ref="F114" r:id="rId226" xr:uid="{00000000-0004-0000-0200-0000E1000000}"/>
    <hyperlink ref="E115" r:id="rId227" xr:uid="{00000000-0004-0000-0200-0000E2000000}"/>
    <hyperlink ref="F115" r:id="rId228" xr:uid="{00000000-0004-0000-0200-0000E3000000}"/>
    <hyperlink ref="E116" r:id="rId229" xr:uid="{00000000-0004-0000-0200-0000E4000000}"/>
    <hyperlink ref="F116" r:id="rId230" xr:uid="{00000000-0004-0000-0200-0000E5000000}"/>
    <hyperlink ref="E117" r:id="rId231" xr:uid="{00000000-0004-0000-0200-0000E6000000}"/>
    <hyperlink ref="F117" r:id="rId232" xr:uid="{00000000-0004-0000-0200-0000E7000000}"/>
    <hyperlink ref="E118" r:id="rId233" xr:uid="{00000000-0004-0000-0200-0000E8000000}"/>
    <hyperlink ref="F118" r:id="rId234" xr:uid="{00000000-0004-0000-0200-0000E9000000}"/>
    <hyperlink ref="E119" r:id="rId235" xr:uid="{00000000-0004-0000-0200-0000EA000000}"/>
    <hyperlink ref="F119" r:id="rId236" xr:uid="{00000000-0004-0000-0200-0000EB000000}"/>
    <hyperlink ref="E120" r:id="rId237" xr:uid="{00000000-0004-0000-0200-0000EC000000}"/>
    <hyperlink ref="F120" r:id="rId238" xr:uid="{00000000-0004-0000-0200-0000ED000000}"/>
    <hyperlink ref="E121" r:id="rId239" xr:uid="{00000000-0004-0000-0200-0000EE000000}"/>
    <hyperlink ref="F121" r:id="rId240" xr:uid="{00000000-0004-0000-0200-0000EF000000}"/>
    <hyperlink ref="E122" r:id="rId241" xr:uid="{00000000-0004-0000-0200-0000F0000000}"/>
    <hyperlink ref="F122" r:id="rId242" xr:uid="{00000000-0004-0000-0200-0000F1000000}"/>
    <hyperlink ref="E123" r:id="rId243" xr:uid="{00000000-0004-0000-0200-0000F2000000}"/>
    <hyperlink ref="F123" r:id="rId244" xr:uid="{00000000-0004-0000-0200-0000F3000000}"/>
    <hyperlink ref="E124" r:id="rId245" xr:uid="{00000000-0004-0000-0200-0000F4000000}"/>
    <hyperlink ref="F124" r:id="rId246" xr:uid="{00000000-0004-0000-0200-0000F5000000}"/>
    <hyperlink ref="E125" r:id="rId247" xr:uid="{00000000-0004-0000-0200-0000F6000000}"/>
    <hyperlink ref="F125" r:id="rId248" xr:uid="{00000000-0004-0000-0200-0000F7000000}"/>
    <hyperlink ref="E126" r:id="rId249" xr:uid="{00000000-0004-0000-0200-0000F8000000}"/>
    <hyperlink ref="F126" r:id="rId250" xr:uid="{00000000-0004-0000-0200-0000F9000000}"/>
    <hyperlink ref="E127" r:id="rId251" xr:uid="{00000000-0004-0000-0200-0000FA000000}"/>
    <hyperlink ref="F127" r:id="rId252" xr:uid="{00000000-0004-0000-0200-0000FB000000}"/>
    <hyperlink ref="E128" r:id="rId253" xr:uid="{00000000-0004-0000-0200-0000FC000000}"/>
    <hyperlink ref="F128" r:id="rId254" xr:uid="{00000000-0004-0000-0200-0000FD000000}"/>
    <hyperlink ref="E129" r:id="rId255" xr:uid="{00000000-0004-0000-0200-0000FE000000}"/>
    <hyperlink ref="F129" r:id="rId256" xr:uid="{00000000-0004-0000-0200-0000FF000000}"/>
    <hyperlink ref="E130" r:id="rId257" xr:uid="{00000000-0004-0000-0200-000000010000}"/>
    <hyperlink ref="F130" r:id="rId258" xr:uid="{00000000-0004-0000-0200-000001010000}"/>
    <hyperlink ref="E131" r:id="rId259" xr:uid="{00000000-0004-0000-0200-000002010000}"/>
    <hyperlink ref="F131" r:id="rId260" xr:uid="{00000000-0004-0000-0200-000003010000}"/>
    <hyperlink ref="E132" r:id="rId261" xr:uid="{00000000-0004-0000-0200-000004010000}"/>
    <hyperlink ref="F132" r:id="rId262" xr:uid="{00000000-0004-0000-0200-000005010000}"/>
    <hyperlink ref="E133" r:id="rId263" xr:uid="{00000000-0004-0000-0200-000006010000}"/>
    <hyperlink ref="F133" r:id="rId264" xr:uid="{00000000-0004-0000-0200-000007010000}"/>
    <hyperlink ref="E134" r:id="rId265" xr:uid="{00000000-0004-0000-0200-000008010000}"/>
    <hyperlink ref="F134" r:id="rId266" xr:uid="{00000000-0004-0000-0200-000009010000}"/>
    <hyperlink ref="E135" r:id="rId267" xr:uid="{00000000-0004-0000-0200-00000A010000}"/>
    <hyperlink ref="F135" r:id="rId268" xr:uid="{00000000-0004-0000-0200-00000B010000}"/>
    <hyperlink ref="E136" r:id="rId269" xr:uid="{00000000-0004-0000-0200-00000C010000}"/>
    <hyperlink ref="F136" r:id="rId270" xr:uid="{00000000-0004-0000-0200-00000D010000}"/>
    <hyperlink ref="E137" r:id="rId271" xr:uid="{00000000-0004-0000-0200-00000E010000}"/>
    <hyperlink ref="F137" r:id="rId272" xr:uid="{00000000-0004-0000-0200-00000F010000}"/>
    <hyperlink ref="E138" r:id="rId273" xr:uid="{00000000-0004-0000-0200-000010010000}"/>
    <hyperlink ref="F138" r:id="rId274" xr:uid="{00000000-0004-0000-0200-000011010000}"/>
    <hyperlink ref="E139" r:id="rId275" xr:uid="{00000000-0004-0000-0200-000012010000}"/>
    <hyperlink ref="F139" r:id="rId276" xr:uid="{00000000-0004-0000-0200-000013010000}"/>
    <hyperlink ref="E140" r:id="rId277" xr:uid="{00000000-0004-0000-0200-000014010000}"/>
    <hyperlink ref="F140" r:id="rId278" xr:uid="{00000000-0004-0000-0200-000015010000}"/>
    <hyperlink ref="E141" r:id="rId279" xr:uid="{00000000-0004-0000-0200-000016010000}"/>
    <hyperlink ref="F141" r:id="rId280" xr:uid="{00000000-0004-0000-0200-000017010000}"/>
    <hyperlink ref="E142" r:id="rId281" xr:uid="{00000000-0004-0000-0200-000018010000}"/>
    <hyperlink ref="F142" r:id="rId282" xr:uid="{00000000-0004-0000-0200-000019010000}"/>
    <hyperlink ref="E143" r:id="rId283" xr:uid="{00000000-0004-0000-0200-00001A010000}"/>
    <hyperlink ref="F143" r:id="rId284" xr:uid="{00000000-0004-0000-0200-00001B010000}"/>
    <hyperlink ref="E144" r:id="rId285" xr:uid="{00000000-0004-0000-0200-00001C010000}"/>
    <hyperlink ref="F144" r:id="rId286" xr:uid="{00000000-0004-0000-0200-00001D010000}"/>
    <hyperlink ref="E145" r:id="rId287" xr:uid="{00000000-0004-0000-0200-00001E010000}"/>
    <hyperlink ref="F145" r:id="rId288" xr:uid="{00000000-0004-0000-0200-00001F010000}"/>
    <hyperlink ref="E146" r:id="rId289" xr:uid="{00000000-0004-0000-0200-000020010000}"/>
    <hyperlink ref="F146" r:id="rId290" xr:uid="{00000000-0004-0000-0200-000021010000}"/>
    <hyperlink ref="E147" r:id="rId291" xr:uid="{00000000-0004-0000-0200-000022010000}"/>
    <hyperlink ref="F147" r:id="rId292" xr:uid="{00000000-0004-0000-0200-000023010000}"/>
    <hyperlink ref="E148" r:id="rId293" xr:uid="{00000000-0004-0000-0200-000024010000}"/>
    <hyperlink ref="F148" r:id="rId294" xr:uid="{00000000-0004-0000-0200-000025010000}"/>
    <hyperlink ref="E149" r:id="rId295" xr:uid="{00000000-0004-0000-0200-000026010000}"/>
    <hyperlink ref="F149" r:id="rId296" xr:uid="{00000000-0004-0000-0200-000027010000}"/>
    <hyperlink ref="E150" r:id="rId297" xr:uid="{00000000-0004-0000-0200-000028010000}"/>
    <hyperlink ref="F150" r:id="rId298" xr:uid="{00000000-0004-0000-0200-000029010000}"/>
    <hyperlink ref="E151" r:id="rId299" xr:uid="{00000000-0004-0000-0200-00002A010000}"/>
    <hyperlink ref="F151" r:id="rId300" xr:uid="{00000000-0004-0000-0200-00002B010000}"/>
    <hyperlink ref="E152" r:id="rId301" xr:uid="{00000000-0004-0000-0200-00002C010000}"/>
    <hyperlink ref="F152" r:id="rId302" xr:uid="{00000000-0004-0000-0200-00002D010000}"/>
    <hyperlink ref="E153" r:id="rId303" xr:uid="{00000000-0004-0000-0200-00002E010000}"/>
    <hyperlink ref="F153" r:id="rId304" xr:uid="{00000000-0004-0000-0200-00002F010000}"/>
    <hyperlink ref="E154" r:id="rId305" xr:uid="{00000000-0004-0000-0200-000030010000}"/>
    <hyperlink ref="F154" r:id="rId306" xr:uid="{00000000-0004-0000-0200-000031010000}"/>
    <hyperlink ref="E155" r:id="rId307" xr:uid="{00000000-0004-0000-0200-000032010000}"/>
    <hyperlink ref="F155" r:id="rId308" xr:uid="{00000000-0004-0000-0200-000033010000}"/>
    <hyperlink ref="E156" r:id="rId309" xr:uid="{00000000-0004-0000-0200-000034010000}"/>
    <hyperlink ref="F156" r:id="rId310" xr:uid="{00000000-0004-0000-0200-000035010000}"/>
    <hyperlink ref="E157" r:id="rId311" xr:uid="{00000000-0004-0000-0200-000036010000}"/>
    <hyperlink ref="F157" r:id="rId312" xr:uid="{00000000-0004-0000-0200-000037010000}"/>
    <hyperlink ref="E158" r:id="rId313" xr:uid="{00000000-0004-0000-0200-000038010000}"/>
    <hyperlink ref="F158" r:id="rId314" xr:uid="{00000000-0004-0000-0200-000039010000}"/>
    <hyperlink ref="E159" r:id="rId315" xr:uid="{00000000-0004-0000-0200-00003A010000}"/>
    <hyperlink ref="F159" r:id="rId316" xr:uid="{00000000-0004-0000-0200-00003B010000}"/>
    <hyperlink ref="E160" r:id="rId317" xr:uid="{00000000-0004-0000-0200-00003C010000}"/>
    <hyperlink ref="F160" r:id="rId318" xr:uid="{00000000-0004-0000-0200-00003D010000}"/>
    <hyperlink ref="E161" r:id="rId319" xr:uid="{00000000-0004-0000-0200-00003E010000}"/>
    <hyperlink ref="F161" r:id="rId320" xr:uid="{00000000-0004-0000-0200-00003F010000}"/>
    <hyperlink ref="E162" r:id="rId321" xr:uid="{00000000-0004-0000-0200-000040010000}"/>
    <hyperlink ref="F162" r:id="rId322" xr:uid="{00000000-0004-0000-0200-000041010000}"/>
    <hyperlink ref="E163" r:id="rId323" xr:uid="{00000000-0004-0000-0200-000042010000}"/>
    <hyperlink ref="F163" r:id="rId324" xr:uid="{00000000-0004-0000-0200-000043010000}"/>
    <hyperlink ref="E164" r:id="rId325" xr:uid="{00000000-0004-0000-0200-000044010000}"/>
    <hyperlink ref="F164" r:id="rId326" xr:uid="{00000000-0004-0000-0200-000045010000}"/>
    <hyperlink ref="E165" r:id="rId327" xr:uid="{00000000-0004-0000-0200-000046010000}"/>
    <hyperlink ref="F165" r:id="rId328" xr:uid="{00000000-0004-0000-0200-000047010000}"/>
    <hyperlink ref="E166" r:id="rId329" xr:uid="{00000000-0004-0000-0200-000048010000}"/>
    <hyperlink ref="F166" r:id="rId330" xr:uid="{00000000-0004-0000-0200-000049010000}"/>
    <hyperlink ref="E167" r:id="rId331" xr:uid="{00000000-0004-0000-0200-00004A010000}"/>
    <hyperlink ref="F167" r:id="rId332" xr:uid="{00000000-0004-0000-0200-00004B010000}"/>
    <hyperlink ref="E168" r:id="rId333" xr:uid="{00000000-0004-0000-0200-00004C010000}"/>
    <hyperlink ref="F168" r:id="rId334" xr:uid="{00000000-0004-0000-0200-00004D010000}"/>
    <hyperlink ref="E169" r:id="rId335" xr:uid="{00000000-0004-0000-0200-00004E010000}"/>
    <hyperlink ref="F169" r:id="rId336" xr:uid="{00000000-0004-0000-0200-00004F010000}"/>
    <hyperlink ref="E170" r:id="rId337" xr:uid="{00000000-0004-0000-0200-000050010000}"/>
    <hyperlink ref="F170" r:id="rId338" xr:uid="{00000000-0004-0000-0200-000051010000}"/>
    <hyperlink ref="E171" r:id="rId339" xr:uid="{00000000-0004-0000-0200-000052010000}"/>
    <hyperlink ref="F171" r:id="rId340" xr:uid="{00000000-0004-0000-0200-000053010000}"/>
    <hyperlink ref="E172" r:id="rId341" xr:uid="{00000000-0004-0000-0200-000054010000}"/>
    <hyperlink ref="F172" r:id="rId342" xr:uid="{00000000-0004-0000-0200-000055010000}"/>
    <hyperlink ref="E173" r:id="rId343" xr:uid="{00000000-0004-0000-0200-000056010000}"/>
    <hyperlink ref="F173" r:id="rId344" xr:uid="{00000000-0004-0000-0200-000057010000}"/>
    <hyperlink ref="E174" r:id="rId345" xr:uid="{00000000-0004-0000-0200-000058010000}"/>
    <hyperlink ref="F174" r:id="rId346" xr:uid="{00000000-0004-0000-0200-000059010000}"/>
    <hyperlink ref="E175" r:id="rId347" xr:uid="{00000000-0004-0000-0200-00005A010000}"/>
    <hyperlink ref="F175" r:id="rId348" xr:uid="{00000000-0004-0000-0200-00005B010000}"/>
    <hyperlink ref="E176" r:id="rId349" xr:uid="{00000000-0004-0000-0200-00005C010000}"/>
    <hyperlink ref="F176" r:id="rId350" xr:uid="{00000000-0004-0000-0200-00005D010000}"/>
    <hyperlink ref="E177" r:id="rId351" xr:uid="{00000000-0004-0000-0200-00005E010000}"/>
    <hyperlink ref="F177" r:id="rId352" xr:uid="{00000000-0004-0000-0200-00005F010000}"/>
    <hyperlink ref="E178" r:id="rId353" xr:uid="{00000000-0004-0000-0200-000060010000}"/>
    <hyperlink ref="F178" r:id="rId354" xr:uid="{00000000-0004-0000-0200-000061010000}"/>
    <hyperlink ref="E179" r:id="rId355" xr:uid="{00000000-0004-0000-0200-000062010000}"/>
    <hyperlink ref="F179" r:id="rId356" xr:uid="{00000000-0004-0000-0200-000063010000}"/>
    <hyperlink ref="E180" r:id="rId357" xr:uid="{00000000-0004-0000-0200-000064010000}"/>
    <hyperlink ref="F180" r:id="rId358" xr:uid="{00000000-0004-0000-0200-000065010000}"/>
    <hyperlink ref="E181" r:id="rId359" xr:uid="{00000000-0004-0000-0200-000066010000}"/>
    <hyperlink ref="F181" r:id="rId360" xr:uid="{00000000-0004-0000-0200-000067010000}"/>
    <hyperlink ref="E182" r:id="rId361" xr:uid="{00000000-0004-0000-0200-000068010000}"/>
    <hyperlink ref="F182" r:id="rId362" xr:uid="{00000000-0004-0000-0200-000069010000}"/>
    <hyperlink ref="E183" r:id="rId363" xr:uid="{00000000-0004-0000-0200-00006A010000}"/>
    <hyperlink ref="F183" r:id="rId364" xr:uid="{00000000-0004-0000-0200-00006B010000}"/>
    <hyperlink ref="E184" r:id="rId365" xr:uid="{00000000-0004-0000-0200-00006C010000}"/>
    <hyperlink ref="F184" r:id="rId366" xr:uid="{00000000-0004-0000-0200-00006D010000}"/>
    <hyperlink ref="E185" r:id="rId367" xr:uid="{00000000-0004-0000-0200-00006E010000}"/>
    <hyperlink ref="F185" r:id="rId368" xr:uid="{00000000-0004-0000-0200-00006F010000}"/>
    <hyperlink ref="E186" r:id="rId369" xr:uid="{00000000-0004-0000-0200-000070010000}"/>
    <hyperlink ref="F186" r:id="rId370" xr:uid="{00000000-0004-0000-0200-000071010000}"/>
    <hyperlink ref="E187" r:id="rId371" xr:uid="{00000000-0004-0000-0200-000072010000}"/>
    <hyperlink ref="F187" r:id="rId372" xr:uid="{00000000-0004-0000-0200-000073010000}"/>
    <hyperlink ref="E188" r:id="rId373" xr:uid="{00000000-0004-0000-0200-000074010000}"/>
    <hyperlink ref="F188" r:id="rId374" xr:uid="{00000000-0004-0000-0200-000075010000}"/>
    <hyperlink ref="E189" r:id="rId375" xr:uid="{00000000-0004-0000-0200-000076010000}"/>
    <hyperlink ref="F189" r:id="rId376" xr:uid="{00000000-0004-0000-0200-000077010000}"/>
    <hyperlink ref="E190" r:id="rId377" xr:uid="{00000000-0004-0000-0200-000078010000}"/>
    <hyperlink ref="F190" r:id="rId378" xr:uid="{00000000-0004-0000-0200-000079010000}"/>
    <hyperlink ref="E191" r:id="rId379" xr:uid="{00000000-0004-0000-0200-00007A010000}"/>
    <hyperlink ref="F191" r:id="rId380" xr:uid="{00000000-0004-0000-0200-00007B010000}"/>
    <hyperlink ref="E192" r:id="rId381" xr:uid="{00000000-0004-0000-0200-00007C010000}"/>
    <hyperlink ref="F192" r:id="rId382" xr:uid="{00000000-0004-0000-0200-00007D010000}"/>
    <hyperlink ref="E193" r:id="rId383" xr:uid="{00000000-0004-0000-0200-00007E010000}"/>
    <hyperlink ref="F193" r:id="rId384" xr:uid="{00000000-0004-0000-0200-00007F010000}"/>
    <hyperlink ref="E194" r:id="rId385" xr:uid="{00000000-0004-0000-0200-000080010000}"/>
    <hyperlink ref="F194" r:id="rId386" xr:uid="{00000000-0004-0000-0200-000081010000}"/>
    <hyperlink ref="E195" r:id="rId387" xr:uid="{00000000-0004-0000-0200-000082010000}"/>
    <hyperlink ref="F195" r:id="rId388" xr:uid="{00000000-0004-0000-0200-000083010000}"/>
    <hyperlink ref="E196" r:id="rId389" xr:uid="{00000000-0004-0000-0200-000084010000}"/>
    <hyperlink ref="F196" r:id="rId390" xr:uid="{00000000-0004-0000-0200-000085010000}"/>
    <hyperlink ref="E197" r:id="rId391" xr:uid="{00000000-0004-0000-0200-000086010000}"/>
    <hyperlink ref="F197" r:id="rId392" xr:uid="{00000000-0004-0000-0200-000087010000}"/>
    <hyperlink ref="E198" r:id="rId393" xr:uid="{00000000-0004-0000-0200-000088010000}"/>
    <hyperlink ref="F198" r:id="rId394" xr:uid="{00000000-0004-0000-0200-000089010000}"/>
    <hyperlink ref="E199" r:id="rId395" xr:uid="{00000000-0004-0000-0200-00008A010000}"/>
    <hyperlink ref="F199" r:id="rId396" xr:uid="{00000000-0004-0000-0200-00008B010000}"/>
    <hyperlink ref="E200" r:id="rId397" xr:uid="{00000000-0004-0000-0200-00008C010000}"/>
    <hyperlink ref="F200" r:id="rId398" xr:uid="{00000000-0004-0000-0200-00008D010000}"/>
    <hyperlink ref="E201" r:id="rId399" xr:uid="{00000000-0004-0000-0200-00008E010000}"/>
    <hyperlink ref="F201" r:id="rId400" xr:uid="{00000000-0004-0000-0200-00008F010000}"/>
    <hyperlink ref="E202" r:id="rId401" xr:uid="{00000000-0004-0000-0200-000090010000}"/>
    <hyperlink ref="F202" r:id="rId402" xr:uid="{00000000-0004-0000-0200-000091010000}"/>
    <hyperlink ref="E203" r:id="rId403" xr:uid="{00000000-0004-0000-0200-000092010000}"/>
    <hyperlink ref="F203" r:id="rId404" xr:uid="{00000000-0004-0000-0200-000093010000}"/>
    <hyperlink ref="E204" r:id="rId405" xr:uid="{00000000-0004-0000-0200-000094010000}"/>
    <hyperlink ref="F204" r:id="rId406" xr:uid="{00000000-0004-0000-0200-000095010000}"/>
    <hyperlink ref="E205" r:id="rId407" xr:uid="{00000000-0004-0000-0200-000096010000}"/>
    <hyperlink ref="F205" r:id="rId408" xr:uid="{00000000-0004-0000-0200-000097010000}"/>
    <hyperlink ref="E206" r:id="rId409" xr:uid="{00000000-0004-0000-0200-000098010000}"/>
    <hyperlink ref="F206" r:id="rId410" xr:uid="{00000000-0004-0000-0200-000099010000}"/>
    <hyperlink ref="E207" r:id="rId411" xr:uid="{00000000-0004-0000-0200-00009A010000}"/>
    <hyperlink ref="F207" r:id="rId412" xr:uid="{00000000-0004-0000-0200-00009B010000}"/>
    <hyperlink ref="E208" r:id="rId413" xr:uid="{00000000-0004-0000-0200-00009C010000}"/>
    <hyperlink ref="F208" r:id="rId414" xr:uid="{00000000-0004-0000-0200-00009D010000}"/>
    <hyperlink ref="E209" r:id="rId415" xr:uid="{00000000-0004-0000-0200-00009E010000}"/>
    <hyperlink ref="F209" r:id="rId416" xr:uid="{00000000-0004-0000-0200-00009F010000}"/>
    <hyperlink ref="E210" r:id="rId417" xr:uid="{00000000-0004-0000-0200-0000A0010000}"/>
    <hyperlink ref="F210" r:id="rId418" xr:uid="{00000000-0004-0000-0200-0000A1010000}"/>
    <hyperlink ref="E211" r:id="rId419" xr:uid="{00000000-0004-0000-0200-0000A2010000}"/>
    <hyperlink ref="F211" r:id="rId420" xr:uid="{00000000-0004-0000-0200-0000A3010000}"/>
    <hyperlink ref="E212" r:id="rId421" xr:uid="{00000000-0004-0000-0200-0000A4010000}"/>
    <hyperlink ref="F212" r:id="rId422" xr:uid="{00000000-0004-0000-0200-0000A5010000}"/>
    <hyperlink ref="E213" r:id="rId423" xr:uid="{00000000-0004-0000-0200-0000A6010000}"/>
    <hyperlink ref="F213" r:id="rId424" xr:uid="{00000000-0004-0000-0200-0000A7010000}"/>
    <hyperlink ref="E214" r:id="rId425" xr:uid="{00000000-0004-0000-0200-0000A8010000}"/>
    <hyperlink ref="F214" r:id="rId426" xr:uid="{00000000-0004-0000-0200-0000A9010000}"/>
    <hyperlink ref="E215" r:id="rId427" xr:uid="{00000000-0004-0000-0200-0000AA010000}"/>
    <hyperlink ref="F215" r:id="rId428" xr:uid="{00000000-0004-0000-0200-0000AB010000}"/>
    <hyperlink ref="E216" r:id="rId429" xr:uid="{00000000-0004-0000-0200-0000AC010000}"/>
    <hyperlink ref="F216" r:id="rId430" xr:uid="{00000000-0004-0000-0200-0000AD010000}"/>
    <hyperlink ref="E217" r:id="rId431" xr:uid="{00000000-0004-0000-0200-0000AE010000}"/>
    <hyperlink ref="F217" r:id="rId432" xr:uid="{00000000-0004-0000-0200-0000AF010000}"/>
    <hyperlink ref="E218" r:id="rId433" xr:uid="{00000000-0004-0000-0200-0000B0010000}"/>
    <hyperlink ref="F218" r:id="rId434" xr:uid="{00000000-0004-0000-0200-0000B1010000}"/>
    <hyperlink ref="E219" r:id="rId435" xr:uid="{00000000-0004-0000-0200-0000B2010000}"/>
    <hyperlink ref="F219" r:id="rId436" xr:uid="{00000000-0004-0000-0200-0000B3010000}"/>
    <hyperlink ref="E220" r:id="rId437" xr:uid="{00000000-0004-0000-0200-0000B4010000}"/>
    <hyperlink ref="F220" r:id="rId438" xr:uid="{00000000-0004-0000-0200-0000B5010000}"/>
    <hyperlink ref="E221" r:id="rId439" xr:uid="{00000000-0004-0000-0200-0000B6010000}"/>
    <hyperlink ref="F221" r:id="rId440" xr:uid="{00000000-0004-0000-0200-0000B7010000}"/>
    <hyperlink ref="E222" r:id="rId441" xr:uid="{00000000-0004-0000-0200-0000B8010000}"/>
    <hyperlink ref="F222" r:id="rId442" xr:uid="{00000000-0004-0000-0200-0000B9010000}"/>
    <hyperlink ref="E223" r:id="rId443" xr:uid="{00000000-0004-0000-0200-0000BA010000}"/>
    <hyperlink ref="F223" r:id="rId444" xr:uid="{00000000-0004-0000-0200-0000BB010000}"/>
    <hyperlink ref="E224" r:id="rId445" xr:uid="{00000000-0004-0000-0200-0000BC010000}"/>
    <hyperlink ref="F224" r:id="rId446" xr:uid="{00000000-0004-0000-0200-0000BD010000}"/>
    <hyperlink ref="E225" r:id="rId447" xr:uid="{00000000-0004-0000-0200-0000BE010000}"/>
    <hyperlink ref="F225" r:id="rId448" xr:uid="{00000000-0004-0000-0200-0000BF010000}"/>
    <hyperlink ref="E226" r:id="rId449" xr:uid="{00000000-0004-0000-0200-0000C0010000}"/>
    <hyperlink ref="F226" r:id="rId450" xr:uid="{00000000-0004-0000-0200-0000C1010000}"/>
    <hyperlink ref="E227" r:id="rId451" xr:uid="{00000000-0004-0000-0200-0000C2010000}"/>
    <hyperlink ref="F227" r:id="rId452" xr:uid="{00000000-0004-0000-0200-0000C3010000}"/>
    <hyperlink ref="E228" r:id="rId453" xr:uid="{00000000-0004-0000-0200-0000C4010000}"/>
    <hyperlink ref="F228" r:id="rId454" xr:uid="{00000000-0004-0000-0200-0000C5010000}"/>
    <hyperlink ref="E229" r:id="rId455" xr:uid="{00000000-0004-0000-0200-0000C6010000}"/>
    <hyperlink ref="F229" r:id="rId456" xr:uid="{00000000-0004-0000-0200-0000C7010000}"/>
    <hyperlink ref="E230" r:id="rId457" xr:uid="{00000000-0004-0000-0200-0000C8010000}"/>
    <hyperlink ref="F230" r:id="rId458" xr:uid="{00000000-0004-0000-0200-0000C9010000}"/>
    <hyperlink ref="E231" r:id="rId459" xr:uid="{00000000-0004-0000-0200-0000CA010000}"/>
    <hyperlink ref="F231" r:id="rId460" xr:uid="{00000000-0004-0000-0200-0000CB010000}"/>
    <hyperlink ref="E232" r:id="rId461" xr:uid="{00000000-0004-0000-0200-0000CC010000}"/>
    <hyperlink ref="F232" r:id="rId462" xr:uid="{00000000-0004-0000-0200-0000CD010000}"/>
    <hyperlink ref="E233" r:id="rId463" xr:uid="{00000000-0004-0000-0200-0000CE010000}"/>
    <hyperlink ref="F233" r:id="rId464" xr:uid="{00000000-0004-0000-0200-0000CF010000}"/>
    <hyperlink ref="E234" r:id="rId465" xr:uid="{00000000-0004-0000-0200-0000D0010000}"/>
    <hyperlink ref="F234" r:id="rId466" xr:uid="{00000000-0004-0000-0200-0000D1010000}"/>
    <hyperlink ref="E235" r:id="rId467" xr:uid="{00000000-0004-0000-0200-0000D2010000}"/>
    <hyperlink ref="F235" r:id="rId468" xr:uid="{00000000-0004-0000-0200-0000D3010000}"/>
    <hyperlink ref="E236" r:id="rId469" xr:uid="{00000000-0004-0000-0200-0000D4010000}"/>
    <hyperlink ref="F236" r:id="rId470" xr:uid="{00000000-0004-0000-0200-0000D5010000}"/>
    <hyperlink ref="E237" r:id="rId471" xr:uid="{00000000-0004-0000-0200-0000D6010000}"/>
    <hyperlink ref="F237" r:id="rId472" xr:uid="{00000000-0004-0000-0200-0000D7010000}"/>
    <hyperlink ref="E238" r:id="rId473" xr:uid="{00000000-0004-0000-0200-0000D8010000}"/>
    <hyperlink ref="F238" r:id="rId474" xr:uid="{00000000-0004-0000-0200-0000D9010000}"/>
    <hyperlink ref="E239" r:id="rId475" xr:uid="{00000000-0004-0000-0200-0000DA010000}"/>
    <hyperlink ref="F239" r:id="rId476" xr:uid="{00000000-0004-0000-0200-0000DB010000}"/>
    <hyperlink ref="E240" r:id="rId477" xr:uid="{00000000-0004-0000-0200-0000DC010000}"/>
    <hyperlink ref="F240" r:id="rId478" xr:uid="{00000000-0004-0000-0200-0000DD010000}"/>
    <hyperlink ref="E241" r:id="rId479" xr:uid="{00000000-0004-0000-0200-0000DE010000}"/>
    <hyperlink ref="F241" r:id="rId480" xr:uid="{00000000-0004-0000-0200-0000DF010000}"/>
    <hyperlink ref="E242" r:id="rId481" xr:uid="{00000000-0004-0000-0200-0000E0010000}"/>
    <hyperlink ref="F242" r:id="rId482" xr:uid="{00000000-0004-0000-0200-0000E1010000}"/>
    <hyperlink ref="E243" r:id="rId483" xr:uid="{00000000-0004-0000-0200-0000E2010000}"/>
    <hyperlink ref="F243" r:id="rId484" xr:uid="{00000000-0004-0000-0200-0000E3010000}"/>
    <hyperlink ref="E244" r:id="rId485" xr:uid="{00000000-0004-0000-0200-0000E4010000}"/>
    <hyperlink ref="F244" r:id="rId486" xr:uid="{00000000-0004-0000-0200-0000E5010000}"/>
    <hyperlink ref="E245" r:id="rId487" xr:uid="{00000000-0004-0000-0200-0000E6010000}"/>
    <hyperlink ref="F245" r:id="rId488" xr:uid="{00000000-0004-0000-0200-0000E7010000}"/>
    <hyperlink ref="E246" r:id="rId489" xr:uid="{00000000-0004-0000-0200-0000E8010000}"/>
    <hyperlink ref="F246" r:id="rId490" xr:uid="{00000000-0004-0000-0200-0000E9010000}"/>
    <hyperlink ref="E247" r:id="rId491" xr:uid="{00000000-0004-0000-0200-0000EA010000}"/>
    <hyperlink ref="F247" r:id="rId492" xr:uid="{00000000-0004-0000-0200-0000EB010000}"/>
    <hyperlink ref="E248" r:id="rId493" xr:uid="{00000000-0004-0000-0200-0000EC010000}"/>
    <hyperlink ref="F248" r:id="rId494" xr:uid="{00000000-0004-0000-0200-0000ED010000}"/>
    <hyperlink ref="E249" r:id="rId495" xr:uid="{00000000-0004-0000-0200-0000EE010000}"/>
    <hyperlink ref="F249" r:id="rId496" xr:uid="{00000000-0004-0000-0200-0000EF010000}"/>
    <hyperlink ref="E250" r:id="rId497" xr:uid="{00000000-0004-0000-0200-0000F0010000}"/>
    <hyperlink ref="F250" r:id="rId498" xr:uid="{00000000-0004-0000-0200-0000F1010000}"/>
    <hyperlink ref="E251" r:id="rId499" xr:uid="{00000000-0004-0000-0200-0000F2010000}"/>
    <hyperlink ref="F251" r:id="rId500" xr:uid="{00000000-0004-0000-0200-0000F3010000}"/>
    <hyperlink ref="E252" r:id="rId501" xr:uid="{00000000-0004-0000-0200-0000F4010000}"/>
    <hyperlink ref="F252" r:id="rId502" xr:uid="{00000000-0004-0000-0200-0000F5010000}"/>
    <hyperlink ref="E253" r:id="rId503" xr:uid="{00000000-0004-0000-0200-0000F6010000}"/>
    <hyperlink ref="F253" r:id="rId504" xr:uid="{00000000-0004-0000-0200-0000F7010000}"/>
    <hyperlink ref="E254" r:id="rId505" xr:uid="{00000000-0004-0000-0200-0000F8010000}"/>
    <hyperlink ref="F254" r:id="rId506" xr:uid="{00000000-0004-0000-0200-0000F9010000}"/>
    <hyperlink ref="E255" r:id="rId507" xr:uid="{00000000-0004-0000-0200-0000FA010000}"/>
    <hyperlink ref="F255" r:id="rId508" xr:uid="{00000000-0004-0000-0200-0000FB010000}"/>
    <hyperlink ref="E256" r:id="rId509" xr:uid="{00000000-0004-0000-0200-0000FC010000}"/>
    <hyperlink ref="F256" r:id="rId510" xr:uid="{00000000-0004-0000-0200-0000FD010000}"/>
    <hyperlink ref="E257" r:id="rId511" xr:uid="{00000000-0004-0000-0200-0000FE010000}"/>
    <hyperlink ref="F257" r:id="rId512" xr:uid="{00000000-0004-0000-0200-0000FF010000}"/>
    <hyperlink ref="E258" r:id="rId513" xr:uid="{00000000-0004-0000-0200-000000020000}"/>
    <hyperlink ref="F258" r:id="rId514" xr:uid="{00000000-0004-0000-0200-000001020000}"/>
    <hyperlink ref="E259" r:id="rId515" xr:uid="{00000000-0004-0000-0200-000002020000}"/>
    <hyperlink ref="F259" r:id="rId516" xr:uid="{00000000-0004-0000-0200-000003020000}"/>
    <hyperlink ref="E260" r:id="rId517" xr:uid="{00000000-0004-0000-0200-000004020000}"/>
    <hyperlink ref="F260" r:id="rId518" xr:uid="{00000000-0004-0000-0200-000005020000}"/>
    <hyperlink ref="E261" r:id="rId519" xr:uid="{00000000-0004-0000-0200-000006020000}"/>
    <hyperlink ref="F261" r:id="rId520" xr:uid="{00000000-0004-0000-0200-000007020000}"/>
    <hyperlink ref="E262" r:id="rId521" xr:uid="{00000000-0004-0000-0200-000008020000}"/>
    <hyperlink ref="F262" r:id="rId522" xr:uid="{00000000-0004-0000-0200-000009020000}"/>
    <hyperlink ref="E263" r:id="rId523" xr:uid="{00000000-0004-0000-0200-00000A020000}"/>
    <hyperlink ref="F263" r:id="rId524" xr:uid="{00000000-0004-0000-0200-00000B020000}"/>
    <hyperlink ref="E264" r:id="rId525" xr:uid="{00000000-0004-0000-0200-00000C020000}"/>
    <hyperlink ref="F264" r:id="rId526" xr:uid="{00000000-0004-0000-0200-00000D020000}"/>
    <hyperlink ref="E265" r:id="rId527" xr:uid="{00000000-0004-0000-0200-00000E020000}"/>
    <hyperlink ref="F265" r:id="rId528" xr:uid="{00000000-0004-0000-0200-00000F020000}"/>
    <hyperlink ref="E266" r:id="rId529" xr:uid="{00000000-0004-0000-0200-000010020000}"/>
    <hyperlink ref="F266" r:id="rId530" xr:uid="{00000000-0004-0000-0200-000011020000}"/>
    <hyperlink ref="E267" r:id="rId531" xr:uid="{00000000-0004-0000-0200-000012020000}"/>
    <hyperlink ref="F267" r:id="rId532" xr:uid="{00000000-0004-0000-0200-000013020000}"/>
    <hyperlink ref="E268" r:id="rId533" xr:uid="{00000000-0004-0000-0200-000014020000}"/>
    <hyperlink ref="F268" r:id="rId534" xr:uid="{00000000-0004-0000-0200-000015020000}"/>
    <hyperlink ref="E269" r:id="rId535" xr:uid="{00000000-0004-0000-0200-000016020000}"/>
    <hyperlink ref="F269" r:id="rId536" xr:uid="{00000000-0004-0000-0200-000017020000}"/>
    <hyperlink ref="E270" r:id="rId537" xr:uid="{00000000-0004-0000-0200-000018020000}"/>
    <hyperlink ref="F270" r:id="rId538" xr:uid="{00000000-0004-0000-0200-000019020000}"/>
    <hyperlink ref="E271" r:id="rId539" xr:uid="{00000000-0004-0000-0200-00001A020000}"/>
    <hyperlink ref="F271" r:id="rId540" xr:uid="{00000000-0004-0000-0200-00001B020000}"/>
    <hyperlink ref="E272" r:id="rId541" xr:uid="{00000000-0004-0000-0200-00001C020000}"/>
    <hyperlink ref="F272" r:id="rId542" xr:uid="{00000000-0004-0000-0200-00001D020000}"/>
    <hyperlink ref="E273" r:id="rId543" xr:uid="{00000000-0004-0000-0200-00001E020000}"/>
    <hyperlink ref="F273" r:id="rId544" xr:uid="{00000000-0004-0000-0200-00001F020000}"/>
    <hyperlink ref="E274" r:id="rId545" xr:uid="{00000000-0004-0000-0200-000020020000}"/>
    <hyperlink ref="F274" r:id="rId546" xr:uid="{00000000-0004-0000-0200-000021020000}"/>
    <hyperlink ref="E275" r:id="rId547" xr:uid="{00000000-0004-0000-0200-000022020000}"/>
    <hyperlink ref="F275" r:id="rId548" xr:uid="{00000000-0004-0000-0200-000023020000}"/>
    <hyperlink ref="E276" r:id="rId549" xr:uid="{00000000-0004-0000-0200-000024020000}"/>
    <hyperlink ref="F276" r:id="rId550" xr:uid="{00000000-0004-0000-0200-000025020000}"/>
    <hyperlink ref="E277" r:id="rId551" xr:uid="{00000000-0004-0000-0200-000026020000}"/>
    <hyperlink ref="F277" r:id="rId552" xr:uid="{00000000-0004-0000-0200-000027020000}"/>
    <hyperlink ref="E278" r:id="rId553" xr:uid="{00000000-0004-0000-0200-000028020000}"/>
    <hyperlink ref="F278" r:id="rId554" xr:uid="{00000000-0004-0000-0200-000029020000}"/>
    <hyperlink ref="E279" r:id="rId555" xr:uid="{00000000-0004-0000-0200-00002A020000}"/>
    <hyperlink ref="F279" r:id="rId556" xr:uid="{00000000-0004-0000-0200-00002B020000}"/>
    <hyperlink ref="E280" r:id="rId557" xr:uid="{00000000-0004-0000-0200-00002C020000}"/>
    <hyperlink ref="F280" r:id="rId558" xr:uid="{00000000-0004-0000-0200-00002D020000}"/>
    <hyperlink ref="E281" r:id="rId559" xr:uid="{00000000-0004-0000-0200-00002E020000}"/>
    <hyperlink ref="F281" r:id="rId560" xr:uid="{00000000-0004-0000-0200-00002F020000}"/>
    <hyperlink ref="E282" r:id="rId561" xr:uid="{00000000-0004-0000-0200-000030020000}"/>
    <hyperlink ref="F282" r:id="rId562" xr:uid="{00000000-0004-0000-0200-000031020000}"/>
    <hyperlink ref="E283" r:id="rId563" xr:uid="{00000000-0004-0000-0200-000032020000}"/>
    <hyperlink ref="F283" r:id="rId564" xr:uid="{00000000-0004-0000-0200-000033020000}"/>
    <hyperlink ref="E284" r:id="rId565" xr:uid="{00000000-0004-0000-0200-000034020000}"/>
    <hyperlink ref="F284" r:id="rId566" xr:uid="{00000000-0004-0000-0200-000035020000}"/>
    <hyperlink ref="E285" r:id="rId567" xr:uid="{00000000-0004-0000-0200-000036020000}"/>
    <hyperlink ref="F285" r:id="rId568" xr:uid="{00000000-0004-0000-0200-000037020000}"/>
    <hyperlink ref="E286" r:id="rId569" xr:uid="{00000000-0004-0000-0200-000038020000}"/>
    <hyperlink ref="F286" r:id="rId570" xr:uid="{00000000-0004-0000-0200-000039020000}"/>
    <hyperlink ref="E287" r:id="rId571" xr:uid="{00000000-0004-0000-0200-00003A020000}"/>
    <hyperlink ref="F287" r:id="rId572" xr:uid="{00000000-0004-0000-0200-00003B020000}"/>
    <hyperlink ref="E288" r:id="rId573" xr:uid="{00000000-0004-0000-0200-00003C020000}"/>
    <hyperlink ref="F288" r:id="rId574" xr:uid="{00000000-0004-0000-0200-00003D020000}"/>
    <hyperlink ref="E289" r:id="rId575" xr:uid="{00000000-0004-0000-0200-00003E020000}"/>
    <hyperlink ref="F289" r:id="rId576" xr:uid="{00000000-0004-0000-0200-00003F020000}"/>
    <hyperlink ref="E290" r:id="rId577" xr:uid="{00000000-0004-0000-0200-000040020000}"/>
    <hyperlink ref="F290" r:id="rId578" xr:uid="{00000000-0004-0000-0200-000041020000}"/>
    <hyperlink ref="E291" r:id="rId579" xr:uid="{00000000-0004-0000-0200-000042020000}"/>
    <hyperlink ref="F291" r:id="rId580" xr:uid="{00000000-0004-0000-0200-000043020000}"/>
    <hyperlink ref="E292" r:id="rId581" xr:uid="{00000000-0004-0000-0200-000044020000}"/>
    <hyperlink ref="F292" r:id="rId582" xr:uid="{00000000-0004-0000-0200-000045020000}"/>
    <hyperlink ref="E293" r:id="rId583" xr:uid="{00000000-0004-0000-0200-000046020000}"/>
    <hyperlink ref="F293" r:id="rId584" xr:uid="{00000000-0004-0000-0200-000047020000}"/>
    <hyperlink ref="E294" r:id="rId585" xr:uid="{00000000-0004-0000-0200-000048020000}"/>
    <hyperlink ref="F294" r:id="rId586" xr:uid="{00000000-0004-0000-0200-000049020000}"/>
    <hyperlink ref="E295" r:id="rId587" xr:uid="{00000000-0004-0000-0200-00004A020000}"/>
    <hyperlink ref="F295" r:id="rId588" xr:uid="{00000000-0004-0000-0200-00004B020000}"/>
    <hyperlink ref="E296" r:id="rId589" xr:uid="{00000000-0004-0000-0200-00004C020000}"/>
    <hyperlink ref="F296" r:id="rId590" xr:uid="{00000000-0004-0000-0200-00004D020000}"/>
    <hyperlink ref="E297" r:id="rId591" xr:uid="{00000000-0004-0000-0200-00004E020000}"/>
    <hyperlink ref="F297" r:id="rId592" xr:uid="{00000000-0004-0000-0200-00004F020000}"/>
    <hyperlink ref="E298" r:id="rId593" xr:uid="{00000000-0004-0000-0200-000050020000}"/>
    <hyperlink ref="F298" r:id="rId594" xr:uid="{00000000-0004-0000-0200-000051020000}"/>
    <hyperlink ref="E299" r:id="rId595" xr:uid="{00000000-0004-0000-0200-000052020000}"/>
    <hyperlink ref="F299" r:id="rId596" xr:uid="{00000000-0004-0000-0200-000053020000}"/>
    <hyperlink ref="E300" r:id="rId597" xr:uid="{00000000-0004-0000-0200-000054020000}"/>
    <hyperlink ref="F300" r:id="rId598" xr:uid="{00000000-0004-0000-0200-000055020000}"/>
    <hyperlink ref="E301" r:id="rId599" xr:uid="{00000000-0004-0000-0200-000056020000}"/>
    <hyperlink ref="F301" r:id="rId600" xr:uid="{00000000-0004-0000-0200-000057020000}"/>
    <hyperlink ref="E302" r:id="rId601" xr:uid="{00000000-0004-0000-0200-000058020000}"/>
    <hyperlink ref="F302" r:id="rId602" xr:uid="{00000000-0004-0000-0200-000059020000}"/>
    <hyperlink ref="E303" r:id="rId603" xr:uid="{00000000-0004-0000-0200-00005A020000}"/>
    <hyperlink ref="F303" r:id="rId604" xr:uid="{00000000-0004-0000-0200-00005B020000}"/>
    <hyperlink ref="E304" r:id="rId605" xr:uid="{00000000-0004-0000-0200-00005C020000}"/>
    <hyperlink ref="F304" r:id="rId606" xr:uid="{00000000-0004-0000-0200-00005D020000}"/>
    <hyperlink ref="E305" r:id="rId607" xr:uid="{00000000-0004-0000-0200-00005E020000}"/>
    <hyperlink ref="F305" r:id="rId608" xr:uid="{00000000-0004-0000-0200-00005F020000}"/>
    <hyperlink ref="E306" r:id="rId609" xr:uid="{00000000-0004-0000-0200-000060020000}"/>
    <hyperlink ref="F306" r:id="rId610" xr:uid="{00000000-0004-0000-0200-000061020000}"/>
    <hyperlink ref="E307" r:id="rId611" xr:uid="{00000000-0004-0000-0200-000062020000}"/>
    <hyperlink ref="F307" r:id="rId612" xr:uid="{00000000-0004-0000-0200-000063020000}"/>
    <hyperlink ref="E308" r:id="rId613" xr:uid="{00000000-0004-0000-0200-000064020000}"/>
    <hyperlink ref="F308" r:id="rId614" xr:uid="{00000000-0004-0000-0200-000065020000}"/>
    <hyperlink ref="E309" r:id="rId615" xr:uid="{00000000-0004-0000-0200-000066020000}"/>
    <hyperlink ref="F309" r:id="rId616" xr:uid="{00000000-0004-0000-0200-000067020000}"/>
    <hyperlink ref="E310" r:id="rId617" xr:uid="{00000000-0004-0000-0200-000068020000}"/>
    <hyperlink ref="F310" r:id="rId618" xr:uid="{00000000-0004-0000-0200-000069020000}"/>
    <hyperlink ref="E311" r:id="rId619" xr:uid="{00000000-0004-0000-0200-00006A020000}"/>
    <hyperlink ref="F311" r:id="rId620" xr:uid="{00000000-0004-0000-0200-00006B020000}"/>
    <hyperlink ref="E312" r:id="rId621" xr:uid="{00000000-0004-0000-0200-00006C020000}"/>
    <hyperlink ref="F312" r:id="rId622" xr:uid="{00000000-0004-0000-0200-00006D020000}"/>
    <hyperlink ref="E313" r:id="rId623" xr:uid="{00000000-0004-0000-0200-00006E020000}"/>
    <hyperlink ref="F313" r:id="rId624" xr:uid="{00000000-0004-0000-0200-00006F020000}"/>
    <hyperlink ref="E314" r:id="rId625" xr:uid="{00000000-0004-0000-0200-000070020000}"/>
    <hyperlink ref="F314" r:id="rId626" xr:uid="{00000000-0004-0000-0200-000071020000}"/>
    <hyperlink ref="E315" r:id="rId627" xr:uid="{00000000-0004-0000-0200-000072020000}"/>
    <hyperlink ref="F315" r:id="rId628" xr:uid="{00000000-0004-0000-0200-000073020000}"/>
    <hyperlink ref="E316" r:id="rId629" xr:uid="{00000000-0004-0000-0200-000074020000}"/>
    <hyperlink ref="F316" r:id="rId630" xr:uid="{00000000-0004-0000-0200-000075020000}"/>
    <hyperlink ref="E317" r:id="rId631" xr:uid="{00000000-0004-0000-0200-000076020000}"/>
    <hyperlink ref="F317" r:id="rId632" xr:uid="{00000000-0004-0000-0200-000077020000}"/>
    <hyperlink ref="E318" r:id="rId633" xr:uid="{00000000-0004-0000-0200-000078020000}"/>
    <hyperlink ref="F318" r:id="rId634" xr:uid="{00000000-0004-0000-0200-000079020000}"/>
    <hyperlink ref="E319" r:id="rId635" xr:uid="{00000000-0004-0000-0200-00007A020000}"/>
    <hyperlink ref="F319" r:id="rId636" xr:uid="{00000000-0004-0000-0200-00007B020000}"/>
    <hyperlink ref="E320" r:id="rId637" xr:uid="{00000000-0004-0000-0200-00007C020000}"/>
    <hyperlink ref="F320" r:id="rId638" xr:uid="{00000000-0004-0000-0200-00007D020000}"/>
    <hyperlink ref="E321" r:id="rId639" xr:uid="{00000000-0004-0000-0200-00007E020000}"/>
    <hyperlink ref="F321" r:id="rId640" xr:uid="{00000000-0004-0000-0200-00007F020000}"/>
    <hyperlink ref="E322" r:id="rId641" xr:uid="{00000000-0004-0000-0200-000080020000}"/>
    <hyperlink ref="F322" r:id="rId642" xr:uid="{00000000-0004-0000-0200-000081020000}"/>
    <hyperlink ref="E323" r:id="rId643" xr:uid="{00000000-0004-0000-0200-000082020000}"/>
    <hyperlink ref="F323" r:id="rId644" xr:uid="{00000000-0004-0000-0200-000083020000}"/>
    <hyperlink ref="E324" r:id="rId645" xr:uid="{00000000-0004-0000-0200-000084020000}"/>
    <hyperlink ref="F324" r:id="rId646" xr:uid="{00000000-0004-0000-0200-000085020000}"/>
    <hyperlink ref="E325" r:id="rId647" xr:uid="{00000000-0004-0000-0200-000086020000}"/>
    <hyperlink ref="F325" r:id="rId648" xr:uid="{00000000-0004-0000-0200-000087020000}"/>
    <hyperlink ref="E326" r:id="rId649" xr:uid="{00000000-0004-0000-0200-000088020000}"/>
    <hyperlink ref="F326" r:id="rId650" xr:uid="{00000000-0004-0000-0200-000089020000}"/>
    <hyperlink ref="E327" r:id="rId651" xr:uid="{00000000-0004-0000-0200-00008A020000}"/>
    <hyperlink ref="F327" r:id="rId652" xr:uid="{00000000-0004-0000-0200-00008B020000}"/>
    <hyperlink ref="E328" r:id="rId653" xr:uid="{00000000-0004-0000-0200-00008C020000}"/>
    <hyperlink ref="F328" r:id="rId654" xr:uid="{00000000-0004-0000-0200-00008D020000}"/>
    <hyperlink ref="E329" r:id="rId655" xr:uid="{00000000-0004-0000-0200-00008E020000}"/>
    <hyperlink ref="F329" r:id="rId656" xr:uid="{00000000-0004-0000-0200-00008F020000}"/>
    <hyperlink ref="E330" r:id="rId657" xr:uid="{00000000-0004-0000-0200-000090020000}"/>
    <hyperlink ref="F330" r:id="rId658" xr:uid="{00000000-0004-0000-0200-000091020000}"/>
    <hyperlink ref="E331" r:id="rId659" xr:uid="{00000000-0004-0000-0200-000092020000}"/>
    <hyperlink ref="F331" r:id="rId660" xr:uid="{00000000-0004-0000-0200-000093020000}"/>
    <hyperlink ref="E332" r:id="rId661" xr:uid="{00000000-0004-0000-0200-000094020000}"/>
    <hyperlink ref="F332" r:id="rId662" xr:uid="{00000000-0004-0000-0200-000095020000}"/>
    <hyperlink ref="E333" r:id="rId663" xr:uid="{00000000-0004-0000-0200-000096020000}"/>
    <hyperlink ref="F333" r:id="rId664" xr:uid="{00000000-0004-0000-0200-000097020000}"/>
    <hyperlink ref="E334" r:id="rId665" xr:uid="{00000000-0004-0000-0200-000098020000}"/>
    <hyperlink ref="F334" r:id="rId666" xr:uid="{00000000-0004-0000-0200-000099020000}"/>
    <hyperlink ref="E335" r:id="rId667" xr:uid="{00000000-0004-0000-0200-00009A020000}"/>
    <hyperlink ref="F335" r:id="rId668" xr:uid="{00000000-0004-0000-0200-00009B020000}"/>
    <hyperlink ref="E336" r:id="rId669" xr:uid="{00000000-0004-0000-0200-00009C020000}"/>
    <hyperlink ref="F336" r:id="rId670" xr:uid="{00000000-0004-0000-0200-00009D020000}"/>
    <hyperlink ref="E337" r:id="rId671" xr:uid="{00000000-0004-0000-0200-00009E020000}"/>
    <hyperlink ref="F337" r:id="rId672" xr:uid="{00000000-0004-0000-0200-00009F020000}"/>
    <hyperlink ref="E338" r:id="rId673" xr:uid="{00000000-0004-0000-0200-0000A0020000}"/>
    <hyperlink ref="F338" r:id="rId674" xr:uid="{00000000-0004-0000-0200-0000A1020000}"/>
    <hyperlink ref="E339" r:id="rId675" xr:uid="{00000000-0004-0000-0200-0000A2020000}"/>
    <hyperlink ref="F339" r:id="rId676" xr:uid="{00000000-0004-0000-0200-0000A3020000}"/>
    <hyperlink ref="E340" r:id="rId677" xr:uid="{00000000-0004-0000-0200-0000A4020000}"/>
    <hyperlink ref="F340" r:id="rId678" xr:uid="{00000000-0004-0000-0200-0000A5020000}"/>
    <hyperlink ref="E341" r:id="rId679" xr:uid="{00000000-0004-0000-0200-0000A6020000}"/>
    <hyperlink ref="F341" r:id="rId680" xr:uid="{00000000-0004-0000-0200-0000A7020000}"/>
    <hyperlink ref="E342" r:id="rId681" xr:uid="{00000000-0004-0000-0200-0000A8020000}"/>
    <hyperlink ref="F342" r:id="rId682" xr:uid="{00000000-0004-0000-0200-0000A9020000}"/>
    <hyperlink ref="E343" r:id="rId683" xr:uid="{00000000-0004-0000-0200-0000AA020000}"/>
    <hyperlink ref="F343" r:id="rId684" xr:uid="{00000000-0004-0000-0200-0000AB020000}"/>
    <hyperlink ref="E344" r:id="rId685" xr:uid="{00000000-0004-0000-0200-0000AC020000}"/>
    <hyperlink ref="F344" r:id="rId686" xr:uid="{00000000-0004-0000-0200-0000AD020000}"/>
    <hyperlink ref="E345" r:id="rId687" xr:uid="{00000000-0004-0000-0200-0000AE020000}"/>
    <hyperlink ref="F345" r:id="rId688" xr:uid="{00000000-0004-0000-0200-0000AF020000}"/>
    <hyperlink ref="E346" r:id="rId689" xr:uid="{00000000-0004-0000-0200-0000B0020000}"/>
    <hyperlink ref="F346" r:id="rId690" xr:uid="{00000000-0004-0000-0200-0000B1020000}"/>
    <hyperlink ref="E347" r:id="rId691" xr:uid="{00000000-0004-0000-0200-0000B2020000}"/>
    <hyperlink ref="F347" r:id="rId692" xr:uid="{00000000-0004-0000-0200-0000B3020000}"/>
    <hyperlink ref="E348" r:id="rId693" xr:uid="{00000000-0004-0000-0200-0000B4020000}"/>
    <hyperlink ref="F348" r:id="rId694" xr:uid="{00000000-0004-0000-0200-0000B5020000}"/>
    <hyperlink ref="E349" r:id="rId695" xr:uid="{00000000-0004-0000-0200-0000B6020000}"/>
    <hyperlink ref="F349" r:id="rId696" xr:uid="{00000000-0004-0000-0200-0000B7020000}"/>
    <hyperlink ref="E350" r:id="rId697" xr:uid="{00000000-0004-0000-0200-0000B8020000}"/>
    <hyperlink ref="F350" r:id="rId698" xr:uid="{00000000-0004-0000-0200-0000B9020000}"/>
    <hyperlink ref="E351" r:id="rId699" xr:uid="{00000000-0004-0000-0200-0000BA020000}"/>
    <hyperlink ref="F351" r:id="rId700" xr:uid="{00000000-0004-0000-0200-0000BB020000}"/>
    <hyperlink ref="E352" r:id="rId701" xr:uid="{00000000-0004-0000-0200-0000BC020000}"/>
    <hyperlink ref="F352" r:id="rId702" xr:uid="{00000000-0004-0000-0200-0000BD020000}"/>
    <hyperlink ref="E353" r:id="rId703" xr:uid="{00000000-0004-0000-0200-0000BE020000}"/>
    <hyperlink ref="F353" r:id="rId704" xr:uid="{00000000-0004-0000-0200-0000BF020000}"/>
    <hyperlink ref="E354" r:id="rId705" xr:uid="{00000000-0004-0000-0200-0000C0020000}"/>
    <hyperlink ref="F354" r:id="rId706" xr:uid="{00000000-0004-0000-0200-0000C1020000}"/>
    <hyperlink ref="E355" r:id="rId707" xr:uid="{00000000-0004-0000-0200-0000C2020000}"/>
    <hyperlink ref="F355" r:id="rId708" xr:uid="{00000000-0004-0000-0200-0000C3020000}"/>
    <hyperlink ref="E356" r:id="rId709" xr:uid="{00000000-0004-0000-0200-0000C4020000}"/>
    <hyperlink ref="F356" r:id="rId710" xr:uid="{00000000-0004-0000-0200-0000C5020000}"/>
    <hyperlink ref="E357" r:id="rId711" xr:uid="{00000000-0004-0000-0200-0000C6020000}"/>
    <hyperlink ref="F357" r:id="rId712" xr:uid="{00000000-0004-0000-0200-0000C7020000}"/>
    <hyperlink ref="E358" r:id="rId713" xr:uid="{00000000-0004-0000-0200-0000C8020000}"/>
    <hyperlink ref="F358" r:id="rId714" xr:uid="{00000000-0004-0000-0200-0000C9020000}"/>
    <hyperlink ref="E359" r:id="rId715" xr:uid="{00000000-0004-0000-0200-0000CA020000}"/>
    <hyperlink ref="F359" r:id="rId716" xr:uid="{00000000-0004-0000-0200-0000CB020000}"/>
    <hyperlink ref="E360" r:id="rId717" xr:uid="{00000000-0004-0000-0200-0000CC020000}"/>
    <hyperlink ref="F360" r:id="rId718" xr:uid="{00000000-0004-0000-0200-0000CD020000}"/>
    <hyperlink ref="E361" r:id="rId719" xr:uid="{00000000-0004-0000-0200-0000CE020000}"/>
    <hyperlink ref="F361" r:id="rId720" xr:uid="{00000000-0004-0000-0200-0000CF020000}"/>
    <hyperlink ref="E362" r:id="rId721" xr:uid="{00000000-0004-0000-0200-0000D0020000}"/>
    <hyperlink ref="F362" r:id="rId722" xr:uid="{00000000-0004-0000-0200-0000D1020000}"/>
    <hyperlink ref="E363" r:id="rId723" xr:uid="{00000000-0004-0000-0200-0000D2020000}"/>
    <hyperlink ref="F363" r:id="rId724" xr:uid="{00000000-0004-0000-0200-0000D3020000}"/>
    <hyperlink ref="E364" r:id="rId725" xr:uid="{00000000-0004-0000-0200-0000D4020000}"/>
    <hyperlink ref="F364" r:id="rId726" xr:uid="{00000000-0004-0000-0200-0000D5020000}"/>
    <hyperlink ref="E365" r:id="rId727" xr:uid="{00000000-0004-0000-0200-0000D6020000}"/>
    <hyperlink ref="F365" r:id="rId728" xr:uid="{00000000-0004-0000-0200-0000D7020000}"/>
    <hyperlink ref="E366" r:id="rId729" xr:uid="{00000000-0004-0000-0200-0000D8020000}"/>
    <hyperlink ref="F366" r:id="rId730" xr:uid="{00000000-0004-0000-0200-0000D9020000}"/>
    <hyperlink ref="E367" r:id="rId731" xr:uid="{00000000-0004-0000-0200-0000DA020000}"/>
    <hyperlink ref="F367" r:id="rId732" xr:uid="{00000000-0004-0000-0200-0000DB020000}"/>
    <hyperlink ref="E368" r:id="rId733" xr:uid="{00000000-0004-0000-0200-0000DC020000}"/>
    <hyperlink ref="F368" r:id="rId734" xr:uid="{00000000-0004-0000-0200-0000DD020000}"/>
    <hyperlink ref="E369" r:id="rId735" xr:uid="{00000000-0004-0000-0200-0000DE020000}"/>
    <hyperlink ref="F369" r:id="rId736" xr:uid="{00000000-0004-0000-0200-0000DF020000}"/>
    <hyperlink ref="E370" r:id="rId737" xr:uid="{00000000-0004-0000-0200-0000E0020000}"/>
    <hyperlink ref="F370" r:id="rId738" xr:uid="{00000000-0004-0000-0200-0000E1020000}"/>
    <hyperlink ref="E371" r:id="rId739" xr:uid="{00000000-0004-0000-0200-0000E2020000}"/>
    <hyperlink ref="F371" r:id="rId740" xr:uid="{00000000-0004-0000-0200-0000E3020000}"/>
    <hyperlink ref="E372" r:id="rId741" xr:uid="{00000000-0004-0000-0200-0000E4020000}"/>
    <hyperlink ref="F372" r:id="rId742" xr:uid="{00000000-0004-0000-0200-0000E5020000}"/>
    <hyperlink ref="E373" r:id="rId743" xr:uid="{00000000-0004-0000-0200-0000E6020000}"/>
    <hyperlink ref="F373" r:id="rId744" xr:uid="{00000000-0004-0000-0200-0000E7020000}"/>
    <hyperlink ref="E374" r:id="rId745" xr:uid="{00000000-0004-0000-0200-0000E8020000}"/>
    <hyperlink ref="F374" r:id="rId746" xr:uid="{00000000-0004-0000-0200-0000E9020000}"/>
    <hyperlink ref="E375" r:id="rId747" xr:uid="{00000000-0004-0000-0200-0000EA020000}"/>
    <hyperlink ref="F375" r:id="rId748" xr:uid="{00000000-0004-0000-0200-0000EB020000}"/>
    <hyperlink ref="E376" r:id="rId749" xr:uid="{00000000-0004-0000-0200-0000EC020000}"/>
    <hyperlink ref="F376" r:id="rId750" xr:uid="{00000000-0004-0000-0200-0000ED020000}"/>
    <hyperlink ref="E377" r:id="rId751" xr:uid="{00000000-0004-0000-0200-0000EE020000}"/>
    <hyperlink ref="F377" r:id="rId752" xr:uid="{00000000-0004-0000-0200-0000EF020000}"/>
    <hyperlink ref="E378" r:id="rId753" xr:uid="{00000000-0004-0000-0200-0000F0020000}"/>
    <hyperlink ref="F378" r:id="rId754" xr:uid="{00000000-0004-0000-0200-0000F1020000}"/>
    <hyperlink ref="E379" r:id="rId755" xr:uid="{00000000-0004-0000-0200-0000F2020000}"/>
    <hyperlink ref="F379" r:id="rId756" xr:uid="{00000000-0004-0000-0200-0000F3020000}"/>
    <hyperlink ref="E380" r:id="rId757" xr:uid="{00000000-0004-0000-0200-0000F4020000}"/>
    <hyperlink ref="F380" r:id="rId758" xr:uid="{00000000-0004-0000-0200-0000F5020000}"/>
    <hyperlink ref="E381" r:id="rId759" xr:uid="{00000000-0004-0000-0200-0000F6020000}"/>
    <hyperlink ref="F381" r:id="rId760" xr:uid="{00000000-0004-0000-0200-0000F7020000}"/>
    <hyperlink ref="E382" r:id="rId761" xr:uid="{00000000-0004-0000-0200-0000F8020000}"/>
    <hyperlink ref="F382" r:id="rId762" xr:uid="{00000000-0004-0000-0200-0000F9020000}"/>
    <hyperlink ref="E383" r:id="rId763" xr:uid="{00000000-0004-0000-0200-0000FA020000}"/>
    <hyperlink ref="F383" r:id="rId764" xr:uid="{00000000-0004-0000-0200-0000FB020000}"/>
    <hyperlink ref="E384" r:id="rId765" xr:uid="{00000000-0004-0000-0200-0000FC020000}"/>
    <hyperlink ref="F384" r:id="rId766" xr:uid="{00000000-0004-0000-0200-0000FD020000}"/>
    <hyperlink ref="E385" r:id="rId767" xr:uid="{00000000-0004-0000-0200-0000FE020000}"/>
    <hyperlink ref="F385" r:id="rId768" xr:uid="{00000000-0004-0000-0200-0000FF020000}"/>
    <hyperlink ref="E386" r:id="rId769" xr:uid="{00000000-0004-0000-0200-000000030000}"/>
    <hyperlink ref="F386" r:id="rId770" xr:uid="{00000000-0004-0000-0200-000001030000}"/>
    <hyperlink ref="E387" r:id="rId771" xr:uid="{00000000-0004-0000-0200-000002030000}"/>
    <hyperlink ref="F387" r:id="rId772" xr:uid="{00000000-0004-0000-0200-000003030000}"/>
    <hyperlink ref="E388" r:id="rId773" xr:uid="{00000000-0004-0000-0200-000004030000}"/>
    <hyperlink ref="F388" r:id="rId774" xr:uid="{00000000-0004-0000-0200-000005030000}"/>
    <hyperlink ref="E389" r:id="rId775" xr:uid="{00000000-0004-0000-0200-000006030000}"/>
    <hyperlink ref="F389" r:id="rId776" xr:uid="{00000000-0004-0000-0200-000007030000}"/>
    <hyperlink ref="E390" r:id="rId777" xr:uid="{00000000-0004-0000-0200-000008030000}"/>
    <hyperlink ref="F390" r:id="rId778" xr:uid="{00000000-0004-0000-0200-000009030000}"/>
    <hyperlink ref="E391" r:id="rId779" xr:uid="{00000000-0004-0000-0200-00000A030000}"/>
    <hyperlink ref="F391" r:id="rId780" xr:uid="{00000000-0004-0000-0200-00000B030000}"/>
    <hyperlink ref="E392" r:id="rId781" xr:uid="{00000000-0004-0000-0200-00000C030000}"/>
    <hyperlink ref="F392" r:id="rId782" xr:uid="{00000000-0004-0000-0200-00000D030000}"/>
    <hyperlink ref="E393" r:id="rId783" xr:uid="{00000000-0004-0000-0200-00000E030000}"/>
    <hyperlink ref="F393" r:id="rId784" xr:uid="{00000000-0004-0000-0200-00000F030000}"/>
    <hyperlink ref="E394" r:id="rId785" xr:uid="{00000000-0004-0000-0200-000010030000}"/>
    <hyperlink ref="F394" r:id="rId786" xr:uid="{00000000-0004-0000-0200-000011030000}"/>
    <hyperlink ref="E395" r:id="rId787" xr:uid="{00000000-0004-0000-0200-000012030000}"/>
    <hyperlink ref="F395" r:id="rId788" xr:uid="{00000000-0004-0000-0200-000013030000}"/>
    <hyperlink ref="E396" r:id="rId789" xr:uid="{00000000-0004-0000-0200-000014030000}"/>
    <hyperlink ref="F396" r:id="rId790" xr:uid="{00000000-0004-0000-0200-000015030000}"/>
    <hyperlink ref="E397" r:id="rId791" xr:uid="{00000000-0004-0000-0200-000016030000}"/>
    <hyperlink ref="F397" r:id="rId792" xr:uid="{00000000-0004-0000-0200-000017030000}"/>
    <hyperlink ref="E398" r:id="rId793" xr:uid="{00000000-0004-0000-0200-000018030000}"/>
    <hyperlink ref="F398" r:id="rId794" xr:uid="{00000000-0004-0000-0200-000019030000}"/>
    <hyperlink ref="E399" r:id="rId795" xr:uid="{00000000-0004-0000-0200-00001A030000}"/>
    <hyperlink ref="F399" r:id="rId796" xr:uid="{00000000-0004-0000-0200-00001B030000}"/>
    <hyperlink ref="E400" r:id="rId797" xr:uid="{00000000-0004-0000-0200-00001C030000}"/>
    <hyperlink ref="F400" r:id="rId798" xr:uid="{00000000-0004-0000-0200-00001D030000}"/>
    <hyperlink ref="E401" r:id="rId799" xr:uid="{00000000-0004-0000-0200-00001E030000}"/>
    <hyperlink ref="F401" r:id="rId800" xr:uid="{00000000-0004-0000-0200-00001F030000}"/>
    <hyperlink ref="E402" r:id="rId801" xr:uid="{00000000-0004-0000-0200-000020030000}"/>
    <hyperlink ref="F402" r:id="rId802" xr:uid="{00000000-0004-0000-0200-000021030000}"/>
    <hyperlink ref="E403" r:id="rId803" xr:uid="{00000000-0004-0000-0200-000022030000}"/>
    <hyperlink ref="F403" r:id="rId804" xr:uid="{00000000-0004-0000-0200-000023030000}"/>
    <hyperlink ref="E404" r:id="rId805" xr:uid="{00000000-0004-0000-0200-000024030000}"/>
    <hyperlink ref="F404" r:id="rId806" xr:uid="{00000000-0004-0000-0200-000025030000}"/>
    <hyperlink ref="E405" r:id="rId807" xr:uid="{00000000-0004-0000-0200-000026030000}"/>
    <hyperlink ref="F405" r:id="rId808" xr:uid="{00000000-0004-0000-0200-000027030000}"/>
    <hyperlink ref="E406" r:id="rId809" xr:uid="{00000000-0004-0000-0200-000028030000}"/>
    <hyperlink ref="F406" r:id="rId810" xr:uid="{00000000-0004-0000-0200-000029030000}"/>
    <hyperlink ref="E407" r:id="rId811" xr:uid="{00000000-0004-0000-0200-00002A030000}"/>
    <hyperlink ref="F407" r:id="rId812" xr:uid="{00000000-0004-0000-0200-00002B030000}"/>
    <hyperlink ref="E408" r:id="rId813" xr:uid="{00000000-0004-0000-0200-00002C030000}"/>
    <hyperlink ref="F408" r:id="rId814" xr:uid="{00000000-0004-0000-0200-00002D030000}"/>
    <hyperlink ref="E409" r:id="rId815" xr:uid="{00000000-0004-0000-0200-00002E030000}"/>
    <hyperlink ref="F409" r:id="rId816" xr:uid="{00000000-0004-0000-0200-00002F030000}"/>
    <hyperlink ref="E410" r:id="rId817" xr:uid="{00000000-0004-0000-0200-000030030000}"/>
    <hyperlink ref="F410" r:id="rId818" xr:uid="{00000000-0004-0000-0200-000031030000}"/>
    <hyperlink ref="E411" r:id="rId819" xr:uid="{00000000-0004-0000-0200-000032030000}"/>
    <hyperlink ref="F411" r:id="rId820" xr:uid="{00000000-0004-0000-0200-000033030000}"/>
    <hyperlink ref="E412" r:id="rId821" xr:uid="{00000000-0004-0000-0200-000034030000}"/>
    <hyperlink ref="F412" r:id="rId822" xr:uid="{00000000-0004-0000-0200-000035030000}"/>
    <hyperlink ref="E413" r:id="rId823" xr:uid="{00000000-0004-0000-0200-000036030000}"/>
    <hyperlink ref="F413" r:id="rId824" xr:uid="{00000000-0004-0000-0200-000037030000}"/>
    <hyperlink ref="E414" r:id="rId825" xr:uid="{00000000-0004-0000-0200-000038030000}"/>
    <hyperlink ref="F414" r:id="rId826" xr:uid="{00000000-0004-0000-0200-000039030000}"/>
    <hyperlink ref="E415" r:id="rId827" xr:uid="{00000000-0004-0000-0200-00003A030000}"/>
    <hyperlink ref="F415" r:id="rId828" xr:uid="{00000000-0004-0000-0200-00003B030000}"/>
    <hyperlink ref="E416" r:id="rId829" xr:uid="{00000000-0004-0000-0200-00003C030000}"/>
    <hyperlink ref="F416" r:id="rId830" xr:uid="{00000000-0004-0000-0200-00003D030000}"/>
    <hyperlink ref="E417" r:id="rId831" xr:uid="{00000000-0004-0000-0200-00003E030000}"/>
    <hyperlink ref="F417" r:id="rId832" xr:uid="{00000000-0004-0000-0200-00003F030000}"/>
    <hyperlink ref="E418" r:id="rId833" xr:uid="{00000000-0004-0000-0200-000040030000}"/>
    <hyperlink ref="F418" r:id="rId834" xr:uid="{00000000-0004-0000-0200-000041030000}"/>
    <hyperlink ref="E419" r:id="rId835" xr:uid="{00000000-0004-0000-0200-000042030000}"/>
    <hyperlink ref="F419" r:id="rId836" xr:uid="{00000000-0004-0000-0200-000043030000}"/>
    <hyperlink ref="E420" r:id="rId837" xr:uid="{00000000-0004-0000-0200-000044030000}"/>
    <hyperlink ref="F420" r:id="rId838" xr:uid="{00000000-0004-0000-0200-000045030000}"/>
    <hyperlink ref="E421" r:id="rId839" xr:uid="{00000000-0004-0000-0200-000046030000}"/>
    <hyperlink ref="F421" r:id="rId840" xr:uid="{00000000-0004-0000-0200-000047030000}"/>
    <hyperlink ref="E422" r:id="rId841" xr:uid="{00000000-0004-0000-0200-000048030000}"/>
    <hyperlink ref="F422" r:id="rId842" xr:uid="{00000000-0004-0000-0200-000049030000}"/>
    <hyperlink ref="E423" r:id="rId843" xr:uid="{00000000-0004-0000-0200-00004A030000}"/>
    <hyperlink ref="F423" r:id="rId844" xr:uid="{00000000-0004-0000-0200-00004B030000}"/>
    <hyperlink ref="E424" r:id="rId845" xr:uid="{00000000-0004-0000-0200-00004C030000}"/>
    <hyperlink ref="F424" r:id="rId846" xr:uid="{00000000-0004-0000-0200-00004D030000}"/>
    <hyperlink ref="E425" r:id="rId847" xr:uid="{00000000-0004-0000-0200-00004E030000}"/>
    <hyperlink ref="F425" r:id="rId848" xr:uid="{00000000-0004-0000-0200-00004F030000}"/>
    <hyperlink ref="E426" r:id="rId849" xr:uid="{00000000-0004-0000-0200-000050030000}"/>
    <hyperlink ref="F426" r:id="rId850" xr:uid="{00000000-0004-0000-0200-000051030000}"/>
    <hyperlink ref="E427" r:id="rId851" xr:uid="{00000000-0004-0000-0200-000052030000}"/>
    <hyperlink ref="F427" r:id="rId852" xr:uid="{00000000-0004-0000-0200-000053030000}"/>
    <hyperlink ref="E428" r:id="rId853" xr:uid="{00000000-0004-0000-0200-000054030000}"/>
    <hyperlink ref="F428" r:id="rId854" xr:uid="{00000000-0004-0000-0200-000055030000}"/>
    <hyperlink ref="E429" r:id="rId855" xr:uid="{00000000-0004-0000-0200-000056030000}"/>
    <hyperlink ref="F429" r:id="rId856" xr:uid="{00000000-0004-0000-0200-000057030000}"/>
    <hyperlink ref="E430" r:id="rId857" xr:uid="{00000000-0004-0000-0200-000058030000}"/>
    <hyperlink ref="F430" r:id="rId858" xr:uid="{00000000-0004-0000-0200-000059030000}"/>
    <hyperlink ref="E431" r:id="rId859" xr:uid="{00000000-0004-0000-0200-00005A030000}"/>
    <hyperlink ref="F431" r:id="rId860" xr:uid="{00000000-0004-0000-0200-00005B030000}"/>
    <hyperlink ref="E432" r:id="rId861" xr:uid="{00000000-0004-0000-0200-00005C030000}"/>
    <hyperlink ref="F432" r:id="rId862" xr:uid="{00000000-0004-0000-0200-00005D030000}"/>
    <hyperlink ref="E433" r:id="rId863" xr:uid="{00000000-0004-0000-0200-00005E030000}"/>
    <hyperlink ref="F433" r:id="rId864" xr:uid="{00000000-0004-0000-0200-00005F030000}"/>
    <hyperlink ref="E434" r:id="rId865" xr:uid="{00000000-0004-0000-0200-000060030000}"/>
    <hyperlink ref="F434" r:id="rId866" xr:uid="{00000000-0004-0000-0200-000061030000}"/>
    <hyperlink ref="E435" r:id="rId867" xr:uid="{00000000-0004-0000-0200-000062030000}"/>
    <hyperlink ref="F435" r:id="rId868" xr:uid="{00000000-0004-0000-0200-000063030000}"/>
    <hyperlink ref="E436" r:id="rId869" xr:uid="{00000000-0004-0000-0200-000064030000}"/>
    <hyperlink ref="F436" r:id="rId870" xr:uid="{00000000-0004-0000-0200-000065030000}"/>
    <hyperlink ref="E437" r:id="rId871" xr:uid="{00000000-0004-0000-0200-000066030000}"/>
    <hyperlink ref="F437" r:id="rId872" xr:uid="{00000000-0004-0000-0200-000067030000}"/>
    <hyperlink ref="E438" r:id="rId873" xr:uid="{00000000-0004-0000-0200-000068030000}"/>
    <hyperlink ref="F438" r:id="rId874" xr:uid="{00000000-0004-0000-0200-000069030000}"/>
    <hyperlink ref="E439" r:id="rId875" xr:uid="{00000000-0004-0000-0200-00006A030000}"/>
    <hyperlink ref="F439" r:id="rId876" xr:uid="{00000000-0004-0000-0200-00006B030000}"/>
    <hyperlink ref="E440" r:id="rId877" xr:uid="{00000000-0004-0000-0200-00006C030000}"/>
    <hyperlink ref="F440" r:id="rId878" xr:uid="{00000000-0004-0000-0200-00006D030000}"/>
    <hyperlink ref="E441" r:id="rId879" xr:uid="{00000000-0004-0000-0200-00006E030000}"/>
    <hyperlink ref="F441" r:id="rId880" xr:uid="{00000000-0004-0000-0200-00006F030000}"/>
    <hyperlink ref="E442" r:id="rId881" xr:uid="{00000000-0004-0000-0200-000070030000}"/>
    <hyperlink ref="F442" r:id="rId882" xr:uid="{00000000-0004-0000-0200-000071030000}"/>
    <hyperlink ref="E443" r:id="rId883" xr:uid="{00000000-0004-0000-0200-000072030000}"/>
    <hyperlink ref="F443" r:id="rId884" xr:uid="{00000000-0004-0000-0200-000073030000}"/>
    <hyperlink ref="E444" r:id="rId885" xr:uid="{00000000-0004-0000-0200-000074030000}"/>
    <hyperlink ref="F444" r:id="rId886" xr:uid="{00000000-0004-0000-0200-000075030000}"/>
    <hyperlink ref="E445" r:id="rId887" xr:uid="{00000000-0004-0000-0200-000076030000}"/>
    <hyperlink ref="F445" r:id="rId888" xr:uid="{00000000-0004-0000-0200-000077030000}"/>
    <hyperlink ref="E446" r:id="rId889" xr:uid="{00000000-0004-0000-0200-000078030000}"/>
    <hyperlink ref="F446" r:id="rId890" xr:uid="{00000000-0004-0000-0200-000079030000}"/>
    <hyperlink ref="E447" r:id="rId891" xr:uid="{00000000-0004-0000-0200-00007A030000}"/>
    <hyperlink ref="F447" r:id="rId892" xr:uid="{00000000-0004-0000-0200-00007B030000}"/>
    <hyperlink ref="E448" r:id="rId893" xr:uid="{00000000-0004-0000-0200-00007C030000}"/>
    <hyperlink ref="F448" r:id="rId894" xr:uid="{00000000-0004-0000-0200-00007D030000}"/>
    <hyperlink ref="E449" r:id="rId895" xr:uid="{00000000-0004-0000-0200-00007E030000}"/>
    <hyperlink ref="F449" r:id="rId896" xr:uid="{00000000-0004-0000-0200-00007F030000}"/>
    <hyperlink ref="E450" r:id="rId897" xr:uid="{00000000-0004-0000-0200-000080030000}"/>
    <hyperlink ref="F450" r:id="rId898" xr:uid="{00000000-0004-0000-0200-000081030000}"/>
    <hyperlink ref="E451" r:id="rId899" xr:uid="{00000000-0004-0000-0200-000082030000}"/>
    <hyperlink ref="F451" r:id="rId900" xr:uid="{00000000-0004-0000-0200-000083030000}"/>
    <hyperlink ref="E452" r:id="rId901" xr:uid="{00000000-0004-0000-0200-000084030000}"/>
    <hyperlink ref="F452" r:id="rId902" xr:uid="{00000000-0004-0000-0200-000085030000}"/>
    <hyperlink ref="E453" r:id="rId903" xr:uid="{00000000-0004-0000-0200-000086030000}"/>
    <hyperlink ref="F453" r:id="rId904" xr:uid="{00000000-0004-0000-0200-000087030000}"/>
    <hyperlink ref="E454" r:id="rId905" xr:uid="{00000000-0004-0000-0200-000088030000}"/>
    <hyperlink ref="F454" r:id="rId906" xr:uid="{00000000-0004-0000-0200-000089030000}"/>
    <hyperlink ref="E455" r:id="rId907" xr:uid="{00000000-0004-0000-0200-00008A030000}"/>
    <hyperlink ref="F455" r:id="rId908" xr:uid="{00000000-0004-0000-0200-00008B030000}"/>
    <hyperlink ref="E456" r:id="rId909" xr:uid="{00000000-0004-0000-0200-00008C030000}"/>
    <hyperlink ref="F456" r:id="rId910" xr:uid="{00000000-0004-0000-0200-00008D030000}"/>
    <hyperlink ref="E457" r:id="rId911" xr:uid="{00000000-0004-0000-0200-00008E030000}"/>
    <hyperlink ref="F457" r:id="rId912" xr:uid="{00000000-0004-0000-0200-00008F030000}"/>
    <hyperlink ref="E458" r:id="rId913" xr:uid="{00000000-0004-0000-0200-000090030000}"/>
    <hyperlink ref="F458" r:id="rId914" xr:uid="{00000000-0004-0000-0200-000091030000}"/>
    <hyperlink ref="E459" r:id="rId915" xr:uid="{00000000-0004-0000-0200-000092030000}"/>
    <hyperlink ref="F459" r:id="rId916" xr:uid="{00000000-0004-0000-0200-000093030000}"/>
    <hyperlink ref="E460" r:id="rId917" xr:uid="{00000000-0004-0000-0200-000094030000}"/>
    <hyperlink ref="F460" r:id="rId918" xr:uid="{00000000-0004-0000-0200-000095030000}"/>
    <hyperlink ref="E461" r:id="rId919" xr:uid="{00000000-0004-0000-0200-000096030000}"/>
    <hyperlink ref="F461" r:id="rId920" xr:uid="{00000000-0004-0000-0200-000097030000}"/>
    <hyperlink ref="E462" r:id="rId921" xr:uid="{00000000-0004-0000-0200-000098030000}"/>
    <hyperlink ref="F462" r:id="rId922" xr:uid="{00000000-0004-0000-0200-000099030000}"/>
    <hyperlink ref="E463" r:id="rId923" xr:uid="{00000000-0004-0000-0200-00009A030000}"/>
    <hyperlink ref="F463" r:id="rId924" xr:uid="{00000000-0004-0000-0200-00009B030000}"/>
    <hyperlink ref="E464" r:id="rId925" xr:uid="{00000000-0004-0000-0200-00009C030000}"/>
    <hyperlink ref="F464" r:id="rId926" xr:uid="{00000000-0004-0000-0200-00009D030000}"/>
    <hyperlink ref="E465" r:id="rId927" xr:uid="{00000000-0004-0000-0200-00009E030000}"/>
    <hyperlink ref="F465" r:id="rId928" xr:uid="{00000000-0004-0000-0200-00009F030000}"/>
    <hyperlink ref="E466" r:id="rId929" xr:uid="{00000000-0004-0000-0200-0000A0030000}"/>
    <hyperlink ref="F466" r:id="rId930" xr:uid="{00000000-0004-0000-0200-0000A1030000}"/>
    <hyperlink ref="E467" r:id="rId931" xr:uid="{00000000-0004-0000-0200-0000A2030000}"/>
    <hyperlink ref="F467" r:id="rId932" xr:uid="{00000000-0004-0000-0200-0000A3030000}"/>
    <hyperlink ref="E468" r:id="rId933" xr:uid="{00000000-0004-0000-0200-0000A4030000}"/>
    <hyperlink ref="F468" r:id="rId934" xr:uid="{00000000-0004-0000-0200-0000A5030000}"/>
    <hyperlink ref="E469" r:id="rId935" xr:uid="{00000000-0004-0000-0200-0000A6030000}"/>
    <hyperlink ref="F469" r:id="rId936" xr:uid="{00000000-0004-0000-0200-0000A7030000}"/>
    <hyperlink ref="E470" r:id="rId937" xr:uid="{00000000-0004-0000-0200-0000A8030000}"/>
    <hyperlink ref="F470" r:id="rId938" xr:uid="{00000000-0004-0000-0200-0000A9030000}"/>
    <hyperlink ref="E471" r:id="rId939" xr:uid="{00000000-0004-0000-0200-0000AA030000}"/>
    <hyperlink ref="F471" r:id="rId940" xr:uid="{00000000-0004-0000-0200-0000AB030000}"/>
    <hyperlink ref="E472" r:id="rId941" xr:uid="{00000000-0004-0000-0200-0000AC030000}"/>
    <hyperlink ref="F472" r:id="rId942" xr:uid="{00000000-0004-0000-0200-0000AD030000}"/>
    <hyperlink ref="E473" r:id="rId943" xr:uid="{00000000-0004-0000-0200-0000AE030000}"/>
    <hyperlink ref="F473" r:id="rId944" xr:uid="{00000000-0004-0000-0200-0000AF030000}"/>
    <hyperlink ref="E474" r:id="rId945" xr:uid="{00000000-0004-0000-0200-0000B0030000}"/>
    <hyperlink ref="F474" r:id="rId946" xr:uid="{00000000-0004-0000-0200-0000B1030000}"/>
    <hyperlink ref="E475" r:id="rId947" xr:uid="{00000000-0004-0000-0200-0000B2030000}"/>
    <hyperlink ref="F475" r:id="rId948" xr:uid="{00000000-0004-0000-0200-0000B3030000}"/>
    <hyperlink ref="E476" r:id="rId949" xr:uid="{00000000-0004-0000-0200-0000B4030000}"/>
    <hyperlink ref="F476" r:id="rId950" xr:uid="{00000000-0004-0000-0200-0000B5030000}"/>
    <hyperlink ref="E477" r:id="rId951" xr:uid="{00000000-0004-0000-0200-0000B6030000}"/>
    <hyperlink ref="F477" r:id="rId952" xr:uid="{00000000-0004-0000-0200-0000B7030000}"/>
    <hyperlink ref="E478" r:id="rId953" xr:uid="{00000000-0004-0000-0200-0000B8030000}"/>
    <hyperlink ref="F478" r:id="rId954" xr:uid="{00000000-0004-0000-0200-0000B9030000}"/>
    <hyperlink ref="E479" r:id="rId955" xr:uid="{00000000-0004-0000-0200-0000BA030000}"/>
    <hyperlink ref="F479" r:id="rId956" xr:uid="{00000000-0004-0000-0200-0000BB030000}"/>
    <hyperlink ref="E480" r:id="rId957" xr:uid="{00000000-0004-0000-0200-0000BC030000}"/>
    <hyperlink ref="F480" r:id="rId958" xr:uid="{00000000-0004-0000-0200-0000BD030000}"/>
    <hyperlink ref="E481" r:id="rId959" xr:uid="{00000000-0004-0000-0200-0000BE030000}"/>
    <hyperlink ref="F481" r:id="rId960" xr:uid="{00000000-0004-0000-0200-0000BF030000}"/>
    <hyperlink ref="E482" r:id="rId961" xr:uid="{00000000-0004-0000-0200-0000C0030000}"/>
    <hyperlink ref="F482" r:id="rId962" xr:uid="{00000000-0004-0000-0200-0000C1030000}"/>
    <hyperlink ref="E483" r:id="rId963" xr:uid="{00000000-0004-0000-0200-0000C2030000}"/>
    <hyperlink ref="F483" r:id="rId964" xr:uid="{00000000-0004-0000-0200-0000C3030000}"/>
    <hyperlink ref="E484" r:id="rId965" xr:uid="{00000000-0004-0000-0200-0000C4030000}"/>
    <hyperlink ref="F484" r:id="rId966" xr:uid="{00000000-0004-0000-0200-0000C5030000}"/>
    <hyperlink ref="E485" r:id="rId967" xr:uid="{00000000-0004-0000-0200-0000C6030000}"/>
    <hyperlink ref="F485" r:id="rId968" xr:uid="{00000000-0004-0000-0200-0000C7030000}"/>
    <hyperlink ref="E486" r:id="rId969" xr:uid="{00000000-0004-0000-0200-0000C8030000}"/>
    <hyperlink ref="F486" r:id="rId970" xr:uid="{00000000-0004-0000-0200-0000C9030000}"/>
    <hyperlink ref="E487" r:id="rId971" xr:uid="{00000000-0004-0000-0200-0000CA030000}"/>
    <hyperlink ref="F487" r:id="rId972" xr:uid="{00000000-0004-0000-0200-0000CB030000}"/>
    <hyperlink ref="E488" r:id="rId973" xr:uid="{00000000-0004-0000-0200-0000CC030000}"/>
    <hyperlink ref="F488" r:id="rId974" xr:uid="{00000000-0004-0000-0200-0000CD030000}"/>
    <hyperlink ref="E489" r:id="rId975" xr:uid="{00000000-0004-0000-0200-0000CE030000}"/>
    <hyperlink ref="F489" r:id="rId976" xr:uid="{00000000-0004-0000-0200-0000CF030000}"/>
    <hyperlink ref="E490" r:id="rId977" xr:uid="{00000000-0004-0000-0200-0000D0030000}"/>
    <hyperlink ref="F490" r:id="rId978" xr:uid="{00000000-0004-0000-0200-0000D1030000}"/>
    <hyperlink ref="E491" r:id="rId979" xr:uid="{00000000-0004-0000-0200-0000D2030000}"/>
    <hyperlink ref="F491" r:id="rId980" xr:uid="{00000000-0004-0000-0200-0000D3030000}"/>
    <hyperlink ref="E492" r:id="rId981" xr:uid="{00000000-0004-0000-0200-0000D4030000}"/>
    <hyperlink ref="F492" r:id="rId982" xr:uid="{00000000-0004-0000-0200-0000D5030000}"/>
    <hyperlink ref="E493" r:id="rId983" xr:uid="{00000000-0004-0000-0200-0000D6030000}"/>
    <hyperlink ref="F493" r:id="rId984" xr:uid="{00000000-0004-0000-0200-0000D7030000}"/>
    <hyperlink ref="E494" r:id="rId985" xr:uid="{00000000-0004-0000-0200-0000D8030000}"/>
    <hyperlink ref="F494" r:id="rId986" xr:uid="{00000000-0004-0000-0200-0000D9030000}"/>
    <hyperlink ref="E495" r:id="rId987" xr:uid="{00000000-0004-0000-0200-0000DA030000}"/>
    <hyperlink ref="F495" r:id="rId988" xr:uid="{00000000-0004-0000-0200-0000DB030000}"/>
    <hyperlink ref="E496" r:id="rId989" xr:uid="{00000000-0004-0000-0200-0000DC030000}"/>
    <hyperlink ref="F496" r:id="rId990" xr:uid="{00000000-0004-0000-0200-0000DD030000}"/>
    <hyperlink ref="E497" r:id="rId991" xr:uid="{00000000-0004-0000-0200-0000DE030000}"/>
    <hyperlink ref="F497" r:id="rId992" xr:uid="{00000000-0004-0000-0200-0000DF030000}"/>
    <hyperlink ref="E498" r:id="rId993" xr:uid="{00000000-0004-0000-0200-0000E0030000}"/>
    <hyperlink ref="F498" r:id="rId994" xr:uid="{00000000-0004-0000-0200-0000E1030000}"/>
    <hyperlink ref="E499" r:id="rId995" xr:uid="{00000000-0004-0000-0200-0000E2030000}"/>
    <hyperlink ref="F499" r:id="rId996" xr:uid="{00000000-0004-0000-0200-0000E3030000}"/>
    <hyperlink ref="E500" r:id="rId997" xr:uid="{00000000-0004-0000-0200-0000E4030000}"/>
    <hyperlink ref="F500" r:id="rId998" xr:uid="{00000000-0004-0000-0200-0000E5030000}"/>
    <hyperlink ref="E501" r:id="rId999" xr:uid="{00000000-0004-0000-0200-0000E6030000}"/>
    <hyperlink ref="F501" r:id="rId1000" xr:uid="{00000000-0004-0000-0200-0000E7030000}"/>
    <hyperlink ref="E502" r:id="rId1001" xr:uid="{00000000-0004-0000-0200-0000E8030000}"/>
    <hyperlink ref="F502" r:id="rId1002" xr:uid="{00000000-0004-0000-0200-0000E9030000}"/>
    <hyperlink ref="E503" r:id="rId1003" xr:uid="{00000000-0004-0000-0200-0000EA030000}"/>
    <hyperlink ref="F503" r:id="rId1004" xr:uid="{00000000-0004-0000-0200-0000EB030000}"/>
    <hyperlink ref="E504" r:id="rId1005" xr:uid="{00000000-0004-0000-0200-0000EC030000}"/>
    <hyperlink ref="F504" r:id="rId1006" xr:uid="{00000000-0004-0000-0200-0000ED030000}"/>
    <hyperlink ref="E505" r:id="rId1007" xr:uid="{00000000-0004-0000-0200-0000EE030000}"/>
    <hyperlink ref="F505" r:id="rId1008" xr:uid="{00000000-0004-0000-0200-0000EF030000}"/>
    <hyperlink ref="E506" r:id="rId1009" xr:uid="{00000000-0004-0000-0200-0000F0030000}"/>
    <hyperlink ref="F506" r:id="rId1010" xr:uid="{00000000-0004-0000-0200-0000F1030000}"/>
    <hyperlink ref="E507" r:id="rId1011" xr:uid="{00000000-0004-0000-0200-0000F2030000}"/>
    <hyperlink ref="F507" r:id="rId1012" xr:uid="{00000000-0004-0000-0200-0000F3030000}"/>
    <hyperlink ref="E508" r:id="rId1013" xr:uid="{00000000-0004-0000-0200-0000F4030000}"/>
    <hyperlink ref="F508" r:id="rId1014" xr:uid="{00000000-0004-0000-0200-0000F5030000}"/>
    <hyperlink ref="E509" r:id="rId1015" xr:uid="{00000000-0004-0000-0200-0000F6030000}"/>
    <hyperlink ref="F509" r:id="rId1016" xr:uid="{00000000-0004-0000-0200-0000F7030000}"/>
    <hyperlink ref="E510" r:id="rId1017" xr:uid="{00000000-0004-0000-0200-0000F8030000}"/>
    <hyperlink ref="F510" r:id="rId1018" xr:uid="{00000000-0004-0000-0200-0000F9030000}"/>
    <hyperlink ref="E511" r:id="rId1019" xr:uid="{00000000-0004-0000-0200-0000FA030000}"/>
    <hyperlink ref="F511" r:id="rId1020" xr:uid="{00000000-0004-0000-0200-0000FB030000}"/>
    <hyperlink ref="E512" r:id="rId1021" xr:uid="{00000000-0004-0000-0200-0000FC030000}"/>
    <hyperlink ref="F512" r:id="rId1022" xr:uid="{00000000-0004-0000-0200-0000FD030000}"/>
    <hyperlink ref="E513" r:id="rId1023" xr:uid="{00000000-0004-0000-0200-0000FE030000}"/>
    <hyperlink ref="F513" r:id="rId1024" xr:uid="{00000000-0004-0000-0200-0000FF030000}"/>
    <hyperlink ref="E514" r:id="rId1025" xr:uid="{00000000-0004-0000-0200-000000040000}"/>
    <hyperlink ref="F514" r:id="rId1026" xr:uid="{00000000-0004-0000-0200-000001040000}"/>
    <hyperlink ref="E515" r:id="rId1027" xr:uid="{00000000-0004-0000-0200-000002040000}"/>
    <hyperlink ref="F515" r:id="rId1028" xr:uid="{00000000-0004-0000-0200-000003040000}"/>
    <hyperlink ref="E516" r:id="rId1029" xr:uid="{00000000-0004-0000-0200-000004040000}"/>
    <hyperlink ref="F516" r:id="rId1030" xr:uid="{00000000-0004-0000-0200-000005040000}"/>
    <hyperlink ref="E517" r:id="rId1031" xr:uid="{00000000-0004-0000-0200-000006040000}"/>
    <hyperlink ref="F517" r:id="rId1032" xr:uid="{00000000-0004-0000-0200-000007040000}"/>
    <hyperlink ref="E518" r:id="rId1033" xr:uid="{00000000-0004-0000-0200-000008040000}"/>
    <hyperlink ref="F518" r:id="rId1034" xr:uid="{00000000-0004-0000-0200-000009040000}"/>
    <hyperlink ref="E519" r:id="rId1035" xr:uid="{00000000-0004-0000-0200-00000A040000}"/>
    <hyperlink ref="F519" r:id="rId1036" xr:uid="{00000000-0004-0000-0200-00000B040000}"/>
    <hyperlink ref="E520" r:id="rId1037" xr:uid="{00000000-0004-0000-0200-00000C040000}"/>
    <hyperlink ref="F520" r:id="rId1038" xr:uid="{00000000-0004-0000-0200-00000D040000}"/>
    <hyperlink ref="E521" r:id="rId1039" xr:uid="{00000000-0004-0000-0200-00000E040000}"/>
    <hyperlink ref="F521" r:id="rId1040" xr:uid="{00000000-0004-0000-0200-00000F040000}"/>
    <hyperlink ref="E522" r:id="rId1041" xr:uid="{00000000-0004-0000-0200-000010040000}"/>
    <hyperlink ref="F522" r:id="rId1042" xr:uid="{00000000-0004-0000-0200-000011040000}"/>
    <hyperlink ref="E523" r:id="rId1043" xr:uid="{00000000-0004-0000-0200-000012040000}"/>
    <hyperlink ref="F523" r:id="rId1044" xr:uid="{00000000-0004-0000-0200-000013040000}"/>
    <hyperlink ref="E524" r:id="rId1045" xr:uid="{00000000-0004-0000-0200-000014040000}"/>
    <hyperlink ref="F524" r:id="rId1046" xr:uid="{00000000-0004-0000-0200-000015040000}"/>
    <hyperlink ref="E525" r:id="rId1047" xr:uid="{00000000-0004-0000-0200-000016040000}"/>
    <hyperlink ref="F525" r:id="rId1048" xr:uid="{00000000-0004-0000-0200-000017040000}"/>
    <hyperlink ref="E526" r:id="rId1049" xr:uid="{00000000-0004-0000-0200-000018040000}"/>
    <hyperlink ref="F526" r:id="rId1050" xr:uid="{00000000-0004-0000-0200-000019040000}"/>
    <hyperlink ref="E527" r:id="rId1051" xr:uid="{00000000-0004-0000-0200-00001A040000}"/>
    <hyperlink ref="F527" r:id="rId1052" xr:uid="{00000000-0004-0000-0200-00001B040000}"/>
    <hyperlink ref="E528" r:id="rId1053" xr:uid="{00000000-0004-0000-0200-00001C040000}"/>
    <hyperlink ref="F528" r:id="rId1054" xr:uid="{00000000-0004-0000-0200-00001D040000}"/>
    <hyperlink ref="E529" r:id="rId1055" xr:uid="{00000000-0004-0000-0200-00001E040000}"/>
    <hyperlink ref="F529" r:id="rId1056" xr:uid="{00000000-0004-0000-0200-00001F040000}"/>
    <hyperlink ref="E530" r:id="rId1057" xr:uid="{00000000-0004-0000-0200-000020040000}"/>
    <hyperlink ref="F530" r:id="rId1058" xr:uid="{00000000-0004-0000-0200-000021040000}"/>
    <hyperlink ref="E531" r:id="rId1059" xr:uid="{00000000-0004-0000-0200-000022040000}"/>
    <hyperlink ref="F531" r:id="rId1060" xr:uid="{00000000-0004-0000-0200-000023040000}"/>
    <hyperlink ref="E532" r:id="rId1061" xr:uid="{00000000-0004-0000-0200-000024040000}"/>
    <hyperlink ref="F532" r:id="rId1062" xr:uid="{00000000-0004-0000-0200-000025040000}"/>
    <hyperlink ref="E533" r:id="rId1063" xr:uid="{00000000-0004-0000-0200-000026040000}"/>
    <hyperlink ref="F533" r:id="rId1064" xr:uid="{00000000-0004-0000-0200-000027040000}"/>
    <hyperlink ref="E534" r:id="rId1065" xr:uid="{00000000-0004-0000-0200-000028040000}"/>
    <hyperlink ref="F534" r:id="rId1066" xr:uid="{00000000-0004-0000-0200-000029040000}"/>
    <hyperlink ref="E535" r:id="rId1067" xr:uid="{00000000-0004-0000-0200-00002A040000}"/>
    <hyperlink ref="F535" r:id="rId1068" xr:uid="{00000000-0004-0000-0200-00002B040000}"/>
    <hyperlink ref="E536" r:id="rId1069" xr:uid="{00000000-0004-0000-0200-00002C040000}"/>
    <hyperlink ref="F536" r:id="rId1070" xr:uid="{00000000-0004-0000-0200-00002D040000}"/>
    <hyperlink ref="E537" r:id="rId1071" xr:uid="{00000000-0004-0000-0200-00002E040000}"/>
    <hyperlink ref="F537" r:id="rId1072" xr:uid="{00000000-0004-0000-0200-00002F040000}"/>
    <hyperlink ref="E538" r:id="rId1073" xr:uid="{00000000-0004-0000-0200-000030040000}"/>
    <hyperlink ref="F538" r:id="rId1074" xr:uid="{00000000-0004-0000-0200-000031040000}"/>
    <hyperlink ref="E539" r:id="rId1075" xr:uid="{00000000-0004-0000-0200-000032040000}"/>
    <hyperlink ref="F539" r:id="rId1076" xr:uid="{00000000-0004-0000-0200-000033040000}"/>
    <hyperlink ref="E540" r:id="rId1077" xr:uid="{00000000-0004-0000-0200-000034040000}"/>
    <hyperlink ref="F540" r:id="rId1078" xr:uid="{00000000-0004-0000-0200-000035040000}"/>
    <hyperlink ref="E541" r:id="rId1079" xr:uid="{00000000-0004-0000-0200-000036040000}"/>
    <hyperlink ref="F541" r:id="rId1080" xr:uid="{00000000-0004-0000-0200-000037040000}"/>
    <hyperlink ref="E542" r:id="rId1081" xr:uid="{00000000-0004-0000-0200-000038040000}"/>
    <hyperlink ref="F542" r:id="rId1082" xr:uid="{00000000-0004-0000-0200-000039040000}"/>
    <hyperlink ref="E543" r:id="rId1083" xr:uid="{00000000-0004-0000-0200-00003A040000}"/>
    <hyperlink ref="F543" r:id="rId1084" xr:uid="{00000000-0004-0000-0200-00003B040000}"/>
    <hyperlink ref="E544" r:id="rId1085" xr:uid="{00000000-0004-0000-0200-00003C040000}"/>
    <hyperlink ref="F544" r:id="rId1086" xr:uid="{00000000-0004-0000-0200-00003D040000}"/>
    <hyperlink ref="E545" r:id="rId1087" xr:uid="{00000000-0004-0000-0200-00003E040000}"/>
    <hyperlink ref="F545" r:id="rId1088" xr:uid="{00000000-0004-0000-0200-00003F040000}"/>
    <hyperlink ref="E546" r:id="rId1089" xr:uid="{00000000-0004-0000-0200-000040040000}"/>
    <hyperlink ref="F546" r:id="rId1090" xr:uid="{00000000-0004-0000-0200-000041040000}"/>
    <hyperlink ref="E547" r:id="rId1091" xr:uid="{00000000-0004-0000-0200-000042040000}"/>
    <hyperlink ref="F547" r:id="rId1092" xr:uid="{00000000-0004-0000-0200-000043040000}"/>
    <hyperlink ref="E548" r:id="rId1093" xr:uid="{00000000-0004-0000-0200-000044040000}"/>
    <hyperlink ref="F548" r:id="rId1094" xr:uid="{00000000-0004-0000-0200-000045040000}"/>
    <hyperlink ref="E549" r:id="rId1095" xr:uid="{00000000-0004-0000-0200-000046040000}"/>
    <hyperlink ref="F549" r:id="rId1096" xr:uid="{00000000-0004-0000-0200-000047040000}"/>
    <hyperlink ref="E550" r:id="rId1097" xr:uid="{00000000-0004-0000-0200-000048040000}"/>
    <hyperlink ref="F550" r:id="rId1098" xr:uid="{00000000-0004-0000-0200-000049040000}"/>
    <hyperlink ref="E551" r:id="rId1099" xr:uid="{00000000-0004-0000-0200-00004A040000}"/>
    <hyperlink ref="F551" r:id="rId1100" xr:uid="{00000000-0004-0000-0200-00004B040000}"/>
    <hyperlink ref="E552" r:id="rId1101" xr:uid="{00000000-0004-0000-0200-00004C040000}"/>
    <hyperlink ref="F552" r:id="rId1102" xr:uid="{00000000-0004-0000-0200-00004D040000}"/>
    <hyperlink ref="E553" r:id="rId1103" xr:uid="{00000000-0004-0000-0200-00004E040000}"/>
    <hyperlink ref="F553" r:id="rId1104" xr:uid="{00000000-0004-0000-0200-00004F040000}"/>
    <hyperlink ref="E554" r:id="rId1105" xr:uid="{00000000-0004-0000-0200-000050040000}"/>
    <hyperlink ref="F554" r:id="rId1106" xr:uid="{00000000-0004-0000-0200-000051040000}"/>
    <hyperlink ref="E555" r:id="rId1107" xr:uid="{00000000-0004-0000-0200-000052040000}"/>
    <hyperlink ref="F555" r:id="rId1108" xr:uid="{00000000-0004-0000-0200-000053040000}"/>
    <hyperlink ref="E556" r:id="rId1109" xr:uid="{00000000-0004-0000-0200-000054040000}"/>
    <hyperlink ref="F556" r:id="rId1110" xr:uid="{00000000-0004-0000-0200-000055040000}"/>
    <hyperlink ref="E557" r:id="rId1111" xr:uid="{00000000-0004-0000-0200-000056040000}"/>
    <hyperlink ref="F557" r:id="rId1112" xr:uid="{00000000-0004-0000-0200-000057040000}"/>
    <hyperlink ref="E558" r:id="rId1113" xr:uid="{00000000-0004-0000-0200-000058040000}"/>
    <hyperlink ref="F558" r:id="rId1114" xr:uid="{00000000-0004-0000-0200-000059040000}"/>
    <hyperlink ref="E559" r:id="rId1115" xr:uid="{00000000-0004-0000-0200-00005A040000}"/>
    <hyperlink ref="F559" r:id="rId1116" xr:uid="{00000000-0004-0000-0200-00005B040000}"/>
    <hyperlink ref="E560" r:id="rId1117" xr:uid="{00000000-0004-0000-0200-00005C040000}"/>
    <hyperlink ref="F560" r:id="rId1118" xr:uid="{00000000-0004-0000-0200-00005D040000}"/>
    <hyperlink ref="E561" r:id="rId1119" xr:uid="{00000000-0004-0000-0200-00005E040000}"/>
    <hyperlink ref="F561" r:id="rId1120" xr:uid="{00000000-0004-0000-0200-00005F040000}"/>
    <hyperlink ref="E562" r:id="rId1121" xr:uid="{00000000-0004-0000-0200-000060040000}"/>
    <hyperlink ref="F562" r:id="rId1122" xr:uid="{00000000-0004-0000-0200-000061040000}"/>
    <hyperlink ref="E563" r:id="rId1123" xr:uid="{00000000-0004-0000-0200-000062040000}"/>
    <hyperlink ref="F563" r:id="rId1124" xr:uid="{00000000-0004-0000-0200-000063040000}"/>
    <hyperlink ref="E564" r:id="rId1125" xr:uid="{00000000-0004-0000-0200-000064040000}"/>
    <hyperlink ref="F564" r:id="rId1126" xr:uid="{00000000-0004-0000-0200-000065040000}"/>
    <hyperlink ref="E565" r:id="rId1127" xr:uid="{00000000-0004-0000-0200-000066040000}"/>
    <hyperlink ref="F565" r:id="rId1128" xr:uid="{00000000-0004-0000-0200-000067040000}"/>
    <hyperlink ref="E566" r:id="rId1129" xr:uid="{00000000-0004-0000-0200-000068040000}"/>
    <hyperlink ref="F566" r:id="rId1130" xr:uid="{00000000-0004-0000-0200-000069040000}"/>
    <hyperlink ref="E567" r:id="rId1131" xr:uid="{00000000-0004-0000-0200-00006A040000}"/>
    <hyperlink ref="F567" r:id="rId1132" xr:uid="{00000000-0004-0000-0200-00006B040000}"/>
    <hyperlink ref="E568" r:id="rId1133" xr:uid="{00000000-0004-0000-0200-00006C040000}"/>
    <hyperlink ref="F568" r:id="rId1134" xr:uid="{00000000-0004-0000-0200-00006D040000}"/>
    <hyperlink ref="E569" r:id="rId1135" xr:uid="{00000000-0004-0000-0200-00006E040000}"/>
    <hyperlink ref="F569" r:id="rId1136" xr:uid="{00000000-0004-0000-0200-00006F040000}"/>
    <hyperlink ref="E570" r:id="rId1137" xr:uid="{00000000-0004-0000-0200-000070040000}"/>
    <hyperlink ref="F570" r:id="rId1138" xr:uid="{00000000-0004-0000-0200-000071040000}"/>
    <hyperlink ref="E571" r:id="rId1139" xr:uid="{00000000-0004-0000-0200-000072040000}"/>
    <hyperlink ref="F571" r:id="rId1140" xr:uid="{00000000-0004-0000-0200-000073040000}"/>
    <hyperlink ref="E572" r:id="rId1141" xr:uid="{00000000-0004-0000-0200-000074040000}"/>
    <hyperlink ref="F572" r:id="rId1142" xr:uid="{00000000-0004-0000-0200-000075040000}"/>
    <hyperlink ref="E573" r:id="rId1143" xr:uid="{00000000-0004-0000-0200-000076040000}"/>
    <hyperlink ref="F573" r:id="rId1144" xr:uid="{00000000-0004-0000-0200-000077040000}"/>
    <hyperlink ref="E574" r:id="rId1145" xr:uid="{00000000-0004-0000-0200-000078040000}"/>
    <hyperlink ref="F574" r:id="rId1146" xr:uid="{00000000-0004-0000-0200-000079040000}"/>
    <hyperlink ref="E575" r:id="rId1147" xr:uid="{00000000-0004-0000-0200-00007A040000}"/>
    <hyperlink ref="F575" r:id="rId1148" xr:uid="{00000000-0004-0000-0200-00007B040000}"/>
    <hyperlink ref="E576" r:id="rId1149" xr:uid="{00000000-0004-0000-0200-00007C040000}"/>
    <hyperlink ref="F576" r:id="rId1150" xr:uid="{00000000-0004-0000-0200-00007D040000}"/>
    <hyperlink ref="E577" r:id="rId1151" xr:uid="{00000000-0004-0000-0200-00007E040000}"/>
    <hyperlink ref="F577" r:id="rId1152" xr:uid="{00000000-0004-0000-0200-00007F040000}"/>
    <hyperlink ref="E578" r:id="rId1153" xr:uid="{00000000-0004-0000-0200-000080040000}"/>
    <hyperlink ref="F578" r:id="rId1154" xr:uid="{00000000-0004-0000-0200-000081040000}"/>
    <hyperlink ref="E579" r:id="rId1155" xr:uid="{00000000-0004-0000-0200-000082040000}"/>
    <hyperlink ref="F579" r:id="rId1156" xr:uid="{00000000-0004-0000-0200-000083040000}"/>
    <hyperlink ref="E580" r:id="rId1157" xr:uid="{00000000-0004-0000-0200-000084040000}"/>
    <hyperlink ref="F580" r:id="rId1158" xr:uid="{00000000-0004-0000-0200-000085040000}"/>
    <hyperlink ref="E581" r:id="rId1159" xr:uid="{00000000-0004-0000-0200-000086040000}"/>
    <hyperlink ref="F581" r:id="rId1160" xr:uid="{00000000-0004-0000-0200-000087040000}"/>
    <hyperlink ref="E582" r:id="rId1161" xr:uid="{00000000-0004-0000-0200-000088040000}"/>
    <hyperlink ref="F582" r:id="rId1162" xr:uid="{00000000-0004-0000-0200-000089040000}"/>
    <hyperlink ref="E583" r:id="rId1163" xr:uid="{00000000-0004-0000-0200-00008A040000}"/>
    <hyperlink ref="F583" r:id="rId1164" xr:uid="{00000000-0004-0000-0200-00008B040000}"/>
    <hyperlink ref="E584" r:id="rId1165" xr:uid="{00000000-0004-0000-0200-00008C040000}"/>
    <hyperlink ref="F584" r:id="rId1166" xr:uid="{00000000-0004-0000-0200-00008D040000}"/>
    <hyperlink ref="E585" r:id="rId1167" xr:uid="{00000000-0004-0000-0200-00008E040000}"/>
    <hyperlink ref="F585" r:id="rId1168" xr:uid="{00000000-0004-0000-0200-00008F040000}"/>
    <hyperlink ref="E586" r:id="rId1169" xr:uid="{00000000-0004-0000-0200-000090040000}"/>
    <hyperlink ref="F586" r:id="rId1170" xr:uid="{00000000-0004-0000-0200-000091040000}"/>
    <hyperlink ref="E587" r:id="rId1171" xr:uid="{00000000-0004-0000-0200-000092040000}"/>
    <hyperlink ref="F587" r:id="rId1172" xr:uid="{00000000-0004-0000-0200-000093040000}"/>
    <hyperlink ref="E588" r:id="rId1173" xr:uid="{00000000-0004-0000-0200-000094040000}"/>
    <hyperlink ref="F588" r:id="rId1174" xr:uid="{00000000-0004-0000-0200-000095040000}"/>
    <hyperlink ref="E589" r:id="rId1175" xr:uid="{00000000-0004-0000-0200-000096040000}"/>
    <hyperlink ref="F589" r:id="rId1176" xr:uid="{00000000-0004-0000-0200-000097040000}"/>
    <hyperlink ref="E590" r:id="rId1177" xr:uid="{00000000-0004-0000-0200-000098040000}"/>
    <hyperlink ref="F590" r:id="rId1178" xr:uid="{00000000-0004-0000-0200-000099040000}"/>
    <hyperlink ref="E591" r:id="rId1179" xr:uid="{00000000-0004-0000-0200-00009A040000}"/>
    <hyperlink ref="F591" r:id="rId1180" xr:uid="{00000000-0004-0000-0200-00009B040000}"/>
    <hyperlink ref="E592" r:id="rId1181" xr:uid="{00000000-0004-0000-0200-00009C040000}"/>
    <hyperlink ref="F592" r:id="rId1182" xr:uid="{00000000-0004-0000-0200-00009D040000}"/>
    <hyperlink ref="E593" r:id="rId1183" xr:uid="{00000000-0004-0000-0200-00009E040000}"/>
    <hyperlink ref="F593" r:id="rId1184" xr:uid="{00000000-0004-0000-0200-00009F040000}"/>
    <hyperlink ref="E594" r:id="rId1185" xr:uid="{00000000-0004-0000-0200-0000A0040000}"/>
    <hyperlink ref="F594" r:id="rId1186" xr:uid="{00000000-0004-0000-0200-0000A1040000}"/>
    <hyperlink ref="E595" r:id="rId1187" xr:uid="{00000000-0004-0000-0200-0000A2040000}"/>
    <hyperlink ref="F595" r:id="rId1188" xr:uid="{00000000-0004-0000-0200-0000A3040000}"/>
    <hyperlink ref="E596" r:id="rId1189" xr:uid="{00000000-0004-0000-0200-0000A4040000}"/>
    <hyperlink ref="F596" r:id="rId1190" xr:uid="{00000000-0004-0000-0200-0000A5040000}"/>
    <hyperlink ref="E597" r:id="rId1191" xr:uid="{00000000-0004-0000-0200-0000A6040000}"/>
    <hyperlink ref="F597" r:id="rId1192" xr:uid="{00000000-0004-0000-0200-0000A7040000}"/>
    <hyperlink ref="E598" r:id="rId1193" xr:uid="{00000000-0004-0000-0200-0000A8040000}"/>
    <hyperlink ref="F598" r:id="rId1194" xr:uid="{00000000-0004-0000-0200-0000A9040000}"/>
    <hyperlink ref="E599" r:id="rId1195" xr:uid="{00000000-0004-0000-0200-0000AA040000}"/>
    <hyperlink ref="F599" r:id="rId1196" xr:uid="{00000000-0004-0000-0200-0000AB040000}"/>
    <hyperlink ref="E600" r:id="rId1197" xr:uid="{00000000-0004-0000-0200-0000AC040000}"/>
    <hyperlink ref="F600" r:id="rId1198" xr:uid="{00000000-0004-0000-0200-0000AD040000}"/>
    <hyperlink ref="E601" r:id="rId1199" xr:uid="{00000000-0004-0000-0200-0000AE040000}"/>
    <hyperlink ref="F601" r:id="rId1200" xr:uid="{00000000-0004-0000-0200-0000AF040000}"/>
    <hyperlink ref="E602" r:id="rId1201" xr:uid="{00000000-0004-0000-0200-0000B0040000}"/>
    <hyperlink ref="F602" r:id="rId1202" xr:uid="{00000000-0004-0000-0200-0000B1040000}"/>
    <hyperlink ref="E603" r:id="rId1203" xr:uid="{00000000-0004-0000-0200-0000B2040000}"/>
    <hyperlink ref="F603" r:id="rId1204" xr:uid="{00000000-0004-0000-0200-0000B3040000}"/>
    <hyperlink ref="E604" r:id="rId1205" xr:uid="{00000000-0004-0000-0200-0000B4040000}"/>
    <hyperlink ref="F604" r:id="rId1206" xr:uid="{00000000-0004-0000-0200-0000B5040000}"/>
    <hyperlink ref="E605" r:id="rId1207" xr:uid="{00000000-0004-0000-0200-0000B6040000}"/>
    <hyperlink ref="F605" r:id="rId1208" xr:uid="{00000000-0004-0000-0200-0000B7040000}"/>
    <hyperlink ref="E606" r:id="rId1209" xr:uid="{00000000-0004-0000-0200-0000B8040000}"/>
    <hyperlink ref="F606" r:id="rId1210" xr:uid="{00000000-0004-0000-0200-0000B9040000}"/>
    <hyperlink ref="E607" r:id="rId1211" xr:uid="{00000000-0004-0000-0200-0000BA040000}"/>
    <hyperlink ref="F607" r:id="rId1212" xr:uid="{00000000-0004-0000-0200-0000BB040000}"/>
    <hyperlink ref="E608" r:id="rId1213" xr:uid="{00000000-0004-0000-0200-0000BC040000}"/>
    <hyperlink ref="F608" r:id="rId1214" xr:uid="{00000000-0004-0000-0200-0000BD040000}"/>
    <hyperlink ref="E609" r:id="rId1215" xr:uid="{00000000-0004-0000-0200-0000BE040000}"/>
    <hyperlink ref="F609" r:id="rId1216" xr:uid="{00000000-0004-0000-0200-0000BF040000}"/>
    <hyperlink ref="E610" r:id="rId1217" xr:uid="{00000000-0004-0000-0200-0000C0040000}"/>
    <hyperlink ref="F610" r:id="rId1218" xr:uid="{00000000-0004-0000-0200-0000C1040000}"/>
    <hyperlink ref="E611" r:id="rId1219" xr:uid="{00000000-0004-0000-0200-0000C2040000}"/>
    <hyperlink ref="F611" r:id="rId1220" xr:uid="{00000000-0004-0000-0200-0000C3040000}"/>
    <hyperlink ref="E612" r:id="rId1221" xr:uid="{00000000-0004-0000-0200-0000C4040000}"/>
    <hyperlink ref="F612" r:id="rId1222" xr:uid="{00000000-0004-0000-0200-0000C5040000}"/>
    <hyperlink ref="E613" r:id="rId1223" xr:uid="{00000000-0004-0000-0200-0000C6040000}"/>
    <hyperlink ref="F613" r:id="rId1224" xr:uid="{00000000-0004-0000-0200-0000C7040000}"/>
    <hyperlink ref="E614" r:id="rId1225" xr:uid="{00000000-0004-0000-0200-0000C8040000}"/>
    <hyperlink ref="F614" r:id="rId1226" xr:uid="{00000000-0004-0000-0200-0000C9040000}"/>
    <hyperlink ref="E615" r:id="rId1227" xr:uid="{00000000-0004-0000-0200-0000CA040000}"/>
    <hyperlink ref="F615" r:id="rId1228" xr:uid="{00000000-0004-0000-0200-0000CB040000}"/>
    <hyperlink ref="E616" r:id="rId1229" xr:uid="{00000000-0004-0000-0200-0000CC040000}"/>
    <hyperlink ref="F616" r:id="rId1230" xr:uid="{00000000-0004-0000-0200-0000CD040000}"/>
    <hyperlink ref="E617" r:id="rId1231" xr:uid="{00000000-0004-0000-0200-0000CE040000}"/>
    <hyperlink ref="F617" r:id="rId1232" xr:uid="{00000000-0004-0000-0200-0000CF040000}"/>
    <hyperlink ref="E618" r:id="rId1233" xr:uid="{00000000-0004-0000-0200-0000D0040000}"/>
    <hyperlink ref="F618" r:id="rId1234" xr:uid="{00000000-0004-0000-0200-0000D1040000}"/>
    <hyperlink ref="E619" r:id="rId1235" xr:uid="{00000000-0004-0000-0200-0000D2040000}"/>
    <hyperlink ref="F619" r:id="rId1236" xr:uid="{00000000-0004-0000-0200-0000D3040000}"/>
    <hyperlink ref="E620" r:id="rId1237" xr:uid="{00000000-0004-0000-0200-0000D4040000}"/>
    <hyperlink ref="F620" r:id="rId1238" xr:uid="{00000000-0004-0000-0200-0000D5040000}"/>
    <hyperlink ref="E621" r:id="rId1239" xr:uid="{00000000-0004-0000-0200-0000D6040000}"/>
    <hyperlink ref="F621" r:id="rId1240" xr:uid="{00000000-0004-0000-0200-0000D7040000}"/>
    <hyperlink ref="E622" r:id="rId1241" xr:uid="{00000000-0004-0000-0200-0000D8040000}"/>
    <hyperlink ref="F622" r:id="rId1242" xr:uid="{00000000-0004-0000-0200-0000D9040000}"/>
    <hyperlink ref="E623" r:id="rId1243" xr:uid="{00000000-0004-0000-0200-0000DA040000}"/>
    <hyperlink ref="F623" r:id="rId1244" xr:uid="{00000000-0004-0000-0200-0000DB040000}"/>
    <hyperlink ref="E624" r:id="rId1245" xr:uid="{00000000-0004-0000-0200-0000DC040000}"/>
    <hyperlink ref="F624" r:id="rId1246" xr:uid="{00000000-0004-0000-0200-0000DD040000}"/>
    <hyperlink ref="E625" r:id="rId1247" xr:uid="{00000000-0004-0000-0200-0000DE040000}"/>
    <hyperlink ref="F625" r:id="rId1248" xr:uid="{00000000-0004-0000-0200-0000DF040000}"/>
    <hyperlink ref="E626" r:id="rId1249" xr:uid="{00000000-0004-0000-0200-0000E0040000}"/>
    <hyperlink ref="F626" r:id="rId1250" xr:uid="{00000000-0004-0000-0200-0000E1040000}"/>
    <hyperlink ref="E627" r:id="rId1251" xr:uid="{00000000-0004-0000-0200-0000E2040000}"/>
    <hyperlink ref="F627" r:id="rId1252" xr:uid="{00000000-0004-0000-0200-0000E3040000}"/>
    <hyperlink ref="E628" r:id="rId1253" xr:uid="{00000000-0004-0000-0200-0000E4040000}"/>
    <hyperlink ref="F628" r:id="rId1254" xr:uid="{00000000-0004-0000-0200-0000E5040000}"/>
    <hyperlink ref="E629" r:id="rId1255" xr:uid="{00000000-0004-0000-0200-0000E6040000}"/>
    <hyperlink ref="F629" r:id="rId1256" xr:uid="{00000000-0004-0000-0200-0000E7040000}"/>
    <hyperlink ref="E630" r:id="rId1257" xr:uid="{00000000-0004-0000-0200-0000E8040000}"/>
    <hyperlink ref="F630" r:id="rId1258" xr:uid="{00000000-0004-0000-0200-0000E9040000}"/>
    <hyperlink ref="E631" r:id="rId1259" xr:uid="{00000000-0004-0000-0200-0000EA040000}"/>
    <hyperlink ref="F631" r:id="rId1260" xr:uid="{00000000-0004-0000-0200-0000EB040000}"/>
    <hyperlink ref="E632" r:id="rId1261" xr:uid="{00000000-0004-0000-0200-0000EC040000}"/>
    <hyperlink ref="F632" r:id="rId1262" xr:uid="{00000000-0004-0000-0200-0000ED040000}"/>
    <hyperlink ref="E633" r:id="rId1263" xr:uid="{00000000-0004-0000-0200-0000EE040000}"/>
    <hyperlink ref="F633" r:id="rId1264" xr:uid="{00000000-0004-0000-0200-0000EF040000}"/>
    <hyperlink ref="E634" r:id="rId1265" xr:uid="{00000000-0004-0000-0200-0000F0040000}"/>
    <hyperlink ref="F634" r:id="rId1266" xr:uid="{00000000-0004-0000-0200-0000F1040000}"/>
    <hyperlink ref="E635" r:id="rId1267" xr:uid="{00000000-0004-0000-0200-0000F2040000}"/>
    <hyperlink ref="F635" r:id="rId1268" xr:uid="{00000000-0004-0000-0200-0000F3040000}"/>
    <hyperlink ref="E636" r:id="rId1269" xr:uid="{00000000-0004-0000-0200-0000F4040000}"/>
    <hyperlink ref="F636" r:id="rId1270" xr:uid="{00000000-0004-0000-0200-0000F5040000}"/>
    <hyperlink ref="E637" r:id="rId1271" xr:uid="{00000000-0004-0000-0200-0000F6040000}"/>
    <hyperlink ref="F637" r:id="rId1272" xr:uid="{00000000-0004-0000-0200-0000F7040000}"/>
    <hyperlink ref="E638" r:id="rId1273" xr:uid="{00000000-0004-0000-0200-0000F8040000}"/>
    <hyperlink ref="F638" r:id="rId1274" xr:uid="{00000000-0004-0000-0200-0000F9040000}"/>
    <hyperlink ref="E639" r:id="rId1275" xr:uid="{00000000-0004-0000-0200-0000FA040000}"/>
    <hyperlink ref="F639" r:id="rId1276" xr:uid="{00000000-0004-0000-0200-0000FB040000}"/>
    <hyperlink ref="E640" r:id="rId1277" xr:uid="{00000000-0004-0000-0200-0000FC040000}"/>
    <hyperlink ref="F640" r:id="rId1278" xr:uid="{00000000-0004-0000-0200-0000FD040000}"/>
    <hyperlink ref="E641" r:id="rId1279" xr:uid="{00000000-0004-0000-0200-0000FE040000}"/>
    <hyperlink ref="F641" r:id="rId1280" xr:uid="{00000000-0004-0000-0200-0000FF040000}"/>
    <hyperlink ref="E642" r:id="rId1281" xr:uid="{00000000-0004-0000-0200-000000050000}"/>
    <hyperlink ref="F642" r:id="rId1282" xr:uid="{00000000-0004-0000-0200-000001050000}"/>
    <hyperlink ref="E643" r:id="rId1283" xr:uid="{00000000-0004-0000-0200-000002050000}"/>
    <hyperlink ref="F643" r:id="rId1284" xr:uid="{00000000-0004-0000-0200-000003050000}"/>
    <hyperlink ref="E644" r:id="rId1285" xr:uid="{00000000-0004-0000-0200-000004050000}"/>
    <hyperlink ref="F644" r:id="rId1286" xr:uid="{00000000-0004-0000-0200-000005050000}"/>
    <hyperlink ref="E645" r:id="rId1287" xr:uid="{00000000-0004-0000-0200-000006050000}"/>
    <hyperlink ref="F645" r:id="rId1288" xr:uid="{00000000-0004-0000-0200-000007050000}"/>
    <hyperlink ref="E646" r:id="rId1289" xr:uid="{00000000-0004-0000-0200-000008050000}"/>
    <hyperlink ref="F646" r:id="rId1290" xr:uid="{00000000-0004-0000-0200-000009050000}"/>
    <hyperlink ref="E647" r:id="rId1291" xr:uid="{00000000-0004-0000-0200-00000A050000}"/>
    <hyperlink ref="F647" r:id="rId1292" xr:uid="{00000000-0004-0000-0200-00000B050000}"/>
    <hyperlink ref="E648" r:id="rId1293" xr:uid="{00000000-0004-0000-0200-00000C050000}"/>
    <hyperlink ref="F648" r:id="rId1294" xr:uid="{00000000-0004-0000-0200-00000D050000}"/>
    <hyperlink ref="E649" r:id="rId1295" xr:uid="{00000000-0004-0000-0200-00000E050000}"/>
    <hyperlink ref="F649" r:id="rId1296" xr:uid="{00000000-0004-0000-0200-00000F050000}"/>
    <hyperlink ref="E650" r:id="rId1297" xr:uid="{00000000-0004-0000-0200-000010050000}"/>
    <hyperlink ref="F650" r:id="rId1298" xr:uid="{00000000-0004-0000-0200-000011050000}"/>
    <hyperlink ref="E651" r:id="rId1299" xr:uid="{00000000-0004-0000-0200-000012050000}"/>
    <hyperlink ref="F651" r:id="rId1300" xr:uid="{00000000-0004-0000-0200-000013050000}"/>
    <hyperlink ref="E652" r:id="rId1301" xr:uid="{00000000-0004-0000-0200-000014050000}"/>
    <hyperlink ref="F652" r:id="rId1302" xr:uid="{00000000-0004-0000-0200-000015050000}"/>
    <hyperlink ref="E653" r:id="rId1303" xr:uid="{00000000-0004-0000-0200-000016050000}"/>
    <hyperlink ref="F653" r:id="rId1304" xr:uid="{00000000-0004-0000-0200-000017050000}"/>
    <hyperlink ref="E654" r:id="rId1305" xr:uid="{00000000-0004-0000-0200-000018050000}"/>
    <hyperlink ref="F654" r:id="rId1306" xr:uid="{00000000-0004-0000-0200-000019050000}"/>
    <hyperlink ref="E655" r:id="rId1307" xr:uid="{00000000-0004-0000-0200-00001A050000}"/>
    <hyperlink ref="F655" r:id="rId1308" xr:uid="{00000000-0004-0000-0200-00001B050000}"/>
    <hyperlink ref="E656" r:id="rId1309" xr:uid="{00000000-0004-0000-0200-00001C050000}"/>
    <hyperlink ref="F656" r:id="rId1310" xr:uid="{00000000-0004-0000-0200-00001D050000}"/>
    <hyperlink ref="E657" r:id="rId1311" xr:uid="{00000000-0004-0000-0200-00001E050000}"/>
    <hyperlink ref="F657" r:id="rId1312" xr:uid="{00000000-0004-0000-0200-00001F050000}"/>
    <hyperlink ref="E658" r:id="rId1313" xr:uid="{00000000-0004-0000-0200-000020050000}"/>
    <hyperlink ref="F658" r:id="rId1314" xr:uid="{00000000-0004-0000-0200-000021050000}"/>
    <hyperlink ref="E659" r:id="rId1315" xr:uid="{00000000-0004-0000-0200-000022050000}"/>
    <hyperlink ref="F659" r:id="rId1316" xr:uid="{00000000-0004-0000-0200-000023050000}"/>
    <hyperlink ref="E660" r:id="rId1317" xr:uid="{00000000-0004-0000-0200-000024050000}"/>
    <hyperlink ref="F660" r:id="rId1318" xr:uid="{00000000-0004-0000-0200-000025050000}"/>
    <hyperlink ref="E661" r:id="rId1319" xr:uid="{00000000-0004-0000-0200-000026050000}"/>
    <hyperlink ref="F661" r:id="rId1320" xr:uid="{00000000-0004-0000-0200-000027050000}"/>
    <hyperlink ref="E662" r:id="rId1321" xr:uid="{00000000-0004-0000-0200-000028050000}"/>
    <hyperlink ref="F662" r:id="rId1322" xr:uid="{00000000-0004-0000-0200-000029050000}"/>
    <hyperlink ref="E663" r:id="rId1323" xr:uid="{00000000-0004-0000-0200-00002A050000}"/>
    <hyperlink ref="F663" r:id="rId1324" xr:uid="{00000000-0004-0000-0200-00002B050000}"/>
    <hyperlink ref="E664" r:id="rId1325" xr:uid="{00000000-0004-0000-0200-00002C050000}"/>
    <hyperlink ref="F664" r:id="rId1326" xr:uid="{00000000-0004-0000-0200-00002D050000}"/>
    <hyperlink ref="E665" r:id="rId1327" xr:uid="{00000000-0004-0000-0200-00002E050000}"/>
    <hyperlink ref="F665" r:id="rId1328" xr:uid="{00000000-0004-0000-0200-00002F050000}"/>
    <hyperlink ref="E666" r:id="rId1329" xr:uid="{00000000-0004-0000-0200-000030050000}"/>
    <hyperlink ref="F666" r:id="rId1330" xr:uid="{00000000-0004-0000-0200-000031050000}"/>
    <hyperlink ref="E667" r:id="rId1331" xr:uid="{00000000-0004-0000-0200-000032050000}"/>
    <hyperlink ref="F667" r:id="rId1332" xr:uid="{00000000-0004-0000-0200-000033050000}"/>
    <hyperlink ref="E668" r:id="rId1333" xr:uid="{00000000-0004-0000-0200-000034050000}"/>
    <hyperlink ref="F668" r:id="rId1334" xr:uid="{00000000-0004-0000-0200-000035050000}"/>
    <hyperlink ref="E669" r:id="rId1335" xr:uid="{00000000-0004-0000-0200-000036050000}"/>
    <hyperlink ref="F669" r:id="rId1336" xr:uid="{00000000-0004-0000-0200-000037050000}"/>
    <hyperlink ref="E670" r:id="rId1337" xr:uid="{00000000-0004-0000-0200-000038050000}"/>
    <hyperlink ref="F670" r:id="rId1338" xr:uid="{00000000-0004-0000-0200-000039050000}"/>
    <hyperlink ref="E671" r:id="rId1339" xr:uid="{00000000-0004-0000-0200-00003A050000}"/>
    <hyperlink ref="F671" r:id="rId1340" xr:uid="{00000000-0004-0000-0200-00003B050000}"/>
    <hyperlink ref="E672" r:id="rId1341" xr:uid="{00000000-0004-0000-0200-00003C050000}"/>
    <hyperlink ref="F672" r:id="rId1342" xr:uid="{00000000-0004-0000-0200-00003D050000}"/>
    <hyperlink ref="E673" r:id="rId1343" xr:uid="{00000000-0004-0000-0200-00003E050000}"/>
    <hyperlink ref="F673" r:id="rId1344" xr:uid="{00000000-0004-0000-0200-00003F050000}"/>
    <hyperlink ref="E674" r:id="rId1345" xr:uid="{00000000-0004-0000-0200-000040050000}"/>
    <hyperlink ref="F674" r:id="rId1346" xr:uid="{00000000-0004-0000-0200-000041050000}"/>
    <hyperlink ref="E675" r:id="rId1347" xr:uid="{00000000-0004-0000-0200-000042050000}"/>
    <hyperlink ref="F675" r:id="rId1348" xr:uid="{00000000-0004-0000-0200-000043050000}"/>
    <hyperlink ref="E676" r:id="rId1349" xr:uid="{00000000-0004-0000-0200-000044050000}"/>
    <hyperlink ref="F676" r:id="rId1350" xr:uid="{00000000-0004-0000-0200-000045050000}"/>
    <hyperlink ref="E677" r:id="rId1351" xr:uid="{00000000-0004-0000-0200-000046050000}"/>
    <hyperlink ref="F677" r:id="rId1352" xr:uid="{00000000-0004-0000-0200-000047050000}"/>
    <hyperlink ref="E678" r:id="rId1353" xr:uid="{00000000-0004-0000-0200-000048050000}"/>
    <hyperlink ref="F678" r:id="rId1354" xr:uid="{00000000-0004-0000-0200-000049050000}"/>
    <hyperlink ref="E679" r:id="rId1355" xr:uid="{00000000-0004-0000-0200-00004A050000}"/>
    <hyperlink ref="F679" r:id="rId1356" xr:uid="{00000000-0004-0000-0200-00004B050000}"/>
    <hyperlink ref="E680" r:id="rId1357" xr:uid="{00000000-0004-0000-0200-00004C050000}"/>
    <hyperlink ref="F680" r:id="rId1358" xr:uid="{00000000-0004-0000-0200-00004D050000}"/>
    <hyperlink ref="E681" r:id="rId1359" xr:uid="{00000000-0004-0000-0200-00004E050000}"/>
    <hyperlink ref="F681" r:id="rId1360" xr:uid="{00000000-0004-0000-0200-00004F050000}"/>
    <hyperlink ref="E682" r:id="rId1361" xr:uid="{00000000-0004-0000-0200-000050050000}"/>
    <hyperlink ref="F682" r:id="rId1362" xr:uid="{00000000-0004-0000-0200-000051050000}"/>
    <hyperlink ref="E683" r:id="rId1363" xr:uid="{00000000-0004-0000-0200-000052050000}"/>
    <hyperlink ref="F683" r:id="rId1364" xr:uid="{00000000-0004-0000-0200-000053050000}"/>
    <hyperlink ref="E684" r:id="rId1365" xr:uid="{00000000-0004-0000-0200-000054050000}"/>
    <hyperlink ref="F684" r:id="rId1366" xr:uid="{00000000-0004-0000-0200-000055050000}"/>
    <hyperlink ref="E685" r:id="rId1367" xr:uid="{00000000-0004-0000-0200-000056050000}"/>
    <hyperlink ref="F685" r:id="rId1368" xr:uid="{00000000-0004-0000-0200-000057050000}"/>
    <hyperlink ref="E686" r:id="rId1369" xr:uid="{00000000-0004-0000-0200-000058050000}"/>
    <hyperlink ref="F686" r:id="rId1370" xr:uid="{00000000-0004-0000-0200-000059050000}"/>
    <hyperlink ref="E687" r:id="rId1371" xr:uid="{00000000-0004-0000-0200-00005A050000}"/>
    <hyperlink ref="F687" r:id="rId1372" xr:uid="{00000000-0004-0000-0200-00005B050000}"/>
    <hyperlink ref="E688" r:id="rId1373" xr:uid="{00000000-0004-0000-0200-00005C050000}"/>
    <hyperlink ref="F688" r:id="rId1374" xr:uid="{00000000-0004-0000-0200-00005D050000}"/>
    <hyperlink ref="E689" r:id="rId1375" xr:uid="{00000000-0004-0000-0200-00005E050000}"/>
    <hyperlink ref="F689" r:id="rId1376" xr:uid="{00000000-0004-0000-0200-00005F050000}"/>
    <hyperlink ref="E690" r:id="rId1377" xr:uid="{00000000-0004-0000-0200-000060050000}"/>
    <hyperlink ref="F690" r:id="rId1378" xr:uid="{00000000-0004-0000-0200-000061050000}"/>
    <hyperlink ref="E691" r:id="rId1379" xr:uid="{00000000-0004-0000-0200-000062050000}"/>
    <hyperlink ref="F691" r:id="rId1380" xr:uid="{00000000-0004-0000-0200-000063050000}"/>
    <hyperlink ref="E692" r:id="rId1381" xr:uid="{00000000-0004-0000-0200-000064050000}"/>
    <hyperlink ref="F692" r:id="rId1382" xr:uid="{00000000-0004-0000-0200-000065050000}"/>
    <hyperlink ref="E693" r:id="rId1383" xr:uid="{00000000-0004-0000-0200-000066050000}"/>
    <hyperlink ref="F693" r:id="rId1384" xr:uid="{00000000-0004-0000-0200-000067050000}"/>
    <hyperlink ref="E694" r:id="rId1385" xr:uid="{00000000-0004-0000-0200-000068050000}"/>
    <hyperlink ref="F694" r:id="rId1386" xr:uid="{00000000-0004-0000-0200-000069050000}"/>
    <hyperlink ref="E695" r:id="rId1387" xr:uid="{00000000-0004-0000-0200-00006A050000}"/>
    <hyperlink ref="F695" r:id="rId1388" xr:uid="{00000000-0004-0000-0200-00006B050000}"/>
    <hyperlink ref="E696" r:id="rId1389" xr:uid="{00000000-0004-0000-0200-00006C050000}"/>
    <hyperlink ref="F696" r:id="rId1390" xr:uid="{00000000-0004-0000-0200-00006D050000}"/>
    <hyperlink ref="E697" r:id="rId1391" xr:uid="{00000000-0004-0000-0200-00006E050000}"/>
    <hyperlink ref="F697" r:id="rId1392" xr:uid="{00000000-0004-0000-0200-00006F050000}"/>
    <hyperlink ref="E698" r:id="rId1393" xr:uid="{00000000-0004-0000-0200-000070050000}"/>
    <hyperlink ref="F698" r:id="rId1394" xr:uid="{00000000-0004-0000-0200-000071050000}"/>
    <hyperlink ref="E699" r:id="rId1395" xr:uid="{00000000-0004-0000-0200-000072050000}"/>
    <hyperlink ref="F699" r:id="rId1396" xr:uid="{00000000-0004-0000-0200-000073050000}"/>
    <hyperlink ref="E700" r:id="rId1397" xr:uid="{00000000-0004-0000-0200-000074050000}"/>
    <hyperlink ref="F700" r:id="rId1398" xr:uid="{00000000-0004-0000-0200-000075050000}"/>
    <hyperlink ref="E701" r:id="rId1399" xr:uid="{00000000-0004-0000-0200-000076050000}"/>
    <hyperlink ref="F701" r:id="rId1400" xr:uid="{00000000-0004-0000-0200-000077050000}"/>
    <hyperlink ref="E702" r:id="rId1401" xr:uid="{00000000-0004-0000-0200-000078050000}"/>
    <hyperlink ref="F702" r:id="rId1402" xr:uid="{00000000-0004-0000-0200-000079050000}"/>
    <hyperlink ref="E703" r:id="rId1403" xr:uid="{00000000-0004-0000-0200-00007A050000}"/>
    <hyperlink ref="F703" r:id="rId1404" xr:uid="{00000000-0004-0000-0200-00007B050000}"/>
    <hyperlink ref="E704" r:id="rId1405" xr:uid="{00000000-0004-0000-0200-00007C050000}"/>
    <hyperlink ref="F704" r:id="rId1406" xr:uid="{00000000-0004-0000-0200-00007D050000}"/>
    <hyperlink ref="E705" r:id="rId1407" xr:uid="{00000000-0004-0000-0200-00007E050000}"/>
    <hyperlink ref="F705" r:id="rId1408" xr:uid="{00000000-0004-0000-0200-00007F050000}"/>
    <hyperlink ref="E706" r:id="rId1409" xr:uid="{00000000-0004-0000-0200-000080050000}"/>
    <hyperlink ref="F706" r:id="rId1410" xr:uid="{00000000-0004-0000-0200-000081050000}"/>
    <hyperlink ref="E707" r:id="rId1411" xr:uid="{00000000-0004-0000-0200-000082050000}"/>
    <hyperlink ref="F707" r:id="rId1412" xr:uid="{00000000-0004-0000-0200-000083050000}"/>
    <hyperlink ref="E708" r:id="rId1413" xr:uid="{00000000-0004-0000-0200-000084050000}"/>
    <hyperlink ref="F708" r:id="rId1414" xr:uid="{00000000-0004-0000-0200-000085050000}"/>
    <hyperlink ref="E709" r:id="rId1415" xr:uid="{00000000-0004-0000-0200-000086050000}"/>
    <hyperlink ref="F709" r:id="rId1416" xr:uid="{00000000-0004-0000-0200-000087050000}"/>
    <hyperlink ref="E710" r:id="rId1417" xr:uid="{00000000-0004-0000-0200-000088050000}"/>
    <hyperlink ref="F710" r:id="rId1418" xr:uid="{00000000-0004-0000-0200-000089050000}"/>
    <hyperlink ref="E711" r:id="rId1419" xr:uid="{00000000-0004-0000-0200-00008A050000}"/>
    <hyperlink ref="F711" r:id="rId1420" xr:uid="{00000000-0004-0000-0200-00008B050000}"/>
    <hyperlink ref="E712" r:id="rId1421" xr:uid="{00000000-0004-0000-0200-00008C050000}"/>
    <hyperlink ref="F712" r:id="rId1422" xr:uid="{00000000-0004-0000-0200-00008D050000}"/>
    <hyperlink ref="E713" r:id="rId1423" xr:uid="{00000000-0004-0000-0200-00008E050000}"/>
    <hyperlink ref="F713" r:id="rId1424" xr:uid="{00000000-0004-0000-0200-00008F050000}"/>
    <hyperlink ref="E714" r:id="rId1425" xr:uid="{00000000-0004-0000-0200-000090050000}"/>
    <hyperlink ref="F714" r:id="rId1426" xr:uid="{00000000-0004-0000-0200-000091050000}"/>
    <hyperlink ref="E715" r:id="rId1427" xr:uid="{00000000-0004-0000-0200-000092050000}"/>
    <hyperlink ref="F715" r:id="rId1428" xr:uid="{00000000-0004-0000-0200-000093050000}"/>
    <hyperlink ref="E716" r:id="rId1429" xr:uid="{00000000-0004-0000-0200-000094050000}"/>
    <hyperlink ref="F716" r:id="rId1430" xr:uid="{00000000-0004-0000-0200-000095050000}"/>
    <hyperlink ref="E717" r:id="rId1431" xr:uid="{00000000-0004-0000-0200-000096050000}"/>
    <hyperlink ref="F717" r:id="rId1432" xr:uid="{00000000-0004-0000-0200-000097050000}"/>
    <hyperlink ref="E718" r:id="rId1433" xr:uid="{00000000-0004-0000-0200-000098050000}"/>
    <hyperlink ref="F718" r:id="rId1434" xr:uid="{00000000-0004-0000-0200-000099050000}"/>
    <hyperlink ref="E719" r:id="rId1435" xr:uid="{00000000-0004-0000-0200-00009A050000}"/>
    <hyperlink ref="F719" r:id="rId1436" xr:uid="{00000000-0004-0000-0200-00009B050000}"/>
    <hyperlink ref="E720" r:id="rId1437" xr:uid="{00000000-0004-0000-0200-00009C050000}"/>
    <hyperlink ref="F720" r:id="rId1438" xr:uid="{00000000-0004-0000-0200-00009D050000}"/>
    <hyperlink ref="E721" r:id="rId1439" xr:uid="{00000000-0004-0000-0200-00009E050000}"/>
    <hyperlink ref="F721" r:id="rId1440" xr:uid="{00000000-0004-0000-0200-00009F050000}"/>
    <hyperlink ref="E722" r:id="rId1441" xr:uid="{00000000-0004-0000-0200-0000A0050000}"/>
    <hyperlink ref="F722" r:id="rId1442" xr:uid="{00000000-0004-0000-0200-0000A1050000}"/>
    <hyperlink ref="E723" r:id="rId1443" xr:uid="{00000000-0004-0000-0200-0000A2050000}"/>
    <hyperlink ref="F723" r:id="rId1444" xr:uid="{00000000-0004-0000-0200-0000A3050000}"/>
    <hyperlink ref="E724" r:id="rId1445" xr:uid="{00000000-0004-0000-0200-0000A4050000}"/>
    <hyperlink ref="F724" r:id="rId1446" xr:uid="{00000000-0004-0000-0200-0000A5050000}"/>
    <hyperlink ref="E725" r:id="rId1447" xr:uid="{00000000-0004-0000-0200-0000A6050000}"/>
    <hyperlink ref="F725" r:id="rId1448" xr:uid="{00000000-0004-0000-0200-0000A7050000}"/>
    <hyperlink ref="E726" r:id="rId1449" xr:uid="{00000000-0004-0000-0200-0000A8050000}"/>
    <hyperlink ref="F726" r:id="rId1450" xr:uid="{00000000-0004-0000-0200-0000A9050000}"/>
    <hyperlink ref="E727" r:id="rId1451" xr:uid="{00000000-0004-0000-0200-0000AA050000}"/>
    <hyperlink ref="F727" r:id="rId1452" xr:uid="{00000000-0004-0000-0200-0000AB050000}"/>
    <hyperlink ref="E728" r:id="rId1453" xr:uid="{00000000-0004-0000-0200-0000AC050000}"/>
    <hyperlink ref="F728" r:id="rId1454" xr:uid="{00000000-0004-0000-0200-0000AD050000}"/>
    <hyperlink ref="E729" r:id="rId1455" xr:uid="{00000000-0004-0000-0200-0000AE050000}"/>
    <hyperlink ref="F729" r:id="rId1456" xr:uid="{00000000-0004-0000-0200-0000AF050000}"/>
    <hyperlink ref="E730" r:id="rId1457" xr:uid="{00000000-0004-0000-0200-0000B0050000}"/>
    <hyperlink ref="F730" r:id="rId1458" xr:uid="{00000000-0004-0000-0200-0000B1050000}"/>
    <hyperlink ref="E731" r:id="rId1459" xr:uid="{00000000-0004-0000-0200-0000B2050000}"/>
    <hyperlink ref="F731" r:id="rId1460" xr:uid="{00000000-0004-0000-0200-0000B3050000}"/>
    <hyperlink ref="E732" r:id="rId1461" xr:uid="{00000000-0004-0000-0200-0000B4050000}"/>
    <hyperlink ref="F732" r:id="rId1462" xr:uid="{00000000-0004-0000-0200-0000B5050000}"/>
    <hyperlink ref="E733" r:id="rId1463" xr:uid="{00000000-0004-0000-0200-0000B6050000}"/>
    <hyperlink ref="F733" r:id="rId1464" xr:uid="{00000000-0004-0000-0200-0000B7050000}"/>
    <hyperlink ref="E734" r:id="rId1465" xr:uid="{00000000-0004-0000-0200-0000B8050000}"/>
    <hyperlink ref="F734" r:id="rId1466" xr:uid="{00000000-0004-0000-0200-0000B9050000}"/>
    <hyperlink ref="E735" r:id="rId1467" xr:uid="{00000000-0004-0000-0200-0000BA050000}"/>
    <hyperlink ref="F735" r:id="rId1468" xr:uid="{00000000-0004-0000-0200-0000BB050000}"/>
    <hyperlink ref="E736" r:id="rId1469" xr:uid="{00000000-0004-0000-0200-0000BC050000}"/>
    <hyperlink ref="F736" r:id="rId1470" xr:uid="{00000000-0004-0000-0200-0000BD050000}"/>
    <hyperlink ref="E737" r:id="rId1471" xr:uid="{00000000-0004-0000-0200-0000BE050000}"/>
    <hyperlink ref="F737" r:id="rId1472" xr:uid="{00000000-0004-0000-0200-0000BF050000}"/>
    <hyperlink ref="E738" r:id="rId1473" xr:uid="{00000000-0004-0000-0200-0000C0050000}"/>
    <hyperlink ref="F738" r:id="rId1474" xr:uid="{00000000-0004-0000-0200-0000C1050000}"/>
    <hyperlink ref="E739" r:id="rId1475" xr:uid="{00000000-0004-0000-0200-0000C2050000}"/>
    <hyperlink ref="F739" r:id="rId1476" xr:uid="{00000000-0004-0000-0200-0000C3050000}"/>
    <hyperlink ref="E740" r:id="rId1477" xr:uid="{00000000-0004-0000-0200-0000C4050000}"/>
    <hyperlink ref="F740" r:id="rId1478" xr:uid="{00000000-0004-0000-0200-0000C5050000}"/>
    <hyperlink ref="E741" r:id="rId1479" xr:uid="{00000000-0004-0000-0200-0000C6050000}"/>
    <hyperlink ref="F741" r:id="rId1480" xr:uid="{00000000-0004-0000-0200-0000C7050000}"/>
    <hyperlink ref="E742" r:id="rId1481" xr:uid="{00000000-0004-0000-0200-0000C8050000}"/>
    <hyperlink ref="F742" r:id="rId1482" xr:uid="{00000000-0004-0000-0200-0000C9050000}"/>
    <hyperlink ref="E743" r:id="rId1483" xr:uid="{00000000-0004-0000-0200-0000CA050000}"/>
    <hyperlink ref="F743" r:id="rId1484" xr:uid="{00000000-0004-0000-0200-0000CB050000}"/>
    <hyperlink ref="E744" r:id="rId1485" xr:uid="{00000000-0004-0000-0200-0000CC050000}"/>
    <hyperlink ref="F744" r:id="rId1486" xr:uid="{00000000-0004-0000-0200-0000CD050000}"/>
    <hyperlink ref="E745" r:id="rId1487" xr:uid="{00000000-0004-0000-0200-0000CE050000}"/>
    <hyperlink ref="F745" r:id="rId1488" xr:uid="{00000000-0004-0000-0200-0000CF050000}"/>
    <hyperlink ref="E746" r:id="rId1489" xr:uid="{00000000-0004-0000-0200-0000D0050000}"/>
    <hyperlink ref="F746" r:id="rId1490" xr:uid="{00000000-0004-0000-0200-0000D1050000}"/>
    <hyperlink ref="E747" r:id="rId1491" xr:uid="{00000000-0004-0000-0200-0000D2050000}"/>
    <hyperlink ref="F747" r:id="rId1492" xr:uid="{00000000-0004-0000-0200-0000D3050000}"/>
    <hyperlink ref="E748" r:id="rId1493" xr:uid="{00000000-0004-0000-0200-0000D4050000}"/>
    <hyperlink ref="F748" r:id="rId1494" xr:uid="{00000000-0004-0000-0200-0000D5050000}"/>
    <hyperlink ref="E749" r:id="rId1495" xr:uid="{00000000-0004-0000-0200-0000D6050000}"/>
    <hyperlink ref="F749" r:id="rId1496" xr:uid="{00000000-0004-0000-0200-0000D7050000}"/>
    <hyperlink ref="E750" r:id="rId1497" xr:uid="{00000000-0004-0000-0200-0000D8050000}"/>
    <hyperlink ref="F750" r:id="rId1498" xr:uid="{00000000-0004-0000-0200-0000D9050000}"/>
    <hyperlink ref="E751" r:id="rId1499" xr:uid="{00000000-0004-0000-0200-0000DA050000}"/>
    <hyperlink ref="F751" r:id="rId1500" xr:uid="{00000000-0004-0000-0200-0000DB050000}"/>
    <hyperlink ref="E752" r:id="rId1501" xr:uid="{00000000-0004-0000-0200-0000DC050000}"/>
    <hyperlink ref="F752" r:id="rId1502" xr:uid="{00000000-0004-0000-0200-0000DD050000}"/>
    <hyperlink ref="E753" r:id="rId1503" xr:uid="{00000000-0004-0000-0200-0000DE050000}"/>
    <hyperlink ref="F753" r:id="rId1504" xr:uid="{00000000-0004-0000-0200-0000DF050000}"/>
    <hyperlink ref="E754" r:id="rId1505" xr:uid="{00000000-0004-0000-0200-0000E0050000}"/>
    <hyperlink ref="F754" r:id="rId1506" xr:uid="{00000000-0004-0000-0200-0000E1050000}"/>
    <hyperlink ref="E755" r:id="rId1507" xr:uid="{00000000-0004-0000-0200-0000E2050000}"/>
    <hyperlink ref="F755" r:id="rId1508" xr:uid="{00000000-0004-0000-0200-0000E3050000}"/>
    <hyperlink ref="E756" r:id="rId1509" xr:uid="{00000000-0004-0000-0200-0000E4050000}"/>
    <hyperlink ref="F756" r:id="rId1510" xr:uid="{00000000-0004-0000-0200-0000E5050000}"/>
    <hyperlink ref="E757" r:id="rId1511" xr:uid="{00000000-0004-0000-0200-0000E6050000}"/>
    <hyperlink ref="F757" r:id="rId1512" xr:uid="{00000000-0004-0000-0200-0000E7050000}"/>
    <hyperlink ref="E758" r:id="rId1513" xr:uid="{00000000-0004-0000-0200-0000E8050000}"/>
    <hyperlink ref="F758" r:id="rId1514" xr:uid="{00000000-0004-0000-0200-0000E9050000}"/>
  </hyperlinks>
  <pageMargins left="0.7" right="0.7" top="0.75" bottom="0.75" header="0.3" footer="0.3"/>
  <drawing r:id="rId1515"/>
  <legacyDrawing r:id="rId15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7"/>
  <sheetViews>
    <sheetView workbookViewId="0"/>
  </sheetViews>
  <sheetFormatPr defaultColWidth="12.5703125" defaultRowHeight="15" customHeight="1"/>
  <cols>
    <col min="2" max="2" width="107" customWidth="1"/>
  </cols>
  <sheetData>
    <row r="1" spans="1:2">
      <c r="A1" s="4" t="s">
        <v>97</v>
      </c>
    </row>
    <row r="2" spans="1:2">
      <c r="A2" s="4" t="s">
        <v>98</v>
      </c>
    </row>
    <row r="3" spans="1:2">
      <c r="B3" s="4" t="s">
        <v>99</v>
      </c>
    </row>
    <row r="4" spans="1:2">
      <c r="B4" s="4" t="s">
        <v>100</v>
      </c>
    </row>
    <row r="5" spans="1:2">
      <c r="B5" s="4" t="s">
        <v>101</v>
      </c>
    </row>
    <row r="6" spans="1:2">
      <c r="B6" s="4" t="s">
        <v>102</v>
      </c>
    </row>
    <row r="7" spans="1:2">
      <c r="B7" s="4" t="s">
        <v>103</v>
      </c>
    </row>
    <row r="8" spans="1:2">
      <c r="A8" s="4" t="s">
        <v>104</v>
      </c>
    </row>
    <row r="9" spans="1:2">
      <c r="B9" s="4" t="s">
        <v>105</v>
      </c>
    </row>
    <row r="11" spans="1:2">
      <c r="A11" s="4" t="s">
        <v>106</v>
      </c>
    </row>
    <row r="12" spans="1:2">
      <c r="B12" s="4" t="s">
        <v>107</v>
      </c>
    </row>
    <row r="14" spans="1:2">
      <c r="A14" s="4" t="s">
        <v>108</v>
      </c>
      <c r="B14" s="4" t="s">
        <v>109</v>
      </c>
    </row>
    <row r="15" spans="1:2">
      <c r="B15" s="4" t="s">
        <v>110</v>
      </c>
    </row>
    <row r="16" spans="1:2">
      <c r="B16" s="4" t="s">
        <v>111</v>
      </c>
    </row>
    <row r="17" spans="2:2">
      <c r="B17" s="4"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000"/>
  <sheetViews>
    <sheetView tabSelected="1" workbookViewId="0">
      <pane xSplit="1" ySplit="1" topLeftCell="B47" activePane="bottomRight" state="frozen"/>
      <selection pane="topRight" activeCell="B1" sqref="B1"/>
      <selection pane="bottomLeft" activeCell="A3" sqref="A3"/>
      <selection pane="bottomRight" activeCell="C54" sqref="C54"/>
    </sheetView>
  </sheetViews>
  <sheetFormatPr defaultColWidth="12.5703125" defaultRowHeight="15" customHeight="1"/>
  <cols>
    <col min="1" max="1" width="5.85546875" style="33" customWidth="1"/>
    <col min="2" max="2" width="7.140625" style="33" customWidth="1"/>
    <col min="3" max="3" width="12.85546875" style="33" customWidth="1"/>
    <col min="4" max="4" width="3.5703125" style="33" customWidth="1"/>
    <col min="5" max="5" width="49.7109375" style="33" customWidth="1"/>
    <col min="6" max="6" width="8.42578125" style="33" hidden="1" customWidth="1"/>
    <col min="7" max="7" width="14.28515625" style="33" hidden="1" customWidth="1"/>
    <col min="8" max="8" width="28.42578125" style="33" customWidth="1"/>
    <col min="9" max="9" width="14.28515625" style="33" customWidth="1"/>
    <col min="10" max="10" width="8.42578125" style="33" customWidth="1"/>
    <col min="11" max="11" width="7.42578125" style="33" customWidth="1"/>
    <col min="12" max="12" width="9.7109375" style="33" customWidth="1"/>
    <col min="13" max="13" width="6.140625" style="33" customWidth="1"/>
    <col min="14" max="14" width="7.5703125" style="33" customWidth="1"/>
    <col min="15" max="16" width="8.42578125" style="33" customWidth="1"/>
    <col min="17" max="17" width="20.85546875" style="33" customWidth="1"/>
    <col min="18" max="18" width="6.5703125" style="35" customWidth="1"/>
    <col min="19" max="19" width="6.42578125" style="35" customWidth="1"/>
    <col min="20" max="20" width="7.5703125" style="35" customWidth="1"/>
    <col min="21" max="21" width="7.85546875" style="37" customWidth="1"/>
    <col min="22" max="22" width="8.85546875" style="34" customWidth="1"/>
    <col min="23" max="23" width="7.5703125" style="36" customWidth="1"/>
    <col min="24" max="24" width="49" style="33" customWidth="1"/>
  </cols>
  <sheetData>
    <row r="1" spans="1:24" ht="45" customHeight="1">
      <c r="A1" s="64" t="s">
        <v>2</v>
      </c>
      <c r="B1" s="65" t="s">
        <v>2503</v>
      </c>
      <c r="C1" s="66" t="s">
        <v>115</v>
      </c>
      <c r="D1" s="67" t="s">
        <v>40</v>
      </c>
      <c r="E1" s="64" t="s">
        <v>44</v>
      </c>
      <c r="F1" s="64" t="s">
        <v>49</v>
      </c>
      <c r="G1" s="64" t="s">
        <v>51</v>
      </c>
      <c r="H1" s="64" t="s">
        <v>63</v>
      </c>
      <c r="I1" s="65" t="s">
        <v>46</v>
      </c>
      <c r="J1" s="64" t="s">
        <v>67</v>
      </c>
      <c r="K1" s="68" t="s">
        <v>68</v>
      </c>
      <c r="L1" s="64" t="s">
        <v>74</v>
      </c>
      <c r="M1" s="64" t="s">
        <v>75</v>
      </c>
      <c r="N1" s="64" t="s">
        <v>76</v>
      </c>
      <c r="O1" s="64" t="s">
        <v>77</v>
      </c>
      <c r="P1" s="64" t="s">
        <v>78</v>
      </c>
      <c r="Q1" s="64" t="s">
        <v>80</v>
      </c>
      <c r="R1" s="69" t="s">
        <v>81</v>
      </c>
      <c r="S1" s="69" t="s">
        <v>82</v>
      </c>
      <c r="T1" s="69" t="s">
        <v>83</v>
      </c>
      <c r="U1" s="70" t="s">
        <v>114</v>
      </c>
      <c r="V1" s="71" t="s">
        <v>116</v>
      </c>
      <c r="W1" s="72" t="s">
        <v>88</v>
      </c>
      <c r="X1" s="64" t="s">
        <v>89</v>
      </c>
    </row>
    <row r="2" spans="1:24">
      <c r="A2" s="38">
        <v>1</v>
      </c>
      <c r="B2" s="38" t="s">
        <v>92</v>
      </c>
      <c r="C2" s="39" t="s">
        <v>124</v>
      </c>
      <c r="D2" s="38" t="s">
        <v>93</v>
      </c>
      <c r="E2" s="40" t="s">
        <v>94</v>
      </c>
      <c r="F2" s="41" t="s">
        <v>95</v>
      </c>
      <c r="G2" s="42" t="s">
        <v>96</v>
      </c>
      <c r="H2" s="43" t="s">
        <v>121</v>
      </c>
      <c r="I2" s="44" t="s">
        <v>123</v>
      </c>
      <c r="J2" s="38">
        <f>7*1000</f>
        <v>7000</v>
      </c>
      <c r="K2" s="45">
        <v>9.6296296296296303E-3</v>
      </c>
      <c r="L2" s="46" t="s">
        <v>113</v>
      </c>
      <c r="M2" s="38"/>
      <c r="N2" s="38"/>
      <c r="O2" s="38"/>
      <c r="P2" s="47">
        <v>42989</v>
      </c>
      <c r="Q2" s="38"/>
      <c r="R2" s="48" t="s">
        <v>42</v>
      </c>
      <c r="S2" s="48" t="s">
        <v>42</v>
      </c>
      <c r="T2" s="48" t="s">
        <v>42</v>
      </c>
      <c r="U2" s="49"/>
      <c r="V2" s="50"/>
      <c r="W2" s="51" t="s">
        <v>71</v>
      </c>
      <c r="X2" s="38"/>
    </row>
    <row r="3" spans="1:24">
      <c r="A3" s="38">
        <v>2</v>
      </c>
      <c r="B3" s="38" t="s">
        <v>92</v>
      </c>
      <c r="C3" s="39" t="s">
        <v>124</v>
      </c>
      <c r="D3" s="38" t="s">
        <v>118</v>
      </c>
      <c r="E3" s="40" t="s">
        <v>119</v>
      </c>
      <c r="F3" s="41" t="s">
        <v>120</v>
      </c>
      <c r="G3" s="42" t="s">
        <v>122</v>
      </c>
      <c r="H3" s="43" t="s">
        <v>128</v>
      </c>
      <c r="I3" s="44" t="s">
        <v>129</v>
      </c>
      <c r="J3" s="38">
        <f>4*1000</f>
        <v>4000</v>
      </c>
      <c r="K3" s="45">
        <v>1.0289351851851852E-2</v>
      </c>
      <c r="L3" s="46" t="s">
        <v>113</v>
      </c>
      <c r="M3" s="38"/>
      <c r="N3" s="38"/>
      <c r="O3" s="38"/>
      <c r="P3" s="47">
        <v>42989</v>
      </c>
      <c r="Q3" s="38"/>
      <c r="R3" s="48" t="s">
        <v>42</v>
      </c>
      <c r="S3" s="48" t="s">
        <v>42</v>
      </c>
      <c r="T3" s="48" t="s">
        <v>42</v>
      </c>
      <c r="U3" s="49"/>
      <c r="V3" s="50"/>
      <c r="W3" s="51" t="s">
        <v>71</v>
      </c>
      <c r="X3" s="38"/>
    </row>
    <row r="4" spans="1:24">
      <c r="A4" s="38">
        <v>3</v>
      </c>
      <c r="B4" s="38" t="s">
        <v>92</v>
      </c>
      <c r="C4" s="39" t="s">
        <v>124</v>
      </c>
      <c r="D4" s="38" t="s">
        <v>125</v>
      </c>
      <c r="E4" s="40" t="s">
        <v>126</v>
      </c>
      <c r="F4" s="41" t="s">
        <v>127</v>
      </c>
      <c r="G4" s="42">
        <v>826</v>
      </c>
      <c r="H4" s="43" t="s">
        <v>132</v>
      </c>
      <c r="I4" s="44" t="s">
        <v>133</v>
      </c>
      <c r="J4" s="38">
        <f>826</f>
        <v>826</v>
      </c>
      <c r="K4" s="45">
        <v>2.1643518518518518E-3</v>
      </c>
      <c r="L4" s="46" t="s">
        <v>113</v>
      </c>
      <c r="M4" s="38"/>
      <c r="N4" s="38"/>
      <c r="O4" s="38"/>
      <c r="P4" s="47">
        <v>42990</v>
      </c>
      <c r="Q4" s="38"/>
      <c r="R4" s="48" t="s">
        <v>42</v>
      </c>
      <c r="S4" s="48" t="s">
        <v>42</v>
      </c>
      <c r="T4" s="48" t="s">
        <v>42</v>
      </c>
      <c r="U4" s="52"/>
      <c r="V4" s="50"/>
      <c r="W4" s="51" t="s">
        <v>71</v>
      </c>
      <c r="X4" s="38"/>
    </row>
    <row r="5" spans="1:24">
      <c r="A5" s="38">
        <v>4</v>
      </c>
      <c r="B5" s="38" t="s">
        <v>92</v>
      </c>
      <c r="C5" s="39" t="s">
        <v>73</v>
      </c>
      <c r="D5" s="38" t="s">
        <v>130</v>
      </c>
      <c r="E5" s="40" t="s">
        <v>131</v>
      </c>
      <c r="F5" s="41" t="s">
        <v>134</v>
      </c>
      <c r="G5" s="42" t="s">
        <v>135</v>
      </c>
      <c r="H5" s="43" t="s">
        <v>136</v>
      </c>
      <c r="I5" s="44"/>
      <c r="J5" s="38">
        <f>10*1000</f>
        <v>10000</v>
      </c>
      <c r="K5" s="45">
        <v>9.7222222222222209E-4</v>
      </c>
      <c r="L5" s="46" t="s">
        <v>113</v>
      </c>
      <c r="M5" s="38"/>
      <c r="N5" s="38"/>
      <c r="O5" s="38"/>
      <c r="P5" s="47">
        <v>42990</v>
      </c>
      <c r="Q5" s="38"/>
      <c r="R5" s="48" t="s">
        <v>42</v>
      </c>
      <c r="S5" s="48" t="s">
        <v>42</v>
      </c>
      <c r="T5" s="48" t="s">
        <v>137</v>
      </c>
      <c r="U5" s="52"/>
      <c r="V5" s="50"/>
      <c r="W5" s="51" t="s">
        <v>45</v>
      </c>
      <c r="X5" s="38"/>
    </row>
    <row r="6" spans="1:24">
      <c r="A6" s="38">
        <v>5</v>
      </c>
      <c r="B6" s="38" t="s">
        <v>92</v>
      </c>
      <c r="C6" s="39" t="s">
        <v>73</v>
      </c>
      <c r="D6" s="38" t="s">
        <v>138</v>
      </c>
      <c r="E6" s="40" t="s">
        <v>139</v>
      </c>
      <c r="F6" s="41" t="s">
        <v>140</v>
      </c>
      <c r="G6" s="42">
        <v>749</v>
      </c>
      <c r="H6" s="43" t="s">
        <v>117</v>
      </c>
      <c r="I6" s="44" t="s">
        <v>117</v>
      </c>
      <c r="J6" s="38">
        <f>749</f>
        <v>749</v>
      </c>
      <c r="K6" s="45">
        <v>4.0509259259259258E-4</v>
      </c>
      <c r="L6" s="46" t="s">
        <v>113</v>
      </c>
      <c r="M6" s="38"/>
      <c r="N6" s="38"/>
      <c r="O6" s="38"/>
      <c r="P6" s="47">
        <v>42990</v>
      </c>
      <c r="Q6" s="38"/>
      <c r="R6" s="48" t="s">
        <v>42</v>
      </c>
      <c r="S6" s="48" t="s">
        <v>42</v>
      </c>
      <c r="T6" s="48" t="s">
        <v>137</v>
      </c>
      <c r="U6" s="52"/>
      <c r="V6" s="50"/>
      <c r="W6" s="51" t="s">
        <v>45</v>
      </c>
      <c r="X6" s="38"/>
    </row>
    <row r="7" spans="1:24">
      <c r="A7" s="38">
        <v>6</v>
      </c>
      <c r="B7" s="38" t="s">
        <v>92</v>
      </c>
      <c r="C7" s="39" t="s">
        <v>73</v>
      </c>
      <c r="D7" s="38" t="s">
        <v>141</v>
      </c>
      <c r="E7" s="40" t="s">
        <v>142</v>
      </c>
      <c r="F7" s="41" t="s">
        <v>143</v>
      </c>
      <c r="G7" s="42" t="s">
        <v>144</v>
      </c>
      <c r="H7" s="53" t="s">
        <v>145</v>
      </c>
      <c r="I7" s="44"/>
      <c r="J7" s="38">
        <f>1.7*1000</f>
        <v>1700</v>
      </c>
      <c r="K7" s="45">
        <v>3.9930555555555561E-3</v>
      </c>
      <c r="L7" s="46" t="s">
        <v>113</v>
      </c>
      <c r="M7" s="38"/>
      <c r="N7" s="38"/>
      <c r="O7" s="38"/>
      <c r="P7" s="47">
        <v>42990</v>
      </c>
      <c r="Q7" s="38"/>
      <c r="R7" s="48" t="s">
        <v>42</v>
      </c>
      <c r="S7" s="48" t="s">
        <v>42</v>
      </c>
      <c r="T7" s="48" t="s">
        <v>42</v>
      </c>
      <c r="U7" s="52"/>
      <c r="V7" s="50"/>
      <c r="W7" s="51" t="s">
        <v>45</v>
      </c>
      <c r="X7" s="38" t="s">
        <v>146</v>
      </c>
    </row>
    <row r="8" spans="1:24">
      <c r="A8" s="38">
        <v>7</v>
      </c>
      <c r="B8" s="38" t="s">
        <v>92</v>
      </c>
      <c r="C8" s="39" t="s">
        <v>124</v>
      </c>
      <c r="D8" s="38" t="s">
        <v>147</v>
      </c>
      <c r="E8" s="40" t="s">
        <v>148</v>
      </c>
      <c r="F8" s="41" t="s">
        <v>149</v>
      </c>
      <c r="G8" s="42" t="s">
        <v>150</v>
      </c>
      <c r="H8" s="43" t="s">
        <v>151</v>
      </c>
      <c r="I8" s="44"/>
      <c r="J8" s="38">
        <f>5.1*1000</f>
        <v>5100</v>
      </c>
      <c r="K8" s="45">
        <v>3.3680555555555551E-3</v>
      </c>
      <c r="L8" s="46" t="s">
        <v>113</v>
      </c>
      <c r="M8" s="38"/>
      <c r="N8" s="38"/>
      <c r="O8" s="38"/>
      <c r="P8" s="47">
        <v>42990</v>
      </c>
      <c r="Q8" s="38"/>
      <c r="R8" s="48" t="s">
        <v>42</v>
      </c>
      <c r="S8" s="48" t="s">
        <v>42</v>
      </c>
      <c r="T8" s="48" t="s">
        <v>42</v>
      </c>
      <c r="U8" s="52"/>
      <c r="V8" s="50"/>
      <c r="W8" s="51" t="s">
        <v>45</v>
      </c>
      <c r="X8" s="38"/>
    </row>
    <row r="9" spans="1:24">
      <c r="A9" s="38">
        <v>8</v>
      </c>
      <c r="B9" s="38" t="s">
        <v>92</v>
      </c>
      <c r="C9" s="39" t="s">
        <v>124</v>
      </c>
      <c r="D9" s="38" t="s">
        <v>152</v>
      </c>
      <c r="E9" s="40" t="s">
        <v>153</v>
      </c>
      <c r="F9" s="41" t="s">
        <v>154</v>
      </c>
      <c r="G9" s="42" t="s">
        <v>155</v>
      </c>
      <c r="H9" s="43" t="s">
        <v>156</v>
      </c>
      <c r="I9" s="44" t="s">
        <v>157</v>
      </c>
      <c r="J9" s="38">
        <f>1.9*1000</f>
        <v>1900</v>
      </c>
      <c r="K9" s="45">
        <v>1.037037037037037E-2</v>
      </c>
      <c r="L9" s="46" t="s">
        <v>113</v>
      </c>
      <c r="M9" s="38"/>
      <c r="N9" s="38"/>
      <c r="O9" s="38"/>
      <c r="P9" s="47">
        <v>42990</v>
      </c>
      <c r="Q9" s="38"/>
      <c r="R9" s="48" t="s">
        <v>158</v>
      </c>
      <c r="S9" s="48" t="s">
        <v>42</v>
      </c>
      <c r="T9" s="48" t="s">
        <v>42</v>
      </c>
      <c r="U9" s="52"/>
      <c r="V9" s="50"/>
      <c r="W9" s="51" t="s">
        <v>45</v>
      </c>
      <c r="X9" s="38" t="s">
        <v>159</v>
      </c>
    </row>
    <row r="10" spans="1:24">
      <c r="A10" s="38"/>
      <c r="B10" s="38" t="s">
        <v>92</v>
      </c>
      <c r="C10" s="39" t="s">
        <v>124</v>
      </c>
      <c r="D10" s="38"/>
      <c r="E10" s="40"/>
      <c r="F10" s="41"/>
      <c r="G10" s="42"/>
      <c r="H10" s="43" t="s">
        <v>160</v>
      </c>
      <c r="I10" s="44"/>
      <c r="J10" s="38"/>
      <c r="K10" s="45"/>
      <c r="L10" s="46"/>
      <c r="M10" s="45">
        <v>2.0254629629629629E-3</v>
      </c>
      <c r="N10" s="45">
        <v>4.0393518518518521E-3</v>
      </c>
      <c r="O10" s="45">
        <f>N10-M10</f>
        <v>2.0138888888888893E-3</v>
      </c>
      <c r="P10" s="47">
        <v>42990</v>
      </c>
      <c r="Q10" s="54" t="str">
        <f>HYPERLINK(REPLACE($D$9,25,8,"embed/")&amp;"?start="&amp;MINUTE(M10)*60+SECOND(M10)&amp;"&amp;end="&amp;MINUTE(N10)*60+SECOND(N10)&amp;"&amp;autoplay=1")</f>
        <v>https://www.youtube.com/embed/mjFek0gF97s?start=175&amp;end=349&amp;autoplay=1</v>
      </c>
      <c r="R10" s="48" t="s">
        <v>42</v>
      </c>
      <c r="S10" s="48" t="s">
        <v>158</v>
      </c>
      <c r="T10" s="48" t="s">
        <v>42</v>
      </c>
      <c r="U10" s="52"/>
      <c r="V10" s="50"/>
      <c r="W10" s="51" t="s">
        <v>45</v>
      </c>
      <c r="X10" s="38" t="s">
        <v>164</v>
      </c>
    </row>
    <row r="11" spans="1:24">
      <c r="A11" s="38">
        <v>9</v>
      </c>
      <c r="B11" s="38" t="s">
        <v>92</v>
      </c>
      <c r="C11" s="39" t="s">
        <v>124</v>
      </c>
      <c r="D11" s="38" t="s">
        <v>161</v>
      </c>
      <c r="E11" s="40" t="s">
        <v>162</v>
      </c>
      <c r="F11" s="41" t="s">
        <v>163</v>
      </c>
      <c r="G11" s="42" t="s">
        <v>144</v>
      </c>
      <c r="H11" s="43" t="s">
        <v>165</v>
      </c>
      <c r="I11" s="44" t="s">
        <v>166</v>
      </c>
      <c r="J11" s="38">
        <f>1.7*1000</f>
        <v>1700</v>
      </c>
      <c r="K11" s="45">
        <v>3.472222222222222E-3</v>
      </c>
      <c r="L11" s="46" t="s">
        <v>113</v>
      </c>
      <c r="M11" s="38"/>
      <c r="N11" s="38"/>
      <c r="O11" s="38"/>
      <c r="P11" s="47">
        <v>42990</v>
      </c>
      <c r="Q11" s="54"/>
      <c r="R11" s="48" t="s">
        <v>42</v>
      </c>
      <c r="S11" s="48" t="s">
        <v>42</v>
      </c>
      <c r="T11" s="48" t="s">
        <v>42</v>
      </c>
      <c r="U11" s="52"/>
      <c r="V11" s="50"/>
      <c r="W11" s="51" t="s">
        <v>71</v>
      </c>
      <c r="X11" s="38" t="s">
        <v>167</v>
      </c>
    </row>
    <row r="12" spans="1:24">
      <c r="A12" s="38">
        <v>10</v>
      </c>
      <c r="B12" s="38" t="s">
        <v>92</v>
      </c>
      <c r="C12" s="39" t="s">
        <v>124</v>
      </c>
      <c r="D12" s="38" t="s">
        <v>168</v>
      </c>
      <c r="E12" s="40" t="s">
        <v>169</v>
      </c>
      <c r="F12" s="41" t="s">
        <v>170</v>
      </c>
      <c r="G12" s="42">
        <v>490</v>
      </c>
      <c r="H12" s="43" t="s">
        <v>171</v>
      </c>
      <c r="I12" s="44" t="s">
        <v>172</v>
      </c>
      <c r="J12" s="38">
        <f>490</f>
        <v>490</v>
      </c>
      <c r="K12" s="45">
        <v>3.0324074074074073E-3</v>
      </c>
      <c r="L12" s="46" t="s">
        <v>113</v>
      </c>
      <c r="M12" s="38"/>
      <c r="N12" s="38"/>
      <c r="O12" s="38"/>
      <c r="P12" s="47">
        <v>42990</v>
      </c>
      <c r="Q12" s="38"/>
      <c r="R12" s="48" t="s">
        <v>42</v>
      </c>
      <c r="S12" s="48" t="s">
        <v>42</v>
      </c>
      <c r="T12" s="48" t="s">
        <v>42</v>
      </c>
      <c r="U12" s="52"/>
      <c r="V12" s="50"/>
      <c r="W12" s="51" t="s">
        <v>71</v>
      </c>
      <c r="X12" s="38"/>
    </row>
    <row r="13" spans="1:24">
      <c r="A13" s="38"/>
      <c r="B13" s="38" t="s">
        <v>92</v>
      </c>
      <c r="C13" s="39" t="s">
        <v>124</v>
      </c>
      <c r="D13" s="38"/>
      <c r="E13" s="40"/>
      <c r="F13" s="41"/>
      <c r="G13" s="42"/>
      <c r="H13" s="43" t="s">
        <v>173</v>
      </c>
      <c r="I13" s="44"/>
      <c r="J13" s="38"/>
      <c r="K13" s="45"/>
      <c r="L13" s="46"/>
      <c r="M13" s="45">
        <v>1.0300925925925926E-3</v>
      </c>
      <c r="N13" s="45">
        <v>1.4467592592592594E-3</v>
      </c>
      <c r="O13" s="45">
        <f>N13-M13</f>
        <v>4.1666666666666675E-4</v>
      </c>
      <c r="P13" s="47">
        <v>42990</v>
      </c>
      <c r="Q13" s="54" t="str">
        <f>HYPERLINK(REPLACE($D$12,25,8,"embed/")&amp;"?start="&amp;MINUTE(M13)*60+SECOND(M13)&amp;"&amp;end="&amp;MINUTE(N13)*60+SECOND(N13)&amp;"&amp;autoplay=1")</f>
        <v>https://www.youtube.com/embed/Kxuiy8OL30w?start=89&amp;end=125&amp;autoplay=1</v>
      </c>
      <c r="R13" s="48" t="s">
        <v>42</v>
      </c>
      <c r="S13" s="48" t="s">
        <v>42</v>
      </c>
      <c r="T13" s="48" t="s">
        <v>42</v>
      </c>
      <c r="U13" s="52"/>
      <c r="V13" s="50"/>
      <c r="W13" s="51" t="s">
        <v>71</v>
      </c>
      <c r="X13" s="38"/>
    </row>
    <row r="14" spans="1:24">
      <c r="A14" s="38">
        <v>11</v>
      </c>
      <c r="B14" s="38" t="s">
        <v>92</v>
      </c>
      <c r="C14" s="39" t="s">
        <v>124</v>
      </c>
      <c r="D14" s="38" t="s">
        <v>174</v>
      </c>
      <c r="E14" s="40" t="s">
        <v>175</v>
      </c>
      <c r="F14" s="41" t="s">
        <v>176</v>
      </c>
      <c r="G14" s="42">
        <v>551</v>
      </c>
      <c r="H14" s="43" t="s">
        <v>178</v>
      </c>
      <c r="I14" s="44" t="s">
        <v>179</v>
      </c>
      <c r="J14" s="38">
        <f>551</f>
        <v>551</v>
      </c>
      <c r="K14" s="45">
        <v>2.4189814814814816E-3</v>
      </c>
      <c r="L14" s="46" t="s">
        <v>113</v>
      </c>
      <c r="M14" s="38"/>
      <c r="N14" s="38"/>
      <c r="O14" s="38"/>
      <c r="P14" s="47">
        <v>42991</v>
      </c>
      <c r="Q14" s="38"/>
      <c r="R14" s="48" t="s">
        <v>42</v>
      </c>
      <c r="S14" s="48" t="s">
        <v>42</v>
      </c>
      <c r="T14" s="48" t="s">
        <v>42</v>
      </c>
      <c r="U14" s="52"/>
      <c r="V14" s="50"/>
      <c r="W14" s="51" t="s">
        <v>45</v>
      </c>
      <c r="X14" s="38" t="s">
        <v>146</v>
      </c>
    </row>
    <row r="15" spans="1:24">
      <c r="A15" s="38">
        <v>12</v>
      </c>
      <c r="B15" s="38" t="s">
        <v>92</v>
      </c>
      <c r="C15" s="39" t="s">
        <v>124</v>
      </c>
      <c r="D15" s="38" t="s">
        <v>177</v>
      </c>
      <c r="E15" s="40" t="s">
        <v>180</v>
      </c>
      <c r="F15" s="41" t="s">
        <v>181</v>
      </c>
      <c r="G15" s="42">
        <v>384</v>
      </c>
      <c r="H15" s="44" t="s">
        <v>185</v>
      </c>
      <c r="I15" s="43" t="s">
        <v>186</v>
      </c>
      <c r="J15" s="43">
        <v>384</v>
      </c>
      <c r="K15" s="45">
        <v>2.2222222222222222E-3</v>
      </c>
      <c r="L15" s="46" t="s">
        <v>113</v>
      </c>
      <c r="M15" s="38"/>
      <c r="N15" s="38"/>
      <c r="O15" s="38"/>
      <c r="P15" s="47">
        <v>42991</v>
      </c>
      <c r="Q15" s="38"/>
      <c r="R15" s="48" t="s">
        <v>42</v>
      </c>
      <c r="S15" s="48" t="s">
        <v>42</v>
      </c>
      <c r="T15" s="48" t="s">
        <v>42</v>
      </c>
      <c r="U15" s="52"/>
      <c r="V15" s="50"/>
      <c r="W15" s="51" t="s">
        <v>45</v>
      </c>
      <c r="X15" s="38" t="s">
        <v>146</v>
      </c>
    </row>
    <row r="16" spans="1:24">
      <c r="A16" s="38">
        <v>13</v>
      </c>
      <c r="B16" s="38" t="s">
        <v>92</v>
      </c>
      <c r="C16" s="39" t="s">
        <v>124</v>
      </c>
      <c r="D16" s="38" t="s">
        <v>182</v>
      </c>
      <c r="E16" s="40" t="s">
        <v>183</v>
      </c>
      <c r="F16" s="41" t="s">
        <v>184</v>
      </c>
      <c r="G16" s="42" t="s">
        <v>187</v>
      </c>
      <c r="H16" s="38" t="s">
        <v>188</v>
      </c>
      <c r="I16" s="44" t="s">
        <v>189</v>
      </c>
      <c r="J16" s="38">
        <f>1.5*1000</f>
        <v>1500</v>
      </c>
      <c r="K16" s="45">
        <v>3.530092592592592E-3</v>
      </c>
      <c r="L16" s="46" t="s">
        <v>113</v>
      </c>
      <c r="M16" s="38"/>
      <c r="N16" s="38"/>
      <c r="O16" s="38"/>
      <c r="P16" s="47">
        <v>42991</v>
      </c>
      <c r="Q16" s="38"/>
      <c r="R16" s="48" t="s">
        <v>42</v>
      </c>
      <c r="S16" s="48" t="s">
        <v>42</v>
      </c>
      <c r="T16" s="48" t="s">
        <v>42</v>
      </c>
      <c r="U16" s="52"/>
      <c r="V16" s="50"/>
      <c r="W16" s="51" t="s">
        <v>45</v>
      </c>
      <c r="X16" s="38" t="s">
        <v>146</v>
      </c>
    </row>
    <row r="17" spans="1:24">
      <c r="A17" s="38">
        <v>14</v>
      </c>
      <c r="B17" s="38" t="s">
        <v>92</v>
      </c>
      <c r="C17" s="39" t="s">
        <v>124</v>
      </c>
      <c r="D17" s="38" t="s">
        <v>190</v>
      </c>
      <c r="E17" s="40" t="s">
        <v>191</v>
      </c>
      <c r="F17" s="41" t="s">
        <v>192</v>
      </c>
      <c r="G17" s="42">
        <v>595</v>
      </c>
      <c r="H17" s="43" t="s">
        <v>193</v>
      </c>
      <c r="I17" s="44"/>
      <c r="J17" s="38">
        <f>595</f>
        <v>595</v>
      </c>
      <c r="K17" s="45">
        <v>4.0740740740740746E-3</v>
      </c>
      <c r="L17" s="46" t="s">
        <v>113</v>
      </c>
      <c r="M17" s="38"/>
      <c r="N17" s="38"/>
      <c r="O17" s="38"/>
      <c r="P17" s="47">
        <v>42991</v>
      </c>
      <c r="Q17" s="38"/>
      <c r="R17" s="48" t="s">
        <v>42</v>
      </c>
      <c r="S17" s="48" t="s">
        <v>42</v>
      </c>
      <c r="T17" s="48" t="s">
        <v>42</v>
      </c>
      <c r="U17" s="52"/>
      <c r="V17" s="50"/>
      <c r="W17" s="51" t="s">
        <v>45</v>
      </c>
      <c r="X17" s="38" t="s">
        <v>146</v>
      </c>
    </row>
    <row r="18" spans="1:24">
      <c r="A18" s="38">
        <v>15</v>
      </c>
      <c r="B18" s="38" t="s">
        <v>92</v>
      </c>
      <c r="C18" s="39" t="s">
        <v>124</v>
      </c>
      <c r="D18" s="38" t="s">
        <v>194</v>
      </c>
      <c r="E18" s="40" t="s">
        <v>195</v>
      </c>
      <c r="F18" s="41" t="s">
        <v>196</v>
      </c>
      <c r="G18" s="42">
        <v>477</v>
      </c>
      <c r="H18" s="43" t="s">
        <v>197</v>
      </c>
      <c r="I18" s="44"/>
      <c r="J18" s="38">
        <f>477</f>
        <v>477</v>
      </c>
      <c r="K18" s="45">
        <v>2.673611111111111E-3</v>
      </c>
      <c r="L18" s="46" t="s">
        <v>113</v>
      </c>
      <c r="M18" s="38"/>
      <c r="N18" s="38"/>
      <c r="O18" s="38"/>
      <c r="P18" s="47">
        <v>42991</v>
      </c>
      <c r="Q18" s="38"/>
      <c r="R18" s="48" t="s">
        <v>42</v>
      </c>
      <c r="S18" s="48" t="s">
        <v>42</v>
      </c>
      <c r="T18" s="48" t="s">
        <v>42</v>
      </c>
      <c r="U18" s="52"/>
      <c r="V18" s="50"/>
      <c r="W18" s="51" t="s">
        <v>45</v>
      </c>
      <c r="X18" s="38"/>
    </row>
    <row r="19" spans="1:24">
      <c r="A19" s="38">
        <v>16</v>
      </c>
      <c r="B19" s="38" t="s">
        <v>92</v>
      </c>
      <c r="C19" s="39" t="s">
        <v>124</v>
      </c>
      <c r="D19" s="38" t="s">
        <v>198</v>
      </c>
      <c r="E19" s="40" t="s">
        <v>199</v>
      </c>
      <c r="F19" s="41" t="s">
        <v>200</v>
      </c>
      <c r="G19" s="42">
        <v>506</v>
      </c>
      <c r="H19" s="43" t="s">
        <v>201</v>
      </c>
      <c r="I19" s="44" t="s">
        <v>202</v>
      </c>
      <c r="J19" s="38">
        <f>506</f>
        <v>506</v>
      </c>
      <c r="K19" s="45">
        <v>5.7175925925925927E-3</v>
      </c>
      <c r="L19" s="46" t="s">
        <v>113</v>
      </c>
      <c r="M19" s="38"/>
      <c r="N19" s="38"/>
      <c r="O19" s="38"/>
      <c r="P19" s="47">
        <v>42991</v>
      </c>
      <c r="Q19" s="38"/>
      <c r="R19" s="48" t="s">
        <v>42</v>
      </c>
      <c r="S19" s="48" t="s">
        <v>42</v>
      </c>
      <c r="T19" s="48" t="s">
        <v>42</v>
      </c>
      <c r="U19" s="52"/>
      <c r="V19" s="50"/>
      <c r="W19" s="51" t="s">
        <v>45</v>
      </c>
      <c r="X19" s="38" t="s">
        <v>203</v>
      </c>
    </row>
    <row r="20" spans="1:24">
      <c r="A20" s="38">
        <v>17</v>
      </c>
      <c r="B20" s="38"/>
      <c r="C20" s="38"/>
      <c r="D20" s="38" t="s">
        <v>204</v>
      </c>
      <c r="E20" s="40" t="s">
        <v>207</v>
      </c>
      <c r="F20" s="41" t="s">
        <v>209</v>
      </c>
      <c r="G20" s="42">
        <v>343</v>
      </c>
      <c r="H20" s="43"/>
      <c r="I20" s="44"/>
      <c r="J20" s="38">
        <f>343</f>
        <v>343</v>
      </c>
      <c r="K20" s="45">
        <v>2.7430555555555559E-3</v>
      </c>
      <c r="L20" s="46" t="s">
        <v>113</v>
      </c>
      <c r="M20" s="38"/>
      <c r="N20" s="38"/>
      <c r="O20" s="38"/>
      <c r="P20" s="38"/>
      <c r="Q20" s="38"/>
      <c r="R20" s="48"/>
      <c r="S20" s="48"/>
      <c r="T20" s="48"/>
      <c r="U20" s="52"/>
      <c r="V20" s="50"/>
      <c r="W20" s="51"/>
      <c r="X20" s="38"/>
    </row>
    <row r="21" spans="1:24">
      <c r="A21" s="38">
        <v>18</v>
      </c>
      <c r="B21" s="38"/>
      <c r="C21" s="38"/>
      <c r="D21" s="38" t="s">
        <v>211</v>
      </c>
      <c r="E21" s="40" t="s">
        <v>212</v>
      </c>
      <c r="F21" s="41" t="s">
        <v>213</v>
      </c>
      <c r="G21" s="42" t="s">
        <v>214</v>
      </c>
      <c r="H21" s="43"/>
      <c r="I21" s="44"/>
      <c r="J21" s="38">
        <f>1*1000</f>
        <v>1000</v>
      </c>
      <c r="K21" s="45">
        <v>2.4652777777777776E-3</v>
      </c>
      <c r="L21" s="46" t="s">
        <v>113</v>
      </c>
      <c r="M21" s="38"/>
      <c r="N21" s="38"/>
      <c r="O21" s="38"/>
      <c r="P21" s="38"/>
      <c r="Q21" s="38"/>
      <c r="R21" s="48"/>
      <c r="S21" s="48"/>
      <c r="T21" s="48"/>
      <c r="U21" s="52"/>
      <c r="V21" s="50"/>
      <c r="W21" s="51"/>
      <c r="X21" s="38"/>
    </row>
    <row r="22" spans="1:24">
      <c r="A22" s="38">
        <v>19</v>
      </c>
      <c r="B22" s="38"/>
      <c r="C22" s="38"/>
      <c r="D22" s="38" t="s">
        <v>217</v>
      </c>
      <c r="E22" s="40" t="s">
        <v>218</v>
      </c>
      <c r="F22" s="41" t="s">
        <v>219</v>
      </c>
      <c r="G22" s="42">
        <v>378</v>
      </c>
      <c r="H22" s="43"/>
      <c r="I22" s="44"/>
      <c r="J22" s="38">
        <f>378</f>
        <v>378</v>
      </c>
      <c r="K22" s="45">
        <v>1.1226851851851851E-3</v>
      </c>
      <c r="L22" s="46" t="s">
        <v>113</v>
      </c>
      <c r="M22" s="38"/>
      <c r="N22" s="38"/>
      <c r="O22" s="38"/>
      <c r="P22" s="38"/>
      <c r="Q22" s="38"/>
      <c r="R22" s="48"/>
      <c r="S22" s="48"/>
      <c r="T22" s="48"/>
      <c r="U22" s="52"/>
      <c r="V22" s="50"/>
      <c r="W22" s="51"/>
      <c r="X22" s="38"/>
    </row>
    <row r="23" spans="1:24">
      <c r="A23" s="38">
        <v>20</v>
      </c>
      <c r="B23" s="38" t="s">
        <v>220</v>
      </c>
      <c r="C23" s="38" t="s">
        <v>124</v>
      </c>
      <c r="D23" s="38" t="s">
        <v>221</v>
      </c>
      <c r="E23" s="40" t="s">
        <v>222</v>
      </c>
      <c r="F23" s="41" t="s">
        <v>225</v>
      </c>
      <c r="G23" s="42" t="s">
        <v>226</v>
      </c>
      <c r="H23" s="43"/>
      <c r="I23" s="44"/>
      <c r="J23" s="38">
        <f>8.5*1000</f>
        <v>8500</v>
      </c>
      <c r="K23" s="45">
        <v>7.1874999999999994E-3</v>
      </c>
      <c r="L23" s="46" t="s">
        <v>113</v>
      </c>
      <c r="M23" s="38"/>
      <c r="N23" s="38"/>
      <c r="O23" s="38"/>
      <c r="P23" s="38"/>
      <c r="Q23" s="38"/>
      <c r="R23" s="48"/>
      <c r="S23" s="48"/>
      <c r="T23" s="48"/>
      <c r="U23" s="52"/>
      <c r="V23" s="50"/>
      <c r="W23" s="51"/>
      <c r="X23" s="38"/>
    </row>
    <row r="24" spans="1:24">
      <c r="A24" s="38"/>
      <c r="B24" s="38" t="s">
        <v>220</v>
      </c>
      <c r="C24" s="38" t="s">
        <v>124</v>
      </c>
      <c r="D24" s="38"/>
      <c r="E24" s="40"/>
      <c r="F24" s="41"/>
      <c r="G24" s="42"/>
      <c r="H24" s="43" t="s">
        <v>239</v>
      </c>
      <c r="I24" s="44"/>
      <c r="J24" s="38"/>
      <c r="K24" s="45"/>
      <c r="L24" s="46"/>
      <c r="M24" s="45">
        <v>5.7870370370370378E-4</v>
      </c>
      <c r="N24" s="45">
        <v>3.2407407407407406E-3</v>
      </c>
      <c r="O24" s="45">
        <f t="shared" ref="O24:O26" si="0">N24-M24</f>
        <v>2.662037037037037E-3</v>
      </c>
      <c r="P24" s="38"/>
      <c r="Q24" s="55" t="str">
        <f t="shared" ref="Q24:Q26" si="1">HYPERLINK(REPLACE($D$23,25,8,"embed/")&amp;"?start="&amp;MINUTE(M24)*60+SECOND(M24)&amp;"&amp;end="&amp;MINUTE(N24)*60+SECOND(N24)&amp;"&amp;autoplay=1")</f>
        <v>https://www.youtube.com/embed/_IcfDP-ezpo?start=50&amp;end=280&amp;autoplay=1</v>
      </c>
      <c r="R24" s="48"/>
      <c r="S24" s="48"/>
      <c r="T24" s="48"/>
      <c r="U24" s="52"/>
      <c r="V24" s="50"/>
      <c r="W24" s="51"/>
      <c r="X24" s="38"/>
    </row>
    <row r="25" spans="1:24">
      <c r="A25" s="38"/>
      <c r="B25" s="38" t="s">
        <v>220</v>
      </c>
      <c r="C25" s="38" t="s">
        <v>124</v>
      </c>
      <c r="D25" s="38"/>
      <c r="E25" s="40"/>
      <c r="F25" s="41"/>
      <c r="G25" s="42"/>
      <c r="H25" s="43" t="s">
        <v>250</v>
      </c>
      <c r="I25" s="44"/>
      <c r="J25" s="38"/>
      <c r="K25" s="45"/>
      <c r="L25" s="46"/>
      <c r="M25" s="45">
        <v>3.2407407407407406E-3</v>
      </c>
      <c r="N25" s="45">
        <v>5.7754629629629623E-3</v>
      </c>
      <c r="O25" s="45">
        <f t="shared" si="0"/>
        <v>2.5347222222222216E-3</v>
      </c>
      <c r="P25" s="38"/>
      <c r="Q25" s="55" t="str">
        <f t="shared" si="1"/>
        <v>https://www.youtube.com/embed/_IcfDP-ezpo?start=280&amp;end=499&amp;autoplay=1</v>
      </c>
      <c r="R25" s="48"/>
      <c r="S25" s="48"/>
      <c r="T25" s="48"/>
      <c r="U25" s="52"/>
      <c r="V25" s="50"/>
      <c r="W25" s="51"/>
      <c r="X25" s="38"/>
    </row>
    <row r="26" spans="1:24">
      <c r="A26" s="38"/>
      <c r="B26" s="38" t="s">
        <v>220</v>
      </c>
      <c r="C26" s="38" t="s">
        <v>124</v>
      </c>
      <c r="D26" s="38"/>
      <c r="E26" s="40"/>
      <c r="F26" s="41"/>
      <c r="G26" s="42"/>
      <c r="H26" s="43" t="s">
        <v>254</v>
      </c>
      <c r="I26" s="44"/>
      <c r="J26" s="38"/>
      <c r="K26" s="45"/>
      <c r="L26" s="46"/>
      <c r="M26" s="45">
        <v>5.7754629629629623E-3</v>
      </c>
      <c r="N26" s="45">
        <v>7.1759259259259259E-3</v>
      </c>
      <c r="O26" s="45">
        <f t="shared" si="0"/>
        <v>1.4004629629629636E-3</v>
      </c>
      <c r="P26" s="38"/>
      <c r="Q26" s="55" t="str">
        <f t="shared" si="1"/>
        <v>https://www.youtube.com/embed/_IcfDP-ezpo?start=499&amp;end=620&amp;autoplay=1</v>
      </c>
      <c r="R26" s="48"/>
      <c r="S26" s="48"/>
      <c r="T26" s="48"/>
      <c r="U26" s="52"/>
      <c r="V26" s="50"/>
      <c r="W26" s="51"/>
      <c r="X26" s="38"/>
    </row>
    <row r="27" spans="1:24">
      <c r="A27" s="38">
        <v>21</v>
      </c>
      <c r="B27" s="38"/>
      <c r="C27" s="38"/>
      <c r="D27" s="38" t="s">
        <v>229</v>
      </c>
      <c r="E27" s="40" t="s">
        <v>230</v>
      </c>
      <c r="F27" s="41" t="s">
        <v>231</v>
      </c>
      <c r="G27" s="42" t="s">
        <v>232</v>
      </c>
      <c r="H27" s="43"/>
      <c r="I27" s="44"/>
      <c r="J27" s="38">
        <f>3.2*1000</f>
        <v>3200</v>
      </c>
      <c r="K27" s="45">
        <v>1.3078703703703705E-3</v>
      </c>
      <c r="L27" s="46" t="s">
        <v>113</v>
      </c>
      <c r="M27" s="45"/>
      <c r="N27" s="45"/>
      <c r="O27" s="38"/>
      <c r="P27" s="38"/>
      <c r="Q27" s="38"/>
      <c r="R27" s="48"/>
      <c r="S27" s="48"/>
      <c r="T27" s="48"/>
      <c r="U27" s="52"/>
      <c r="V27" s="50"/>
      <c r="W27" s="51"/>
      <c r="X27" s="38"/>
    </row>
    <row r="28" spans="1:24">
      <c r="A28" s="38">
        <v>22</v>
      </c>
      <c r="B28" s="38" t="s">
        <v>220</v>
      </c>
      <c r="C28" s="38" t="s">
        <v>124</v>
      </c>
      <c r="D28" s="38" t="s">
        <v>235</v>
      </c>
      <c r="E28" s="40" t="s">
        <v>236</v>
      </c>
      <c r="F28" s="41" t="s">
        <v>237</v>
      </c>
      <c r="G28" s="42" t="s">
        <v>238</v>
      </c>
      <c r="H28" s="43"/>
      <c r="I28" s="44"/>
      <c r="J28" s="38">
        <f>4.9*1000</f>
        <v>4900</v>
      </c>
      <c r="K28" s="45">
        <v>9.2939814814814812E-3</v>
      </c>
      <c r="L28" s="46" t="s">
        <v>113</v>
      </c>
      <c r="M28" s="45"/>
      <c r="N28" s="45"/>
      <c r="O28" s="38"/>
      <c r="P28" s="38"/>
      <c r="Q28" s="38"/>
      <c r="R28" s="48"/>
      <c r="S28" s="48"/>
      <c r="T28" s="48"/>
      <c r="U28" s="52"/>
      <c r="V28" s="50"/>
      <c r="W28" s="51"/>
      <c r="X28" s="38"/>
    </row>
    <row r="29" spans="1:24">
      <c r="A29" s="38"/>
      <c r="B29" s="38" t="s">
        <v>220</v>
      </c>
      <c r="C29" s="38" t="s">
        <v>124</v>
      </c>
      <c r="D29" s="38"/>
      <c r="E29" s="40"/>
      <c r="F29" s="41"/>
      <c r="G29" s="42"/>
      <c r="H29" s="43" t="s">
        <v>268</v>
      </c>
      <c r="I29" s="44"/>
      <c r="J29" s="38"/>
      <c r="K29" s="45"/>
      <c r="L29" s="46"/>
      <c r="M29" s="45">
        <v>0</v>
      </c>
      <c r="N29" s="45">
        <v>1.1805555555555556E-3</v>
      </c>
      <c r="O29" s="45">
        <f t="shared" ref="O29:O34" si="2">N29-M29</f>
        <v>1.1805555555555556E-3</v>
      </c>
      <c r="P29" s="38"/>
      <c r="Q29" s="55" t="str">
        <f t="shared" ref="Q29:Q34" si="3">HYPERLINK(REPLACE($D$28,25,8,"embed/")&amp;"?start="&amp;MINUTE(M29)*60+SECOND(M29)&amp;"&amp;end="&amp;MINUTE(N29)*60+SECOND(N29)&amp;"&amp;autoplay=1")</f>
        <v>https://www.youtube.com/embed/Uq2PJjcHiqI?start=0&amp;end=102&amp;autoplay=1</v>
      </c>
      <c r="R29" s="48"/>
      <c r="S29" s="48"/>
      <c r="T29" s="48"/>
      <c r="U29" s="52"/>
      <c r="V29" s="50"/>
      <c r="W29" s="51"/>
      <c r="X29" s="38"/>
    </row>
    <row r="30" spans="1:24">
      <c r="A30" s="38"/>
      <c r="B30" s="38" t="s">
        <v>220</v>
      </c>
      <c r="C30" s="38" t="s">
        <v>124</v>
      </c>
      <c r="D30" s="38"/>
      <c r="E30" s="40"/>
      <c r="F30" s="41"/>
      <c r="G30" s="42"/>
      <c r="H30" s="43" t="s">
        <v>280</v>
      </c>
      <c r="I30" s="44"/>
      <c r="J30" s="38"/>
      <c r="K30" s="45"/>
      <c r="L30" s="46"/>
      <c r="M30" s="45">
        <v>1.1805555555555556E-3</v>
      </c>
      <c r="N30" s="45">
        <v>3.1018518518518522E-3</v>
      </c>
      <c r="O30" s="45">
        <f t="shared" si="2"/>
        <v>1.9212962962962966E-3</v>
      </c>
      <c r="P30" s="38"/>
      <c r="Q30" s="55" t="str">
        <f t="shared" si="3"/>
        <v>https://www.youtube.com/embed/Uq2PJjcHiqI?start=102&amp;end=268&amp;autoplay=1</v>
      </c>
      <c r="R30" s="48"/>
      <c r="S30" s="48"/>
      <c r="T30" s="48"/>
      <c r="U30" s="52"/>
      <c r="V30" s="50"/>
      <c r="W30" s="51"/>
      <c r="X30" s="38"/>
    </row>
    <row r="31" spans="1:24">
      <c r="A31" s="38"/>
      <c r="B31" s="38" t="s">
        <v>220</v>
      </c>
      <c r="C31" s="38" t="s">
        <v>124</v>
      </c>
      <c r="D31" s="38"/>
      <c r="E31" s="40"/>
      <c r="F31" s="41"/>
      <c r="G31" s="42"/>
      <c r="H31" s="43" t="s">
        <v>287</v>
      </c>
      <c r="I31" s="44"/>
      <c r="J31" s="38"/>
      <c r="K31" s="45"/>
      <c r="L31" s="46"/>
      <c r="M31" s="45">
        <v>3.1018518518518522E-3</v>
      </c>
      <c r="N31" s="45">
        <v>4.6412037037037038E-3</v>
      </c>
      <c r="O31" s="45">
        <f t="shared" si="2"/>
        <v>1.5393518518518516E-3</v>
      </c>
      <c r="P31" s="38"/>
      <c r="Q31" s="55" t="str">
        <f t="shared" si="3"/>
        <v>https://www.youtube.com/embed/Uq2PJjcHiqI?start=268&amp;end=401&amp;autoplay=1</v>
      </c>
      <c r="R31" s="48"/>
      <c r="S31" s="48"/>
      <c r="T31" s="48"/>
      <c r="U31" s="52"/>
      <c r="V31" s="50"/>
      <c r="W31" s="51"/>
      <c r="X31" s="53" t="s">
        <v>292</v>
      </c>
    </row>
    <row r="32" spans="1:24">
      <c r="A32" s="38"/>
      <c r="B32" s="38" t="s">
        <v>220</v>
      </c>
      <c r="C32" s="38" t="s">
        <v>124</v>
      </c>
      <c r="D32" s="38"/>
      <c r="E32" s="40"/>
      <c r="F32" s="41"/>
      <c r="G32" s="42"/>
      <c r="H32" s="43" t="s">
        <v>294</v>
      </c>
      <c r="I32" s="44"/>
      <c r="J32" s="38"/>
      <c r="K32" s="45"/>
      <c r="L32" s="46"/>
      <c r="M32" s="45">
        <v>4.6412037037037038E-3</v>
      </c>
      <c r="N32" s="45">
        <v>7.2106481481481475E-3</v>
      </c>
      <c r="O32" s="45">
        <f t="shared" si="2"/>
        <v>2.5694444444444436E-3</v>
      </c>
      <c r="P32" s="38"/>
      <c r="Q32" s="55" t="str">
        <f t="shared" si="3"/>
        <v>https://www.youtube.com/embed/Uq2PJjcHiqI?start=401&amp;end=623&amp;autoplay=1</v>
      </c>
      <c r="R32" s="48"/>
      <c r="S32" s="48"/>
      <c r="T32" s="48"/>
      <c r="U32" s="52"/>
      <c r="V32" s="50"/>
      <c r="W32" s="51"/>
      <c r="X32" s="53"/>
    </row>
    <row r="33" spans="1:24">
      <c r="A33" s="38"/>
      <c r="B33" s="38" t="s">
        <v>220</v>
      </c>
      <c r="C33" s="38" t="s">
        <v>124</v>
      </c>
      <c r="D33" s="38"/>
      <c r="E33" s="40"/>
      <c r="F33" s="41"/>
      <c r="G33" s="42"/>
      <c r="H33" s="43" t="s">
        <v>299</v>
      </c>
      <c r="I33" s="44"/>
      <c r="J33" s="38"/>
      <c r="K33" s="45"/>
      <c r="L33" s="46"/>
      <c r="M33" s="45">
        <v>7.2106481481481475E-3</v>
      </c>
      <c r="N33" s="45">
        <v>7.6736111111111111E-3</v>
      </c>
      <c r="O33" s="45">
        <f t="shared" si="2"/>
        <v>4.6296296296296363E-4</v>
      </c>
      <c r="P33" s="38"/>
      <c r="Q33" s="55" t="str">
        <f t="shared" si="3"/>
        <v>https://www.youtube.com/embed/Uq2PJjcHiqI?start=623&amp;end=663&amp;autoplay=1</v>
      </c>
      <c r="R33" s="48"/>
      <c r="S33" s="48"/>
      <c r="T33" s="48"/>
      <c r="U33" s="52"/>
      <c r="V33" s="50"/>
      <c r="W33" s="51"/>
      <c r="X33" s="53" t="s">
        <v>303</v>
      </c>
    </row>
    <row r="34" spans="1:24">
      <c r="A34" s="38"/>
      <c r="B34" s="38" t="s">
        <v>220</v>
      </c>
      <c r="C34" s="38" t="s">
        <v>124</v>
      </c>
      <c r="D34" s="38"/>
      <c r="E34" s="40"/>
      <c r="F34" s="41"/>
      <c r="G34" s="42"/>
      <c r="H34" s="43" t="s">
        <v>305</v>
      </c>
      <c r="I34" s="44"/>
      <c r="J34" s="38"/>
      <c r="K34" s="45"/>
      <c r="L34" s="46"/>
      <c r="M34" s="45">
        <v>7.6736111111111111E-3</v>
      </c>
      <c r="N34" s="45">
        <v>9.2824074074074076E-3</v>
      </c>
      <c r="O34" s="45">
        <f t="shared" si="2"/>
        <v>1.6087962962962965E-3</v>
      </c>
      <c r="P34" s="38"/>
      <c r="Q34" s="55" t="str">
        <f t="shared" si="3"/>
        <v>https://www.youtube.com/embed/Uq2PJjcHiqI?start=663&amp;end=802&amp;autoplay=1</v>
      </c>
      <c r="R34" s="48"/>
      <c r="S34" s="48"/>
      <c r="T34" s="48"/>
      <c r="U34" s="52"/>
      <c r="V34" s="50"/>
      <c r="W34" s="51"/>
      <c r="X34" s="53"/>
    </row>
    <row r="35" spans="1:24">
      <c r="A35" s="38">
        <v>23</v>
      </c>
      <c r="B35" s="38" t="s">
        <v>220</v>
      </c>
      <c r="C35" s="38" t="s">
        <v>124</v>
      </c>
      <c r="D35" s="38" t="s">
        <v>242</v>
      </c>
      <c r="E35" s="40" t="s">
        <v>243</v>
      </c>
      <c r="F35" s="41" t="s">
        <v>244</v>
      </c>
      <c r="G35" s="42" t="s">
        <v>210</v>
      </c>
      <c r="H35" s="43"/>
      <c r="I35" s="44"/>
      <c r="J35" s="38">
        <f>3.6*1000</f>
        <v>3600</v>
      </c>
      <c r="K35" s="45">
        <v>7.4768518518518526E-3</v>
      </c>
      <c r="L35" s="46" t="s">
        <v>113</v>
      </c>
      <c r="M35" s="45"/>
      <c r="N35" s="45"/>
      <c r="O35" s="56"/>
      <c r="P35" s="38"/>
      <c r="Q35" s="38"/>
      <c r="R35" s="48"/>
      <c r="S35" s="48"/>
      <c r="T35" s="48"/>
      <c r="U35" s="52"/>
      <c r="V35" s="50"/>
      <c r="W35" s="51"/>
      <c r="X35" s="38"/>
    </row>
    <row r="36" spans="1:24">
      <c r="A36" s="38"/>
      <c r="B36" s="38" t="s">
        <v>220</v>
      </c>
      <c r="C36" s="38" t="s">
        <v>124</v>
      </c>
      <c r="D36" s="38"/>
      <c r="E36" s="40"/>
      <c r="F36" s="41"/>
      <c r="G36" s="42"/>
      <c r="H36" s="43" t="s">
        <v>315</v>
      </c>
      <c r="I36" s="57"/>
      <c r="J36" s="38"/>
      <c r="K36" s="45"/>
      <c r="L36" s="46"/>
      <c r="M36" s="45">
        <v>0</v>
      </c>
      <c r="N36" s="45">
        <v>1.5162037037037036E-3</v>
      </c>
      <c r="O36" s="45">
        <f t="shared" ref="O36:O38" si="4">N36-M36</f>
        <v>1.5162037037037036E-3</v>
      </c>
      <c r="P36" s="38"/>
      <c r="Q36" s="55" t="str">
        <f t="shared" ref="Q36:Q38" si="5">HYPERLINK(REPLACE($D$35,25,8,"embed/")&amp;"?start="&amp;MINUTE(M36)*60+SECOND(M36)&amp;"&amp;end="&amp;MINUTE(N36)*60+SECOND(N36)&amp;"&amp;autoplay=1")</f>
        <v>https://www.youtube.com/embed/5LJPOCxc3E8?start=0&amp;end=131&amp;autoplay=1</v>
      </c>
      <c r="R36" s="48"/>
      <c r="S36" s="48"/>
      <c r="T36" s="48"/>
      <c r="U36" s="52"/>
      <c r="V36" s="50"/>
      <c r="W36" s="51"/>
      <c r="X36" s="38"/>
    </row>
    <row r="37" spans="1:24">
      <c r="A37" s="38"/>
      <c r="B37" s="38" t="s">
        <v>220</v>
      </c>
      <c r="C37" s="38" t="s">
        <v>124</v>
      </c>
      <c r="D37" s="38"/>
      <c r="E37" s="40"/>
      <c r="F37" s="41"/>
      <c r="G37" s="42"/>
      <c r="H37" s="43" t="s">
        <v>324</v>
      </c>
      <c r="I37" s="57"/>
      <c r="J37" s="38"/>
      <c r="K37" s="45"/>
      <c r="L37" s="46"/>
      <c r="M37" s="45">
        <v>1.5162037037037036E-3</v>
      </c>
      <c r="N37" s="45">
        <v>4.0856481481481481E-3</v>
      </c>
      <c r="O37" s="45">
        <f t="shared" si="4"/>
        <v>2.5694444444444445E-3</v>
      </c>
      <c r="P37" s="38"/>
      <c r="Q37" s="55" t="str">
        <f t="shared" si="5"/>
        <v>https://www.youtube.com/embed/5LJPOCxc3E8?start=131&amp;end=353&amp;autoplay=1</v>
      </c>
      <c r="R37" s="48"/>
      <c r="S37" s="48"/>
      <c r="T37" s="48"/>
      <c r="U37" s="52"/>
      <c r="V37" s="50"/>
      <c r="W37" s="51"/>
      <c r="X37" s="38"/>
    </row>
    <row r="38" spans="1:24">
      <c r="A38" s="38"/>
      <c r="B38" s="38" t="s">
        <v>220</v>
      </c>
      <c r="C38" s="38" t="s">
        <v>124</v>
      </c>
      <c r="D38" s="38"/>
      <c r="E38" s="40"/>
      <c r="F38" s="41"/>
      <c r="G38" s="42"/>
      <c r="H38" s="43" t="s">
        <v>330</v>
      </c>
      <c r="I38" s="57"/>
      <c r="J38" s="38"/>
      <c r="K38" s="45"/>
      <c r="L38" s="46"/>
      <c r="M38" s="45">
        <v>4.1435185185185186E-3</v>
      </c>
      <c r="N38" s="45">
        <v>7.3958333333333341E-3</v>
      </c>
      <c r="O38" s="45">
        <f t="shared" si="4"/>
        <v>3.2523148148148155E-3</v>
      </c>
      <c r="P38" s="38"/>
      <c r="Q38" s="55" t="str">
        <f t="shared" si="5"/>
        <v>https://www.youtube.com/embed/5LJPOCxc3E8?start=358&amp;end=639&amp;autoplay=1</v>
      </c>
      <c r="R38" s="48"/>
      <c r="S38" s="48"/>
      <c r="T38" s="48"/>
      <c r="U38" s="52"/>
      <c r="V38" s="50"/>
      <c r="W38" s="51"/>
      <c r="X38" s="38"/>
    </row>
    <row r="39" spans="1:24">
      <c r="A39" s="38">
        <v>24</v>
      </c>
      <c r="B39" s="38"/>
      <c r="C39" s="38"/>
      <c r="D39" s="38" t="s">
        <v>246</v>
      </c>
      <c r="E39" s="40" t="s">
        <v>247</v>
      </c>
      <c r="F39" s="41" t="s">
        <v>248</v>
      </c>
      <c r="G39" s="42" t="s">
        <v>249</v>
      </c>
      <c r="H39" s="43"/>
      <c r="I39" s="44"/>
      <c r="J39" s="38">
        <f>2.4*1000</f>
        <v>2400</v>
      </c>
      <c r="K39" s="45">
        <v>8.2523148148148148E-3</v>
      </c>
      <c r="L39" s="46" t="s">
        <v>113</v>
      </c>
      <c r="M39" s="45"/>
      <c r="N39" s="45"/>
      <c r="O39" s="56"/>
      <c r="P39" s="38"/>
      <c r="Q39" s="38"/>
      <c r="R39" s="48"/>
      <c r="S39" s="48"/>
      <c r="T39" s="48"/>
      <c r="U39" s="52"/>
      <c r="V39" s="50"/>
      <c r="W39" s="51"/>
      <c r="X39" s="38"/>
    </row>
    <row r="40" spans="1:24">
      <c r="A40" s="38">
        <v>25</v>
      </c>
      <c r="B40" s="38"/>
      <c r="C40" s="38"/>
      <c r="D40" s="38" t="s">
        <v>252</v>
      </c>
      <c r="E40" s="40" t="s">
        <v>253</v>
      </c>
      <c r="F40" s="41" t="s">
        <v>255</v>
      </c>
      <c r="G40" s="42" t="s">
        <v>256</v>
      </c>
      <c r="H40" s="43"/>
      <c r="I40" s="44"/>
      <c r="J40" s="38">
        <f>2.1*1000</f>
        <v>2100</v>
      </c>
      <c r="K40" s="45">
        <v>9.618055555555555E-3</v>
      </c>
      <c r="L40" s="46" t="s">
        <v>113</v>
      </c>
      <c r="M40" s="45"/>
      <c r="N40" s="45"/>
      <c r="O40" s="56"/>
      <c r="P40" s="38"/>
      <c r="Q40" s="38"/>
      <c r="R40" s="48"/>
      <c r="S40" s="48"/>
      <c r="T40" s="48"/>
      <c r="U40" s="52"/>
      <c r="V40" s="50"/>
      <c r="W40" s="51"/>
      <c r="X40" s="38"/>
    </row>
    <row r="41" spans="1:24">
      <c r="A41" s="38">
        <v>26</v>
      </c>
      <c r="B41" s="38" t="s">
        <v>220</v>
      </c>
      <c r="C41" s="38" t="s">
        <v>124</v>
      </c>
      <c r="D41" s="38" t="s">
        <v>259</v>
      </c>
      <c r="E41" s="40" t="s">
        <v>260</v>
      </c>
      <c r="F41" s="41" t="s">
        <v>263</v>
      </c>
      <c r="G41" s="42" t="s">
        <v>264</v>
      </c>
      <c r="H41" s="43"/>
      <c r="I41" s="44"/>
      <c r="J41" s="38">
        <f>14*1000</f>
        <v>14000</v>
      </c>
      <c r="K41" s="45">
        <v>7.4884259259259262E-3</v>
      </c>
      <c r="L41" s="46" t="s">
        <v>113</v>
      </c>
      <c r="M41" s="45"/>
      <c r="N41" s="45"/>
      <c r="O41" s="56"/>
      <c r="P41" s="38"/>
      <c r="Q41" s="38"/>
      <c r="R41" s="48"/>
      <c r="S41" s="48"/>
      <c r="T41" s="48"/>
      <c r="U41" s="52"/>
      <c r="V41" s="50"/>
      <c r="W41" s="51"/>
      <c r="X41" s="38"/>
    </row>
    <row r="42" spans="1:24">
      <c r="A42" s="38"/>
      <c r="B42" s="38" t="s">
        <v>220</v>
      </c>
      <c r="C42" s="38" t="s">
        <v>124</v>
      </c>
      <c r="D42" s="38"/>
      <c r="E42" s="40"/>
      <c r="F42" s="41"/>
      <c r="G42" s="42"/>
      <c r="H42" s="43" t="s">
        <v>346</v>
      </c>
      <c r="I42" s="44"/>
      <c r="J42" s="38"/>
      <c r="K42" s="45"/>
      <c r="L42" s="46"/>
      <c r="M42" s="45">
        <v>1.5046296296296297E-4</v>
      </c>
      <c r="N42" s="45">
        <v>9.2592592592592585E-4</v>
      </c>
      <c r="O42" s="45">
        <f t="shared" ref="O42:O45" si="6">N42-M42</f>
        <v>7.7546296296296282E-4</v>
      </c>
      <c r="P42" s="38"/>
      <c r="Q42" s="55" t="str">
        <f t="shared" ref="Q42:Q45" si="7">HYPERLINK(REPLACE($D$41,25,8,"embed/")&amp;"?start="&amp;MINUTE(M42)*60+SECOND(M42)&amp;"&amp;end="&amp;MINUTE(N42)*60+SECOND(N42)&amp;"&amp;autoplay=1")</f>
        <v>https://www.youtube.com/embed/RdBz1kIwrqo?start=13&amp;end=80&amp;autoplay=1</v>
      </c>
      <c r="R42" s="48"/>
      <c r="S42" s="48"/>
      <c r="T42" s="48"/>
      <c r="U42" s="52"/>
      <c r="V42" s="50"/>
      <c r="W42" s="51"/>
      <c r="X42" s="53"/>
    </row>
    <row r="43" spans="1:24">
      <c r="A43" s="38"/>
      <c r="B43" s="38" t="s">
        <v>220</v>
      </c>
      <c r="C43" s="38" t="s">
        <v>124</v>
      </c>
      <c r="D43" s="38"/>
      <c r="E43" s="40"/>
      <c r="F43" s="41"/>
      <c r="G43" s="42"/>
      <c r="H43" s="43" t="s">
        <v>280</v>
      </c>
      <c r="I43" s="44"/>
      <c r="J43" s="38"/>
      <c r="K43" s="45"/>
      <c r="L43" s="46"/>
      <c r="M43" s="45">
        <v>9.2592592592592585E-4</v>
      </c>
      <c r="N43" s="45">
        <v>2.9861111111111113E-3</v>
      </c>
      <c r="O43" s="45">
        <f t="shared" si="6"/>
        <v>2.0601851851851853E-3</v>
      </c>
      <c r="P43" s="38"/>
      <c r="Q43" s="55" t="str">
        <f t="shared" si="7"/>
        <v>https://www.youtube.com/embed/RdBz1kIwrqo?start=80&amp;end=258&amp;autoplay=1</v>
      </c>
      <c r="R43" s="48"/>
      <c r="S43" s="48"/>
      <c r="T43" s="48"/>
      <c r="U43" s="52"/>
      <c r="V43" s="50"/>
      <c r="W43" s="51"/>
      <c r="X43" s="53" t="s">
        <v>358</v>
      </c>
    </row>
    <row r="44" spans="1:24">
      <c r="A44" s="38"/>
      <c r="B44" s="38" t="s">
        <v>220</v>
      </c>
      <c r="C44" s="38" t="s">
        <v>124</v>
      </c>
      <c r="D44" s="38"/>
      <c r="E44" s="40"/>
      <c r="F44" s="41"/>
      <c r="G44" s="42"/>
      <c r="H44" s="43" t="s">
        <v>359</v>
      </c>
      <c r="I44" s="44"/>
      <c r="J44" s="38"/>
      <c r="K44" s="45"/>
      <c r="L44" s="46"/>
      <c r="M44" s="45">
        <v>3.0787037037037037E-3</v>
      </c>
      <c r="N44" s="45">
        <v>4.6412037037037038E-3</v>
      </c>
      <c r="O44" s="45">
        <f t="shared" si="6"/>
        <v>1.5625000000000001E-3</v>
      </c>
      <c r="P44" s="38"/>
      <c r="Q44" s="55" t="str">
        <f t="shared" si="7"/>
        <v>https://www.youtube.com/embed/RdBz1kIwrqo?start=266&amp;end=401&amp;autoplay=1</v>
      </c>
      <c r="R44" s="48"/>
      <c r="S44" s="48"/>
      <c r="T44" s="48"/>
      <c r="U44" s="52"/>
      <c r="V44" s="50"/>
      <c r="W44" s="51"/>
      <c r="X44" s="53"/>
    </row>
    <row r="45" spans="1:24">
      <c r="A45" s="38"/>
      <c r="B45" s="38" t="s">
        <v>220</v>
      </c>
      <c r="C45" s="38" t="s">
        <v>124</v>
      </c>
      <c r="D45" s="38"/>
      <c r="E45" s="40"/>
      <c r="F45" s="41"/>
      <c r="G45" s="42"/>
      <c r="H45" s="43" t="s">
        <v>362</v>
      </c>
      <c r="I45" s="44"/>
      <c r="J45" s="38"/>
      <c r="K45" s="45"/>
      <c r="L45" s="46"/>
      <c r="M45" s="45">
        <v>6.5162037037037037E-3</v>
      </c>
      <c r="N45" s="45">
        <v>7.4768518518518526E-3</v>
      </c>
      <c r="O45" s="45">
        <f t="shared" si="6"/>
        <v>9.6064814814814884E-4</v>
      </c>
      <c r="P45" s="38"/>
      <c r="Q45" s="55" t="str">
        <f t="shared" si="7"/>
        <v>https://www.youtube.com/embed/RdBz1kIwrqo?start=563&amp;end=646&amp;autoplay=1</v>
      </c>
      <c r="R45" s="48"/>
      <c r="S45" s="48"/>
      <c r="T45" s="48"/>
      <c r="U45" s="52"/>
      <c r="V45" s="50"/>
      <c r="W45" s="51"/>
      <c r="X45" s="53"/>
    </row>
    <row r="46" spans="1:24">
      <c r="A46" s="38">
        <v>27</v>
      </c>
      <c r="B46" s="38" t="s">
        <v>220</v>
      </c>
      <c r="C46" s="38" t="s">
        <v>124</v>
      </c>
      <c r="D46" s="38" t="s">
        <v>266</v>
      </c>
      <c r="E46" s="40" t="s">
        <v>267</v>
      </c>
      <c r="F46" s="41" t="s">
        <v>269</v>
      </c>
      <c r="G46" s="42" t="s">
        <v>270</v>
      </c>
      <c r="H46" s="43"/>
      <c r="I46" s="44"/>
      <c r="J46" s="38">
        <f>15*1000</f>
        <v>15000</v>
      </c>
      <c r="K46" s="45">
        <v>3.2407407407407406E-3</v>
      </c>
      <c r="L46" s="46" t="s">
        <v>113</v>
      </c>
      <c r="M46" s="45"/>
      <c r="N46" s="45"/>
      <c r="O46" s="56"/>
      <c r="P46" s="38"/>
      <c r="Q46" s="38"/>
      <c r="R46" s="48"/>
      <c r="S46" s="48"/>
      <c r="T46" s="48"/>
      <c r="U46" s="52"/>
      <c r="V46" s="50"/>
      <c r="W46" s="51"/>
      <c r="X46" s="53" t="s">
        <v>272</v>
      </c>
    </row>
    <row r="47" spans="1:24">
      <c r="A47" s="38">
        <v>28</v>
      </c>
      <c r="B47" s="38" t="s">
        <v>220</v>
      </c>
      <c r="C47" s="38" t="s">
        <v>124</v>
      </c>
      <c r="D47" s="38" t="s">
        <v>273</v>
      </c>
      <c r="E47" s="40" t="s">
        <v>274</v>
      </c>
      <c r="F47" s="41" t="s">
        <v>275</v>
      </c>
      <c r="G47" s="42" t="s">
        <v>276</v>
      </c>
      <c r="H47" s="43"/>
      <c r="I47" s="44"/>
      <c r="J47" s="38">
        <f>9.3*1000</f>
        <v>9300</v>
      </c>
      <c r="K47" s="45">
        <v>8.0671296296296307E-3</v>
      </c>
      <c r="L47" s="46" t="s">
        <v>113</v>
      </c>
      <c r="M47" s="45"/>
      <c r="N47" s="45"/>
      <c r="O47" s="56"/>
      <c r="P47" s="38"/>
      <c r="Q47" s="38"/>
      <c r="R47" s="48"/>
      <c r="S47" s="48"/>
      <c r="T47" s="48"/>
      <c r="U47" s="52"/>
      <c r="V47" s="50"/>
      <c r="W47" s="51"/>
      <c r="X47" s="38"/>
    </row>
    <row r="48" spans="1:24">
      <c r="A48" s="38"/>
      <c r="B48" s="38" t="s">
        <v>220</v>
      </c>
      <c r="C48" s="38" t="s">
        <v>124</v>
      </c>
      <c r="D48" s="38"/>
      <c r="E48" s="40"/>
      <c r="F48" s="41"/>
      <c r="G48" s="42"/>
      <c r="H48" s="43" t="s">
        <v>380</v>
      </c>
      <c r="I48" s="44"/>
      <c r="J48" s="38"/>
      <c r="K48" s="45"/>
      <c r="L48" s="46"/>
      <c r="M48" s="45">
        <v>0</v>
      </c>
      <c r="N48" s="45">
        <v>8.7962962962962962E-4</v>
      </c>
      <c r="O48" s="45">
        <f t="shared" ref="O48:O51" si="8">N48-M48</f>
        <v>8.7962962962962962E-4</v>
      </c>
      <c r="P48" s="38"/>
      <c r="Q48" s="55" t="str">
        <f t="shared" ref="Q48:Q51" si="9">HYPERLINK(REPLACE($D$47,25,8,"embed/")&amp;"?start="&amp;MINUTE(M48)*60+SECOND(M48)&amp;"&amp;end="&amp;MINUTE(N48)*60+SECOND(N48)&amp;"&amp;autoplay=1")</f>
        <v>https://www.youtube.com/embed/N0PD3TuLvoo?start=0&amp;end=76&amp;autoplay=1</v>
      </c>
      <c r="R48" s="48"/>
      <c r="S48" s="48"/>
      <c r="T48" s="48"/>
      <c r="U48" s="52"/>
      <c r="V48" s="50"/>
      <c r="W48" s="51"/>
      <c r="X48" s="53"/>
    </row>
    <row r="49" spans="1:24">
      <c r="A49" s="38"/>
      <c r="B49" s="38" t="s">
        <v>220</v>
      </c>
      <c r="C49" s="38" t="s">
        <v>124</v>
      </c>
      <c r="D49" s="38"/>
      <c r="E49" s="40"/>
      <c r="F49" s="41"/>
      <c r="G49" s="42"/>
      <c r="H49" s="43" t="s">
        <v>385</v>
      </c>
      <c r="I49" s="44"/>
      <c r="J49" s="38"/>
      <c r="K49" s="45"/>
      <c r="L49" s="46"/>
      <c r="M49" s="45">
        <v>8.9120370370370362E-4</v>
      </c>
      <c r="N49" s="45">
        <v>2.1296296296296298E-3</v>
      </c>
      <c r="O49" s="45">
        <f t="shared" si="8"/>
        <v>1.2384259259259262E-3</v>
      </c>
      <c r="P49" s="38"/>
      <c r="Q49" s="55" t="str">
        <f t="shared" si="9"/>
        <v>https://www.youtube.com/embed/N0PD3TuLvoo?start=77&amp;end=184&amp;autoplay=1</v>
      </c>
      <c r="R49" s="48"/>
      <c r="S49" s="48"/>
      <c r="T49" s="48"/>
      <c r="U49" s="52"/>
      <c r="V49" s="50"/>
      <c r="W49" s="51"/>
      <c r="X49" s="53" t="s">
        <v>390</v>
      </c>
    </row>
    <row r="50" spans="1:24">
      <c r="A50" s="38"/>
      <c r="B50" s="38" t="s">
        <v>220</v>
      </c>
      <c r="C50" s="38" t="s">
        <v>124</v>
      </c>
      <c r="D50" s="38"/>
      <c r="E50" s="40"/>
      <c r="F50" s="41"/>
      <c r="G50" s="42"/>
      <c r="H50" s="43" t="s">
        <v>391</v>
      </c>
      <c r="I50" s="44"/>
      <c r="J50" s="38"/>
      <c r="K50" s="45"/>
      <c r="L50" s="46"/>
      <c r="M50" s="45">
        <v>2.2800925925925927E-3</v>
      </c>
      <c r="N50" s="45">
        <v>3.5185185185185185E-3</v>
      </c>
      <c r="O50" s="45">
        <f t="shared" si="8"/>
        <v>1.2384259259259258E-3</v>
      </c>
      <c r="P50" s="38"/>
      <c r="Q50" s="55" t="str">
        <f t="shared" si="9"/>
        <v>https://www.youtube.com/embed/N0PD3TuLvoo?start=197&amp;end=304&amp;autoplay=1</v>
      </c>
      <c r="R50" s="48"/>
      <c r="S50" s="48"/>
      <c r="T50" s="48"/>
      <c r="U50" s="52"/>
      <c r="V50" s="50"/>
      <c r="W50" s="51"/>
      <c r="X50" s="53" t="s">
        <v>390</v>
      </c>
    </row>
    <row r="51" spans="1:24">
      <c r="A51" s="38"/>
      <c r="B51" s="38" t="s">
        <v>220</v>
      </c>
      <c r="C51" s="38" t="s">
        <v>124</v>
      </c>
      <c r="D51" s="38"/>
      <c r="E51" s="40"/>
      <c r="F51" s="41"/>
      <c r="G51" s="42"/>
      <c r="H51" s="43" t="s">
        <v>397</v>
      </c>
      <c r="I51" s="44"/>
      <c r="J51" s="38"/>
      <c r="K51" s="45"/>
      <c r="L51" s="46"/>
      <c r="M51" s="45">
        <v>3.5185185185185185E-3</v>
      </c>
      <c r="N51" s="45">
        <v>6.0995370370370361E-3</v>
      </c>
      <c r="O51" s="45">
        <f t="shared" si="8"/>
        <v>2.5810185185185176E-3</v>
      </c>
      <c r="P51" s="38"/>
      <c r="Q51" s="55" t="str">
        <f t="shared" si="9"/>
        <v>https://www.youtube.com/embed/N0PD3TuLvoo?start=304&amp;end=527&amp;autoplay=1</v>
      </c>
      <c r="R51" s="48"/>
      <c r="S51" s="48"/>
      <c r="T51" s="48"/>
      <c r="U51" s="52"/>
      <c r="V51" s="50"/>
      <c r="W51" s="51"/>
      <c r="X51" s="53" t="s">
        <v>399</v>
      </c>
    </row>
    <row r="52" spans="1:24">
      <c r="A52" s="38">
        <v>29</v>
      </c>
      <c r="B52" s="38" t="s">
        <v>220</v>
      </c>
      <c r="C52" s="38" t="s">
        <v>124</v>
      </c>
      <c r="D52" s="38" t="s">
        <v>278</v>
      </c>
      <c r="E52" s="40" t="s">
        <v>279</v>
      </c>
      <c r="F52" s="41" t="s">
        <v>281</v>
      </c>
      <c r="G52" s="42" t="s">
        <v>282</v>
      </c>
      <c r="H52" s="43"/>
      <c r="I52" s="44"/>
      <c r="J52" s="38">
        <f>35*1000</f>
        <v>35000</v>
      </c>
      <c r="K52" s="45">
        <v>7.6851851851851847E-3</v>
      </c>
      <c r="L52" s="46" t="s">
        <v>113</v>
      </c>
      <c r="M52" s="45"/>
      <c r="N52" s="45"/>
      <c r="O52" s="38"/>
      <c r="P52" s="38"/>
      <c r="Q52" s="38"/>
      <c r="R52" s="48"/>
      <c r="S52" s="48"/>
      <c r="T52" s="48"/>
      <c r="U52" s="52"/>
      <c r="V52" s="50"/>
      <c r="W52" s="51"/>
      <c r="X52" s="38"/>
    </row>
    <row r="53" spans="1:24">
      <c r="A53" s="38"/>
      <c r="B53" s="38" t="s">
        <v>220</v>
      </c>
      <c r="C53" s="38" t="s">
        <v>124</v>
      </c>
      <c r="D53" s="38"/>
      <c r="E53" s="40"/>
      <c r="F53" s="41"/>
      <c r="G53" s="42"/>
      <c r="H53" s="43" t="s">
        <v>239</v>
      </c>
      <c r="I53" s="44"/>
      <c r="J53" s="38"/>
      <c r="K53" s="45"/>
      <c r="L53" s="46"/>
      <c r="M53" s="45">
        <v>0</v>
      </c>
      <c r="N53" s="45">
        <v>2.4421296296296296E-3</v>
      </c>
      <c r="O53" s="45">
        <f t="shared" ref="O53:O57" si="10">N53-M53</f>
        <v>2.4421296296296296E-3</v>
      </c>
      <c r="P53" s="38"/>
      <c r="Q53" s="55" t="str">
        <f t="shared" ref="Q53:Q57" si="11">HYPERLINK(REPLACE($D$52,25,8,"embed/")&amp;"?start="&amp;MINUTE(M53)*60+SECOND(M53)&amp;"&amp;end="&amp;MINUTE(N53)*60+SECOND(N53)&amp;"&amp;autoplay=1")</f>
        <v>https://www.youtube.com/embed/C3_6Ub1GnfA?start=0&amp;end=211&amp;autoplay=1</v>
      </c>
      <c r="R53" s="48"/>
      <c r="S53" s="48"/>
      <c r="T53" s="48"/>
      <c r="U53" s="52"/>
      <c r="V53" s="50"/>
      <c r="W53" s="51"/>
      <c r="X53" s="38"/>
    </row>
    <row r="54" spans="1:24">
      <c r="A54" s="38"/>
      <c r="B54" s="38" t="s">
        <v>220</v>
      </c>
      <c r="C54" s="38" t="s">
        <v>124</v>
      </c>
      <c r="D54" s="38"/>
      <c r="E54" s="40"/>
      <c r="F54" s="41"/>
      <c r="G54" s="42"/>
      <c r="H54" s="43" t="s">
        <v>359</v>
      </c>
      <c r="I54" s="44"/>
      <c r="J54" s="38"/>
      <c r="K54" s="45"/>
      <c r="L54" s="46"/>
      <c r="M54" s="45">
        <v>2.4421296296296296E-3</v>
      </c>
      <c r="N54" s="45">
        <v>4.9768518518518521E-3</v>
      </c>
      <c r="O54" s="45">
        <f t="shared" si="10"/>
        <v>2.5347222222222225E-3</v>
      </c>
      <c r="P54" s="38"/>
      <c r="Q54" s="55" t="str">
        <f t="shared" si="11"/>
        <v>https://www.youtube.com/embed/C3_6Ub1GnfA?start=211&amp;end=430&amp;autoplay=1</v>
      </c>
      <c r="R54" s="48"/>
      <c r="S54" s="48"/>
      <c r="T54" s="48"/>
      <c r="U54" s="52"/>
      <c r="V54" s="50"/>
      <c r="W54" s="51"/>
      <c r="X54" s="38"/>
    </row>
    <row r="55" spans="1:24">
      <c r="A55" s="38"/>
      <c r="B55" s="38" t="s">
        <v>220</v>
      </c>
      <c r="C55" s="38" t="s">
        <v>124</v>
      </c>
      <c r="D55" s="38"/>
      <c r="E55" s="40"/>
      <c r="F55" s="41"/>
      <c r="G55" s="42"/>
      <c r="H55" s="43" t="s">
        <v>410</v>
      </c>
      <c r="I55" s="44"/>
      <c r="J55" s="38"/>
      <c r="K55" s="45"/>
      <c r="L55" s="46"/>
      <c r="M55" s="45">
        <v>4.9884259259259265E-3</v>
      </c>
      <c r="N55" s="45">
        <v>6.0185185185185177E-3</v>
      </c>
      <c r="O55" s="45">
        <f t="shared" si="10"/>
        <v>1.0300925925925911E-3</v>
      </c>
      <c r="P55" s="38"/>
      <c r="Q55" s="55" t="str">
        <f t="shared" si="11"/>
        <v>https://www.youtube.com/embed/C3_6Ub1GnfA?start=431&amp;end=520&amp;autoplay=1</v>
      </c>
      <c r="R55" s="48"/>
      <c r="S55" s="48"/>
      <c r="T55" s="48"/>
      <c r="U55" s="52"/>
      <c r="V55" s="50"/>
      <c r="W55" s="51"/>
      <c r="X55" s="38"/>
    </row>
    <row r="56" spans="1:24">
      <c r="A56" s="38"/>
      <c r="B56" s="38" t="s">
        <v>220</v>
      </c>
      <c r="C56" s="38" t="s">
        <v>124</v>
      </c>
      <c r="D56" s="38"/>
      <c r="E56" s="40"/>
      <c r="F56" s="41"/>
      <c r="G56" s="42"/>
      <c r="H56" s="43" t="s">
        <v>413</v>
      </c>
      <c r="I56" s="44"/>
      <c r="J56" s="38"/>
      <c r="K56" s="45"/>
      <c r="L56" s="46"/>
      <c r="M56" s="45">
        <v>6.2268518518518515E-3</v>
      </c>
      <c r="N56" s="45">
        <v>6.8171296296296287E-3</v>
      </c>
      <c r="O56" s="45">
        <f t="shared" si="10"/>
        <v>5.9027777777777724E-4</v>
      </c>
      <c r="P56" s="38"/>
      <c r="Q56" s="55" t="str">
        <f t="shared" si="11"/>
        <v>https://www.youtube.com/embed/C3_6Ub1GnfA?start=538&amp;end=589&amp;autoplay=1</v>
      </c>
      <c r="R56" s="48"/>
      <c r="S56" s="48"/>
      <c r="T56" s="48"/>
      <c r="U56" s="52"/>
      <c r="V56" s="50"/>
      <c r="W56" s="51"/>
      <c r="X56" s="38"/>
    </row>
    <row r="57" spans="1:24">
      <c r="A57" s="38"/>
      <c r="B57" s="38" t="s">
        <v>220</v>
      </c>
      <c r="C57" s="38" t="s">
        <v>124</v>
      </c>
      <c r="D57" s="38"/>
      <c r="E57" s="40"/>
      <c r="F57" s="41"/>
      <c r="G57" s="42"/>
      <c r="H57" s="43" t="s">
        <v>280</v>
      </c>
      <c r="I57" s="44"/>
      <c r="J57" s="38"/>
      <c r="K57" s="45"/>
      <c r="L57" s="46"/>
      <c r="M57" s="45">
        <v>6.8171296296296287E-3</v>
      </c>
      <c r="N57" s="45">
        <v>7.6736111111111111E-3</v>
      </c>
      <c r="O57" s="45">
        <f t="shared" si="10"/>
        <v>8.5648148148148237E-4</v>
      </c>
      <c r="P57" s="38"/>
      <c r="Q57" s="55" t="str">
        <f t="shared" si="11"/>
        <v>https://www.youtube.com/embed/C3_6Ub1GnfA?start=589&amp;end=663&amp;autoplay=1</v>
      </c>
      <c r="R57" s="48"/>
      <c r="S57" s="48"/>
      <c r="T57" s="48"/>
      <c r="U57" s="52"/>
      <c r="V57" s="50"/>
      <c r="W57" s="51"/>
      <c r="X57" s="38"/>
    </row>
    <row r="58" spans="1:24">
      <c r="A58" s="38">
        <v>30</v>
      </c>
      <c r="B58" s="38"/>
      <c r="C58" s="38"/>
      <c r="D58" s="38" t="s">
        <v>285</v>
      </c>
      <c r="E58" s="40" t="s">
        <v>286</v>
      </c>
      <c r="F58" s="41" t="s">
        <v>288</v>
      </c>
      <c r="G58" s="42" t="s">
        <v>290</v>
      </c>
      <c r="H58" s="43"/>
      <c r="I58" s="44"/>
      <c r="J58" s="38">
        <f>6.9*1000</f>
        <v>6900</v>
      </c>
      <c r="K58" s="45">
        <v>5.208333333333333E-3</v>
      </c>
      <c r="L58" s="46" t="s">
        <v>113</v>
      </c>
      <c r="M58" s="45"/>
      <c r="N58" s="45"/>
      <c r="O58" s="38"/>
      <c r="P58" s="38"/>
      <c r="Q58" s="38"/>
      <c r="R58" s="48"/>
      <c r="S58" s="48"/>
      <c r="T58" s="48"/>
      <c r="U58" s="52"/>
      <c r="V58" s="50"/>
      <c r="W58" s="51"/>
      <c r="X58" s="38"/>
    </row>
    <row r="59" spans="1:24">
      <c r="A59" s="38">
        <v>31</v>
      </c>
      <c r="B59" s="38"/>
      <c r="C59" s="38"/>
      <c r="D59" s="38" t="s">
        <v>293</v>
      </c>
      <c r="E59" s="40" t="s">
        <v>295</v>
      </c>
      <c r="F59" s="41" t="s">
        <v>296</v>
      </c>
      <c r="G59" s="42">
        <v>645</v>
      </c>
      <c r="H59" s="43"/>
      <c r="I59" s="44"/>
      <c r="J59" s="38">
        <f>645</f>
        <v>645</v>
      </c>
      <c r="K59" s="45">
        <v>4.8611111111111112E-3</v>
      </c>
      <c r="L59" s="46" t="s">
        <v>113</v>
      </c>
      <c r="M59" s="45"/>
      <c r="N59" s="45"/>
      <c r="O59" s="38"/>
      <c r="P59" s="38"/>
      <c r="Q59" s="38"/>
      <c r="R59" s="48"/>
      <c r="S59" s="48"/>
      <c r="T59" s="48"/>
      <c r="U59" s="52"/>
      <c r="V59" s="50"/>
      <c r="W59" s="51"/>
      <c r="X59" s="38"/>
    </row>
    <row r="60" spans="1:24">
      <c r="A60" s="38">
        <v>32</v>
      </c>
      <c r="B60" s="38"/>
      <c r="C60" s="38"/>
      <c r="D60" s="38" t="s">
        <v>302</v>
      </c>
      <c r="E60" s="40" t="s">
        <v>304</v>
      </c>
      <c r="F60" s="41" t="s">
        <v>306</v>
      </c>
      <c r="G60" s="42">
        <v>282</v>
      </c>
      <c r="H60" s="43"/>
      <c r="I60" s="44"/>
      <c r="J60" s="38">
        <f>282</f>
        <v>282</v>
      </c>
      <c r="K60" s="45">
        <v>1.2037037037037038E-3</v>
      </c>
      <c r="L60" s="46" t="s">
        <v>113</v>
      </c>
      <c r="M60" s="45"/>
      <c r="N60" s="45"/>
      <c r="O60" s="38"/>
      <c r="P60" s="38"/>
      <c r="Q60" s="38"/>
      <c r="R60" s="48"/>
      <c r="S60" s="48"/>
      <c r="T60" s="48"/>
      <c r="U60" s="52"/>
      <c r="V60" s="50"/>
      <c r="W60" s="51"/>
      <c r="X60" s="38"/>
    </row>
    <row r="61" spans="1:24">
      <c r="A61" s="38">
        <v>33</v>
      </c>
      <c r="B61" s="38"/>
      <c r="C61" s="38"/>
      <c r="D61" s="38" t="s">
        <v>308</v>
      </c>
      <c r="E61" s="40" t="s">
        <v>309</v>
      </c>
      <c r="F61" s="41" t="s">
        <v>310</v>
      </c>
      <c r="G61" s="42">
        <v>732</v>
      </c>
      <c r="H61" s="43"/>
      <c r="I61" s="44"/>
      <c r="J61" s="38">
        <f>732</f>
        <v>732</v>
      </c>
      <c r="K61" s="45">
        <v>7.3379629629629628E-3</v>
      </c>
      <c r="L61" s="46" t="s">
        <v>113</v>
      </c>
      <c r="M61" s="45"/>
      <c r="N61" s="45"/>
      <c r="O61" s="38"/>
      <c r="P61" s="38"/>
      <c r="Q61" s="38"/>
      <c r="R61" s="48"/>
      <c r="S61" s="48"/>
      <c r="T61" s="48"/>
      <c r="U61" s="52"/>
      <c r="V61" s="50"/>
      <c r="W61" s="51"/>
      <c r="X61" s="38"/>
    </row>
    <row r="62" spans="1:24">
      <c r="A62" s="38">
        <v>34</v>
      </c>
      <c r="B62" s="38"/>
      <c r="C62" s="38"/>
      <c r="D62" s="38" t="s">
        <v>312</v>
      </c>
      <c r="E62" s="40" t="s">
        <v>313</v>
      </c>
      <c r="F62" s="41" t="s">
        <v>314</v>
      </c>
      <c r="G62" s="42">
        <v>459</v>
      </c>
      <c r="H62" s="43"/>
      <c r="I62" s="44"/>
      <c r="J62" s="38">
        <f>459</f>
        <v>459</v>
      </c>
      <c r="K62" s="45">
        <v>7.6388888888888886E-3</v>
      </c>
      <c r="L62" s="46" t="s">
        <v>113</v>
      </c>
      <c r="M62" s="45"/>
      <c r="N62" s="45"/>
      <c r="O62" s="38"/>
      <c r="P62" s="38"/>
      <c r="Q62" s="38"/>
      <c r="R62" s="48"/>
      <c r="S62" s="48"/>
      <c r="T62" s="48"/>
      <c r="U62" s="52"/>
      <c r="V62" s="50"/>
      <c r="W62" s="51"/>
      <c r="X62" s="38"/>
    </row>
    <row r="63" spans="1:24">
      <c r="A63" s="38">
        <v>35</v>
      </c>
      <c r="B63" s="38"/>
      <c r="C63" s="38"/>
      <c r="D63" s="38" t="s">
        <v>316</v>
      </c>
      <c r="E63" s="40" t="s">
        <v>317</v>
      </c>
      <c r="F63" s="41" t="s">
        <v>318</v>
      </c>
      <c r="G63" s="42">
        <v>419</v>
      </c>
      <c r="H63" s="43"/>
      <c r="I63" s="44"/>
      <c r="J63" s="38">
        <f>419</f>
        <v>419</v>
      </c>
      <c r="K63" s="45">
        <v>5.9490740740740745E-3</v>
      </c>
      <c r="L63" s="46" t="s">
        <v>113</v>
      </c>
      <c r="M63" s="45"/>
      <c r="N63" s="45"/>
      <c r="O63" s="38"/>
      <c r="P63" s="38"/>
      <c r="Q63" s="38"/>
      <c r="R63" s="48"/>
      <c r="S63" s="48"/>
      <c r="T63" s="48"/>
      <c r="U63" s="52"/>
      <c r="V63" s="50"/>
      <c r="W63" s="51"/>
      <c r="X63" s="38"/>
    </row>
    <row r="64" spans="1:24">
      <c r="A64" s="38">
        <v>36</v>
      </c>
      <c r="B64" s="38"/>
      <c r="C64" s="38"/>
      <c r="D64" s="38" t="s">
        <v>319</v>
      </c>
      <c r="E64" s="40" t="s">
        <v>320</v>
      </c>
      <c r="F64" s="41" t="s">
        <v>323</v>
      </c>
      <c r="G64" s="42">
        <v>755</v>
      </c>
      <c r="H64" s="43"/>
      <c r="I64" s="44"/>
      <c r="J64" s="38">
        <f>755</f>
        <v>755</v>
      </c>
      <c r="K64" s="45">
        <v>8.3449074074074085E-3</v>
      </c>
      <c r="L64" s="46" t="s">
        <v>113</v>
      </c>
      <c r="M64" s="45"/>
      <c r="N64" s="45"/>
      <c r="O64" s="38"/>
      <c r="P64" s="38"/>
      <c r="Q64" s="38"/>
      <c r="R64" s="48"/>
      <c r="S64" s="48"/>
      <c r="T64" s="48"/>
      <c r="U64" s="52"/>
      <c r="V64" s="50"/>
      <c r="W64" s="51"/>
      <c r="X64" s="38"/>
    </row>
    <row r="65" spans="1:24">
      <c r="A65" s="38">
        <v>37</v>
      </c>
      <c r="B65" s="38"/>
      <c r="C65" s="38"/>
      <c r="D65" s="38" t="s">
        <v>325</v>
      </c>
      <c r="E65" s="40" t="s">
        <v>326</v>
      </c>
      <c r="F65" s="41" t="s">
        <v>327</v>
      </c>
      <c r="G65" s="42">
        <v>773</v>
      </c>
      <c r="H65" s="43"/>
      <c r="I65" s="44"/>
      <c r="J65" s="38">
        <f>773</f>
        <v>773</v>
      </c>
      <c r="K65" s="45">
        <v>9.5486111111111101E-3</v>
      </c>
      <c r="L65" s="46" t="s">
        <v>113</v>
      </c>
      <c r="M65" s="45"/>
      <c r="N65" s="45"/>
      <c r="O65" s="38"/>
      <c r="P65" s="38"/>
      <c r="Q65" s="38"/>
      <c r="R65" s="48"/>
      <c r="S65" s="48"/>
      <c r="T65" s="48"/>
      <c r="U65" s="52"/>
      <c r="V65" s="50"/>
      <c r="W65" s="51"/>
      <c r="X65" s="38"/>
    </row>
    <row r="66" spans="1:24">
      <c r="A66" s="38">
        <v>38</v>
      </c>
      <c r="B66" s="38"/>
      <c r="C66" s="38"/>
      <c r="D66" s="38" t="s">
        <v>331</v>
      </c>
      <c r="E66" s="40" t="s">
        <v>332</v>
      </c>
      <c r="F66" s="41" t="s">
        <v>333</v>
      </c>
      <c r="G66" s="42">
        <v>427</v>
      </c>
      <c r="H66" s="43"/>
      <c r="I66" s="44"/>
      <c r="J66" s="38">
        <f>427</f>
        <v>427</v>
      </c>
      <c r="K66" s="45">
        <v>3.3564814814814811E-3</v>
      </c>
      <c r="L66" s="46" t="s">
        <v>113</v>
      </c>
      <c r="M66" s="45"/>
      <c r="N66" s="45"/>
      <c r="O66" s="38"/>
      <c r="P66" s="38"/>
      <c r="Q66" s="38"/>
      <c r="R66" s="48"/>
      <c r="S66" s="48"/>
      <c r="T66" s="48"/>
      <c r="U66" s="52"/>
      <c r="V66" s="50"/>
      <c r="W66" s="51"/>
      <c r="X66" s="38"/>
    </row>
    <row r="67" spans="1:24">
      <c r="A67" s="38">
        <v>39</v>
      </c>
      <c r="B67" s="38"/>
      <c r="C67" s="38"/>
      <c r="D67" s="38" t="s">
        <v>336</v>
      </c>
      <c r="E67" s="40" t="s">
        <v>337</v>
      </c>
      <c r="F67" s="41" t="s">
        <v>338</v>
      </c>
      <c r="G67" s="42" t="s">
        <v>339</v>
      </c>
      <c r="H67" s="43"/>
      <c r="I67" s="44"/>
      <c r="J67" s="38">
        <f>5.9*1000</f>
        <v>5900</v>
      </c>
      <c r="K67" s="45">
        <v>6.5740740740740733E-3</v>
      </c>
      <c r="L67" s="46" t="s">
        <v>113</v>
      </c>
      <c r="M67" s="45"/>
      <c r="N67" s="45"/>
      <c r="O67" s="38"/>
      <c r="P67" s="38"/>
      <c r="Q67" s="38"/>
      <c r="R67" s="48"/>
      <c r="S67" s="48"/>
      <c r="T67" s="48"/>
      <c r="U67" s="52"/>
      <c r="V67" s="50"/>
      <c r="W67" s="51"/>
      <c r="X67" s="38"/>
    </row>
    <row r="68" spans="1:24">
      <c r="A68" s="38">
        <v>40</v>
      </c>
      <c r="B68" s="38"/>
      <c r="C68" s="38"/>
      <c r="D68" s="38" t="s">
        <v>342</v>
      </c>
      <c r="E68" s="40" t="s">
        <v>343</v>
      </c>
      <c r="F68" s="41" t="s">
        <v>344</v>
      </c>
      <c r="G68" s="42" t="s">
        <v>350</v>
      </c>
      <c r="H68" s="43"/>
      <c r="I68" s="44"/>
      <c r="J68" s="38">
        <f>3*1000</f>
        <v>3000</v>
      </c>
      <c r="K68" s="45">
        <v>3.1944444444444442E-3</v>
      </c>
      <c r="L68" s="46" t="s">
        <v>113</v>
      </c>
      <c r="M68" s="45"/>
      <c r="N68" s="45"/>
      <c r="O68" s="38"/>
      <c r="P68" s="38"/>
      <c r="Q68" s="38"/>
      <c r="R68" s="48"/>
      <c r="S68" s="48"/>
      <c r="T68" s="48"/>
      <c r="U68" s="52"/>
      <c r="V68" s="50"/>
      <c r="W68" s="51"/>
      <c r="X68" s="38"/>
    </row>
    <row r="69" spans="1:24">
      <c r="A69" s="38">
        <v>41</v>
      </c>
      <c r="B69" s="38"/>
      <c r="C69" s="38"/>
      <c r="D69" s="38" t="s">
        <v>354</v>
      </c>
      <c r="E69" s="40" t="s">
        <v>355</v>
      </c>
      <c r="F69" s="41" t="s">
        <v>356</v>
      </c>
      <c r="G69" s="42" t="s">
        <v>357</v>
      </c>
      <c r="H69" s="43"/>
      <c r="I69" s="44"/>
      <c r="J69" s="38">
        <f>3.3*1000</f>
        <v>3300</v>
      </c>
      <c r="K69" s="45">
        <v>8.8657407407407417E-3</v>
      </c>
      <c r="L69" s="46" t="s">
        <v>113</v>
      </c>
      <c r="M69" s="45"/>
      <c r="N69" s="45"/>
      <c r="O69" s="38"/>
      <c r="P69" s="38"/>
      <c r="Q69" s="38"/>
      <c r="R69" s="48"/>
      <c r="S69" s="48"/>
      <c r="T69" s="48"/>
      <c r="U69" s="52"/>
      <c r="V69" s="50"/>
      <c r="W69" s="51"/>
      <c r="X69" s="38"/>
    </row>
    <row r="70" spans="1:24">
      <c r="A70" s="38">
        <v>42</v>
      </c>
      <c r="B70" s="38"/>
      <c r="C70" s="38"/>
      <c r="D70" s="38" t="s">
        <v>360</v>
      </c>
      <c r="E70" s="40" t="s">
        <v>361</v>
      </c>
      <c r="F70" s="41" t="s">
        <v>363</v>
      </c>
      <c r="G70" s="42" t="s">
        <v>144</v>
      </c>
      <c r="H70" s="43"/>
      <c r="I70" s="44"/>
      <c r="J70" s="38">
        <f>1.7*1000</f>
        <v>1700</v>
      </c>
      <c r="K70" s="45">
        <v>5.1967592592592595E-3</v>
      </c>
      <c r="L70" s="46" t="s">
        <v>113</v>
      </c>
      <c r="M70" s="45"/>
      <c r="N70" s="45"/>
      <c r="O70" s="38"/>
      <c r="P70" s="38"/>
      <c r="Q70" s="38"/>
      <c r="R70" s="48"/>
      <c r="S70" s="48"/>
      <c r="T70" s="48"/>
      <c r="U70" s="52"/>
      <c r="V70" s="50"/>
      <c r="W70" s="51"/>
      <c r="X70" s="38"/>
    </row>
    <row r="71" spans="1:24">
      <c r="A71" s="38">
        <v>43</v>
      </c>
      <c r="B71" s="38"/>
      <c r="C71" s="38"/>
      <c r="D71" s="38" t="s">
        <v>364</v>
      </c>
      <c r="E71" s="40" t="s">
        <v>365</v>
      </c>
      <c r="F71" s="41" t="s">
        <v>367</v>
      </c>
      <c r="G71" s="42" t="s">
        <v>214</v>
      </c>
      <c r="H71" s="43"/>
      <c r="I71" s="44"/>
      <c r="J71" s="38">
        <f>1*1000</f>
        <v>1000</v>
      </c>
      <c r="K71" s="45">
        <v>3.4490740740740745E-3</v>
      </c>
      <c r="L71" s="46" t="s">
        <v>113</v>
      </c>
      <c r="M71" s="45"/>
      <c r="N71" s="45"/>
      <c r="O71" s="38"/>
      <c r="P71" s="38"/>
      <c r="Q71" s="38"/>
      <c r="R71" s="48"/>
      <c r="S71" s="48"/>
      <c r="T71" s="48"/>
      <c r="U71" s="52"/>
      <c r="V71" s="50"/>
      <c r="W71" s="51"/>
      <c r="X71" s="38"/>
    </row>
    <row r="72" spans="1:24">
      <c r="A72" s="38">
        <v>44</v>
      </c>
      <c r="B72" s="38"/>
      <c r="C72" s="38"/>
      <c r="D72" s="38" t="s">
        <v>370</v>
      </c>
      <c r="E72" s="40" t="s">
        <v>371</v>
      </c>
      <c r="F72" s="41" t="s">
        <v>372</v>
      </c>
      <c r="G72" s="42" t="s">
        <v>374</v>
      </c>
      <c r="H72" s="43"/>
      <c r="I72" s="44"/>
      <c r="J72" s="38">
        <f t="shared" ref="J72:J73" si="12">1.3*1000</f>
        <v>1300</v>
      </c>
      <c r="K72" s="45">
        <v>5.3240740740740748E-3</v>
      </c>
      <c r="L72" s="46" t="s">
        <v>113</v>
      </c>
      <c r="M72" s="45"/>
      <c r="N72" s="45"/>
      <c r="O72" s="38"/>
      <c r="P72" s="38"/>
      <c r="Q72" s="38"/>
      <c r="R72" s="48"/>
      <c r="S72" s="48"/>
      <c r="T72" s="48"/>
      <c r="U72" s="52"/>
      <c r="V72" s="50"/>
      <c r="W72" s="51"/>
      <c r="X72" s="38"/>
    </row>
    <row r="73" spans="1:24">
      <c r="A73" s="38">
        <v>45</v>
      </c>
      <c r="B73" s="38"/>
      <c r="C73" s="38"/>
      <c r="D73" s="38" t="s">
        <v>375</v>
      </c>
      <c r="E73" s="40" t="s">
        <v>377</v>
      </c>
      <c r="F73" s="41" t="s">
        <v>379</v>
      </c>
      <c r="G73" s="42" t="s">
        <v>374</v>
      </c>
      <c r="H73" s="43"/>
      <c r="I73" s="44"/>
      <c r="J73" s="38">
        <f t="shared" si="12"/>
        <v>1300</v>
      </c>
      <c r="K73" s="45">
        <v>8.2407407407407412E-3</v>
      </c>
      <c r="L73" s="46" t="s">
        <v>113</v>
      </c>
      <c r="M73" s="45"/>
      <c r="N73" s="45"/>
      <c r="O73" s="38"/>
      <c r="P73" s="38"/>
      <c r="Q73" s="38"/>
      <c r="R73" s="48"/>
      <c r="S73" s="48"/>
      <c r="T73" s="48"/>
      <c r="U73" s="52"/>
      <c r="V73" s="50"/>
      <c r="W73" s="51"/>
      <c r="X73" s="38"/>
    </row>
    <row r="74" spans="1:24">
      <c r="A74" s="38">
        <v>46</v>
      </c>
      <c r="B74" s="38"/>
      <c r="C74" s="38"/>
      <c r="D74" s="38" t="s">
        <v>381</v>
      </c>
      <c r="E74" s="40" t="s">
        <v>382</v>
      </c>
      <c r="F74" s="41" t="s">
        <v>384</v>
      </c>
      <c r="G74" s="42">
        <v>940</v>
      </c>
      <c r="H74" s="43"/>
      <c r="I74" s="44"/>
      <c r="J74" s="38">
        <f>940</f>
        <v>940</v>
      </c>
      <c r="K74" s="45">
        <v>2.5925925925925925E-3</v>
      </c>
      <c r="L74" s="46" t="s">
        <v>113</v>
      </c>
      <c r="M74" s="45"/>
      <c r="N74" s="45"/>
      <c r="O74" s="38"/>
      <c r="P74" s="38"/>
      <c r="Q74" s="38"/>
      <c r="R74" s="48"/>
      <c r="S74" s="48"/>
      <c r="T74" s="48"/>
      <c r="U74" s="52"/>
      <c r="V74" s="50"/>
      <c r="W74" s="51"/>
      <c r="X74" s="38"/>
    </row>
    <row r="75" spans="1:24">
      <c r="A75" s="38">
        <v>47</v>
      </c>
      <c r="B75" s="38"/>
      <c r="C75" s="38"/>
      <c r="D75" s="38" t="s">
        <v>386</v>
      </c>
      <c r="E75" s="40" t="s">
        <v>387</v>
      </c>
      <c r="F75" s="41" t="s">
        <v>389</v>
      </c>
      <c r="G75" s="42">
        <v>864</v>
      </c>
      <c r="H75" s="43"/>
      <c r="I75" s="44"/>
      <c r="J75" s="38">
        <f>864</f>
        <v>864</v>
      </c>
      <c r="K75" s="45">
        <v>4.1898148148148146E-3</v>
      </c>
      <c r="L75" s="46" t="s">
        <v>113</v>
      </c>
      <c r="M75" s="45"/>
      <c r="N75" s="45"/>
      <c r="O75" s="38"/>
      <c r="P75" s="38"/>
      <c r="Q75" s="38"/>
      <c r="R75" s="48"/>
      <c r="S75" s="48"/>
      <c r="T75" s="48"/>
      <c r="U75" s="52"/>
      <c r="V75" s="50"/>
      <c r="W75" s="51"/>
      <c r="X75" s="38"/>
    </row>
    <row r="76" spans="1:24">
      <c r="A76" s="38">
        <v>48</v>
      </c>
      <c r="B76" s="38"/>
      <c r="C76" s="38"/>
      <c r="D76" s="38" t="s">
        <v>392</v>
      </c>
      <c r="E76" s="40" t="s">
        <v>394</v>
      </c>
      <c r="F76" s="41" t="s">
        <v>395</v>
      </c>
      <c r="G76" s="42" t="s">
        <v>396</v>
      </c>
      <c r="H76" s="43"/>
      <c r="I76" s="44"/>
      <c r="J76" s="38">
        <f>1.1*1000</f>
        <v>1100</v>
      </c>
      <c r="K76" s="45">
        <v>3.2986111111111111E-3</v>
      </c>
      <c r="L76" s="46" t="s">
        <v>113</v>
      </c>
      <c r="M76" s="45"/>
      <c r="N76" s="45"/>
      <c r="O76" s="38"/>
      <c r="P76" s="38"/>
      <c r="Q76" s="38"/>
      <c r="R76" s="48"/>
      <c r="S76" s="48"/>
      <c r="T76" s="48"/>
      <c r="U76" s="52"/>
      <c r="V76" s="50"/>
      <c r="W76" s="51"/>
      <c r="X76" s="38"/>
    </row>
    <row r="77" spans="1:24">
      <c r="A77" s="38">
        <v>49</v>
      </c>
      <c r="B77" s="38"/>
      <c r="C77" s="38"/>
      <c r="D77" s="38" t="s">
        <v>400</v>
      </c>
      <c r="E77" s="40" t="s">
        <v>401</v>
      </c>
      <c r="F77" s="41" t="s">
        <v>402</v>
      </c>
      <c r="G77" s="42" t="s">
        <v>187</v>
      </c>
      <c r="H77" s="43"/>
      <c r="I77" s="44"/>
      <c r="J77" s="38">
        <f>1.5*1000</f>
        <v>1500</v>
      </c>
      <c r="K77" s="45">
        <v>8.9467592592592585E-3</v>
      </c>
      <c r="L77" s="46" t="s">
        <v>113</v>
      </c>
      <c r="M77" s="45"/>
      <c r="N77" s="45"/>
      <c r="O77" s="38"/>
      <c r="P77" s="38"/>
      <c r="Q77" s="38"/>
      <c r="R77" s="48"/>
      <c r="S77" s="48"/>
      <c r="T77" s="48"/>
      <c r="U77" s="52"/>
      <c r="V77" s="50"/>
      <c r="W77" s="51"/>
      <c r="X77" s="38"/>
    </row>
    <row r="78" spans="1:24">
      <c r="A78" s="38">
        <v>50</v>
      </c>
      <c r="B78" s="38"/>
      <c r="C78" s="38"/>
      <c r="D78" s="38" t="s">
        <v>407</v>
      </c>
      <c r="E78" s="40" t="s">
        <v>408</v>
      </c>
      <c r="F78" s="41" t="s">
        <v>409</v>
      </c>
      <c r="G78" s="42" t="s">
        <v>144</v>
      </c>
      <c r="H78" s="43"/>
      <c r="I78" s="44"/>
      <c r="J78" s="38">
        <f>1.7*1000</f>
        <v>1700</v>
      </c>
      <c r="K78" s="45">
        <v>1.0266203703703703E-2</v>
      </c>
      <c r="L78" s="46" t="s">
        <v>113</v>
      </c>
      <c r="M78" s="45"/>
      <c r="N78" s="45"/>
      <c r="O78" s="38"/>
      <c r="P78" s="38"/>
      <c r="Q78" s="38"/>
      <c r="R78" s="48"/>
      <c r="S78" s="48"/>
      <c r="T78" s="48"/>
      <c r="U78" s="52"/>
      <c r="V78" s="50"/>
      <c r="W78" s="51"/>
      <c r="X78" s="38"/>
    </row>
    <row r="79" spans="1:24">
      <c r="A79" s="38">
        <v>51</v>
      </c>
      <c r="B79" s="38"/>
      <c r="C79" s="38"/>
      <c r="D79" s="38" t="s">
        <v>411</v>
      </c>
      <c r="E79" s="40" t="s">
        <v>412</v>
      </c>
      <c r="F79" s="41" t="s">
        <v>414</v>
      </c>
      <c r="G79" s="42">
        <v>679</v>
      </c>
      <c r="H79" s="43"/>
      <c r="I79" s="44"/>
      <c r="J79" s="38">
        <f>679</f>
        <v>679</v>
      </c>
      <c r="K79" s="45">
        <v>6.0879629629629643E-3</v>
      </c>
      <c r="L79" s="46" t="s">
        <v>113</v>
      </c>
      <c r="M79" s="45"/>
      <c r="N79" s="45"/>
      <c r="O79" s="38"/>
      <c r="P79" s="38"/>
      <c r="Q79" s="38"/>
      <c r="R79" s="48"/>
      <c r="S79" s="48"/>
      <c r="T79" s="48"/>
      <c r="U79" s="52"/>
      <c r="V79" s="50"/>
      <c r="W79" s="51"/>
      <c r="X79" s="38"/>
    </row>
    <row r="80" spans="1:24">
      <c r="A80" s="38">
        <v>52</v>
      </c>
      <c r="B80" s="38"/>
      <c r="C80" s="38"/>
      <c r="D80" s="38" t="s">
        <v>415</v>
      </c>
      <c r="E80" s="40" t="s">
        <v>416</v>
      </c>
      <c r="F80" s="41" t="s">
        <v>417</v>
      </c>
      <c r="G80" s="42">
        <v>928</v>
      </c>
      <c r="H80" s="43"/>
      <c r="I80" s="44"/>
      <c r="J80" s="38">
        <f>928</f>
        <v>928</v>
      </c>
      <c r="K80" s="45">
        <v>0.01</v>
      </c>
      <c r="L80" s="46" t="s">
        <v>113</v>
      </c>
      <c r="M80" s="45"/>
      <c r="N80" s="45"/>
      <c r="O80" s="38"/>
      <c r="P80" s="38"/>
      <c r="Q80" s="38"/>
      <c r="R80" s="48"/>
      <c r="S80" s="48"/>
      <c r="T80" s="48"/>
      <c r="U80" s="52"/>
      <c r="V80" s="50"/>
      <c r="W80" s="51"/>
      <c r="X80" s="38"/>
    </row>
    <row r="81" spans="1:24">
      <c r="A81" s="38">
        <v>53</v>
      </c>
      <c r="B81" s="38"/>
      <c r="C81" s="38"/>
      <c r="D81" s="38" t="s">
        <v>418</v>
      </c>
      <c r="E81" s="40" t="s">
        <v>419</v>
      </c>
      <c r="F81" s="41" t="s">
        <v>420</v>
      </c>
      <c r="G81" s="42">
        <v>961</v>
      </c>
      <c r="H81" s="43"/>
      <c r="I81" s="44"/>
      <c r="J81" s="38">
        <f>961</f>
        <v>961</v>
      </c>
      <c r="K81" s="45">
        <v>8.9814814814814809E-3</v>
      </c>
      <c r="L81" s="46" t="s">
        <v>113</v>
      </c>
      <c r="M81" s="45"/>
      <c r="N81" s="45"/>
      <c r="O81" s="38"/>
      <c r="P81" s="38"/>
      <c r="Q81" s="38"/>
      <c r="R81" s="48"/>
      <c r="S81" s="48"/>
      <c r="T81" s="48"/>
      <c r="U81" s="52"/>
      <c r="V81" s="50"/>
      <c r="W81" s="51"/>
      <c r="X81" s="38"/>
    </row>
    <row r="82" spans="1:24">
      <c r="A82" s="38">
        <v>54</v>
      </c>
      <c r="B82" s="38"/>
      <c r="C82" s="38"/>
      <c r="D82" s="38" t="s">
        <v>421</v>
      </c>
      <c r="E82" s="40" t="s">
        <v>422</v>
      </c>
      <c r="F82" s="41" t="s">
        <v>423</v>
      </c>
      <c r="G82" s="42" t="s">
        <v>374</v>
      </c>
      <c r="H82" s="43"/>
      <c r="I82" s="44"/>
      <c r="J82" s="38">
        <f>1.3*1000</f>
        <v>1300</v>
      </c>
      <c r="K82" s="45">
        <v>9.3171296296296283E-3</v>
      </c>
      <c r="L82" s="46" t="s">
        <v>113</v>
      </c>
      <c r="M82" s="45"/>
      <c r="N82" s="45"/>
      <c r="O82" s="38"/>
      <c r="P82" s="38"/>
      <c r="Q82" s="38"/>
      <c r="R82" s="48"/>
      <c r="S82" s="48"/>
      <c r="T82" s="48"/>
      <c r="U82" s="52"/>
      <c r="V82" s="50"/>
      <c r="W82" s="51"/>
      <c r="X82" s="38"/>
    </row>
    <row r="83" spans="1:24">
      <c r="A83" s="38">
        <v>55</v>
      </c>
      <c r="B83" s="38"/>
      <c r="C83" s="38"/>
      <c r="D83" s="38" t="s">
        <v>424</v>
      </c>
      <c r="E83" s="40" t="s">
        <v>425</v>
      </c>
      <c r="F83" s="41" t="s">
        <v>426</v>
      </c>
      <c r="G83" s="42">
        <v>959</v>
      </c>
      <c r="H83" s="43"/>
      <c r="I83" s="44"/>
      <c r="J83" s="38">
        <f>959</f>
        <v>959</v>
      </c>
      <c r="K83" s="45">
        <v>9.0740740740740729E-3</v>
      </c>
      <c r="L83" s="46" t="s">
        <v>113</v>
      </c>
      <c r="M83" s="45"/>
      <c r="N83" s="45"/>
      <c r="O83" s="38"/>
      <c r="P83" s="38"/>
      <c r="Q83" s="38"/>
      <c r="R83" s="48"/>
      <c r="S83" s="48"/>
      <c r="T83" s="48"/>
      <c r="U83" s="52"/>
      <c r="V83" s="50"/>
      <c r="W83" s="51"/>
      <c r="X83" s="38"/>
    </row>
    <row r="84" spans="1:24">
      <c r="A84" s="38">
        <v>56</v>
      </c>
      <c r="B84" s="38"/>
      <c r="C84" s="38"/>
      <c r="D84" s="38" t="s">
        <v>427</v>
      </c>
      <c r="E84" s="40" t="s">
        <v>428</v>
      </c>
      <c r="F84" s="41" t="s">
        <v>429</v>
      </c>
      <c r="G84" s="42" t="s">
        <v>396</v>
      </c>
      <c r="H84" s="43"/>
      <c r="I84" s="44"/>
      <c r="J84" s="38">
        <f>1.1*1000</f>
        <v>1100</v>
      </c>
      <c r="K84" s="45">
        <v>5.185185185185185E-3</v>
      </c>
      <c r="L84" s="46" t="s">
        <v>113</v>
      </c>
      <c r="M84" s="45"/>
      <c r="N84" s="45"/>
      <c r="O84" s="38"/>
      <c r="P84" s="38"/>
      <c r="Q84" s="38"/>
      <c r="R84" s="48"/>
      <c r="S84" s="48"/>
      <c r="T84" s="48"/>
      <c r="U84" s="52"/>
      <c r="V84" s="50"/>
      <c r="W84" s="51"/>
      <c r="X84" s="38"/>
    </row>
    <row r="85" spans="1:24">
      <c r="A85" s="38">
        <v>57</v>
      </c>
      <c r="B85" s="38"/>
      <c r="C85" s="38"/>
      <c r="D85" s="38" t="s">
        <v>430</v>
      </c>
      <c r="E85" s="40" t="s">
        <v>431</v>
      </c>
      <c r="F85" s="41" t="s">
        <v>432</v>
      </c>
      <c r="G85" s="42" t="s">
        <v>214</v>
      </c>
      <c r="H85" s="43"/>
      <c r="I85" s="44"/>
      <c r="J85" s="38">
        <f>1*1000</f>
        <v>1000</v>
      </c>
      <c r="K85" s="45">
        <v>8.5995370370370357E-3</v>
      </c>
      <c r="L85" s="46" t="s">
        <v>113</v>
      </c>
      <c r="M85" s="45"/>
      <c r="N85" s="45"/>
      <c r="O85" s="38"/>
      <c r="P85" s="38"/>
      <c r="Q85" s="38"/>
      <c r="R85" s="48"/>
      <c r="S85" s="48"/>
      <c r="T85" s="48"/>
      <c r="U85" s="52"/>
      <c r="V85" s="50"/>
      <c r="W85" s="51"/>
      <c r="X85" s="38"/>
    </row>
    <row r="86" spans="1:24">
      <c r="A86" s="38">
        <v>58</v>
      </c>
      <c r="B86" s="38"/>
      <c r="C86" s="38"/>
      <c r="D86" s="38" t="s">
        <v>433</v>
      </c>
      <c r="E86" s="40" t="s">
        <v>434</v>
      </c>
      <c r="F86" s="41" t="s">
        <v>417</v>
      </c>
      <c r="G86" s="42" t="s">
        <v>187</v>
      </c>
      <c r="H86" s="43"/>
      <c r="I86" s="44"/>
      <c r="J86" s="38">
        <f>1.5*1000</f>
        <v>1500</v>
      </c>
      <c r="K86" s="45">
        <v>0.01</v>
      </c>
      <c r="L86" s="46" t="s">
        <v>113</v>
      </c>
      <c r="M86" s="45"/>
      <c r="N86" s="45"/>
      <c r="O86" s="38"/>
      <c r="P86" s="38"/>
      <c r="Q86" s="38"/>
      <c r="R86" s="48"/>
      <c r="S86" s="48"/>
      <c r="T86" s="48"/>
      <c r="U86" s="52"/>
      <c r="V86" s="50"/>
      <c r="W86" s="51"/>
      <c r="X86" s="38"/>
    </row>
    <row r="87" spans="1:24">
      <c r="A87" s="38">
        <v>59</v>
      </c>
      <c r="B87" s="38" t="s">
        <v>92</v>
      </c>
      <c r="C87" s="38" t="s">
        <v>124</v>
      </c>
      <c r="D87" s="38" t="s">
        <v>205</v>
      </c>
      <c r="E87" s="40" t="s">
        <v>206</v>
      </c>
      <c r="F87" s="58" t="s">
        <v>208</v>
      </c>
      <c r="G87" s="42" t="s">
        <v>210</v>
      </c>
      <c r="H87" s="43"/>
      <c r="I87" s="44"/>
      <c r="J87" s="38">
        <f>3.6*1000</f>
        <v>3600</v>
      </c>
      <c r="K87" s="45">
        <v>3.6516203703703703E-2</v>
      </c>
      <c r="L87" s="46" t="s">
        <v>113</v>
      </c>
      <c r="M87" s="38"/>
      <c r="N87" s="38"/>
      <c r="O87" s="38"/>
      <c r="P87" s="47">
        <v>42989</v>
      </c>
      <c r="Q87" s="47"/>
      <c r="R87" s="59" t="s">
        <v>42</v>
      </c>
      <c r="S87" s="48" t="s">
        <v>42</v>
      </c>
      <c r="T87" s="48" t="s">
        <v>42</v>
      </c>
      <c r="U87" s="52"/>
      <c r="V87" s="50"/>
      <c r="W87" s="51" t="s">
        <v>71</v>
      </c>
      <c r="X87" s="38"/>
    </row>
    <row r="88" spans="1:24">
      <c r="A88" s="60">
        <v>59.01</v>
      </c>
      <c r="B88" s="38" t="s">
        <v>92</v>
      </c>
      <c r="C88" s="38" t="s">
        <v>124</v>
      </c>
      <c r="D88" s="38"/>
      <c r="E88" s="38"/>
      <c r="F88" s="58"/>
      <c r="G88" s="42"/>
      <c r="H88" s="38" t="s">
        <v>215</v>
      </c>
      <c r="I88" s="44" t="s">
        <v>216</v>
      </c>
      <c r="J88" s="38"/>
      <c r="K88" s="45"/>
      <c r="L88" s="46"/>
      <c r="M88" s="45">
        <v>0</v>
      </c>
      <c r="N88" s="45">
        <v>5.208333333333333E-3</v>
      </c>
      <c r="O88" s="45">
        <f t="shared" ref="O88:O101" si="13">N88-M88</f>
        <v>5.208333333333333E-3</v>
      </c>
      <c r="P88" s="47">
        <v>42989</v>
      </c>
      <c r="Q88" s="54" t="str">
        <f t="shared" ref="Q88:Q101" si="14">HYPERLINK(REPLACE($D$87,25,8,"embed/")&amp;"?start="&amp;MINUTE(M88)*60+SECOND(M88)&amp;"&amp;end="&amp;MINUTE(N88)*60+SECOND(N88)&amp;"&amp;autoplay=1")</f>
        <v>https://www.youtube.com/embed/ByaheAphduQ?start=0&amp;end=450&amp;autoplay=1</v>
      </c>
      <c r="R88" s="59" t="s">
        <v>42</v>
      </c>
      <c r="S88" s="48" t="s">
        <v>42</v>
      </c>
      <c r="T88" s="48" t="s">
        <v>42</v>
      </c>
      <c r="U88" s="52"/>
      <c r="V88" s="50"/>
      <c r="W88" s="51" t="s">
        <v>71</v>
      </c>
      <c r="X88" s="38"/>
    </row>
    <row r="89" spans="1:24">
      <c r="A89" s="60">
        <v>59.02</v>
      </c>
      <c r="B89" s="38" t="s">
        <v>92</v>
      </c>
      <c r="C89" s="38" t="s">
        <v>124</v>
      </c>
      <c r="D89" s="38"/>
      <c r="E89" s="38"/>
      <c r="F89" s="58"/>
      <c r="G89" s="42"/>
      <c r="H89" s="38" t="s">
        <v>223</v>
      </c>
      <c r="I89" s="44" t="s">
        <v>224</v>
      </c>
      <c r="J89" s="38"/>
      <c r="K89" s="45"/>
      <c r="L89" s="46"/>
      <c r="M89" s="45">
        <v>6.1921296296296299E-3</v>
      </c>
      <c r="N89" s="45">
        <v>1.1064814814814814E-2</v>
      </c>
      <c r="O89" s="45">
        <f t="shared" si="13"/>
        <v>4.8726851851851839E-3</v>
      </c>
      <c r="P89" s="47">
        <v>42989</v>
      </c>
      <c r="Q89" s="54" t="str">
        <f t="shared" si="14"/>
        <v>https://www.youtube.com/embed/ByaheAphduQ?start=535&amp;end=956&amp;autoplay=1</v>
      </c>
      <c r="R89" s="59" t="s">
        <v>42</v>
      </c>
      <c r="S89" s="48" t="s">
        <v>42</v>
      </c>
      <c r="T89" s="48" t="s">
        <v>42</v>
      </c>
      <c r="U89" s="52"/>
      <c r="V89" s="50"/>
      <c r="W89" s="51" t="s">
        <v>71</v>
      </c>
      <c r="X89" s="38"/>
    </row>
    <row r="90" spans="1:24">
      <c r="A90" s="60">
        <v>59.03</v>
      </c>
      <c r="B90" s="38" t="s">
        <v>92</v>
      </c>
      <c r="C90" s="38" t="s">
        <v>124</v>
      </c>
      <c r="D90" s="38"/>
      <c r="E90" s="38"/>
      <c r="F90" s="58"/>
      <c r="G90" s="42"/>
      <c r="H90" s="38" t="s">
        <v>227</v>
      </c>
      <c r="I90" s="57" t="s">
        <v>228</v>
      </c>
      <c r="J90" s="38"/>
      <c r="K90" s="45"/>
      <c r="L90" s="46"/>
      <c r="M90" s="45">
        <v>1.2615740740740742E-2</v>
      </c>
      <c r="N90" s="45">
        <v>1.3877314814814815E-2</v>
      </c>
      <c r="O90" s="45">
        <f t="shared" si="13"/>
        <v>1.2615740740740729E-3</v>
      </c>
      <c r="P90" s="47">
        <v>42989</v>
      </c>
      <c r="Q90" s="54" t="str">
        <f t="shared" si="14"/>
        <v>https://www.youtube.com/embed/ByaheAphduQ?start=1090&amp;end=1199&amp;autoplay=1</v>
      </c>
      <c r="R90" s="59" t="s">
        <v>42</v>
      </c>
      <c r="S90" s="48" t="s">
        <v>42</v>
      </c>
      <c r="T90" s="48" t="s">
        <v>42</v>
      </c>
      <c r="U90" s="52"/>
      <c r="V90" s="50"/>
      <c r="W90" s="51" t="s">
        <v>71</v>
      </c>
      <c r="X90" s="38"/>
    </row>
    <row r="91" spans="1:24">
      <c r="A91" s="60">
        <v>59.04</v>
      </c>
      <c r="B91" s="38" t="s">
        <v>92</v>
      </c>
      <c r="C91" s="38" t="s">
        <v>124</v>
      </c>
      <c r="D91" s="38"/>
      <c r="E91" s="38"/>
      <c r="F91" s="58"/>
      <c r="G91" s="42"/>
      <c r="H91" s="38" t="s">
        <v>233</v>
      </c>
      <c r="I91" s="44" t="s">
        <v>234</v>
      </c>
      <c r="J91" s="38"/>
      <c r="K91" s="45"/>
      <c r="L91" s="46"/>
      <c r="M91" s="45">
        <v>1.3946759259259258E-2</v>
      </c>
      <c r="N91" s="45">
        <v>1.4814814814814814E-2</v>
      </c>
      <c r="O91" s="45">
        <f t="shared" si="13"/>
        <v>8.6805555555555594E-4</v>
      </c>
      <c r="P91" s="47">
        <v>42989</v>
      </c>
      <c r="Q91" s="54" t="str">
        <f t="shared" si="14"/>
        <v>https://www.youtube.com/embed/ByaheAphduQ?start=1205&amp;end=1280&amp;autoplay=1</v>
      </c>
      <c r="R91" s="59" t="s">
        <v>42</v>
      </c>
      <c r="S91" s="48" t="s">
        <v>42</v>
      </c>
      <c r="T91" s="48" t="s">
        <v>42</v>
      </c>
      <c r="U91" s="52"/>
      <c r="V91" s="50"/>
      <c r="W91" s="51" t="s">
        <v>71</v>
      </c>
      <c r="X91" s="38"/>
    </row>
    <row r="92" spans="1:24">
      <c r="A92" s="60">
        <v>59.05</v>
      </c>
      <c r="B92" s="38" t="s">
        <v>92</v>
      </c>
      <c r="C92" s="38" t="s">
        <v>124</v>
      </c>
      <c r="D92" s="38"/>
      <c r="E92" s="38"/>
      <c r="F92" s="58"/>
      <c r="G92" s="42"/>
      <c r="H92" s="38" t="s">
        <v>240</v>
      </c>
      <c r="I92" s="57" t="s">
        <v>241</v>
      </c>
      <c r="J92" s="38"/>
      <c r="K92" s="45"/>
      <c r="L92" s="46"/>
      <c r="M92" s="45">
        <v>1.4837962962962963E-2</v>
      </c>
      <c r="N92" s="45">
        <v>1.6319444444444445E-2</v>
      </c>
      <c r="O92" s="45">
        <f t="shared" si="13"/>
        <v>1.4814814814814829E-3</v>
      </c>
      <c r="P92" s="47">
        <v>42989</v>
      </c>
      <c r="Q92" s="54" t="str">
        <f t="shared" si="14"/>
        <v>https://www.youtube.com/embed/ByaheAphduQ?start=1282&amp;end=1410&amp;autoplay=1</v>
      </c>
      <c r="R92" s="59" t="s">
        <v>42</v>
      </c>
      <c r="S92" s="48" t="s">
        <v>42</v>
      </c>
      <c r="T92" s="48" t="s">
        <v>42</v>
      </c>
      <c r="U92" s="52"/>
      <c r="V92" s="50"/>
      <c r="W92" s="51" t="s">
        <v>71</v>
      </c>
      <c r="X92" s="38"/>
    </row>
    <row r="93" spans="1:24">
      <c r="A93" s="60">
        <v>59.06</v>
      </c>
      <c r="B93" s="38" t="s">
        <v>92</v>
      </c>
      <c r="C93" s="38" t="s">
        <v>124</v>
      </c>
      <c r="D93" s="38"/>
      <c r="E93" s="38"/>
      <c r="F93" s="58"/>
      <c r="G93" s="42"/>
      <c r="H93" s="38" t="s">
        <v>245</v>
      </c>
      <c r="I93" s="57"/>
      <c r="J93" s="38"/>
      <c r="K93" s="45"/>
      <c r="L93" s="46"/>
      <c r="M93" s="45">
        <v>1.6782407407407409E-2</v>
      </c>
      <c r="N93" s="45">
        <v>1.8749999999999999E-2</v>
      </c>
      <c r="O93" s="45">
        <f t="shared" si="13"/>
        <v>1.9675925925925902E-3</v>
      </c>
      <c r="P93" s="47">
        <v>42989</v>
      </c>
      <c r="Q93" s="54" t="str">
        <f t="shared" si="14"/>
        <v>https://www.youtube.com/embed/ByaheAphduQ?start=1450&amp;end=1620&amp;autoplay=1</v>
      </c>
      <c r="R93" s="59" t="s">
        <v>42</v>
      </c>
      <c r="S93" s="48" t="s">
        <v>42</v>
      </c>
      <c r="T93" s="48" t="s">
        <v>42</v>
      </c>
      <c r="U93" s="52"/>
      <c r="V93" s="50"/>
      <c r="W93" s="51" t="s">
        <v>71</v>
      </c>
      <c r="X93" s="38"/>
    </row>
    <row r="94" spans="1:24">
      <c r="A94" s="60">
        <v>59.07</v>
      </c>
      <c r="B94" s="38" t="s">
        <v>92</v>
      </c>
      <c r="C94" s="38" t="s">
        <v>124</v>
      </c>
      <c r="D94" s="38"/>
      <c r="E94" s="38"/>
      <c r="F94" s="58"/>
      <c r="G94" s="42"/>
      <c r="H94" s="38" t="s">
        <v>251</v>
      </c>
      <c r="I94" s="44"/>
      <c r="J94" s="38"/>
      <c r="K94" s="45"/>
      <c r="L94" s="46"/>
      <c r="M94" s="45">
        <v>1.9490740740740743E-2</v>
      </c>
      <c r="N94" s="45">
        <v>2.071759259259259E-2</v>
      </c>
      <c r="O94" s="45">
        <f t="shared" si="13"/>
        <v>1.226851851851847E-3</v>
      </c>
      <c r="P94" s="47">
        <v>42989</v>
      </c>
      <c r="Q94" s="54" t="str">
        <f t="shared" si="14"/>
        <v>https://www.youtube.com/embed/ByaheAphduQ?start=1684&amp;end=1790&amp;autoplay=1</v>
      </c>
      <c r="R94" s="59" t="s">
        <v>42</v>
      </c>
      <c r="S94" s="48" t="s">
        <v>42</v>
      </c>
      <c r="T94" s="48" t="s">
        <v>42</v>
      </c>
      <c r="U94" s="52"/>
      <c r="V94" s="50"/>
      <c r="W94" s="51" t="s">
        <v>71</v>
      </c>
      <c r="X94" s="38"/>
    </row>
    <row r="95" spans="1:24">
      <c r="A95" s="60">
        <v>59.08</v>
      </c>
      <c r="B95" s="38" t="s">
        <v>92</v>
      </c>
      <c r="C95" s="38" t="s">
        <v>124</v>
      </c>
      <c r="D95" s="38"/>
      <c r="E95" s="38"/>
      <c r="F95" s="58"/>
      <c r="G95" s="42"/>
      <c r="H95" s="38" t="s">
        <v>257</v>
      </c>
      <c r="I95" s="44" t="s">
        <v>258</v>
      </c>
      <c r="J95" s="38"/>
      <c r="K95" s="45"/>
      <c r="L95" s="46"/>
      <c r="M95" s="45">
        <v>2.1122685185185185E-2</v>
      </c>
      <c r="N95" s="45">
        <v>2.1701388888888892E-2</v>
      </c>
      <c r="O95" s="45">
        <f t="shared" si="13"/>
        <v>5.7870370370370627E-4</v>
      </c>
      <c r="P95" s="47">
        <v>42989</v>
      </c>
      <c r="Q95" s="54" t="str">
        <f t="shared" si="14"/>
        <v>https://www.youtube.com/embed/ByaheAphduQ?start=1825&amp;end=1875&amp;autoplay=1</v>
      </c>
      <c r="R95" s="59" t="s">
        <v>42</v>
      </c>
      <c r="S95" s="48" t="s">
        <v>42</v>
      </c>
      <c r="T95" s="48" t="s">
        <v>42</v>
      </c>
      <c r="U95" s="52"/>
      <c r="V95" s="50"/>
      <c r="W95" s="51" t="s">
        <v>71</v>
      </c>
      <c r="X95" s="38"/>
    </row>
    <row r="96" spans="1:24">
      <c r="A96" s="60">
        <v>59.09</v>
      </c>
      <c r="B96" s="38" t="s">
        <v>92</v>
      </c>
      <c r="C96" s="38" t="s">
        <v>124</v>
      </c>
      <c r="D96" s="38"/>
      <c r="E96" s="38"/>
      <c r="F96" s="58"/>
      <c r="G96" s="42"/>
      <c r="H96" s="38" t="s">
        <v>261</v>
      </c>
      <c r="I96" s="44" t="s">
        <v>262</v>
      </c>
      <c r="J96" s="38"/>
      <c r="K96" s="45"/>
      <c r="L96" s="46"/>
      <c r="M96" s="45">
        <v>2.2800925925925929E-2</v>
      </c>
      <c r="N96" s="45">
        <v>2.4212962962962964E-2</v>
      </c>
      <c r="O96" s="45">
        <f t="shared" si="13"/>
        <v>1.4120370370370346E-3</v>
      </c>
      <c r="P96" s="47">
        <v>42989</v>
      </c>
      <c r="Q96" s="54" t="str">
        <f t="shared" si="14"/>
        <v>https://www.youtube.com/embed/ByaheAphduQ?start=1970&amp;end=2092&amp;autoplay=1</v>
      </c>
      <c r="R96" s="59" t="s">
        <v>42</v>
      </c>
      <c r="S96" s="48" t="s">
        <v>42</v>
      </c>
      <c r="T96" s="48" t="s">
        <v>42</v>
      </c>
      <c r="U96" s="52"/>
      <c r="V96" s="50"/>
      <c r="W96" s="51" t="s">
        <v>71</v>
      </c>
      <c r="X96" s="38"/>
    </row>
    <row r="97" spans="1:24">
      <c r="A97" s="60">
        <v>59.1</v>
      </c>
      <c r="B97" s="38" t="s">
        <v>92</v>
      </c>
      <c r="C97" s="38" t="s">
        <v>124</v>
      </c>
      <c r="D97" s="38"/>
      <c r="E97" s="38"/>
      <c r="F97" s="58"/>
      <c r="G97" s="42"/>
      <c r="H97" s="38" t="s">
        <v>265</v>
      </c>
      <c r="I97" s="44"/>
      <c r="J97" s="38"/>
      <c r="K97" s="45"/>
      <c r="L97" s="46"/>
      <c r="M97" s="45">
        <v>2.4999999999999998E-2</v>
      </c>
      <c r="N97" s="45">
        <v>2.659722222222222E-2</v>
      </c>
      <c r="O97" s="45">
        <f t="shared" si="13"/>
        <v>1.5972222222222221E-3</v>
      </c>
      <c r="P97" s="47">
        <v>42989</v>
      </c>
      <c r="Q97" s="54" t="str">
        <f t="shared" si="14"/>
        <v>https://www.youtube.com/embed/ByaheAphduQ?start=2160&amp;end=2298&amp;autoplay=1</v>
      </c>
      <c r="R97" s="59" t="s">
        <v>42</v>
      </c>
      <c r="S97" s="48" t="s">
        <v>42</v>
      </c>
      <c r="T97" s="48" t="s">
        <v>42</v>
      </c>
      <c r="U97" s="52"/>
      <c r="V97" s="50"/>
      <c r="W97" s="51" t="s">
        <v>71</v>
      </c>
      <c r="X97" s="38"/>
    </row>
    <row r="98" spans="1:24">
      <c r="A98" s="60">
        <v>59.11</v>
      </c>
      <c r="B98" s="38" t="s">
        <v>92</v>
      </c>
      <c r="C98" s="38" t="s">
        <v>124</v>
      </c>
      <c r="D98" s="38"/>
      <c r="E98" s="38"/>
      <c r="F98" s="58"/>
      <c r="G98" s="42"/>
      <c r="H98" s="38" t="s">
        <v>271</v>
      </c>
      <c r="I98" s="44"/>
      <c r="J98" s="38"/>
      <c r="K98" s="45"/>
      <c r="L98" s="46"/>
      <c r="M98" s="45">
        <v>2.6736111111111113E-2</v>
      </c>
      <c r="N98" s="45">
        <v>2.9571759259259259E-2</v>
      </c>
      <c r="O98" s="45">
        <f t="shared" si="13"/>
        <v>2.8356481481481462E-3</v>
      </c>
      <c r="P98" s="47">
        <v>42989</v>
      </c>
      <c r="Q98" s="54" t="str">
        <f t="shared" si="14"/>
        <v>https://www.youtube.com/embed/ByaheAphduQ?start=2310&amp;end=2555&amp;autoplay=1</v>
      </c>
      <c r="R98" s="59" t="s">
        <v>42</v>
      </c>
      <c r="S98" s="48" t="s">
        <v>42</v>
      </c>
      <c r="T98" s="48" t="s">
        <v>42</v>
      </c>
      <c r="U98" s="52"/>
      <c r="V98" s="50"/>
      <c r="W98" s="51" t="s">
        <v>71</v>
      </c>
      <c r="X98" s="38"/>
    </row>
    <row r="99" spans="1:24">
      <c r="A99" s="60">
        <v>59.120000000000097</v>
      </c>
      <c r="B99" s="38" t="s">
        <v>92</v>
      </c>
      <c r="C99" s="38" t="s">
        <v>124</v>
      </c>
      <c r="D99" s="38"/>
      <c r="E99" s="38"/>
      <c r="F99" s="58"/>
      <c r="G99" s="42"/>
      <c r="H99" s="38" t="s">
        <v>277</v>
      </c>
      <c r="I99" s="44"/>
      <c r="J99" s="38"/>
      <c r="K99" s="45"/>
      <c r="L99" s="46"/>
      <c r="M99" s="45">
        <v>3.0034722222222223E-2</v>
      </c>
      <c r="N99" s="45">
        <v>3.0671296296296294E-2</v>
      </c>
      <c r="O99" s="45">
        <f t="shared" si="13"/>
        <v>6.3657407407407066E-4</v>
      </c>
      <c r="P99" s="47">
        <v>42989</v>
      </c>
      <c r="Q99" s="54" t="str">
        <f t="shared" si="14"/>
        <v>https://www.youtube.com/embed/ByaheAphduQ?start=2595&amp;end=2650&amp;autoplay=1</v>
      </c>
      <c r="R99" s="59" t="s">
        <v>42</v>
      </c>
      <c r="S99" s="48" t="s">
        <v>42</v>
      </c>
      <c r="T99" s="48" t="s">
        <v>42</v>
      </c>
      <c r="U99" s="52"/>
      <c r="V99" s="50"/>
      <c r="W99" s="51" t="s">
        <v>71</v>
      </c>
      <c r="X99" s="38"/>
    </row>
    <row r="100" spans="1:24">
      <c r="A100" s="60">
        <v>59.130000000000102</v>
      </c>
      <c r="B100" s="38" t="s">
        <v>92</v>
      </c>
      <c r="C100" s="38" t="s">
        <v>124</v>
      </c>
      <c r="D100" s="38"/>
      <c r="E100" s="38"/>
      <c r="F100" s="58"/>
      <c r="G100" s="42"/>
      <c r="H100" s="38" t="s">
        <v>283</v>
      </c>
      <c r="I100" s="44" t="s">
        <v>284</v>
      </c>
      <c r="J100" s="38"/>
      <c r="K100" s="45"/>
      <c r="L100" s="46"/>
      <c r="M100" s="45">
        <v>3.1944444444444449E-2</v>
      </c>
      <c r="N100" s="45">
        <v>3.3912037037037039E-2</v>
      </c>
      <c r="O100" s="45">
        <f t="shared" si="13"/>
        <v>1.9675925925925902E-3</v>
      </c>
      <c r="P100" s="47">
        <v>42989</v>
      </c>
      <c r="Q100" s="54" t="str">
        <f t="shared" si="14"/>
        <v>https://www.youtube.com/embed/ByaheAphduQ?start=2760&amp;end=2930&amp;autoplay=1</v>
      </c>
      <c r="R100" s="59" t="s">
        <v>42</v>
      </c>
      <c r="S100" s="48" t="s">
        <v>42</v>
      </c>
      <c r="T100" s="48" t="s">
        <v>42</v>
      </c>
      <c r="U100" s="52"/>
      <c r="V100" s="50"/>
      <c r="W100" s="51" t="s">
        <v>71</v>
      </c>
      <c r="X100" s="38"/>
    </row>
    <row r="101" spans="1:24">
      <c r="A101" s="60">
        <v>59.1400000000001</v>
      </c>
      <c r="B101" s="38" t="s">
        <v>92</v>
      </c>
      <c r="C101" s="38" t="s">
        <v>124</v>
      </c>
      <c r="D101" s="38"/>
      <c r="E101" s="38"/>
      <c r="F101" s="58"/>
      <c r="G101" s="42"/>
      <c r="H101" s="38" t="s">
        <v>289</v>
      </c>
      <c r="I101" s="44" t="s">
        <v>291</v>
      </c>
      <c r="J101" s="38"/>
      <c r="K101" s="45"/>
      <c r="L101" s="46"/>
      <c r="M101" s="45">
        <v>3.4606481481481481E-2</v>
      </c>
      <c r="N101" s="45">
        <v>3.5196759259259254E-2</v>
      </c>
      <c r="O101" s="45">
        <f t="shared" si="13"/>
        <v>5.9027777777777291E-4</v>
      </c>
      <c r="P101" s="47">
        <v>42989</v>
      </c>
      <c r="Q101" s="54" t="str">
        <f t="shared" si="14"/>
        <v>https://www.youtube.com/embed/ByaheAphduQ?start=2990&amp;end=3041&amp;autoplay=1</v>
      </c>
      <c r="R101" s="59" t="s">
        <v>42</v>
      </c>
      <c r="S101" s="48" t="s">
        <v>42</v>
      </c>
      <c r="T101" s="48" t="s">
        <v>42</v>
      </c>
      <c r="U101" s="52"/>
      <c r="V101" s="50"/>
      <c r="W101" s="51" t="s">
        <v>71</v>
      </c>
      <c r="X101" s="38"/>
    </row>
    <row r="102" spans="1:24">
      <c r="A102" s="38">
        <v>60</v>
      </c>
      <c r="B102" s="38"/>
      <c r="C102" s="38"/>
      <c r="D102" s="38" t="s">
        <v>435</v>
      </c>
      <c r="E102" s="40" t="s">
        <v>436</v>
      </c>
      <c r="F102" s="41" t="s">
        <v>437</v>
      </c>
      <c r="G102" s="42" t="s">
        <v>438</v>
      </c>
      <c r="H102" s="43"/>
      <c r="I102" s="44"/>
      <c r="J102" s="38">
        <f>2.3*1000</f>
        <v>2300</v>
      </c>
      <c r="K102" s="45">
        <v>5.6018518518518518E-3</v>
      </c>
      <c r="L102" s="46" t="s">
        <v>307</v>
      </c>
      <c r="M102" s="38"/>
      <c r="N102" s="38"/>
      <c r="O102" s="38"/>
      <c r="P102" s="38"/>
      <c r="Q102" s="38"/>
      <c r="R102" s="48"/>
      <c r="S102" s="48"/>
      <c r="T102" s="48"/>
      <c r="U102" s="52"/>
      <c r="V102" s="50"/>
      <c r="W102" s="51"/>
      <c r="X102" s="38"/>
    </row>
    <row r="103" spans="1:24">
      <c r="A103" s="38">
        <v>61</v>
      </c>
      <c r="B103" s="38"/>
      <c r="C103" s="38"/>
      <c r="D103" s="38" t="s">
        <v>439</v>
      </c>
      <c r="E103" s="40" t="s">
        <v>440</v>
      </c>
      <c r="F103" s="41" t="s">
        <v>441</v>
      </c>
      <c r="G103" s="42">
        <v>709</v>
      </c>
      <c r="H103" s="43"/>
      <c r="I103" s="44"/>
      <c r="J103" s="38">
        <f>709</f>
        <v>709</v>
      </c>
      <c r="K103" s="45">
        <v>2.0138888888888888E-3</v>
      </c>
      <c r="L103" s="46" t="s">
        <v>307</v>
      </c>
      <c r="M103" s="38"/>
      <c r="N103" s="38"/>
      <c r="O103" s="38"/>
      <c r="P103" s="38"/>
      <c r="Q103" s="38"/>
      <c r="R103" s="48"/>
      <c r="S103" s="48"/>
      <c r="T103" s="48"/>
      <c r="U103" s="52"/>
      <c r="V103" s="50"/>
      <c r="W103" s="51"/>
      <c r="X103" s="38"/>
    </row>
    <row r="104" spans="1:24">
      <c r="A104" s="38">
        <v>62</v>
      </c>
      <c r="B104" s="38" t="s">
        <v>92</v>
      </c>
      <c r="C104" s="38" t="s">
        <v>124</v>
      </c>
      <c r="D104" s="38" t="s">
        <v>297</v>
      </c>
      <c r="E104" s="40" t="s">
        <v>298</v>
      </c>
      <c r="F104" s="58" t="s">
        <v>300</v>
      </c>
      <c r="G104" s="42" t="s">
        <v>301</v>
      </c>
      <c r="H104" s="43"/>
      <c r="I104" s="44"/>
      <c r="J104" s="38">
        <f>6.1*1000</f>
        <v>6100</v>
      </c>
      <c r="K104" s="45">
        <v>3.6041666666666666E-2</v>
      </c>
      <c r="L104" s="46" t="s">
        <v>307</v>
      </c>
      <c r="M104" s="38"/>
      <c r="N104" s="38"/>
      <c r="O104" s="38"/>
      <c r="P104" s="47">
        <v>42997</v>
      </c>
      <c r="Q104" s="38"/>
      <c r="R104" s="48" t="s">
        <v>42</v>
      </c>
      <c r="S104" s="48" t="s">
        <v>42</v>
      </c>
      <c r="T104" s="48" t="s">
        <v>42</v>
      </c>
      <c r="U104" s="52"/>
      <c r="V104" s="50"/>
      <c r="W104" s="51" t="s">
        <v>45</v>
      </c>
      <c r="X104" s="38"/>
    </row>
    <row r="105" spans="1:24">
      <c r="A105" s="38">
        <v>62.1</v>
      </c>
      <c r="B105" s="38" t="s">
        <v>92</v>
      </c>
      <c r="C105" s="38" t="s">
        <v>124</v>
      </c>
      <c r="D105" s="38"/>
      <c r="E105" s="40"/>
      <c r="F105" s="58"/>
      <c r="G105" s="42"/>
      <c r="H105" s="43" t="s">
        <v>311</v>
      </c>
      <c r="I105" s="44"/>
      <c r="J105" s="38"/>
      <c r="K105" s="45"/>
      <c r="L105" s="46"/>
      <c r="M105" s="45">
        <v>2.9166666666666668E-3</v>
      </c>
      <c r="N105" s="45">
        <v>4.1666666666666666E-3</v>
      </c>
      <c r="O105" s="45">
        <f t="shared" ref="O105:O111" si="15">N105-M105</f>
        <v>1.2499999999999998E-3</v>
      </c>
      <c r="P105" s="47">
        <v>42997</v>
      </c>
      <c r="Q105" s="54" t="str">
        <f t="shared" ref="Q105:Q111" si="16">HYPERLINK(REPLACE($D$104,25,8,"embed/")&amp;"?start="&amp;MINUTE(M105)*60+SECOND(M105)&amp;"&amp;end="&amp;MINUTE(N105)*60+SECOND(N105)&amp;"&amp;autoplay=1")</f>
        <v>https://www.youtube.com/embed/s3LVHHEe2vc?start=252&amp;end=360&amp;autoplay=1</v>
      </c>
      <c r="R105" s="48" t="s">
        <v>42</v>
      </c>
      <c r="S105" s="48" t="s">
        <v>42</v>
      </c>
      <c r="T105" s="48" t="s">
        <v>42</v>
      </c>
      <c r="U105" s="52"/>
      <c r="V105" s="50"/>
      <c r="W105" s="51" t="s">
        <v>45</v>
      </c>
      <c r="X105" s="38"/>
    </row>
    <row r="106" spans="1:24">
      <c r="A106" s="38">
        <v>62.2</v>
      </c>
      <c r="B106" s="38" t="s">
        <v>92</v>
      </c>
      <c r="C106" s="38" t="s">
        <v>124</v>
      </c>
      <c r="D106" s="38"/>
      <c r="E106" s="40"/>
      <c r="F106" s="58"/>
      <c r="G106" s="42"/>
      <c r="H106" s="43" t="s">
        <v>321</v>
      </c>
      <c r="I106" s="44" t="s">
        <v>322</v>
      </c>
      <c r="J106" s="38"/>
      <c r="K106" s="45"/>
      <c r="L106" s="46"/>
      <c r="M106" s="45">
        <v>5.0347222222222225E-3</v>
      </c>
      <c r="N106" s="45">
        <v>6.4930555555555549E-3</v>
      </c>
      <c r="O106" s="45">
        <f t="shared" si="15"/>
        <v>1.4583333333333323E-3</v>
      </c>
      <c r="P106" s="47">
        <v>42997</v>
      </c>
      <c r="Q106" s="54" t="str">
        <f t="shared" si="16"/>
        <v>https://www.youtube.com/embed/s3LVHHEe2vc?start=435&amp;end=561&amp;autoplay=1</v>
      </c>
      <c r="R106" s="48" t="s">
        <v>42</v>
      </c>
      <c r="S106" s="48" t="s">
        <v>42</v>
      </c>
      <c r="T106" s="48" t="s">
        <v>42</v>
      </c>
      <c r="U106" s="52"/>
      <c r="V106" s="50"/>
      <c r="W106" s="51" t="s">
        <v>45</v>
      </c>
      <c r="X106" s="38"/>
    </row>
    <row r="107" spans="1:24">
      <c r="A107" s="38">
        <v>62.3</v>
      </c>
      <c r="B107" s="38" t="s">
        <v>92</v>
      </c>
      <c r="C107" s="38" t="s">
        <v>124</v>
      </c>
      <c r="D107" s="38"/>
      <c r="E107" s="40"/>
      <c r="F107" s="58"/>
      <c r="G107" s="42"/>
      <c r="H107" s="43" t="s">
        <v>328</v>
      </c>
      <c r="I107" s="44" t="s">
        <v>329</v>
      </c>
      <c r="J107" s="38"/>
      <c r="K107" s="45"/>
      <c r="L107" s="46"/>
      <c r="M107" s="45">
        <v>8.4490740740740741E-3</v>
      </c>
      <c r="N107" s="45">
        <v>1.1574074074074075E-2</v>
      </c>
      <c r="O107" s="45">
        <f t="shared" si="15"/>
        <v>3.125000000000001E-3</v>
      </c>
      <c r="P107" s="47">
        <v>42997</v>
      </c>
      <c r="Q107" s="54" t="str">
        <f t="shared" si="16"/>
        <v>https://www.youtube.com/embed/s3LVHHEe2vc?start=730&amp;end=1000&amp;autoplay=1</v>
      </c>
      <c r="R107" s="48" t="s">
        <v>42</v>
      </c>
      <c r="S107" s="48" t="s">
        <v>42</v>
      </c>
      <c r="T107" s="48" t="s">
        <v>42</v>
      </c>
      <c r="U107" s="52"/>
      <c r="V107" s="50"/>
      <c r="W107" s="51" t="s">
        <v>45</v>
      </c>
      <c r="X107" s="38"/>
    </row>
    <row r="108" spans="1:24">
      <c r="A108" s="38">
        <v>62.4</v>
      </c>
      <c r="B108" s="38" t="s">
        <v>92</v>
      </c>
      <c r="C108" s="38" t="s">
        <v>124</v>
      </c>
      <c r="D108" s="38"/>
      <c r="E108" s="40"/>
      <c r="F108" s="58"/>
      <c r="G108" s="42"/>
      <c r="H108" s="43" t="s">
        <v>334</v>
      </c>
      <c r="I108" s="44"/>
      <c r="J108" s="38"/>
      <c r="K108" s="45"/>
      <c r="L108" s="46"/>
      <c r="M108" s="45">
        <v>2.5891203703703704E-2</v>
      </c>
      <c r="N108" s="45">
        <v>2.7083333333333334E-2</v>
      </c>
      <c r="O108" s="45">
        <f t="shared" si="15"/>
        <v>1.1921296296296298E-3</v>
      </c>
      <c r="P108" s="47">
        <v>42997</v>
      </c>
      <c r="Q108" s="54" t="str">
        <f t="shared" si="16"/>
        <v>https://www.youtube.com/embed/s3LVHHEe2vc?start=2237&amp;end=2340&amp;autoplay=1</v>
      </c>
      <c r="R108" s="48" t="s">
        <v>42</v>
      </c>
      <c r="S108" s="48" t="s">
        <v>42</v>
      </c>
      <c r="T108" s="48" t="s">
        <v>42</v>
      </c>
      <c r="U108" s="52"/>
      <c r="V108" s="50"/>
      <c r="W108" s="51" t="s">
        <v>45</v>
      </c>
      <c r="X108" s="38"/>
    </row>
    <row r="109" spans="1:24">
      <c r="A109" s="38">
        <v>62.5</v>
      </c>
      <c r="B109" s="38" t="s">
        <v>92</v>
      </c>
      <c r="C109" s="38" t="s">
        <v>124</v>
      </c>
      <c r="D109" s="38"/>
      <c r="E109" s="40"/>
      <c r="F109" s="58"/>
      <c r="G109" s="42"/>
      <c r="H109" s="43" t="s">
        <v>340</v>
      </c>
      <c r="I109" s="44"/>
      <c r="J109" s="38"/>
      <c r="K109" s="45"/>
      <c r="L109" s="46"/>
      <c r="M109" s="45">
        <v>2.7546296296296294E-2</v>
      </c>
      <c r="N109" s="45">
        <v>2.8645833333333332E-2</v>
      </c>
      <c r="O109" s="45">
        <f t="shared" si="15"/>
        <v>1.0995370370370378E-3</v>
      </c>
      <c r="P109" s="47">
        <v>42997</v>
      </c>
      <c r="Q109" s="54" t="str">
        <f t="shared" si="16"/>
        <v>https://www.youtube.com/embed/s3LVHHEe2vc?start=2380&amp;end=2475&amp;autoplay=1</v>
      </c>
      <c r="R109" s="48" t="s">
        <v>42</v>
      </c>
      <c r="S109" s="48" t="s">
        <v>42</v>
      </c>
      <c r="T109" s="48" t="s">
        <v>42</v>
      </c>
      <c r="U109" s="52"/>
      <c r="V109" s="50"/>
      <c r="W109" s="51" t="s">
        <v>45</v>
      </c>
      <c r="X109" s="38"/>
    </row>
    <row r="110" spans="1:24">
      <c r="A110" s="38">
        <v>62.6</v>
      </c>
      <c r="B110" s="38" t="s">
        <v>92</v>
      </c>
      <c r="C110" s="38" t="s">
        <v>124</v>
      </c>
      <c r="D110" s="38"/>
      <c r="E110" s="40"/>
      <c r="F110" s="58"/>
      <c r="G110" s="42"/>
      <c r="H110" s="43" t="s">
        <v>341</v>
      </c>
      <c r="I110" s="44"/>
      <c r="J110" s="38"/>
      <c r="K110" s="45"/>
      <c r="L110" s="46"/>
      <c r="M110" s="45">
        <v>2.8645833333333332E-2</v>
      </c>
      <c r="N110" s="45">
        <v>3.0439814814814819E-2</v>
      </c>
      <c r="O110" s="45">
        <f t="shared" si="15"/>
        <v>1.7939814814814867E-3</v>
      </c>
      <c r="P110" s="47">
        <v>42997</v>
      </c>
      <c r="Q110" s="54" t="str">
        <f t="shared" si="16"/>
        <v>https://www.youtube.com/embed/s3LVHHEe2vc?start=2475&amp;end=2630&amp;autoplay=1</v>
      </c>
      <c r="R110" s="48" t="s">
        <v>42</v>
      </c>
      <c r="S110" s="48" t="s">
        <v>42</v>
      </c>
      <c r="T110" s="48" t="s">
        <v>42</v>
      </c>
      <c r="U110" s="52"/>
      <c r="V110" s="50"/>
      <c r="W110" s="51" t="s">
        <v>45</v>
      </c>
      <c r="X110" s="38"/>
    </row>
    <row r="111" spans="1:24">
      <c r="A111" s="38">
        <v>62.7</v>
      </c>
      <c r="B111" s="38" t="s">
        <v>92</v>
      </c>
      <c r="C111" s="38" t="s">
        <v>124</v>
      </c>
      <c r="D111" s="38"/>
      <c r="E111" s="40"/>
      <c r="F111" s="58"/>
      <c r="G111" s="42"/>
      <c r="H111" s="43" t="s">
        <v>345</v>
      </c>
      <c r="I111" s="44"/>
      <c r="J111" s="38"/>
      <c r="K111" s="45"/>
      <c r="L111" s="46"/>
      <c r="M111" s="45">
        <v>3.0497685185185183E-2</v>
      </c>
      <c r="N111" s="45">
        <v>3.2870370370370376E-2</v>
      </c>
      <c r="O111" s="45">
        <f t="shared" si="15"/>
        <v>2.3726851851851929E-3</v>
      </c>
      <c r="P111" s="47">
        <v>42997</v>
      </c>
      <c r="Q111" s="54" t="str">
        <f t="shared" si="16"/>
        <v>https://www.youtube.com/embed/s3LVHHEe2vc?start=2635&amp;end=2840&amp;autoplay=1</v>
      </c>
      <c r="R111" s="48" t="s">
        <v>42</v>
      </c>
      <c r="S111" s="48" t="s">
        <v>42</v>
      </c>
      <c r="T111" s="48" t="s">
        <v>42</v>
      </c>
      <c r="U111" s="52"/>
      <c r="V111" s="50"/>
      <c r="W111" s="51" t="s">
        <v>45</v>
      </c>
      <c r="X111" s="38"/>
    </row>
    <row r="112" spans="1:24">
      <c r="A112" s="38">
        <v>63</v>
      </c>
      <c r="B112" s="38"/>
      <c r="C112" s="38"/>
      <c r="D112" s="38" t="s">
        <v>442</v>
      </c>
      <c r="E112" s="40" t="s">
        <v>443</v>
      </c>
      <c r="F112" s="41" t="s">
        <v>444</v>
      </c>
      <c r="G112" s="42" t="s">
        <v>445</v>
      </c>
      <c r="H112" s="43"/>
      <c r="I112" s="44"/>
      <c r="J112" s="38">
        <f>1.2*1000</f>
        <v>1200</v>
      </c>
      <c r="K112" s="45">
        <v>1.1446759259259261E-2</v>
      </c>
      <c r="L112" s="46" t="s">
        <v>307</v>
      </c>
      <c r="M112" s="38"/>
      <c r="N112" s="38"/>
      <c r="O112" s="38"/>
      <c r="P112" s="38"/>
      <c r="Q112" s="38"/>
      <c r="R112" s="48"/>
      <c r="S112" s="48"/>
      <c r="T112" s="48"/>
      <c r="U112" s="52"/>
      <c r="V112" s="50"/>
      <c r="W112" s="51"/>
      <c r="X112" s="38"/>
    </row>
    <row r="113" spans="1:24">
      <c r="A113" s="38">
        <v>64</v>
      </c>
      <c r="B113" s="38"/>
      <c r="C113" s="38"/>
      <c r="D113" s="38" t="s">
        <v>446</v>
      </c>
      <c r="E113" s="40" t="s">
        <v>447</v>
      </c>
      <c r="F113" s="41" t="s">
        <v>448</v>
      </c>
      <c r="G113" s="42">
        <v>694</v>
      </c>
      <c r="H113" s="43"/>
      <c r="I113" s="44"/>
      <c r="J113" s="38">
        <f>694</f>
        <v>694</v>
      </c>
      <c r="K113" s="45">
        <v>9.1203703703703707E-3</v>
      </c>
      <c r="L113" s="46" t="s">
        <v>307</v>
      </c>
      <c r="M113" s="38"/>
      <c r="N113" s="38"/>
      <c r="O113" s="38"/>
      <c r="P113" s="38"/>
      <c r="Q113" s="38"/>
      <c r="R113" s="48"/>
      <c r="S113" s="48"/>
      <c r="T113" s="48"/>
      <c r="U113" s="52"/>
      <c r="V113" s="50"/>
      <c r="W113" s="51"/>
      <c r="X113" s="38"/>
    </row>
    <row r="114" spans="1:24">
      <c r="A114" s="38">
        <v>65</v>
      </c>
      <c r="B114" s="38"/>
      <c r="C114" s="38"/>
      <c r="D114" s="38" t="s">
        <v>449</v>
      </c>
      <c r="E114" s="40" t="s">
        <v>450</v>
      </c>
      <c r="F114" s="41" t="s">
        <v>451</v>
      </c>
      <c r="G114" s="42">
        <v>588</v>
      </c>
      <c r="H114" s="43"/>
      <c r="I114" s="44"/>
      <c r="J114" s="38">
        <f>588</f>
        <v>588</v>
      </c>
      <c r="K114" s="45">
        <v>7.1990740740740739E-3</v>
      </c>
      <c r="L114" s="46" t="s">
        <v>307</v>
      </c>
      <c r="M114" s="38"/>
      <c r="N114" s="38"/>
      <c r="O114" s="38"/>
      <c r="P114" s="38"/>
      <c r="Q114" s="38"/>
      <c r="R114" s="48"/>
      <c r="S114" s="48"/>
      <c r="T114" s="48"/>
      <c r="U114" s="52"/>
      <c r="V114" s="50"/>
      <c r="W114" s="51"/>
      <c r="X114" s="38"/>
    </row>
    <row r="115" spans="1:24">
      <c r="A115" s="38">
        <v>66</v>
      </c>
      <c r="B115" s="38"/>
      <c r="C115" s="38"/>
      <c r="D115" s="38" t="s">
        <v>452</v>
      </c>
      <c r="E115" s="40" t="s">
        <v>453</v>
      </c>
      <c r="F115" s="58" t="s">
        <v>454</v>
      </c>
      <c r="G115" s="42" t="s">
        <v>455</v>
      </c>
      <c r="H115" s="43"/>
      <c r="I115" s="44"/>
      <c r="J115" s="38">
        <f>2.9*1000</f>
        <v>2900</v>
      </c>
      <c r="K115" s="45">
        <v>2.7766203703703706E-2</v>
      </c>
      <c r="L115" s="46" t="s">
        <v>307</v>
      </c>
      <c r="M115" s="38"/>
      <c r="N115" s="38"/>
      <c r="O115" s="38"/>
      <c r="P115" s="38"/>
      <c r="Q115" s="38"/>
      <c r="R115" s="48"/>
      <c r="S115" s="48"/>
      <c r="T115" s="48"/>
      <c r="U115" s="52"/>
      <c r="V115" s="50"/>
      <c r="W115" s="51"/>
      <c r="X115" s="38"/>
    </row>
    <row r="116" spans="1:24">
      <c r="A116" s="38">
        <v>67</v>
      </c>
      <c r="B116" s="38"/>
      <c r="C116" s="38"/>
      <c r="D116" s="38" t="s">
        <v>456</v>
      </c>
      <c r="E116" s="40" t="s">
        <v>457</v>
      </c>
      <c r="F116" s="41" t="s">
        <v>458</v>
      </c>
      <c r="G116" s="42">
        <v>575</v>
      </c>
      <c r="H116" s="43"/>
      <c r="I116" s="44"/>
      <c r="J116" s="38">
        <f>575</f>
        <v>575</v>
      </c>
      <c r="K116" s="45">
        <v>5.0347222222222225E-3</v>
      </c>
      <c r="L116" s="46" t="s">
        <v>307</v>
      </c>
      <c r="M116" s="38"/>
      <c r="N116" s="38"/>
      <c r="O116" s="38"/>
      <c r="P116" s="38"/>
      <c r="Q116" s="38"/>
      <c r="R116" s="48"/>
      <c r="S116" s="48"/>
      <c r="T116" s="48"/>
      <c r="U116" s="52"/>
      <c r="V116" s="50"/>
      <c r="W116" s="51"/>
      <c r="X116" s="38"/>
    </row>
    <row r="117" spans="1:24">
      <c r="A117" s="38">
        <v>68</v>
      </c>
      <c r="B117" s="38"/>
      <c r="C117" s="38"/>
      <c r="D117" s="38" t="s">
        <v>459</v>
      </c>
      <c r="E117" s="40" t="s">
        <v>460</v>
      </c>
      <c r="F117" s="58" t="s">
        <v>461</v>
      </c>
      <c r="G117" s="42" t="s">
        <v>462</v>
      </c>
      <c r="H117" s="43"/>
      <c r="I117" s="44"/>
      <c r="J117" s="38">
        <f t="shared" ref="J117:J118" si="17">2.5*1000</f>
        <v>2500</v>
      </c>
      <c r="K117" s="45">
        <v>2.4166666666666666E-2</v>
      </c>
      <c r="L117" s="46" t="s">
        <v>307</v>
      </c>
      <c r="M117" s="38"/>
      <c r="N117" s="38"/>
      <c r="O117" s="38"/>
      <c r="P117" s="38"/>
      <c r="Q117" s="38"/>
      <c r="R117" s="48"/>
      <c r="S117" s="48"/>
      <c r="T117" s="48"/>
      <c r="U117" s="52"/>
      <c r="V117" s="50"/>
      <c r="W117" s="51"/>
      <c r="X117" s="38"/>
    </row>
    <row r="118" spans="1:24">
      <c r="A118" s="38">
        <v>69</v>
      </c>
      <c r="B118" s="38"/>
      <c r="C118" s="38"/>
      <c r="D118" s="38" t="s">
        <v>463</v>
      </c>
      <c r="E118" s="40" t="s">
        <v>464</v>
      </c>
      <c r="F118" s="58" t="s">
        <v>465</v>
      </c>
      <c r="G118" s="42" t="s">
        <v>462</v>
      </c>
      <c r="H118" s="43"/>
      <c r="I118" s="44"/>
      <c r="J118" s="38">
        <f t="shared" si="17"/>
        <v>2500</v>
      </c>
      <c r="K118" s="45">
        <v>3.5428240740740739E-2</v>
      </c>
      <c r="L118" s="46" t="s">
        <v>307</v>
      </c>
      <c r="M118" s="38"/>
      <c r="N118" s="38"/>
      <c r="O118" s="38"/>
      <c r="P118" s="38"/>
      <c r="Q118" s="38"/>
      <c r="R118" s="48"/>
      <c r="S118" s="48"/>
      <c r="T118" s="48"/>
      <c r="U118" s="52"/>
      <c r="V118" s="50"/>
      <c r="W118" s="51"/>
      <c r="X118" s="38"/>
    </row>
    <row r="119" spans="1:24">
      <c r="A119" s="38">
        <v>70</v>
      </c>
      <c r="B119" s="38"/>
      <c r="C119" s="38"/>
      <c r="D119" s="38" t="s">
        <v>466</v>
      </c>
      <c r="E119" s="40" t="s">
        <v>467</v>
      </c>
      <c r="F119" s="41" t="s">
        <v>468</v>
      </c>
      <c r="G119" s="42">
        <v>568</v>
      </c>
      <c r="H119" s="43"/>
      <c r="I119" s="44"/>
      <c r="J119" s="38">
        <f>568</f>
        <v>568</v>
      </c>
      <c r="K119" s="45">
        <v>3.5185185185185185E-3</v>
      </c>
      <c r="L119" s="46" t="s">
        <v>307</v>
      </c>
      <c r="M119" s="38"/>
      <c r="N119" s="38"/>
      <c r="O119" s="38"/>
      <c r="P119" s="38"/>
      <c r="Q119" s="38"/>
      <c r="R119" s="48"/>
      <c r="S119" s="48"/>
      <c r="T119" s="48"/>
      <c r="U119" s="52"/>
      <c r="V119" s="50"/>
      <c r="W119" s="51"/>
      <c r="X119" s="38"/>
    </row>
    <row r="120" spans="1:24">
      <c r="A120" s="38">
        <v>71</v>
      </c>
      <c r="B120" s="38"/>
      <c r="C120" s="38"/>
      <c r="D120" s="38" t="s">
        <v>469</v>
      </c>
      <c r="E120" s="40" t="s">
        <v>470</v>
      </c>
      <c r="F120" s="41" t="s">
        <v>471</v>
      </c>
      <c r="G120" s="42" t="s">
        <v>396</v>
      </c>
      <c r="H120" s="43"/>
      <c r="I120" s="44"/>
      <c r="J120" s="38">
        <f>1.1*1000</f>
        <v>1100</v>
      </c>
      <c r="K120" s="45">
        <v>8.5532407407407415E-3</v>
      </c>
      <c r="L120" s="46" t="s">
        <v>307</v>
      </c>
      <c r="M120" s="38"/>
      <c r="N120" s="38"/>
      <c r="O120" s="38"/>
      <c r="P120" s="38"/>
      <c r="Q120" s="38"/>
      <c r="R120" s="48"/>
      <c r="S120" s="48"/>
      <c r="T120" s="48"/>
      <c r="U120" s="52"/>
      <c r="V120" s="50"/>
      <c r="W120" s="51"/>
      <c r="X120" s="38"/>
    </row>
    <row r="121" spans="1:24">
      <c r="A121" s="38">
        <v>72</v>
      </c>
      <c r="B121" s="38"/>
      <c r="C121" s="38"/>
      <c r="D121" s="38" t="s">
        <v>472</v>
      </c>
      <c r="E121" s="40" t="s">
        <v>473</v>
      </c>
      <c r="F121" s="41" t="s">
        <v>474</v>
      </c>
      <c r="G121" s="42">
        <v>868</v>
      </c>
      <c r="H121" s="43"/>
      <c r="I121" s="44"/>
      <c r="J121" s="38">
        <f>868</f>
        <v>868</v>
      </c>
      <c r="K121" s="45">
        <v>1.091435185185185E-2</v>
      </c>
      <c r="L121" s="46" t="s">
        <v>307</v>
      </c>
      <c r="M121" s="38"/>
      <c r="N121" s="38"/>
      <c r="O121" s="38"/>
      <c r="P121" s="38"/>
      <c r="Q121" s="38"/>
      <c r="R121" s="48"/>
      <c r="S121" s="48"/>
      <c r="T121" s="48"/>
      <c r="U121" s="52"/>
      <c r="V121" s="50"/>
      <c r="W121" s="51"/>
      <c r="X121" s="38"/>
    </row>
    <row r="122" spans="1:24">
      <c r="A122" s="38">
        <v>73</v>
      </c>
      <c r="B122" s="38"/>
      <c r="C122" s="38"/>
      <c r="D122" s="38" t="s">
        <v>475</v>
      </c>
      <c r="E122" s="40" t="s">
        <v>476</v>
      </c>
      <c r="F122" s="61" t="s">
        <v>477</v>
      </c>
      <c r="G122" s="42" t="s">
        <v>478</v>
      </c>
      <c r="H122" s="43"/>
      <c r="I122" s="44"/>
      <c r="J122" s="38">
        <f>28*1000</f>
        <v>28000</v>
      </c>
      <c r="K122" s="45">
        <v>6.7152777777777783E-2</v>
      </c>
      <c r="L122" s="46" t="s">
        <v>307</v>
      </c>
      <c r="M122" s="38"/>
      <c r="N122" s="38"/>
      <c r="O122" s="38"/>
      <c r="P122" s="38"/>
      <c r="Q122" s="38"/>
      <c r="R122" s="48"/>
      <c r="S122" s="48"/>
      <c r="T122" s="48"/>
      <c r="U122" s="52"/>
      <c r="V122" s="50"/>
      <c r="W122" s="51"/>
      <c r="X122" s="38"/>
    </row>
    <row r="123" spans="1:24">
      <c r="A123" s="38">
        <v>74</v>
      </c>
      <c r="B123" s="38" t="s">
        <v>92</v>
      </c>
      <c r="C123" s="38" t="s">
        <v>124</v>
      </c>
      <c r="D123" s="38" t="s">
        <v>347</v>
      </c>
      <c r="E123" s="40" t="s">
        <v>348</v>
      </c>
      <c r="F123" s="61" t="s">
        <v>349</v>
      </c>
      <c r="G123" s="42" t="s">
        <v>351</v>
      </c>
      <c r="H123" s="43"/>
      <c r="I123" s="44"/>
      <c r="J123" s="38">
        <f>4.4*1000</f>
        <v>4400</v>
      </c>
      <c r="K123" s="45">
        <v>4.2280092592592598E-2</v>
      </c>
      <c r="L123" s="46" t="s">
        <v>307</v>
      </c>
      <c r="M123" s="38"/>
      <c r="N123" s="38"/>
      <c r="O123" s="38"/>
      <c r="P123" s="38"/>
      <c r="Q123" s="38"/>
      <c r="R123" s="48" t="s">
        <v>42</v>
      </c>
      <c r="S123" s="48" t="s">
        <v>352</v>
      </c>
      <c r="T123" s="48" t="s">
        <v>42</v>
      </c>
      <c r="U123" s="52"/>
      <c r="V123" s="50"/>
      <c r="W123" s="51" t="s">
        <v>71</v>
      </c>
      <c r="X123" s="38"/>
    </row>
    <row r="124" spans="1:24">
      <c r="A124" s="60">
        <v>74.010000000000005</v>
      </c>
      <c r="B124" s="38" t="s">
        <v>92</v>
      </c>
      <c r="C124" s="38" t="s">
        <v>124</v>
      </c>
      <c r="D124" s="38"/>
      <c r="E124" s="40"/>
      <c r="F124" s="61"/>
      <c r="G124" s="42"/>
      <c r="H124" s="43" t="s">
        <v>353</v>
      </c>
      <c r="I124" s="44"/>
      <c r="J124" s="38"/>
      <c r="K124" s="45"/>
      <c r="L124" s="46"/>
      <c r="M124" s="45">
        <v>4.3981481481481484E-3</v>
      </c>
      <c r="N124" s="45">
        <v>4.7453703703703703E-3</v>
      </c>
      <c r="O124" s="45">
        <f t="shared" ref="O124:O134" si="18">N124-M124</f>
        <v>3.4722222222222186E-4</v>
      </c>
      <c r="P124" s="47">
        <v>43003</v>
      </c>
      <c r="Q124" s="54" t="str">
        <f t="shared" ref="Q124:Q134" si="19">HYPERLINK(REPLACE($D$123,25,8,"embed/")&amp;"?start="&amp;MINUTE(M124)*60+SECOND(M124)&amp;"&amp;end="&amp;MINUTE(N124)*60+SECOND(N124)&amp;"&amp;autoplay=1")</f>
        <v>https://www.youtube.com/embed/YFmL65VsWdk?start=380&amp;end=410&amp;autoplay=1</v>
      </c>
      <c r="R124" s="48" t="s">
        <v>42</v>
      </c>
      <c r="S124" s="48" t="s">
        <v>366</v>
      </c>
      <c r="T124" s="48" t="s">
        <v>42</v>
      </c>
      <c r="U124" s="52"/>
      <c r="V124" s="50"/>
      <c r="W124" s="51" t="s">
        <v>45</v>
      </c>
      <c r="X124" s="38"/>
    </row>
    <row r="125" spans="1:24">
      <c r="A125" s="60">
        <v>74.02</v>
      </c>
      <c r="B125" s="38" t="s">
        <v>92</v>
      </c>
      <c r="C125" s="38" t="s">
        <v>124</v>
      </c>
      <c r="D125" s="38"/>
      <c r="E125" s="40"/>
      <c r="F125" s="61"/>
      <c r="G125" s="42"/>
      <c r="H125" s="43" t="s">
        <v>368</v>
      </c>
      <c r="I125" s="44" t="s">
        <v>369</v>
      </c>
      <c r="J125" s="38"/>
      <c r="K125" s="45"/>
      <c r="L125" s="46"/>
      <c r="M125" s="45">
        <v>4.7800925925925919E-3</v>
      </c>
      <c r="N125" s="45">
        <v>5.4861111111111117E-3</v>
      </c>
      <c r="O125" s="45">
        <f t="shared" si="18"/>
        <v>7.0601851851851988E-4</v>
      </c>
      <c r="P125" s="47">
        <v>43003</v>
      </c>
      <c r="Q125" s="54" t="str">
        <f t="shared" si="19"/>
        <v>https://www.youtube.com/embed/YFmL65VsWdk?start=413&amp;end=474&amp;autoplay=1</v>
      </c>
      <c r="R125" s="48" t="s">
        <v>42</v>
      </c>
      <c r="S125" s="48" t="s">
        <v>366</v>
      </c>
      <c r="T125" s="48" t="s">
        <v>42</v>
      </c>
      <c r="U125" s="52"/>
      <c r="V125" s="50"/>
      <c r="W125" s="51" t="s">
        <v>45</v>
      </c>
      <c r="X125" s="38"/>
    </row>
    <row r="126" spans="1:24">
      <c r="A126" s="60">
        <v>74.03</v>
      </c>
      <c r="B126" s="38" t="s">
        <v>92</v>
      </c>
      <c r="C126" s="38" t="s">
        <v>124</v>
      </c>
      <c r="D126" s="38"/>
      <c r="E126" s="40"/>
      <c r="F126" s="61"/>
      <c r="G126" s="42"/>
      <c r="H126" s="43" t="s">
        <v>373</v>
      </c>
      <c r="I126" s="44"/>
      <c r="J126" s="38"/>
      <c r="K126" s="45"/>
      <c r="L126" s="46"/>
      <c r="M126" s="45">
        <v>7.106481481481481E-3</v>
      </c>
      <c r="N126" s="45">
        <v>9.2592592592592605E-3</v>
      </c>
      <c r="O126" s="45">
        <f t="shared" si="18"/>
        <v>2.1527777777777795E-3</v>
      </c>
      <c r="P126" s="47">
        <v>43003</v>
      </c>
      <c r="Q126" s="54" t="str">
        <f t="shared" si="19"/>
        <v>https://www.youtube.com/embed/YFmL65VsWdk?start=614&amp;end=800&amp;autoplay=1</v>
      </c>
      <c r="R126" s="48" t="s">
        <v>42</v>
      </c>
      <c r="S126" s="48" t="s">
        <v>366</v>
      </c>
      <c r="T126" s="48" t="s">
        <v>42</v>
      </c>
      <c r="U126" s="52"/>
      <c r="V126" s="50"/>
      <c r="W126" s="51" t="s">
        <v>45</v>
      </c>
      <c r="X126" s="38"/>
    </row>
    <row r="127" spans="1:24">
      <c r="A127" s="60">
        <v>74.040000000000006</v>
      </c>
      <c r="B127" s="38" t="s">
        <v>92</v>
      </c>
      <c r="C127" s="38" t="s">
        <v>124</v>
      </c>
      <c r="D127" s="38"/>
      <c r="E127" s="40"/>
      <c r="F127" s="61"/>
      <c r="G127" s="42"/>
      <c r="H127" s="43" t="s">
        <v>376</v>
      </c>
      <c r="I127" s="44" t="s">
        <v>378</v>
      </c>
      <c r="J127" s="38"/>
      <c r="K127" s="45"/>
      <c r="L127" s="46"/>
      <c r="M127" s="45">
        <v>9.2708333333333341E-3</v>
      </c>
      <c r="N127" s="45">
        <v>1.0995370370370371E-2</v>
      </c>
      <c r="O127" s="45">
        <f t="shared" si="18"/>
        <v>1.7245370370370366E-3</v>
      </c>
      <c r="P127" s="47">
        <v>43003</v>
      </c>
      <c r="Q127" s="54" t="str">
        <f t="shared" si="19"/>
        <v>https://www.youtube.com/embed/YFmL65VsWdk?start=801&amp;end=950&amp;autoplay=1</v>
      </c>
      <c r="R127" s="48" t="s">
        <v>42</v>
      </c>
      <c r="S127" s="48" t="s">
        <v>366</v>
      </c>
      <c r="T127" s="48" t="s">
        <v>42</v>
      </c>
      <c r="U127" s="52"/>
      <c r="V127" s="50"/>
      <c r="W127" s="51" t="s">
        <v>45</v>
      </c>
      <c r="X127" s="38"/>
    </row>
    <row r="128" spans="1:24">
      <c r="A128" s="60">
        <v>74.05</v>
      </c>
      <c r="B128" s="38" t="s">
        <v>92</v>
      </c>
      <c r="C128" s="38" t="s">
        <v>124</v>
      </c>
      <c r="D128" s="38"/>
      <c r="E128" s="40"/>
      <c r="F128" s="61"/>
      <c r="G128" s="42"/>
      <c r="H128" s="43" t="s">
        <v>383</v>
      </c>
      <c r="I128" s="44"/>
      <c r="J128" s="38"/>
      <c r="K128" s="45"/>
      <c r="L128" s="46"/>
      <c r="M128" s="45">
        <v>9.8958333333333329E-3</v>
      </c>
      <c r="N128" s="45">
        <v>1.0416666666666666E-2</v>
      </c>
      <c r="O128" s="45">
        <f t="shared" si="18"/>
        <v>5.2083333333333322E-4</v>
      </c>
      <c r="P128" s="47">
        <v>43003</v>
      </c>
      <c r="Q128" s="54" t="str">
        <f t="shared" si="19"/>
        <v>https://www.youtube.com/embed/YFmL65VsWdk?start=855&amp;end=900&amp;autoplay=1</v>
      </c>
      <c r="R128" s="48" t="s">
        <v>42</v>
      </c>
      <c r="S128" s="48" t="s">
        <v>366</v>
      </c>
      <c r="T128" s="48" t="s">
        <v>42</v>
      </c>
      <c r="U128" s="52"/>
      <c r="V128" s="50"/>
      <c r="W128" s="51" t="s">
        <v>45</v>
      </c>
      <c r="X128" s="38"/>
    </row>
    <row r="129" spans="1:24">
      <c r="A129" s="60">
        <v>74.06</v>
      </c>
      <c r="B129" s="38" t="s">
        <v>92</v>
      </c>
      <c r="C129" s="38" t="s">
        <v>124</v>
      </c>
      <c r="D129" s="38"/>
      <c r="E129" s="40"/>
      <c r="F129" s="61"/>
      <c r="G129" s="42"/>
      <c r="H129" s="43" t="s">
        <v>388</v>
      </c>
      <c r="I129" s="44"/>
      <c r="J129" s="38"/>
      <c r="K129" s="45"/>
      <c r="L129" s="46"/>
      <c r="M129" s="45">
        <v>1.0474537037037037E-2</v>
      </c>
      <c r="N129" s="45">
        <v>1.0995370370370371E-2</v>
      </c>
      <c r="O129" s="45">
        <f t="shared" si="18"/>
        <v>5.2083333333333322E-4</v>
      </c>
      <c r="P129" s="47">
        <v>43003</v>
      </c>
      <c r="Q129" s="54" t="str">
        <f t="shared" si="19"/>
        <v>https://www.youtube.com/embed/YFmL65VsWdk?start=905&amp;end=950&amp;autoplay=1</v>
      </c>
      <c r="R129" s="48" t="s">
        <v>42</v>
      </c>
      <c r="S129" s="48" t="s">
        <v>366</v>
      </c>
      <c r="T129" s="48" t="s">
        <v>42</v>
      </c>
      <c r="U129" s="52"/>
      <c r="V129" s="50"/>
      <c r="W129" s="51" t="s">
        <v>45</v>
      </c>
      <c r="X129" s="38"/>
    </row>
    <row r="130" spans="1:24">
      <c r="A130" s="60">
        <v>74.069999999999993</v>
      </c>
      <c r="B130" s="38" t="s">
        <v>92</v>
      </c>
      <c r="C130" s="38" t="s">
        <v>124</v>
      </c>
      <c r="D130" s="38"/>
      <c r="E130" s="40"/>
      <c r="F130" s="61"/>
      <c r="G130" s="42"/>
      <c r="H130" s="43" t="s">
        <v>393</v>
      </c>
      <c r="I130" s="44"/>
      <c r="J130" s="38"/>
      <c r="K130" s="45"/>
      <c r="L130" s="46"/>
      <c r="M130" s="45">
        <v>1.1168981481481481E-2</v>
      </c>
      <c r="N130" s="45">
        <v>1.2430555555555554E-2</v>
      </c>
      <c r="O130" s="45">
        <f t="shared" si="18"/>
        <v>1.2615740740740729E-3</v>
      </c>
      <c r="P130" s="47">
        <v>43003</v>
      </c>
      <c r="Q130" s="54" t="str">
        <f t="shared" si="19"/>
        <v>https://www.youtube.com/embed/YFmL65VsWdk?start=965&amp;end=1074&amp;autoplay=1</v>
      </c>
      <c r="R130" s="48" t="s">
        <v>42</v>
      </c>
      <c r="S130" s="48" t="s">
        <v>366</v>
      </c>
      <c r="T130" s="48" t="s">
        <v>42</v>
      </c>
      <c r="U130" s="52"/>
      <c r="V130" s="50"/>
      <c r="W130" s="51" t="s">
        <v>45</v>
      </c>
      <c r="X130" s="38"/>
    </row>
    <row r="131" spans="1:24">
      <c r="A131" s="60">
        <v>74.079999999999899</v>
      </c>
      <c r="B131" s="38" t="s">
        <v>92</v>
      </c>
      <c r="C131" s="38" t="s">
        <v>124</v>
      </c>
      <c r="D131" s="38"/>
      <c r="E131" s="40"/>
      <c r="F131" s="61"/>
      <c r="G131" s="42"/>
      <c r="H131" s="43" t="s">
        <v>398</v>
      </c>
      <c r="I131" s="44"/>
      <c r="J131" s="38"/>
      <c r="K131" s="45"/>
      <c r="L131" s="46"/>
      <c r="M131" s="45">
        <v>1.8229166666666668E-2</v>
      </c>
      <c r="N131" s="45">
        <v>2.2222222222222223E-2</v>
      </c>
      <c r="O131" s="45">
        <f t="shared" si="18"/>
        <v>3.9930555555555552E-3</v>
      </c>
      <c r="P131" s="47">
        <v>43003</v>
      </c>
      <c r="Q131" s="54" t="str">
        <f t="shared" si="19"/>
        <v>https://www.youtube.com/embed/YFmL65VsWdk?start=1575&amp;end=1920&amp;autoplay=1</v>
      </c>
      <c r="R131" s="48" t="s">
        <v>42</v>
      </c>
      <c r="S131" s="48" t="s">
        <v>366</v>
      </c>
      <c r="T131" s="48" t="s">
        <v>42</v>
      </c>
      <c r="U131" s="52"/>
      <c r="V131" s="50"/>
      <c r="W131" s="51" t="s">
        <v>45</v>
      </c>
      <c r="X131" s="38"/>
    </row>
    <row r="132" spans="1:24">
      <c r="A132" s="60">
        <v>74.089999999999904</v>
      </c>
      <c r="B132" s="38" t="s">
        <v>92</v>
      </c>
      <c r="C132" s="38" t="s">
        <v>124</v>
      </c>
      <c r="D132" s="38"/>
      <c r="E132" s="40"/>
      <c r="F132" s="61"/>
      <c r="G132" s="42"/>
      <c r="H132" s="43" t="s">
        <v>403</v>
      </c>
      <c r="I132" s="44"/>
      <c r="J132" s="38"/>
      <c r="K132" s="45"/>
      <c r="L132" s="46"/>
      <c r="M132" s="45">
        <v>2.0312500000000001E-2</v>
      </c>
      <c r="N132" s="45">
        <v>2.1597222222222223E-2</v>
      </c>
      <c r="O132" s="45">
        <f t="shared" si="18"/>
        <v>1.2847222222222218E-3</v>
      </c>
      <c r="P132" s="47">
        <v>43003</v>
      </c>
      <c r="Q132" s="54" t="str">
        <f t="shared" si="19"/>
        <v>https://www.youtube.com/embed/YFmL65VsWdk?start=1755&amp;end=1866&amp;autoplay=1</v>
      </c>
      <c r="R132" s="48" t="s">
        <v>42</v>
      </c>
      <c r="S132" s="48" t="s">
        <v>366</v>
      </c>
      <c r="T132" s="48" t="s">
        <v>42</v>
      </c>
      <c r="U132" s="52"/>
      <c r="V132" s="50"/>
      <c r="W132" s="51" t="s">
        <v>45</v>
      </c>
      <c r="X132" s="38"/>
    </row>
    <row r="133" spans="1:24">
      <c r="A133" s="60">
        <v>74.099999999999895</v>
      </c>
      <c r="B133" s="38" t="s">
        <v>92</v>
      </c>
      <c r="C133" s="38" t="s">
        <v>124</v>
      </c>
      <c r="D133" s="38"/>
      <c r="E133" s="40"/>
      <c r="F133" s="61"/>
      <c r="G133" s="42"/>
      <c r="H133" s="43" t="s">
        <v>404</v>
      </c>
      <c r="I133" s="44"/>
      <c r="J133" s="38"/>
      <c r="K133" s="45"/>
      <c r="L133" s="46"/>
      <c r="M133" s="45">
        <v>2.4155092592592589E-2</v>
      </c>
      <c r="N133" s="45">
        <v>2.5543981481481483E-2</v>
      </c>
      <c r="O133" s="45">
        <f t="shared" si="18"/>
        <v>1.3888888888888944E-3</v>
      </c>
      <c r="P133" s="47">
        <v>43003</v>
      </c>
      <c r="Q133" s="54" t="str">
        <f t="shared" si="19"/>
        <v>https://www.youtube.com/embed/YFmL65VsWdk?start=2087&amp;end=2207&amp;autoplay=1</v>
      </c>
      <c r="R133" s="48" t="s">
        <v>42</v>
      </c>
      <c r="S133" s="48" t="s">
        <v>366</v>
      </c>
      <c r="T133" s="48" t="s">
        <v>42</v>
      </c>
      <c r="U133" s="52"/>
      <c r="V133" s="50"/>
      <c r="W133" s="51" t="s">
        <v>45</v>
      </c>
      <c r="X133" s="38"/>
    </row>
    <row r="134" spans="1:24">
      <c r="A134" s="60">
        <v>74.1099999999999</v>
      </c>
      <c r="B134" s="38" t="s">
        <v>92</v>
      </c>
      <c r="C134" s="38" t="s">
        <v>124</v>
      </c>
      <c r="D134" s="38"/>
      <c r="E134" s="38"/>
      <c r="F134" s="38"/>
      <c r="G134" s="46"/>
      <c r="H134" s="38" t="s">
        <v>405</v>
      </c>
      <c r="I134" s="57" t="s">
        <v>406</v>
      </c>
      <c r="J134" s="38"/>
      <c r="K134" s="38"/>
      <c r="L134" s="46"/>
      <c r="M134" s="45">
        <v>2.9224537037037038E-2</v>
      </c>
      <c r="N134" s="45">
        <v>3.2407407407407406E-2</v>
      </c>
      <c r="O134" s="45">
        <f t="shared" si="18"/>
        <v>3.1828703703703672E-3</v>
      </c>
      <c r="P134" s="47">
        <v>43003</v>
      </c>
      <c r="Q134" s="54" t="str">
        <f t="shared" si="19"/>
        <v>https://www.youtube.com/embed/YFmL65VsWdk?start=2525&amp;end=2800&amp;autoplay=1</v>
      </c>
      <c r="R134" s="48" t="s">
        <v>42</v>
      </c>
      <c r="S134" s="48" t="s">
        <v>366</v>
      </c>
      <c r="T134" s="48" t="s">
        <v>42</v>
      </c>
      <c r="U134" s="52"/>
      <c r="V134" s="50"/>
      <c r="W134" s="51" t="s">
        <v>45</v>
      </c>
      <c r="X134" s="38"/>
    </row>
    <row r="135" spans="1:24">
      <c r="A135" s="38">
        <v>75</v>
      </c>
      <c r="B135" s="38"/>
      <c r="C135" s="38"/>
      <c r="D135" s="38" t="s">
        <v>479</v>
      </c>
      <c r="E135" s="40" t="s">
        <v>480</v>
      </c>
      <c r="F135" s="61" t="s">
        <v>481</v>
      </c>
      <c r="G135" s="42" t="s">
        <v>482</v>
      </c>
      <c r="H135" s="43"/>
      <c r="I135" s="44"/>
      <c r="J135" s="38">
        <f>7.3*1000</f>
        <v>7300</v>
      </c>
      <c r="K135" s="45">
        <v>4.8854166666666664E-2</v>
      </c>
      <c r="L135" s="46" t="s">
        <v>307</v>
      </c>
      <c r="M135" s="38"/>
      <c r="N135" s="38"/>
      <c r="O135" s="38"/>
      <c r="P135" s="38"/>
      <c r="Q135" s="38"/>
      <c r="R135" s="48"/>
      <c r="S135" s="48"/>
      <c r="T135" s="48"/>
      <c r="U135" s="52"/>
      <c r="V135" s="50"/>
      <c r="W135" s="51"/>
      <c r="X135" s="38"/>
    </row>
    <row r="136" spans="1:24">
      <c r="A136" s="38">
        <v>76</v>
      </c>
      <c r="B136" s="38"/>
      <c r="C136" s="38"/>
      <c r="D136" s="38" t="s">
        <v>483</v>
      </c>
      <c r="E136" s="40" t="s">
        <v>484</v>
      </c>
      <c r="F136" s="58" t="s">
        <v>485</v>
      </c>
      <c r="G136" s="42" t="s">
        <v>486</v>
      </c>
      <c r="H136" s="43"/>
      <c r="I136" s="44"/>
      <c r="J136" s="38">
        <f>7.9*1000</f>
        <v>7900</v>
      </c>
      <c r="K136" s="45">
        <v>2.476851851851852E-2</v>
      </c>
      <c r="L136" s="46" t="s">
        <v>307</v>
      </c>
      <c r="M136" s="38"/>
      <c r="N136" s="38"/>
      <c r="O136" s="38"/>
      <c r="P136" s="38"/>
      <c r="Q136" s="38"/>
      <c r="R136" s="48"/>
      <c r="S136" s="48"/>
      <c r="T136" s="48"/>
      <c r="U136" s="52"/>
      <c r="V136" s="50"/>
      <c r="W136" s="51"/>
      <c r="X136" s="38"/>
    </row>
    <row r="137" spans="1:24">
      <c r="A137" s="38">
        <v>77</v>
      </c>
      <c r="B137" s="38"/>
      <c r="C137" s="38"/>
      <c r="D137" s="38" t="s">
        <v>487</v>
      </c>
      <c r="E137" s="40" t="s">
        <v>488</v>
      </c>
      <c r="F137" s="58" t="s">
        <v>489</v>
      </c>
      <c r="G137" s="42" t="s">
        <v>490</v>
      </c>
      <c r="H137" s="43"/>
      <c r="I137" s="44"/>
      <c r="J137" s="38">
        <f>11*1000</f>
        <v>11000</v>
      </c>
      <c r="K137" s="45">
        <v>3.75462962962963E-2</v>
      </c>
      <c r="L137" s="46" t="s">
        <v>307</v>
      </c>
      <c r="M137" s="38"/>
      <c r="N137" s="38"/>
      <c r="O137" s="38"/>
      <c r="P137" s="38"/>
      <c r="Q137" s="38"/>
      <c r="R137" s="48"/>
      <c r="S137" s="48"/>
      <c r="T137" s="48"/>
      <c r="U137" s="52"/>
      <c r="V137" s="50"/>
      <c r="W137" s="51"/>
      <c r="X137" s="38"/>
    </row>
    <row r="138" spans="1:24">
      <c r="A138" s="38">
        <v>78</v>
      </c>
      <c r="B138" s="38"/>
      <c r="C138" s="38"/>
      <c r="D138" s="38" t="s">
        <v>491</v>
      </c>
      <c r="E138" s="40" t="s">
        <v>492</v>
      </c>
      <c r="F138" s="58" t="s">
        <v>493</v>
      </c>
      <c r="G138" s="42" t="s">
        <v>494</v>
      </c>
      <c r="H138" s="43"/>
      <c r="I138" s="44"/>
      <c r="J138" s="38">
        <f>6.6*1000</f>
        <v>6600</v>
      </c>
      <c r="K138" s="45">
        <v>2.4131944444444445E-2</v>
      </c>
      <c r="L138" s="46" t="s">
        <v>307</v>
      </c>
      <c r="M138" s="38"/>
      <c r="N138" s="38"/>
      <c r="O138" s="38"/>
      <c r="P138" s="38"/>
      <c r="Q138" s="38"/>
      <c r="R138" s="48"/>
      <c r="S138" s="48"/>
      <c r="T138" s="48"/>
      <c r="U138" s="52"/>
      <c r="V138" s="50"/>
      <c r="W138" s="51"/>
      <c r="X138" s="38"/>
    </row>
    <row r="139" spans="1:24">
      <c r="A139" s="38">
        <v>79</v>
      </c>
      <c r="B139" s="38"/>
      <c r="C139" s="38"/>
      <c r="D139" s="38" t="s">
        <v>495</v>
      </c>
      <c r="E139" s="40" t="s">
        <v>496</v>
      </c>
      <c r="F139" s="58" t="s">
        <v>497</v>
      </c>
      <c r="G139" s="42" t="s">
        <v>498</v>
      </c>
      <c r="H139" s="43"/>
      <c r="I139" s="44"/>
      <c r="J139" s="38">
        <f>5.8*1000</f>
        <v>5800</v>
      </c>
      <c r="K139" s="45">
        <v>3.2534722222222222E-2</v>
      </c>
      <c r="L139" s="46" t="s">
        <v>307</v>
      </c>
      <c r="M139" s="38"/>
      <c r="N139" s="38"/>
      <c r="O139" s="38"/>
      <c r="P139" s="38"/>
      <c r="Q139" s="38"/>
      <c r="R139" s="48"/>
      <c r="S139" s="48"/>
      <c r="T139" s="48"/>
      <c r="U139" s="52"/>
      <c r="V139" s="50"/>
      <c r="W139" s="51"/>
      <c r="X139" s="38"/>
    </row>
    <row r="140" spans="1:24">
      <c r="A140" s="38">
        <v>80</v>
      </c>
      <c r="B140" s="38"/>
      <c r="C140" s="38"/>
      <c r="D140" s="38" t="s">
        <v>499</v>
      </c>
      <c r="E140" s="40" t="s">
        <v>500</v>
      </c>
      <c r="F140" s="41" t="s">
        <v>501</v>
      </c>
      <c r="G140" s="42" t="s">
        <v>502</v>
      </c>
      <c r="H140" s="43"/>
      <c r="I140" s="44"/>
      <c r="J140" s="38">
        <f>4.5*1000</f>
        <v>4500</v>
      </c>
      <c r="K140" s="45">
        <v>9.8958333333333329E-3</v>
      </c>
      <c r="L140" s="46" t="s">
        <v>307</v>
      </c>
      <c r="M140" s="38"/>
      <c r="N140" s="38"/>
      <c r="O140" s="38"/>
      <c r="P140" s="38"/>
      <c r="Q140" s="38"/>
      <c r="R140" s="48"/>
      <c r="S140" s="48"/>
      <c r="T140" s="48"/>
      <c r="U140" s="52"/>
      <c r="V140" s="50"/>
      <c r="W140" s="51"/>
      <c r="X140" s="38"/>
    </row>
    <row r="141" spans="1:24">
      <c r="A141" s="38">
        <v>81</v>
      </c>
      <c r="B141" s="38"/>
      <c r="C141" s="38"/>
      <c r="D141" s="38" t="s">
        <v>503</v>
      </c>
      <c r="E141" s="40" t="s">
        <v>504</v>
      </c>
      <c r="F141" s="41" t="s">
        <v>505</v>
      </c>
      <c r="G141" s="42" t="s">
        <v>506</v>
      </c>
      <c r="H141" s="43"/>
      <c r="I141" s="44"/>
      <c r="J141" s="38">
        <f>2*1000</f>
        <v>2000</v>
      </c>
      <c r="K141" s="45">
        <v>2.7893518518518519E-3</v>
      </c>
      <c r="L141" s="46" t="s">
        <v>307</v>
      </c>
      <c r="M141" s="38"/>
      <c r="N141" s="38"/>
      <c r="O141" s="38"/>
      <c r="P141" s="38"/>
      <c r="Q141" s="38"/>
      <c r="R141" s="48"/>
      <c r="S141" s="48"/>
      <c r="T141" s="48"/>
      <c r="U141" s="52"/>
      <c r="V141" s="50"/>
      <c r="W141" s="51"/>
      <c r="X141" s="38"/>
    </row>
    <row r="142" spans="1:24">
      <c r="A142" s="38">
        <v>82</v>
      </c>
      <c r="B142" s="38"/>
      <c r="C142" s="38"/>
      <c r="D142" s="38" t="s">
        <v>507</v>
      </c>
      <c r="E142" s="40" t="s">
        <v>508</v>
      </c>
      <c r="F142" s="41" t="s">
        <v>509</v>
      </c>
      <c r="G142" s="42" t="s">
        <v>510</v>
      </c>
      <c r="H142" s="43"/>
      <c r="I142" s="44"/>
      <c r="J142" s="38">
        <f>3.7*1000</f>
        <v>3700</v>
      </c>
      <c r="K142" s="45">
        <v>1.1875000000000002E-2</v>
      </c>
      <c r="L142" s="46" t="s">
        <v>307</v>
      </c>
      <c r="M142" s="38"/>
      <c r="N142" s="38"/>
      <c r="O142" s="38"/>
      <c r="P142" s="38"/>
      <c r="Q142" s="38"/>
      <c r="R142" s="48"/>
      <c r="S142" s="48"/>
      <c r="T142" s="48"/>
      <c r="U142" s="52"/>
      <c r="V142" s="50"/>
      <c r="W142" s="51"/>
      <c r="X142" s="38"/>
    </row>
    <row r="143" spans="1:24">
      <c r="A143" s="38">
        <v>83</v>
      </c>
      <c r="B143" s="38"/>
      <c r="C143" s="38"/>
      <c r="D143" s="38" t="s">
        <v>511</v>
      </c>
      <c r="E143" s="40" t="s">
        <v>512</v>
      </c>
      <c r="F143" s="41" t="s">
        <v>513</v>
      </c>
      <c r="G143" s="42">
        <v>965</v>
      </c>
      <c r="H143" s="43"/>
      <c r="I143" s="44"/>
      <c r="J143" s="38">
        <f>965</f>
        <v>965</v>
      </c>
      <c r="K143" s="45">
        <v>1.6087962962962963E-3</v>
      </c>
      <c r="L143" s="46" t="s">
        <v>307</v>
      </c>
      <c r="M143" s="38"/>
      <c r="N143" s="38"/>
      <c r="O143" s="38"/>
      <c r="P143" s="38"/>
      <c r="Q143" s="38"/>
      <c r="R143" s="48"/>
      <c r="S143" s="48"/>
      <c r="T143" s="48"/>
      <c r="U143" s="52"/>
      <c r="V143" s="50"/>
      <c r="W143" s="51"/>
      <c r="X143" s="38"/>
    </row>
    <row r="144" spans="1:24">
      <c r="A144" s="38">
        <v>84</v>
      </c>
      <c r="B144" s="38"/>
      <c r="C144" s="38"/>
      <c r="D144" s="38" t="s">
        <v>514</v>
      </c>
      <c r="E144" s="40" t="s">
        <v>515</v>
      </c>
      <c r="F144" s="61" t="s">
        <v>516</v>
      </c>
      <c r="G144" s="42" t="s">
        <v>517</v>
      </c>
      <c r="H144" s="43"/>
      <c r="I144" s="44"/>
      <c r="J144" s="38">
        <f>3.9*1000</f>
        <v>3900</v>
      </c>
      <c r="K144" s="45">
        <v>4.2152777777777782E-2</v>
      </c>
      <c r="L144" s="46" t="s">
        <v>307</v>
      </c>
      <c r="M144" s="38"/>
      <c r="N144" s="38"/>
      <c r="O144" s="38"/>
      <c r="P144" s="38"/>
      <c r="Q144" s="38"/>
      <c r="R144" s="48"/>
      <c r="S144" s="48"/>
      <c r="T144" s="48"/>
      <c r="U144" s="52"/>
      <c r="V144" s="50"/>
      <c r="W144" s="51"/>
      <c r="X144" s="38"/>
    </row>
    <row r="145" spans="1:24">
      <c r="A145" s="38">
        <v>85</v>
      </c>
      <c r="B145" s="38"/>
      <c r="C145" s="38"/>
      <c r="D145" s="38" t="s">
        <v>518</v>
      </c>
      <c r="E145" s="40" t="s">
        <v>519</v>
      </c>
      <c r="F145" s="41" t="s">
        <v>520</v>
      </c>
      <c r="G145" s="42" t="s">
        <v>521</v>
      </c>
      <c r="H145" s="43"/>
      <c r="I145" s="44"/>
      <c r="J145" s="38">
        <f>3.5*1000</f>
        <v>3500</v>
      </c>
      <c r="K145" s="45">
        <v>7.0949074074074074E-3</v>
      </c>
      <c r="L145" s="46" t="s">
        <v>307</v>
      </c>
      <c r="M145" s="38"/>
      <c r="N145" s="38"/>
      <c r="O145" s="38"/>
      <c r="P145" s="38"/>
      <c r="Q145" s="38"/>
      <c r="R145" s="48"/>
      <c r="S145" s="48"/>
      <c r="T145" s="48"/>
      <c r="U145" s="52"/>
      <c r="V145" s="50"/>
      <c r="W145" s="51"/>
      <c r="X145" s="38"/>
    </row>
    <row r="146" spans="1:24">
      <c r="A146" s="38">
        <v>86</v>
      </c>
      <c r="B146" s="38"/>
      <c r="C146" s="38"/>
      <c r="D146" s="38" t="s">
        <v>522</v>
      </c>
      <c r="E146" s="40" t="s">
        <v>523</v>
      </c>
      <c r="F146" s="58" t="s">
        <v>524</v>
      </c>
      <c r="G146" s="42" t="s">
        <v>525</v>
      </c>
      <c r="H146" s="43"/>
      <c r="I146" s="44"/>
      <c r="J146" s="38">
        <f>7.4*1000</f>
        <v>7400</v>
      </c>
      <c r="K146" s="45">
        <v>2.7337962962962963E-2</v>
      </c>
      <c r="L146" s="46" t="s">
        <v>307</v>
      </c>
      <c r="M146" s="38"/>
      <c r="N146" s="38"/>
      <c r="O146" s="38"/>
      <c r="P146" s="38"/>
      <c r="Q146" s="38"/>
      <c r="R146" s="48"/>
      <c r="S146" s="48"/>
      <c r="T146" s="48"/>
      <c r="U146" s="52"/>
      <c r="V146" s="50"/>
      <c r="W146" s="51"/>
      <c r="X146" s="38"/>
    </row>
    <row r="147" spans="1:24">
      <c r="A147" s="38">
        <v>87</v>
      </c>
      <c r="B147" s="38"/>
      <c r="C147" s="38"/>
      <c r="D147" s="38" t="s">
        <v>526</v>
      </c>
      <c r="E147" s="40" t="s">
        <v>527</v>
      </c>
      <c r="F147" s="41" t="s">
        <v>528</v>
      </c>
      <c r="G147" s="42" t="s">
        <v>122</v>
      </c>
      <c r="H147" s="43"/>
      <c r="I147" s="44"/>
      <c r="J147" s="38">
        <f>4*1000</f>
        <v>4000</v>
      </c>
      <c r="K147" s="45">
        <v>1.068287037037037E-2</v>
      </c>
      <c r="L147" s="46" t="s">
        <v>307</v>
      </c>
      <c r="M147" s="38"/>
      <c r="N147" s="38"/>
      <c r="O147" s="38"/>
      <c r="P147" s="38"/>
      <c r="Q147" s="38"/>
      <c r="R147" s="48"/>
      <c r="S147" s="48"/>
      <c r="T147" s="48"/>
      <c r="U147" s="52"/>
      <c r="V147" s="50"/>
      <c r="W147" s="51"/>
      <c r="X147" s="38"/>
    </row>
    <row r="148" spans="1:24">
      <c r="A148" s="38">
        <v>88</v>
      </c>
      <c r="B148" s="38"/>
      <c r="C148" s="38"/>
      <c r="D148" s="38" t="s">
        <v>529</v>
      </c>
      <c r="E148" s="40" t="s">
        <v>530</v>
      </c>
      <c r="F148" s="58" t="s">
        <v>531</v>
      </c>
      <c r="G148" s="42" t="s">
        <v>532</v>
      </c>
      <c r="H148" s="43"/>
      <c r="I148" s="44"/>
      <c r="J148" s="38">
        <f>4.1*1000</f>
        <v>4100</v>
      </c>
      <c r="K148" s="45">
        <v>1.8055555555555557E-2</v>
      </c>
      <c r="L148" s="46" t="s">
        <v>307</v>
      </c>
      <c r="M148" s="38"/>
      <c r="N148" s="38"/>
      <c r="O148" s="38"/>
      <c r="P148" s="38"/>
      <c r="Q148" s="38"/>
      <c r="R148" s="48"/>
      <c r="S148" s="48"/>
      <c r="T148" s="48"/>
      <c r="U148" s="52"/>
      <c r="V148" s="50"/>
      <c r="W148" s="51"/>
      <c r="X148" s="38"/>
    </row>
    <row r="149" spans="1:24">
      <c r="A149" s="38">
        <v>89</v>
      </c>
      <c r="B149" s="38"/>
      <c r="C149" s="38"/>
      <c r="D149" s="38" t="s">
        <v>533</v>
      </c>
      <c r="E149" s="40" t="s">
        <v>534</v>
      </c>
      <c r="F149" s="58" t="s">
        <v>535</v>
      </c>
      <c r="G149" s="42" t="s">
        <v>270</v>
      </c>
      <c r="H149" s="43"/>
      <c r="I149" s="44"/>
      <c r="J149" s="38">
        <f>15*1000</f>
        <v>15000</v>
      </c>
      <c r="K149" s="45">
        <v>4.02662037037037E-2</v>
      </c>
      <c r="L149" s="46" t="s">
        <v>307</v>
      </c>
      <c r="M149" s="38"/>
      <c r="N149" s="38"/>
      <c r="O149" s="38"/>
      <c r="P149" s="38"/>
      <c r="Q149" s="38"/>
      <c r="R149" s="48" t="s">
        <v>43</v>
      </c>
      <c r="S149" s="48" t="s">
        <v>71</v>
      </c>
      <c r="T149" s="48" t="s">
        <v>71</v>
      </c>
      <c r="U149" s="52"/>
      <c r="V149" s="50"/>
      <c r="W149" s="51"/>
      <c r="X149" s="38" t="s">
        <v>536</v>
      </c>
    </row>
    <row r="150" spans="1:24">
      <c r="A150" s="38">
        <v>90</v>
      </c>
      <c r="B150" s="38"/>
      <c r="C150" s="38"/>
      <c r="D150" s="38" t="s">
        <v>537</v>
      </c>
      <c r="E150" s="40" t="s">
        <v>538</v>
      </c>
      <c r="F150" s="41" t="s">
        <v>127</v>
      </c>
      <c r="G150" s="42" t="s">
        <v>351</v>
      </c>
      <c r="H150" s="43"/>
      <c r="I150" s="44"/>
      <c r="J150" s="38">
        <f>4.4*1000</f>
        <v>4400</v>
      </c>
      <c r="K150" s="45">
        <v>2.1643518518518518E-3</v>
      </c>
      <c r="L150" s="46" t="s">
        <v>307</v>
      </c>
      <c r="M150" s="38"/>
      <c r="N150" s="38"/>
      <c r="O150" s="38"/>
      <c r="P150" s="38"/>
      <c r="Q150" s="38"/>
      <c r="R150" s="48"/>
      <c r="S150" s="48"/>
      <c r="T150" s="48"/>
      <c r="U150" s="52"/>
      <c r="V150" s="50"/>
      <c r="W150" s="51"/>
      <c r="X150" s="56"/>
    </row>
    <row r="151" spans="1:24">
      <c r="A151" s="38">
        <v>91</v>
      </c>
      <c r="B151" s="38"/>
      <c r="C151" s="38"/>
      <c r="D151" s="38" t="s">
        <v>539</v>
      </c>
      <c r="E151" s="40" t="s">
        <v>540</v>
      </c>
      <c r="F151" s="58" t="s">
        <v>541</v>
      </c>
      <c r="G151" s="42" t="s">
        <v>542</v>
      </c>
      <c r="H151" s="43"/>
      <c r="I151" s="44"/>
      <c r="J151" s="38">
        <f>44*1000</f>
        <v>44000</v>
      </c>
      <c r="K151" s="45">
        <v>2.4074074074074071E-2</v>
      </c>
      <c r="L151" s="46" t="s">
        <v>307</v>
      </c>
      <c r="M151" s="38"/>
      <c r="N151" s="38"/>
      <c r="O151" s="38"/>
      <c r="P151" s="38"/>
      <c r="Q151" s="38"/>
      <c r="R151" s="48"/>
      <c r="S151" s="48"/>
      <c r="T151" s="48"/>
      <c r="U151" s="52"/>
      <c r="V151" s="50"/>
      <c r="W151" s="51"/>
      <c r="X151" s="56"/>
    </row>
    <row r="152" spans="1:24">
      <c r="A152" s="38">
        <v>92</v>
      </c>
      <c r="B152" s="38"/>
      <c r="C152" s="38"/>
      <c r="D152" s="38" t="s">
        <v>543</v>
      </c>
      <c r="E152" s="40" t="s">
        <v>544</v>
      </c>
      <c r="F152" s="58" t="s">
        <v>545</v>
      </c>
      <c r="G152" s="42" t="s">
        <v>546</v>
      </c>
      <c r="H152" s="43"/>
      <c r="I152" s="44"/>
      <c r="J152" s="38">
        <f>6.3*1000</f>
        <v>6300</v>
      </c>
      <c r="K152" s="45">
        <v>2.6006944444444447E-2</v>
      </c>
      <c r="L152" s="46" t="s">
        <v>307</v>
      </c>
      <c r="M152" s="38"/>
      <c r="N152" s="38"/>
      <c r="O152" s="38"/>
      <c r="P152" s="38"/>
      <c r="Q152" s="38"/>
      <c r="R152" s="48"/>
      <c r="S152" s="48"/>
      <c r="T152" s="48"/>
      <c r="U152" s="52"/>
      <c r="V152" s="50"/>
      <c r="W152" s="51"/>
      <c r="X152" s="56"/>
    </row>
    <row r="153" spans="1:24">
      <c r="A153" s="38">
        <v>93</v>
      </c>
      <c r="B153" s="38"/>
      <c r="C153" s="38"/>
      <c r="D153" s="38" t="s">
        <v>547</v>
      </c>
      <c r="E153" s="40" t="s">
        <v>548</v>
      </c>
      <c r="F153" s="58" t="s">
        <v>549</v>
      </c>
      <c r="G153" s="42">
        <v>986</v>
      </c>
      <c r="H153" s="43"/>
      <c r="I153" s="44"/>
      <c r="J153" s="38">
        <f>986</f>
        <v>986</v>
      </c>
      <c r="K153" s="45">
        <v>3.5682870370370372E-2</v>
      </c>
      <c r="L153" s="46" t="s">
        <v>307</v>
      </c>
      <c r="M153" s="38"/>
      <c r="N153" s="38"/>
      <c r="O153" s="38"/>
      <c r="P153" s="38"/>
      <c r="Q153" s="38"/>
      <c r="R153" s="48"/>
      <c r="S153" s="48"/>
      <c r="T153" s="48"/>
      <c r="U153" s="52"/>
      <c r="V153" s="50"/>
      <c r="W153" s="51"/>
      <c r="X153" s="56"/>
    </row>
    <row r="154" spans="1:24">
      <c r="A154" s="38">
        <v>94</v>
      </c>
      <c r="B154" s="38"/>
      <c r="C154" s="38"/>
      <c r="D154" s="38" t="s">
        <v>550</v>
      </c>
      <c r="E154" s="40" t="s">
        <v>551</v>
      </c>
      <c r="F154" s="61" t="s">
        <v>552</v>
      </c>
      <c r="G154" s="42" t="s">
        <v>462</v>
      </c>
      <c r="H154" s="43"/>
      <c r="I154" s="44"/>
      <c r="J154" s="38">
        <f>2.5*1000</f>
        <v>2500</v>
      </c>
      <c r="K154" s="45">
        <v>6.6493055555555555E-2</v>
      </c>
      <c r="L154" s="46" t="s">
        <v>307</v>
      </c>
      <c r="M154" s="38"/>
      <c r="N154" s="38"/>
      <c r="O154" s="38"/>
      <c r="P154" s="38"/>
      <c r="Q154" s="38"/>
      <c r="R154" s="48"/>
      <c r="S154" s="48"/>
      <c r="T154" s="48"/>
      <c r="U154" s="52"/>
      <c r="V154" s="50"/>
      <c r="W154" s="51"/>
      <c r="X154" s="56"/>
    </row>
    <row r="155" spans="1:24">
      <c r="A155" s="38">
        <v>95</v>
      </c>
      <c r="B155" s="38"/>
      <c r="C155" s="38"/>
      <c r="D155" s="38" t="s">
        <v>553</v>
      </c>
      <c r="E155" s="40" t="s">
        <v>554</v>
      </c>
      <c r="F155" s="41" t="s">
        <v>555</v>
      </c>
      <c r="G155" s="42" t="s">
        <v>187</v>
      </c>
      <c r="H155" s="43"/>
      <c r="I155" s="44"/>
      <c r="J155" s="38">
        <f>1.5*1000</f>
        <v>1500</v>
      </c>
      <c r="K155" s="45">
        <v>5.9027777777777776E-3</v>
      </c>
      <c r="L155" s="46" t="s">
        <v>307</v>
      </c>
      <c r="M155" s="38"/>
      <c r="N155" s="38"/>
      <c r="O155" s="38"/>
      <c r="P155" s="38"/>
      <c r="Q155" s="38"/>
      <c r="R155" s="48"/>
      <c r="S155" s="48"/>
      <c r="T155" s="48"/>
      <c r="U155" s="52"/>
      <c r="V155" s="50"/>
      <c r="W155" s="51"/>
      <c r="X155" s="56"/>
    </row>
    <row r="156" spans="1:24">
      <c r="A156" s="38">
        <v>96</v>
      </c>
      <c r="B156" s="38"/>
      <c r="C156" s="38"/>
      <c r="D156" s="38" t="s">
        <v>556</v>
      </c>
      <c r="E156" s="40" t="s">
        <v>557</v>
      </c>
      <c r="F156" s="41" t="s">
        <v>558</v>
      </c>
      <c r="G156" s="42" t="s">
        <v>445</v>
      </c>
      <c r="H156" s="43"/>
      <c r="I156" s="44"/>
      <c r="J156" s="38">
        <f>1.2*1000</f>
        <v>1200</v>
      </c>
      <c r="K156" s="45">
        <v>1.1655092592592594E-2</v>
      </c>
      <c r="L156" s="46" t="s">
        <v>307</v>
      </c>
      <c r="M156" s="38"/>
      <c r="N156" s="38"/>
      <c r="O156" s="38"/>
      <c r="P156" s="38"/>
      <c r="Q156" s="38"/>
      <c r="R156" s="48"/>
      <c r="S156" s="48"/>
      <c r="T156" s="48"/>
      <c r="U156" s="52"/>
      <c r="V156" s="50"/>
      <c r="W156" s="51"/>
      <c r="X156" s="56"/>
    </row>
    <row r="157" spans="1:24">
      <c r="A157" s="38">
        <v>97</v>
      </c>
      <c r="B157" s="38"/>
      <c r="C157" s="38"/>
      <c r="D157" s="38" t="s">
        <v>559</v>
      </c>
      <c r="E157" s="40" t="s">
        <v>560</v>
      </c>
      <c r="F157" s="58" t="s">
        <v>561</v>
      </c>
      <c r="G157" s="42" t="s">
        <v>155</v>
      </c>
      <c r="H157" s="43"/>
      <c r="I157" s="44"/>
      <c r="J157" s="38">
        <f>1.9*1000</f>
        <v>1900</v>
      </c>
      <c r="K157" s="45">
        <v>2.1087962962962961E-2</v>
      </c>
      <c r="L157" s="46" t="s">
        <v>307</v>
      </c>
      <c r="M157" s="38"/>
      <c r="N157" s="38"/>
      <c r="O157" s="38"/>
      <c r="P157" s="38"/>
      <c r="Q157" s="38"/>
      <c r="R157" s="48"/>
      <c r="S157" s="48"/>
      <c r="T157" s="48"/>
      <c r="U157" s="52"/>
      <c r="V157" s="50"/>
      <c r="W157" s="51"/>
      <c r="X157" s="56"/>
    </row>
    <row r="158" spans="1:24">
      <c r="A158" s="38">
        <v>98</v>
      </c>
      <c r="B158" s="38"/>
      <c r="C158" s="38"/>
      <c r="D158" s="38" t="s">
        <v>562</v>
      </c>
      <c r="E158" s="40" t="s">
        <v>563</v>
      </c>
      <c r="F158" s="58" t="s">
        <v>564</v>
      </c>
      <c r="G158" s="42" t="s">
        <v>438</v>
      </c>
      <c r="H158" s="43"/>
      <c r="I158" s="44"/>
      <c r="J158" s="38">
        <f>2.3*1000</f>
        <v>2300</v>
      </c>
      <c r="K158" s="45">
        <v>3.4467592592592591E-2</v>
      </c>
      <c r="L158" s="46" t="s">
        <v>307</v>
      </c>
      <c r="M158" s="38"/>
      <c r="N158" s="38"/>
      <c r="O158" s="38"/>
      <c r="P158" s="38"/>
      <c r="Q158" s="38"/>
      <c r="R158" s="48"/>
      <c r="S158" s="48"/>
      <c r="T158" s="48"/>
      <c r="U158" s="52"/>
      <c r="V158" s="50"/>
      <c r="W158" s="51"/>
      <c r="X158" s="56"/>
    </row>
    <row r="159" spans="1:24">
      <c r="A159" s="38">
        <v>99</v>
      </c>
      <c r="B159" s="38"/>
      <c r="C159" s="38"/>
      <c r="D159" s="38" t="s">
        <v>565</v>
      </c>
      <c r="E159" s="40" t="s">
        <v>566</v>
      </c>
      <c r="F159" s="58" t="s">
        <v>567</v>
      </c>
      <c r="G159" s="42" t="s">
        <v>568</v>
      </c>
      <c r="H159" s="43"/>
      <c r="I159" s="44"/>
      <c r="J159" s="38">
        <f>1.4*1000</f>
        <v>1400</v>
      </c>
      <c r="K159" s="45">
        <v>2.8483796296296295E-2</v>
      </c>
      <c r="L159" s="46" t="s">
        <v>307</v>
      </c>
      <c r="M159" s="38"/>
      <c r="N159" s="38"/>
      <c r="O159" s="38"/>
      <c r="P159" s="38"/>
      <c r="Q159" s="38"/>
      <c r="R159" s="48"/>
      <c r="S159" s="48"/>
      <c r="T159" s="48"/>
      <c r="U159" s="52"/>
      <c r="V159" s="50"/>
      <c r="W159" s="51"/>
      <c r="X159" s="56"/>
    </row>
    <row r="160" spans="1:24">
      <c r="A160" s="38">
        <v>100</v>
      </c>
      <c r="B160" s="38"/>
      <c r="C160" s="38"/>
      <c r="D160" s="38" t="s">
        <v>569</v>
      </c>
      <c r="E160" s="40" t="s">
        <v>570</v>
      </c>
      <c r="F160" s="58" t="s">
        <v>571</v>
      </c>
      <c r="G160" s="42" t="s">
        <v>510</v>
      </c>
      <c r="H160" s="43"/>
      <c r="I160" s="44"/>
      <c r="J160" s="38">
        <f>3.7*1000</f>
        <v>3700</v>
      </c>
      <c r="K160" s="45">
        <v>2.4837962962962964E-2</v>
      </c>
      <c r="L160" s="46" t="s">
        <v>307</v>
      </c>
      <c r="M160" s="38"/>
      <c r="N160" s="38"/>
      <c r="O160" s="38"/>
      <c r="P160" s="38"/>
      <c r="Q160" s="38"/>
      <c r="R160" s="48"/>
      <c r="S160" s="48"/>
      <c r="T160" s="48"/>
      <c r="U160" s="52"/>
      <c r="V160" s="50"/>
      <c r="W160" s="51"/>
      <c r="X160" s="56"/>
    </row>
    <row r="161" spans="1:24">
      <c r="A161" s="38">
        <v>101</v>
      </c>
      <c r="B161" s="38"/>
      <c r="C161" s="38"/>
      <c r="D161" s="38" t="s">
        <v>572</v>
      </c>
      <c r="E161" s="40" t="s">
        <v>573</v>
      </c>
      <c r="F161" s="61" t="s">
        <v>574</v>
      </c>
      <c r="G161" s="42" t="s">
        <v>575</v>
      </c>
      <c r="H161" s="43"/>
      <c r="I161" s="44"/>
      <c r="J161" s="38">
        <f>22*1000</f>
        <v>22000</v>
      </c>
      <c r="K161" s="45">
        <v>4.5879629629629631E-2</v>
      </c>
      <c r="L161" s="46" t="s">
        <v>307</v>
      </c>
      <c r="M161" s="38"/>
      <c r="N161" s="38"/>
      <c r="O161" s="38"/>
      <c r="P161" s="38"/>
      <c r="Q161" s="38"/>
      <c r="R161" s="48"/>
      <c r="S161" s="48"/>
      <c r="T161" s="48"/>
      <c r="U161" s="52"/>
      <c r="V161" s="50"/>
      <c r="W161" s="51"/>
      <c r="X161" s="56"/>
    </row>
    <row r="162" spans="1:24">
      <c r="A162" s="38">
        <v>102</v>
      </c>
      <c r="B162" s="38"/>
      <c r="C162" s="38"/>
      <c r="D162" s="38" t="s">
        <v>576</v>
      </c>
      <c r="E162" s="40" t="s">
        <v>577</v>
      </c>
      <c r="F162" s="41" t="s">
        <v>578</v>
      </c>
      <c r="G162" s="42" t="s">
        <v>374</v>
      </c>
      <c r="H162" s="43"/>
      <c r="I162" s="44"/>
      <c r="J162" s="38">
        <f>1.3*1000</f>
        <v>1300</v>
      </c>
      <c r="K162" s="45">
        <v>1.1990740740740739E-2</v>
      </c>
      <c r="L162" s="46" t="s">
        <v>307</v>
      </c>
      <c r="M162" s="38"/>
      <c r="N162" s="38"/>
      <c r="O162" s="38"/>
      <c r="P162" s="38"/>
      <c r="Q162" s="38"/>
      <c r="R162" s="48"/>
      <c r="S162" s="48"/>
      <c r="T162" s="48"/>
      <c r="U162" s="52"/>
      <c r="V162" s="50"/>
      <c r="W162" s="51"/>
      <c r="X162" s="56"/>
    </row>
    <row r="163" spans="1:24">
      <c r="A163" s="38">
        <v>103</v>
      </c>
      <c r="B163" s="38"/>
      <c r="C163" s="38"/>
      <c r="D163" s="38" t="s">
        <v>579</v>
      </c>
      <c r="E163" s="40" t="s">
        <v>580</v>
      </c>
      <c r="F163" s="61" t="s">
        <v>581</v>
      </c>
      <c r="G163" s="42" t="s">
        <v>486</v>
      </c>
      <c r="H163" s="43"/>
      <c r="I163" s="44"/>
      <c r="J163" s="38">
        <f>7.9*1000</f>
        <v>7900</v>
      </c>
      <c r="K163" s="45">
        <v>9.7002314814814805E-2</v>
      </c>
      <c r="L163" s="46" t="s">
        <v>307</v>
      </c>
      <c r="M163" s="38"/>
      <c r="N163" s="38"/>
      <c r="O163" s="38"/>
      <c r="P163" s="38"/>
      <c r="Q163" s="38"/>
      <c r="R163" s="48"/>
      <c r="S163" s="48"/>
      <c r="T163" s="48"/>
      <c r="U163" s="52"/>
      <c r="V163" s="50"/>
      <c r="W163" s="51"/>
      <c r="X163" s="56"/>
    </row>
    <row r="164" spans="1:24">
      <c r="A164" s="38">
        <v>104</v>
      </c>
      <c r="B164" s="38"/>
      <c r="C164" s="38"/>
      <c r="D164" s="38" t="s">
        <v>582</v>
      </c>
      <c r="E164" s="40" t="s">
        <v>583</v>
      </c>
      <c r="F164" s="58" t="s">
        <v>584</v>
      </c>
      <c r="G164" s="42" t="s">
        <v>122</v>
      </c>
      <c r="H164" s="43"/>
      <c r="I164" s="44"/>
      <c r="J164" s="38">
        <f>4*1000</f>
        <v>4000</v>
      </c>
      <c r="K164" s="45">
        <v>2.3530092592592592E-2</v>
      </c>
      <c r="L164" s="46" t="s">
        <v>307</v>
      </c>
      <c r="M164" s="38"/>
      <c r="N164" s="38"/>
      <c r="O164" s="38"/>
      <c r="P164" s="38"/>
      <c r="Q164" s="38"/>
      <c r="R164" s="48"/>
      <c r="S164" s="48"/>
      <c r="T164" s="48"/>
      <c r="U164" s="52"/>
      <c r="V164" s="50"/>
      <c r="W164" s="51"/>
      <c r="X164" s="56"/>
    </row>
    <row r="165" spans="1:24">
      <c r="A165" s="38">
        <v>105</v>
      </c>
      <c r="B165" s="38"/>
      <c r="C165" s="38"/>
      <c r="D165" s="38" t="s">
        <v>585</v>
      </c>
      <c r="E165" s="40" t="s">
        <v>586</v>
      </c>
      <c r="F165" s="61" t="s">
        <v>587</v>
      </c>
      <c r="G165" s="42" t="s">
        <v>210</v>
      </c>
      <c r="H165" s="43"/>
      <c r="I165" s="44"/>
      <c r="J165" s="38">
        <f>3.6*1000</f>
        <v>3600</v>
      </c>
      <c r="K165" s="45">
        <v>8.9583333333333334E-2</v>
      </c>
      <c r="L165" s="46" t="s">
        <v>307</v>
      </c>
      <c r="M165" s="38"/>
      <c r="N165" s="38"/>
      <c r="O165" s="38"/>
      <c r="P165" s="38"/>
      <c r="Q165" s="38"/>
      <c r="R165" s="48"/>
      <c r="S165" s="48"/>
      <c r="T165" s="48"/>
      <c r="U165" s="52"/>
      <c r="V165" s="50"/>
      <c r="W165" s="51"/>
      <c r="X165" s="56"/>
    </row>
    <row r="166" spans="1:24">
      <c r="A166" s="38">
        <v>106</v>
      </c>
      <c r="B166" s="38"/>
      <c r="C166" s="38"/>
      <c r="D166" s="38" t="s">
        <v>588</v>
      </c>
      <c r="E166" s="40" t="s">
        <v>589</v>
      </c>
      <c r="F166" s="61" t="s">
        <v>590</v>
      </c>
      <c r="G166" s="42" t="s">
        <v>490</v>
      </c>
      <c r="H166" s="43"/>
      <c r="I166" s="44"/>
      <c r="J166" s="38">
        <f t="shared" ref="J166:J167" si="20">11*1000</f>
        <v>11000</v>
      </c>
      <c r="K166" s="45">
        <v>5.4884259259259265E-2</v>
      </c>
      <c r="L166" s="46" t="s">
        <v>307</v>
      </c>
      <c r="M166" s="38"/>
      <c r="N166" s="38"/>
      <c r="O166" s="38"/>
      <c r="P166" s="38"/>
      <c r="Q166" s="38"/>
      <c r="R166" s="48"/>
      <c r="S166" s="48"/>
      <c r="T166" s="48"/>
      <c r="U166" s="52"/>
      <c r="V166" s="50"/>
      <c r="W166" s="51"/>
      <c r="X166" s="56"/>
    </row>
    <row r="167" spans="1:24">
      <c r="A167" s="38">
        <v>107</v>
      </c>
      <c r="B167" s="38"/>
      <c r="C167" s="38"/>
      <c r="D167" s="38" t="s">
        <v>591</v>
      </c>
      <c r="E167" s="40" t="s">
        <v>592</v>
      </c>
      <c r="F167" s="61" t="s">
        <v>593</v>
      </c>
      <c r="G167" s="42" t="s">
        <v>490</v>
      </c>
      <c r="H167" s="43"/>
      <c r="I167" s="44"/>
      <c r="J167" s="38">
        <f t="shared" si="20"/>
        <v>11000</v>
      </c>
      <c r="K167" s="45">
        <v>8.446759259259258E-2</v>
      </c>
      <c r="L167" s="46" t="s">
        <v>307</v>
      </c>
      <c r="M167" s="38"/>
      <c r="N167" s="38"/>
      <c r="O167" s="38"/>
      <c r="P167" s="38"/>
      <c r="Q167" s="38"/>
      <c r="R167" s="48"/>
      <c r="S167" s="48"/>
      <c r="T167" s="48"/>
      <c r="U167" s="52"/>
      <c r="V167" s="50"/>
      <c r="W167" s="51"/>
      <c r="X167" s="56"/>
    </row>
    <row r="168" spans="1:24">
      <c r="A168" s="38">
        <v>108</v>
      </c>
      <c r="B168" s="38"/>
      <c r="C168" s="38"/>
      <c r="D168" s="38" t="s">
        <v>594</v>
      </c>
      <c r="E168" s="40" t="s">
        <v>595</v>
      </c>
      <c r="F168" s="61" t="s">
        <v>596</v>
      </c>
      <c r="G168" s="42" t="s">
        <v>597</v>
      </c>
      <c r="H168" s="43"/>
      <c r="I168" s="44"/>
      <c r="J168" s="38">
        <f>2.6*1000</f>
        <v>2600</v>
      </c>
      <c r="K168" s="45">
        <v>5.2893518518518513E-2</v>
      </c>
      <c r="L168" s="46" t="s">
        <v>307</v>
      </c>
      <c r="M168" s="38"/>
      <c r="N168" s="38"/>
      <c r="O168" s="38"/>
      <c r="P168" s="38"/>
      <c r="Q168" s="38"/>
      <c r="R168" s="48"/>
      <c r="S168" s="48"/>
      <c r="T168" s="48"/>
      <c r="U168" s="52"/>
      <c r="V168" s="50"/>
      <c r="W168" s="51"/>
      <c r="X168" s="56"/>
    </row>
    <row r="169" spans="1:24">
      <c r="A169" s="38">
        <v>109</v>
      </c>
      <c r="B169" s="38"/>
      <c r="C169" s="38"/>
      <c r="D169" s="38" t="s">
        <v>598</v>
      </c>
      <c r="E169" s="40" t="s">
        <v>599</v>
      </c>
      <c r="F169" s="58" t="s">
        <v>600</v>
      </c>
      <c r="G169" s="42" t="s">
        <v>568</v>
      </c>
      <c r="H169" s="43"/>
      <c r="I169" s="44"/>
      <c r="J169" s="38">
        <f>1.4*1000</f>
        <v>1400</v>
      </c>
      <c r="K169" s="45">
        <v>3.1817129629629633E-2</v>
      </c>
      <c r="L169" s="46" t="s">
        <v>307</v>
      </c>
      <c r="M169" s="38"/>
      <c r="N169" s="38"/>
      <c r="O169" s="38"/>
      <c r="P169" s="38"/>
      <c r="Q169" s="38"/>
      <c r="R169" s="48"/>
      <c r="S169" s="48"/>
      <c r="T169" s="48"/>
      <c r="U169" s="52"/>
      <c r="V169" s="50"/>
      <c r="W169" s="51"/>
      <c r="X169" s="56"/>
    </row>
    <row r="170" spans="1:24">
      <c r="A170" s="38">
        <v>110</v>
      </c>
      <c r="B170" s="38"/>
      <c r="C170" s="38"/>
      <c r="D170" s="38" t="s">
        <v>601</v>
      </c>
      <c r="E170" s="40" t="s">
        <v>602</v>
      </c>
      <c r="F170" s="61" t="s">
        <v>603</v>
      </c>
      <c r="G170" s="42" t="s">
        <v>270</v>
      </c>
      <c r="H170" s="43"/>
      <c r="I170" s="44"/>
      <c r="J170" s="38">
        <f>15*1000</f>
        <v>15000</v>
      </c>
      <c r="K170" s="45">
        <v>0.10678240740740741</v>
      </c>
      <c r="L170" s="46" t="s">
        <v>307</v>
      </c>
      <c r="M170" s="38"/>
      <c r="N170" s="38"/>
      <c r="O170" s="38"/>
      <c r="P170" s="38"/>
      <c r="Q170" s="38"/>
      <c r="R170" s="48"/>
      <c r="S170" s="48"/>
      <c r="T170" s="48"/>
      <c r="U170" s="52"/>
      <c r="V170" s="50"/>
      <c r="W170" s="51"/>
      <c r="X170" s="56"/>
    </row>
    <row r="171" spans="1:24">
      <c r="A171" s="38">
        <v>111</v>
      </c>
      <c r="B171" s="38"/>
      <c r="C171" s="38"/>
      <c r="D171" s="38" t="s">
        <v>604</v>
      </c>
      <c r="E171" s="40" t="s">
        <v>605</v>
      </c>
      <c r="F171" s="41" t="s">
        <v>606</v>
      </c>
      <c r="G171" s="42">
        <v>888</v>
      </c>
      <c r="H171" s="43"/>
      <c r="I171" s="44"/>
      <c r="J171" s="38">
        <f>888</f>
        <v>888</v>
      </c>
      <c r="K171" s="45">
        <v>4.3055555555555555E-3</v>
      </c>
      <c r="L171" s="46" t="s">
        <v>307</v>
      </c>
      <c r="M171" s="38"/>
      <c r="N171" s="38"/>
      <c r="O171" s="38"/>
      <c r="P171" s="38"/>
      <c r="Q171" s="38"/>
      <c r="R171" s="48"/>
      <c r="S171" s="48"/>
      <c r="T171" s="48"/>
      <c r="U171" s="52"/>
      <c r="V171" s="50"/>
      <c r="W171" s="51"/>
      <c r="X171" s="56"/>
    </row>
    <row r="172" spans="1:24">
      <c r="A172" s="38">
        <v>112</v>
      </c>
      <c r="B172" s="38"/>
      <c r="C172" s="38"/>
      <c r="D172" s="38" t="s">
        <v>607</v>
      </c>
      <c r="E172" s="40" t="s">
        <v>608</v>
      </c>
      <c r="F172" s="58" t="s">
        <v>609</v>
      </c>
      <c r="G172" s="42">
        <v>466</v>
      </c>
      <c r="H172" s="43"/>
      <c r="I172" s="44"/>
      <c r="J172" s="38">
        <f>466</f>
        <v>466</v>
      </c>
      <c r="K172" s="45">
        <v>2.6064814814814815E-2</v>
      </c>
      <c r="L172" s="46" t="s">
        <v>307</v>
      </c>
      <c r="M172" s="38"/>
      <c r="N172" s="38"/>
      <c r="O172" s="38"/>
      <c r="P172" s="38"/>
      <c r="Q172" s="38"/>
      <c r="R172" s="48"/>
      <c r="S172" s="48"/>
      <c r="T172" s="48"/>
      <c r="U172" s="52"/>
      <c r="V172" s="50"/>
      <c r="W172" s="51"/>
      <c r="X172" s="56"/>
    </row>
    <row r="173" spans="1:24">
      <c r="A173" s="38">
        <v>113</v>
      </c>
      <c r="B173" s="38"/>
      <c r="C173" s="38"/>
      <c r="D173" s="38" t="s">
        <v>610</v>
      </c>
      <c r="E173" s="40" t="s">
        <v>611</v>
      </c>
      <c r="F173" s="58" t="s">
        <v>612</v>
      </c>
      <c r="G173" s="42" t="s">
        <v>214</v>
      </c>
      <c r="H173" s="43"/>
      <c r="I173" s="44"/>
      <c r="J173" s="38">
        <f>1*1000</f>
        <v>1000</v>
      </c>
      <c r="K173" s="45">
        <v>2.3506944444444445E-2</v>
      </c>
      <c r="L173" s="46" t="s">
        <v>307</v>
      </c>
      <c r="M173" s="38"/>
      <c r="N173" s="38"/>
      <c r="O173" s="38"/>
      <c r="P173" s="38"/>
      <c r="Q173" s="38"/>
      <c r="R173" s="48"/>
      <c r="S173" s="48"/>
      <c r="T173" s="48"/>
      <c r="U173" s="52"/>
      <c r="V173" s="50"/>
      <c r="W173" s="51"/>
      <c r="X173" s="56"/>
    </row>
    <row r="174" spans="1:24">
      <c r="A174" s="38">
        <v>114</v>
      </c>
      <c r="B174" s="38"/>
      <c r="C174" s="38"/>
      <c r="D174" s="38" t="s">
        <v>613</v>
      </c>
      <c r="E174" s="40" t="s">
        <v>614</v>
      </c>
      <c r="F174" s="41" t="s">
        <v>615</v>
      </c>
      <c r="G174" s="42" t="s">
        <v>568</v>
      </c>
      <c r="H174" s="43"/>
      <c r="I174" s="44"/>
      <c r="J174" s="38">
        <f>1.4*1000</f>
        <v>1400</v>
      </c>
      <c r="K174" s="45">
        <v>1.1608796296296296E-2</v>
      </c>
      <c r="L174" s="46" t="s">
        <v>307</v>
      </c>
      <c r="M174" s="38"/>
      <c r="N174" s="38"/>
      <c r="O174" s="38"/>
      <c r="P174" s="38"/>
      <c r="Q174" s="38"/>
      <c r="R174" s="48"/>
      <c r="S174" s="48"/>
      <c r="T174" s="48"/>
      <c r="U174" s="52"/>
      <c r="V174" s="50"/>
      <c r="W174" s="51"/>
      <c r="X174" s="56"/>
    </row>
    <row r="175" spans="1:24">
      <c r="A175" s="38">
        <v>115</v>
      </c>
      <c r="B175" s="38"/>
      <c r="C175" s="38"/>
      <c r="D175" s="38" t="s">
        <v>616</v>
      </c>
      <c r="E175" s="40" t="s">
        <v>617</v>
      </c>
      <c r="F175" s="58" t="s">
        <v>618</v>
      </c>
      <c r="G175" s="42">
        <v>602</v>
      </c>
      <c r="H175" s="43"/>
      <c r="I175" s="44"/>
      <c r="J175" s="38">
        <f>602</f>
        <v>602</v>
      </c>
      <c r="K175" s="45">
        <v>2.1805555555555554E-2</v>
      </c>
      <c r="L175" s="46" t="s">
        <v>307</v>
      </c>
      <c r="M175" s="38"/>
      <c r="N175" s="38"/>
      <c r="O175" s="38"/>
      <c r="P175" s="38"/>
      <c r="Q175" s="38"/>
      <c r="R175" s="48"/>
      <c r="S175" s="48"/>
      <c r="T175" s="48"/>
      <c r="U175" s="52"/>
      <c r="V175" s="50"/>
      <c r="W175" s="51"/>
      <c r="X175" s="56"/>
    </row>
    <row r="176" spans="1:24">
      <c r="A176" s="38">
        <v>116</v>
      </c>
      <c r="B176" s="38"/>
      <c r="C176" s="38"/>
      <c r="D176" s="38" t="s">
        <v>619</v>
      </c>
      <c r="E176" s="40" t="s">
        <v>620</v>
      </c>
      <c r="F176" s="58" t="s">
        <v>621</v>
      </c>
      <c r="G176" s="42">
        <v>317</v>
      </c>
      <c r="H176" s="43"/>
      <c r="I176" s="44"/>
      <c r="J176" s="38">
        <f>317</f>
        <v>317</v>
      </c>
      <c r="K176" s="45">
        <v>2.9108796296296296E-2</v>
      </c>
      <c r="L176" s="46" t="s">
        <v>307</v>
      </c>
      <c r="M176" s="38"/>
      <c r="N176" s="38"/>
      <c r="O176" s="38"/>
      <c r="P176" s="38"/>
      <c r="Q176" s="38"/>
      <c r="R176" s="48"/>
      <c r="S176" s="48"/>
      <c r="T176" s="48"/>
      <c r="U176" s="52"/>
      <c r="V176" s="50"/>
      <c r="W176" s="51"/>
      <c r="X176" s="56"/>
    </row>
    <row r="177" spans="1:24">
      <c r="A177" s="38">
        <v>117</v>
      </c>
      <c r="B177" s="38"/>
      <c r="C177" s="38"/>
      <c r="D177" s="38" t="s">
        <v>622</v>
      </c>
      <c r="E177" s="40" t="s">
        <v>623</v>
      </c>
      <c r="F177" s="41" t="s">
        <v>624</v>
      </c>
      <c r="G177" s="42">
        <v>756</v>
      </c>
      <c r="H177" s="43"/>
      <c r="I177" s="44"/>
      <c r="J177" s="38">
        <f>756</f>
        <v>756</v>
      </c>
      <c r="K177" s="45">
        <v>1.3333333333333334E-2</v>
      </c>
      <c r="L177" s="46" t="s">
        <v>307</v>
      </c>
      <c r="M177" s="38"/>
      <c r="N177" s="38"/>
      <c r="O177" s="38"/>
      <c r="P177" s="38"/>
      <c r="Q177" s="38"/>
      <c r="R177" s="48"/>
      <c r="S177" s="48"/>
      <c r="T177" s="48"/>
      <c r="U177" s="52"/>
      <c r="V177" s="50"/>
      <c r="W177" s="51"/>
      <c r="X177" s="56"/>
    </row>
    <row r="178" spans="1:24">
      <c r="A178" s="38">
        <v>118</v>
      </c>
      <c r="B178" s="38"/>
      <c r="C178" s="38"/>
      <c r="D178" s="38" t="s">
        <v>625</v>
      </c>
      <c r="E178" s="40" t="s">
        <v>626</v>
      </c>
      <c r="F178" s="41" t="s">
        <v>627</v>
      </c>
      <c r="G178" s="42">
        <v>493</v>
      </c>
      <c r="H178" s="43"/>
      <c r="I178" s="44"/>
      <c r="J178" s="38">
        <f>493</f>
        <v>493</v>
      </c>
      <c r="K178" s="45">
        <v>1.2581018518518519E-2</v>
      </c>
      <c r="L178" s="46" t="s">
        <v>307</v>
      </c>
      <c r="M178" s="38"/>
      <c r="N178" s="38"/>
      <c r="O178" s="38"/>
      <c r="P178" s="38"/>
      <c r="Q178" s="38"/>
      <c r="R178" s="48"/>
      <c r="S178" s="48"/>
      <c r="T178" s="48"/>
      <c r="U178" s="52"/>
      <c r="V178" s="50"/>
      <c r="W178" s="51"/>
      <c r="X178" s="56"/>
    </row>
    <row r="179" spans="1:24">
      <c r="A179" s="38">
        <v>119</v>
      </c>
      <c r="B179" s="38"/>
      <c r="C179" s="38"/>
      <c r="D179" s="38" t="s">
        <v>628</v>
      </c>
      <c r="E179" s="40" t="s">
        <v>629</v>
      </c>
      <c r="F179" s="58" t="s">
        <v>630</v>
      </c>
      <c r="G179" s="42" t="s">
        <v>214</v>
      </c>
      <c r="H179" s="43"/>
      <c r="I179" s="44"/>
      <c r="J179" s="38">
        <f>1*1000</f>
        <v>1000</v>
      </c>
      <c r="K179" s="45">
        <v>3.6481481481481483E-2</v>
      </c>
      <c r="L179" s="46" t="s">
        <v>307</v>
      </c>
      <c r="M179" s="38"/>
      <c r="N179" s="38"/>
      <c r="O179" s="38"/>
      <c r="P179" s="38"/>
      <c r="Q179" s="38"/>
      <c r="R179" s="48"/>
      <c r="S179" s="48"/>
      <c r="T179" s="48"/>
      <c r="U179" s="52"/>
      <c r="V179" s="50"/>
      <c r="W179" s="51"/>
      <c r="X179" s="56"/>
    </row>
    <row r="180" spans="1:24">
      <c r="A180" s="38">
        <v>120</v>
      </c>
      <c r="B180" s="38"/>
      <c r="C180" s="38"/>
      <c r="D180" s="38" t="s">
        <v>631</v>
      </c>
      <c r="E180" s="40" t="s">
        <v>632</v>
      </c>
      <c r="F180" s="58" t="s">
        <v>633</v>
      </c>
      <c r="G180" s="42">
        <v>619</v>
      </c>
      <c r="H180" s="43"/>
      <c r="I180" s="44"/>
      <c r="J180" s="38">
        <f>619</f>
        <v>619</v>
      </c>
      <c r="K180" s="45">
        <v>3.5949074074074071E-2</v>
      </c>
      <c r="L180" s="46" t="s">
        <v>307</v>
      </c>
      <c r="M180" s="38"/>
      <c r="N180" s="38"/>
      <c r="O180" s="38"/>
      <c r="P180" s="38"/>
      <c r="Q180" s="38"/>
      <c r="R180" s="48"/>
      <c r="S180" s="48"/>
      <c r="T180" s="48"/>
      <c r="U180" s="52"/>
      <c r="V180" s="50"/>
      <c r="W180" s="51"/>
      <c r="X180" s="56"/>
    </row>
    <row r="181" spans="1:24">
      <c r="A181" s="38">
        <v>121</v>
      </c>
      <c r="B181" s="38"/>
      <c r="C181" s="38"/>
      <c r="D181" s="38" t="s">
        <v>634</v>
      </c>
      <c r="E181" s="40" t="s">
        <v>635</v>
      </c>
      <c r="F181" s="58" t="s">
        <v>636</v>
      </c>
      <c r="G181" s="42">
        <v>658</v>
      </c>
      <c r="H181" s="43"/>
      <c r="I181" s="44"/>
      <c r="J181" s="38">
        <f>658</f>
        <v>658</v>
      </c>
      <c r="K181" s="45">
        <v>3.7592592592592594E-2</v>
      </c>
      <c r="L181" s="46" t="s">
        <v>307</v>
      </c>
      <c r="M181" s="38"/>
      <c r="N181" s="38"/>
      <c r="O181" s="38"/>
      <c r="P181" s="38"/>
      <c r="Q181" s="38"/>
      <c r="R181" s="48"/>
      <c r="S181" s="48"/>
      <c r="T181" s="48"/>
      <c r="U181" s="52"/>
      <c r="V181" s="50"/>
      <c r="W181" s="51"/>
      <c r="X181" s="56"/>
    </row>
    <row r="182" spans="1:24">
      <c r="A182" s="38">
        <v>122</v>
      </c>
      <c r="B182" s="38"/>
      <c r="C182" s="38"/>
      <c r="D182" s="38" t="s">
        <v>637</v>
      </c>
      <c r="E182" s="40" t="s">
        <v>638</v>
      </c>
      <c r="F182" s="61" t="s">
        <v>639</v>
      </c>
      <c r="G182" s="42" t="s">
        <v>187</v>
      </c>
      <c r="H182" s="43"/>
      <c r="I182" s="44"/>
      <c r="J182" s="38">
        <f>1.5*1000</f>
        <v>1500</v>
      </c>
      <c r="K182" s="45">
        <v>4.7395833333333331E-2</v>
      </c>
      <c r="L182" s="46" t="s">
        <v>307</v>
      </c>
      <c r="M182" s="38"/>
      <c r="N182" s="38"/>
      <c r="O182" s="38"/>
      <c r="P182" s="38"/>
      <c r="Q182" s="38"/>
      <c r="R182" s="48"/>
      <c r="S182" s="48"/>
      <c r="T182" s="48"/>
      <c r="U182" s="52"/>
      <c r="V182" s="50"/>
      <c r="W182" s="51"/>
      <c r="X182" s="56"/>
    </row>
    <row r="183" spans="1:24">
      <c r="A183" s="38">
        <v>123</v>
      </c>
      <c r="B183" s="38"/>
      <c r="C183" s="38"/>
      <c r="D183" s="38" t="s">
        <v>640</v>
      </c>
      <c r="E183" s="40" t="s">
        <v>641</v>
      </c>
      <c r="F183" s="61" t="s">
        <v>642</v>
      </c>
      <c r="G183" s="42" t="s">
        <v>256</v>
      </c>
      <c r="H183" s="43"/>
      <c r="I183" s="44"/>
      <c r="J183" s="38">
        <f>2.1*1000</f>
        <v>2100</v>
      </c>
      <c r="K183" s="45">
        <v>4.7511574074074074E-2</v>
      </c>
      <c r="L183" s="46" t="s">
        <v>307</v>
      </c>
      <c r="M183" s="38"/>
      <c r="N183" s="38"/>
      <c r="O183" s="38"/>
      <c r="P183" s="38"/>
      <c r="Q183" s="38"/>
      <c r="R183" s="48"/>
      <c r="S183" s="48"/>
      <c r="T183" s="48"/>
      <c r="U183" s="52"/>
      <c r="V183" s="50"/>
      <c r="W183" s="51"/>
      <c r="X183" s="56"/>
    </row>
    <row r="184" spans="1:24">
      <c r="A184" s="38">
        <v>124</v>
      </c>
      <c r="B184" s="38"/>
      <c r="C184" s="38"/>
      <c r="D184" s="38" t="s">
        <v>643</v>
      </c>
      <c r="E184" s="40" t="s">
        <v>644</v>
      </c>
      <c r="F184" s="41" t="s">
        <v>645</v>
      </c>
      <c r="G184" s="42" t="s">
        <v>396</v>
      </c>
      <c r="H184" s="43"/>
      <c r="I184" s="44"/>
      <c r="J184" s="38">
        <f>1.1*1000</f>
        <v>1100</v>
      </c>
      <c r="K184" s="45">
        <v>1.5659722222222224E-2</v>
      </c>
      <c r="L184" s="46" t="s">
        <v>307</v>
      </c>
      <c r="M184" s="38"/>
      <c r="N184" s="38"/>
      <c r="O184" s="38"/>
      <c r="P184" s="38"/>
      <c r="Q184" s="38"/>
      <c r="R184" s="48"/>
      <c r="S184" s="48"/>
      <c r="T184" s="48"/>
      <c r="U184" s="52"/>
      <c r="V184" s="50"/>
      <c r="W184" s="51"/>
      <c r="X184" s="56"/>
    </row>
    <row r="185" spans="1:24">
      <c r="A185" s="38">
        <v>125</v>
      </c>
      <c r="B185" s="38"/>
      <c r="C185" s="38"/>
      <c r="D185" s="38" t="s">
        <v>646</v>
      </c>
      <c r="E185" s="40" t="s">
        <v>647</v>
      </c>
      <c r="F185" s="61" t="s">
        <v>648</v>
      </c>
      <c r="G185" s="42" t="s">
        <v>438</v>
      </c>
      <c r="H185" s="43"/>
      <c r="I185" s="44"/>
      <c r="J185" s="38">
        <f>2.3*1000</f>
        <v>2300</v>
      </c>
      <c r="K185" s="45">
        <v>5.4293981481481485E-2</v>
      </c>
      <c r="L185" s="46" t="s">
        <v>307</v>
      </c>
      <c r="M185" s="38"/>
      <c r="N185" s="38"/>
      <c r="O185" s="38"/>
      <c r="P185" s="38"/>
      <c r="Q185" s="38"/>
      <c r="R185" s="48"/>
      <c r="S185" s="48"/>
      <c r="T185" s="48"/>
      <c r="U185" s="52"/>
      <c r="V185" s="50"/>
      <c r="W185" s="51"/>
      <c r="X185" s="56"/>
    </row>
    <row r="186" spans="1:24">
      <c r="A186" s="38">
        <v>126</v>
      </c>
      <c r="B186" s="38"/>
      <c r="C186" s="38"/>
      <c r="D186" s="38" t="s">
        <v>649</v>
      </c>
      <c r="E186" s="40" t="s">
        <v>650</v>
      </c>
      <c r="F186" s="58" t="s">
        <v>651</v>
      </c>
      <c r="G186" s="42" t="s">
        <v>256</v>
      </c>
      <c r="H186" s="43"/>
      <c r="I186" s="44"/>
      <c r="J186" s="38">
        <f>2.1*1000</f>
        <v>2100</v>
      </c>
      <c r="K186" s="45">
        <v>2.6249999999999999E-2</v>
      </c>
      <c r="L186" s="46" t="s">
        <v>307</v>
      </c>
      <c r="M186" s="38"/>
      <c r="N186" s="38"/>
      <c r="O186" s="38"/>
      <c r="P186" s="38"/>
      <c r="Q186" s="38"/>
      <c r="R186" s="48"/>
      <c r="S186" s="48"/>
      <c r="T186" s="48"/>
      <c r="U186" s="52"/>
      <c r="V186" s="50"/>
      <c r="W186" s="51"/>
      <c r="X186" s="56"/>
    </row>
    <row r="187" spans="1:24">
      <c r="A187" s="38">
        <v>127</v>
      </c>
      <c r="B187" s="38"/>
      <c r="C187" s="38"/>
      <c r="D187" s="38" t="s">
        <v>652</v>
      </c>
      <c r="E187" s="40" t="s">
        <v>653</v>
      </c>
      <c r="F187" s="58" t="s">
        <v>654</v>
      </c>
      <c r="G187" s="42" t="s">
        <v>249</v>
      </c>
      <c r="H187" s="43"/>
      <c r="I187" s="44"/>
      <c r="J187" s="38">
        <f>2.4*1000</f>
        <v>2400</v>
      </c>
      <c r="K187" s="45">
        <v>2.8645833333333332E-2</v>
      </c>
      <c r="L187" s="46" t="s">
        <v>307</v>
      </c>
      <c r="M187" s="38"/>
      <c r="N187" s="38"/>
      <c r="O187" s="38"/>
      <c r="P187" s="38"/>
      <c r="Q187" s="38"/>
      <c r="R187" s="48"/>
      <c r="S187" s="48"/>
      <c r="T187" s="48"/>
      <c r="U187" s="52"/>
      <c r="V187" s="50"/>
      <c r="W187" s="51"/>
      <c r="X187" s="56"/>
    </row>
    <row r="188" spans="1:24">
      <c r="A188" s="38">
        <v>128</v>
      </c>
      <c r="B188" s="38"/>
      <c r="C188" s="38"/>
      <c r="D188" s="38" t="s">
        <v>655</v>
      </c>
      <c r="E188" s="40" t="s">
        <v>656</v>
      </c>
      <c r="F188" s="58" t="s">
        <v>657</v>
      </c>
      <c r="G188" s="42" t="s">
        <v>568</v>
      </c>
      <c r="H188" s="43"/>
      <c r="I188" s="44"/>
      <c r="J188" s="38">
        <f>1.4*1000</f>
        <v>1400</v>
      </c>
      <c r="K188" s="45">
        <v>3.318287037037037E-2</v>
      </c>
      <c r="L188" s="46" t="s">
        <v>307</v>
      </c>
      <c r="M188" s="38"/>
      <c r="N188" s="38"/>
      <c r="O188" s="38"/>
      <c r="P188" s="38"/>
      <c r="Q188" s="38"/>
      <c r="R188" s="48"/>
      <c r="S188" s="48"/>
      <c r="T188" s="48"/>
      <c r="U188" s="52"/>
      <c r="V188" s="50"/>
      <c r="W188" s="51"/>
      <c r="X188" s="56"/>
    </row>
    <row r="189" spans="1:24">
      <c r="A189" s="38">
        <v>129</v>
      </c>
      <c r="B189" s="38"/>
      <c r="C189" s="38"/>
      <c r="D189" s="38" t="s">
        <v>658</v>
      </c>
      <c r="E189" s="40" t="s">
        <v>659</v>
      </c>
      <c r="F189" s="41" t="s">
        <v>660</v>
      </c>
      <c r="G189" s="42" t="s">
        <v>661</v>
      </c>
      <c r="H189" s="43"/>
      <c r="I189" s="44"/>
      <c r="J189" s="38">
        <f>19*1000</f>
        <v>19000</v>
      </c>
      <c r="K189" s="45">
        <v>1.1620370370370371E-2</v>
      </c>
      <c r="L189" s="46" t="s">
        <v>307</v>
      </c>
      <c r="M189" s="38"/>
      <c r="N189" s="38"/>
      <c r="O189" s="38"/>
      <c r="P189" s="38"/>
      <c r="Q189" s="38"/>
      <c r="R189" s="48"/>
      <c r="S189" s="48"/>
      <c r="T189" s="48"/>
      <c r="U189" s="52"/>
      <c r="V189" s="50"/>
      <c r="W189" s="51"/>
      <c r="X189" s="56"/>
    </row>
    <row r="190" spans="1:24">
      <c r="A190" s="38">
        <v>130</v>
      </c>
      <c r="B190" s="38"/>
      <c r="C190" s="38"/>
      <c r="D190" s="38" t="s">
        <v>662</v>
      </c>
      <c r="E190" s="40" t="s">
        <v>663</v>
      </c>
      <c r="F190" s="41" t="s">
        <v>664</v>
      </c>
      <c r="G190" s="42">
        <v>651</v>
      </c>
      <c r="H190" s="43"/>
      <c r="I190" s="44"/>
      <c r="J190" s="38">
        <f>651</f>
        <v>651</v>
      </c>
      <c r="K190" s="45">
        <v>3.9814814814814817E-3</v>
      </c>
      <c r="L190" s="46" t="s">
        <v>307</v>
      </c>
      <c r="M190" s="38"/>
      <c r="N190" s="38"/>
      <c r="O190" s="38"/>
      <c r="P190" s="38"/>
      <c r="Q190" s="38"/>
      <c r="R190" s="48"/>
      <c r="S190" s="48"/>
      <c r="T190" s="48"/>
      <c r="U190" s="52"/>
      <c r="V190" s="50"/>
      <c r="W190" s="51"/>
      <c r="X190" s="56"/>
    </row>
    <row r="191" spans="1:24">
      <c r="A191" s="38">
        <v>131</v>
      </c>
      <c r="B191" s="38"/>
      <c r="C191" s="38"/>
      <c r="D191" s="38" t="s">
        <v>665</v>
      </c>
      <c r="E191" s="40" t="s">
        <v>666</v>
      </c>
      <c r="F191" s="41" t="s">
        <v>667</v>
      </c>
      <c r="G191" s="42">
        <v>667</v>
      </c>
      <c r="H191" s="43"/>
      <c r="I191" s="44"/>
      <c r="J191" s="38">
        <f>667</f>
        <v>667</v>
      </c>
      <c r="K191" s="45">
        <v>3.0092592592592588E-3</v>
      </c>
      <c r="L191" s="46" t="s">
        <v>307</v>
      </c>
      <c r="M191" s="38"/>
      <c r="N191" s="38"/>
      <c r="O191" s="38"/>
      <c r="P191" s="38"/>
      <c r="Q191" s="38"/>
      <c r="R191" s="48"/>
      <c r="S191" s="48"/>
      <c r="T191" s="48"/>
      <c r="U191" s="52"/>
      <c r="V191" s="50"/>
      <c r="W191" s="51"/>
      <c r="X191" s="56"/>
    </row>
    <row r="192" spans="1:24">
      <c r="A192" s="38">
        <v>132</v>
      </c>
      <c r="B192" s="38"/>
      <c r="C192" s="38"/>
      <c r="D192" s="38" t="s">
        <v>668</v>
      </c>
      <c r="E192" s="40" t="s">
        <v>669</v>
      </c>
      <c r="F192" s="41" t="s">
        <v>513</v>
      </c>
      <c r="G192" s="42">
        <v>446</v>
      </c>
      <c r="H192" s="43"/>
      <c r="I192" s="44"/>
      <c r="J192" s="38">
        <f>446</f>
        <v>446</v>
      </c>
      <c r="K192" s="45">
        <v>1.6087962962962963E-3</v>
      </c>
      <c r="L192" s="46" t="s">
        <v>307</v>
      </c>
      <c r="M192" s="38"/>
      <c r="N192" s="38"/>
      <c r="O192" s="38"/>
      <c r="P192" s="38"/>
      <c r="Q192" s="38"/>
      <c r="R192" s="48"/>
      <c r="S192" s="48"/>
      <c r="T192" s="48"/>
      <c r="U192" s="52"/>
      <c r="V192" s="50"/>
      <c r="W192" s="51"/>
      <c r="X192" s="56"/>
    </row>
    <row r="193" spans="1:24">
      <c r="A193" s="38">
        <v>133</v>
      </c>
      <c r="B193" s="38"/>
      <c r="C193" s="38"/>
      <c r="D193" s="38" t="s">
        <v>670</v>
      </c>
      <c r="E193" s="40" t="s">
        <v>671</v>
      </c>
      <c r="F193" s="58" t="s">
        <v>672</v>
      </c>
      <c r="G193" s="42" t="s">
        <v>187</v>
      </c>
      <c r="H193" s="43"/>
      <c r="I193" s="44"/>
      <c r="J193" s="38">
        <f>1.5*1000</f>
        <v>1500</v>
      </c>
      <c r="K193" s="45">
        <v>2.0995370370370373E-2</v>
      </c>
      <c r="L193" s="46" t="s">
        <v>307</v>
      </c>
      <c r="M193" s="38"/>
      <c r="N193" s="38"/>
      <c r="O193" s="38"/>
      <c r="P193" s="38"/>
      <c r="Q193" s="38"/>
      <c r="R193" s="48"/>
      <c r="S193" s="48"/>
      <c r="T193" s="48"/>
      <c r="U193" s="52"/>
      <c r="V193" s="50"/>
      <c r="W193" s="51"/>
      <c r="X193" s="56"/>
    </row>
    <row r="194" spans="1:24">
      <c r="A194" s="38">
        <v>134</v>
      </c>
      <c r="B194" s="38"/>
      <c r="C194" s="38"/>
      <c r="D194" s="38" t="s">
        <v>673</v>
      </c>
      <c r="E194" s="40" t="s">
        <v>674</v>
      </c>
      <c r="F194" s="58" t="s">
        <v>675</v>
      </c>
      <c r="G194" s="42">
        <v>919</v>
      </c>
      <c r="H194" s="43"/>
      <c r="I194" s="44"/>
      <c r="J194" s="38">
        <f>919</f>
        <v>919</v>
      </c>
      <c r="K194" s="45">
        <v>3.9479166666666669E-2</v>
      </c>
      <c r="L194" s="46" t="s">
        <v>307</v>
      </c>
      <c r="M194" s="38"/>
      <c r="N194" s="38"/>
      <c r="O194" s="38"/>
      <c r="P194" s="38"/>
      <c r="Q194" s="38"/>
      <c r="R194" s="48"/>
      <c r="S194" s="48"/>
      <c r="T194" s="48"/>
      <c r="U194" s="52"/>
      <c r="V194" s="50"/>
      <c r="W194" s="51"/>
      <c r="X194" s="56"/>
    </row>
    <row r="195" spans="1:24">
      <c r="A195" s="38">
        <v>135</v>
      </c>
      <c r="B195" s="38"/>
      <c r="C195" s="38"/>
      <c r="D195" s="38" t="s">
        <v>676</v>
      </c>
      <c r="E195" s="40" t="s">
        <v>677</v>
      </c>
      <c r="F195" s="41" t="s">
        <v>678</v>
      </c>
      <c r="G195" s="42" t="s">
        <v>214</v>
      </c>
      <c r="H195" s="43"/>
      <c r="I195" s="44"/>
      <c r="J195" s="38">
        <f>1*1000</f>
        <v>1000</v>
      </c>
      <c r="K195" s="45">
        <v>1.2499999999999999E-2</v>
      </c>
      <c r="L195" s="46" t="s">
        <v>307</v>
      </c>
      <c r="M195" s="38"/>
      <c r="N195" s="38"/>
      <c r="O195" s="38"/>
      <c r="P195" s="38"/>
      <c r="Q195" s="38"/>
      <c r="R195" s="48"/>
      <c r="S195" s="48"/>
      <c r="T195" s="48"/>
      <c r="U195" s="52"/>
      <c r="V195" s="50"/>
      <c r="W195" s="51"/>
      <c r="X195" s="56"/>
    </row>
    <row r="196" spans="1:24">
      <c r="A196" s="38">
        <v>136</v>
      </c>
      <c r="B196" s="38"/>
      <c r="C196" s="38"/>
      <c r="D196" s="38" t="s">
        <v>679</v>
      </c>
      <c r="E196" s="40" t="s">
        <v>680</v>
      </c>
      <c r="F196" s="41" t="s">
        <v>681</v>
      </c>
      <c r="G196" s="42">
        <v>246</v>
      </c>
      <c r="H196" s="43"/>
      <c r="I196" s="44"/>
      <c r="J196" s="38">
        <f>246</f>
        <v>246</v>
      </c>
      <c r="K196" s="45">
        <v>1.8055555555555557E-3</v>
      </c>
      <c r="L196" s="46" t="s">
        <v>307</v>
      </c>
      <c r="M196" s="38"/>
      <c r="N196" s="38"/>
      <c r="O196" s="38"/>
      <c r="P196" s="38"/>
      <c r="Q196" s="38"/>
      <c r="R196" s="48"/>
      <c r="S196" s="48"/>
      <c r="T196" s="48"/>
      <c r="U196" s="52"/>
      <c r="V196" s="50"/>
      <c r="W196" s="51"/>
      <c r="X196" s="56"/>
    </row>
    <row r="197" spans="1:24">
      <c r="A197" s="38">
        <v>137</v>
      </c>
      <c r="B197" s="38"/>
      <c r="C197" s="38"/>
      <c r="D197" s="38" t="s">
        <v>682</v>
      </c>
      <c r="E197" s="40" t="s">
        <v>683</v>
      </c>
      <c r="F197" s="58" t="s">
        <v>684</v>
      </c>
      <c r="G197" s="42" t="s">
        <v>135</v>
      </c>
      <c r="H197" s="43"/>
      <c r="I197" s="44"/>
      <c r="J197" s="38">
        <f>10*1000</f>
        <v>10000</v>
      </c>
      <c r="K197" s="45">
        <v>3.1759259259259258E-2</v>
      </c>
      <c r="L197" s="46" t="s">
        <v>307</v>
      </c>
      <c r="M197" s="38"/>
      <c r="N197" s="38"/>
      <c r="O197" s="38"/>
      <c r="P197" s="38"/>
      <c r="Q197" s="38"/>
      <c r="R197" s="48"/>
      <c r="S197" s="48"/>
      <c r="T197" s="48"/>
      <c r="U197" s="52"/>
      <c r="V197" s="50"/>
      <c r="W197" s="51"/>
      <c r="X197" s="56"/>
    </row>
    <row r="198" spans="1:24">
      <c r="A198" s="38">
        <v>138</v>
      </c>
      <c r="B198" s="38"/>
      <c r="C198" s="38"/>
      <c r="D198" s="38" t="s">
        <v>685</v>
      </c>
      <c r="E198" s="40" t="s">
        <v>686</v>
      </c>
      <c r="F198" s="41" t="s">
        <v>687</v>
      </c>
      <c r="G198" s="42">
        <v>955</v>
      </c>
      <c r="H198" s="43"/>
      <c r="I198" s="44"/>
      <c r="J198" s="38">
        <f>955</f>
        <v>955</v>
      </c>
      <c r="K198" s="45">
        <v>5.5208333333333333E-3</v>
      </c>
      <c r="L198" s="46" t="s">
        <v>307</v>
      </c>
      <c r="M198" s="38"/>
      <c r="N198" s="38"/>
      <c r="O198" s="38"/>
      <c r="P198" s="38"/>
      <c r="Q198" s="38"/>
      <c r="R198" s="48"/>
      <c r="S198" s="48"/>
      <c r="T198" s="48"/>
      <c r="U198" s="52"/>
      <c r="V198" s="50"/>
      <c r="W198" s="51"/>
      <c r="X198" s="56"/>
    </row>
    <row r="199" spans="1:24">
      <c r="A199" s="38">
        <v>139</v>
      </c>
      <c r="B199" s="38"/>
      <c r="C199" s="38"/>
      <c r="D199" s="38" t="s">
        <v>688</v>
      </c>
      <c r="E199" s="40" t="s">
        <v>689</v>
      </c>
      <c r="F199" s="58" t="s">
        <v>690</v>
      </c>
      <c r="G199" s="42" t="s">
        <v>691</v>
      </c>
      <c r="H199" s="43"/>
      <c r="I199" s="44"/>
      <c r="J199" s="38">
        <f>5.6*1000</f>
        <v>5600</v>
      </c>
      <c r="K199" s="45">
        <v>3.7083333333333336E-2</v>
      </c>
      <c r="L199" s="46" t="s">
        <v>307</v>
      </c>
      <c r="M199" s="38"/>
      <c r="N199" s="38"/>
      <c r="O199" s="38"/>
      <c r="P199" s="38"/>
      <c r="Q199" s="38"/>
      <c r="R199" s="48"/>
      <c r="S199" s="48"/>
      <c r="T199" s="48"/>
      <c r="U199" s="52"/>
      <c r="V199" s="50"/>
      <c r="W199" s="51"/>
      <c r="X199" s="56"/>
    </row>
    <row r="200" spans="1:24">
      <c r="A200" s="38">
        <v>140</v>
      </c>
      <c r="B200" s="38"/>
      <c r="C200" s="38"/>
      <c r="D200" s="38" t="s">
        <v>692</v>
      </c>
      <c r="E200" s="40" t="s">
        <v>693</v>
      </c>
      <c r="F200" s="58" t="s">
        <v>694</v>
      </c>
      <c r="G200" s="42" t="s">
        <v>214</v>
      </c>
      <c r="H200" s="43"/>
      <c r="I200" s="44"/>
      <c r="J200" s="38">
        <f>1*1000</f>
        <v>1000</v>
      </c>
      <c r="K200" s="45">
        <v>3.3622685185185179E-2</v>
      </c>
      <c r="L200" s="46" t="s">
        <v>307</v>
      </c>
      <c r="M200" s="38"/>
      <c r="N200" s="38"/>
      <c r="O200" s="38"/>
      <c r="P200" s="38"/>
      <c r="Q200" s="38"/>
      <c r="R200" s="48"/>
      <c r="S200" s="48"/>
      <c r="T200" s="48"/>
      <c r="U200" s="52"/>
      <c r="V200" s="50"/>
      <c r="W200" s="51"/>
      <c r="X200" s="56"/>
    </row>
    <row r="201" spans="1:24">
      <c r="A201" s="38">
        <v>141</v>
      </c>
      <c r="B201" s="38"/>
      <c r="C201" s="38"/>
      <c r="D201" s="38" t="s">
        <v>695</v>
      </c>
      <c r="E201" s="40" t="s">
        <v>696</v>
      </c>
      <c r="F201" s="58" t="s">
        <v>697</v>
      </c>
      <c r="G201" s="42">
        <v>758</v>
      </c>
      <c r="H201" s="43"/>
      <c r="I201" s="44"/>
      <c r="J201" s="38">
        <f>758</f>
        <v>758</v>
      </c>
      <c r="K201" s="45">
        <v>2.9050925925925928E-2</v>
      </c>
      <c r="L201" s="46" t="s">
        <v>307</v>
      </c>
      <c r="M201" s="38"/>
      <c r="N201" s="38"/>
      <c r="O201" s="38"/>
      <c r="P201" s="38"/>
      <c r="Q201" s="38"/>
      <c r="R201" s="48"/>
      <c r="S201" s="48"/>
      <c r="T201" s="48"/>
      <c r="U201" s="52"/>
      <c r="V201" s="50"/>
      <c r="W201" s="51"/>
      <c r="X201" s="56"/>
    </row>
    <row r="202" spans="1:24">
      <c r="A202" s="38">
        <v>142</v>
      </c>
      <c r="B202" s="38"/>
      <c r="C202" s="38"/>
      <c r="D202" s="38" t="s">
        <v>698</v>
      </c>
      <c r="E202" s="40" t="s">
        <v>699</v>
      </c>
      <c r="F202" s="58" t="s">
        <v>700</v>
      </c>
      <c r="G202" s="42">
        <v>483</v>
      </c>
      <c r="H202" s="43"/>
      <c r="I202" s="44"/>
      <c r="J202" s="38">
        <f>483</f>
        <v>483</v>
      </c>
      <c r="K202" s="45">
        <v>2.1400462962962965E-2</v>
      </c>
      <c r="L202" s="46" t="s">
        <v>307</v>
      </c>
      <c r="M202" s="38"/>
      <c r="N202" s="38"/>
      <c r="O202" s="38"/>
      <c r="P202" s="38"/>
      <c r="Q202" s="38"/>
      <c r="R202" s="48"/>
      <c r="S202" s="48"/>
      <c r="T202" s="48"/>
      <c r="U202" s="52"/>
      <c r="V202" s="50"/>
      <c r="W202" s="51"/>
      <c r="X202" s="56"/>
    </row>
    <row r="203" spans="1:24">
      <c r="A203" s="38">
        <v>143</v>
      </c>
      <c r="B203" s="38"/>
      <c r="C203" s="38"/>
      <c r="D203" s="38" t="s">
        <v>701</v>
      </c>
      <c r="E203" s="40" t="s">
        <v>702</v>
      </c>
      <c r="F203" s="41" t="s">
        <v>703</v>
      </c>
      <c r="G203" s="42">
        <v>435</v>
      </c>
      <c r="H203" s="43"/>
      <c r="I203" s="44"/>
      <c r="J203" s="38">
        <f>435</f>
        <v>435</v>
      </c>
      <c r="K203" s="45">
        <v>1.4490740740740742E-2</v>
      </c>
      <c r="L203" s="46" t="s">
        <v>307</v>
      </c>
      <c r="M203" s="38"/>
      <c r="N203" s="38"/>
      <c r="O203" s="38"/>
      <c r="P203" s="38"/>
      <c r="Q203" s="38"/>
      <c r="R203" s="48"/>
      <c r="S203" s="48"/>
      <c r="T203" s="48"/>
      <c r="U203" s="52"/>
      <c r="V203" s="50"/>
      <c r="W203" s="51"/>
      <c r="X203" s="56"/>
    </row>
    <row r="204" spans="1:24">
      <c r="A204" s="38">
        <v>144</v>
      </c>
      <c r="B204" s="38"/>
      <c r="C204" s="38"/>
      <c r="D204" s="38" t="s">
        <v>704</v>
      </c>
      <c r="E204" s="40" t="s">
        <v>705</v>
      </c>
      <c r="F204" s="41" t="s">
        <v>706</v>
      </c>
      <c r="G204" s="42">
        <v>409</v>
      </c>
      <c r="H204" s="43"/>
      <c r="I204" s="44"/>
      <c r="J204" s="38">
        <f>409</f>
        <v>409</v>
      </c>
      <c r="K204" s="45">
        <v>1.105324074074074E-2</v>
      </c>
      <c r="L204" s="46" t="s">
        <v>307</v>
      </c>
      <c r="M204" s="38"/>
      <c r="N204" s="38"/>
      <c r="O204" s="38"/>
      <c r="P204" s="38"/>
      <c r="Q204" s="38"/>
      <c r="R204" s="48"/>
      <c r="S204" s="48"/>
      <c r="T204" s="48"/>
      <c r="U204" s="52"/>
      <c r="V204" s="50"/>
      <c r="W204" s="51"/>
      <c r="X204" s="56"/>
    </row>
    <row r="205" spans="1:24">
      <c r="A205" s="38">
        <v>145</v>
      </c>
      <c r="B205" s="38"/>
      <c r="C205" s="38"/>
      <c r="D205" s="38" t="s">
        <v>707</v>
      </c>
      <c r="E205" s="40" t="s">
        <v>708</v>
      </c>
      <c r="F205" s="58" t="s">
        <v>709</v>
      </c>
      <c r="G205" s="42">
        <v>925</v>
      </c>
      <c r="H205" s="43"/>
      <c r="I205" s="44"/>
      <c r="J205" s="38">
        <f>925</f>
        <v>925</v>
      </c>
      <c r="K205" s="45">
        <v>2.0173611111111111E-2</v>
      </c>
      <c r="L205" s="46" t="s">
        <v>307</v>
      </c>
      <c r="M205" s="38"/>
      <c r="N205" s="38"/>
      <c r="O205" s="38"/>
      <c r="P205" s="38"/>
      <c r="Q205" s="38"/>
      <c r="R205" s="48"/>
      <c r="S205" s="48"/>
      <c r="T205" s="48"/>
      <c r="U205" s="52"/>
      <c r="V205" s="50"/>
      <c r="W205" s="51"/>
      <c r="X205" s="56"/>
    </row>
    <row r="206" spans="1:24">
      <c r="A206" s="38">
        <v>146</v>
      </c>
      <c r="B206" s="38"/>
      <c r="C206" s="38"/>
      <c r="D206" s="38" t="s">
        <v>710</v>
      </c>
      <c r="E206" s="40" t="s">
        <v>711</v>
      </c>
      <c r="F206" s="41" t="s">
        <v>712</v>
      </c>
      <c r="G206" s="42">
        <v>427</v>
      </c>
      <c r="H206" s="43"/>
      <c r="I206" s="44"/>
      <c r="J206" s="38">
        <f>427</f>
        <v>427</v>
      </c>
      <c r="K206" s="45">
        <v>3.1249999999999997E-3</v>
      </c>
      <c r="L206" s="46" t="s">
        <v>307</v>
      </c>
      <c r="M206" s="38"/>
      <c r="N206" s="38"/>
      <c r="O206" s="38"/>
      <c r="P206" s="38"/>
      <c r="Q206" s="38"/>
      <c r="R206" s="48"/>
      <c r="S206" s="48"/>
      <c r="T206" s="48"/>
      <c r="U206" s="52"/>
      <c r="V206" s="50"/>
      <c r="W206" s="51"/>
      <c r="X206" s="56"/>
    </row>
    <row r="207" spans="1:24">
      <c r="A207" s="38">
        <v>147</v>
      </c>
      <c r="B207" s="38"/>
      <c r="C207" s="38"/>
      <c r="D207" s="38" t="s">
        <v>713</v>
      </c>
      <c r="E207" s="40" t="s">
        <v>714</v>
      </c>
      <c r="F207" s="58" t="s">
        <v>715</v>
      </c>
      <c r="G207" s="42" t="s">
        <v>521</v>
      </c>
      <c r="H207" s="43"/>
      <c r="I207" s="44"/>
      <c r="J207" s="38">
        <f>3.5*1000</f>
        <v>3500</v>
      </c>
      <c r="K207" s="45">
        <v>2.5208333333333333E-2</v>
      </c>
      <c r="L207" s="46" t="s">
        <v>307</v>
      </c>
      <c r="M207" s="38"/>
      <c r="N207" s="38"/>
      <c r="O207" s="38"/>
      <c r="P207" s="38"/>
      <c r="Q207" s="38"/>
      <c r="R207" s="48"/>
      <c r="S207" s="48"/>
      <c r="T207" s="48"/>
      <c r="U207" s="52"/>
      <c r="V207" s="50"/>
      <c r="W207" s="51"/>
      <c r="X207" s="56"/>
    </row>
    <row r="208" spans="1:24">
      <c r="A208" s="38">
        <v>148</v>
      </c>
      <c r="B208" s="38"/>
      <c r="C208" s="38"/>
      <c r="D208" s="38" t="s">
        <v>716</v>
      </c>
      <c r="E208" s="40" t="s">
        <v>717</v>
      </c>
      <c r="F208" s="58" t="s">
        <v>718</v>
      </c>
      <c r="G208" s="42" t="s">
        <v>396</v>
      </c>
      <c r="H208" s="43"/>
      <c r="I208" s="44"/>
      <c r="J208" s="38">
        <f>1.1*1000</f>
        <v>1100</v>
      </c>
      <c r="K208" s="45">
        <v>3.6597222222222225E-2</v>
      </c>
      <c r="L208" s="46" t="s">
        <v>307</v>
      </c>
      <c r="M208" s="38"/>
      <c r="N208" s="38"/>
      <c r="O208" s="38"/>
      <c r="P208" s="38"/>
      <c r="Q208" s="38"/>
      <c r="R208" s="48"/>
      <c r="S208" s="48"/>
      <c r="T208" s="48"/>
      <c r="U208" s="52"/>
      <c r="V208" s="50"/>
      <c r="W208" s="51"/>
      <c r="X208" s="56"/>
    </row>
    <row r="209" spans="1:24">
      <c r="A209" s="38">
        <v>149</v>
      </c>
      <c r="B209" s="38"/>
      <c r="C209" s="38"/>
      <c r="D209" s="38" t="s">
        <v>719</v>
      </c>
      <c r="E209" s="40" t="s">
        <v>720</v>
      </c>
      <c r="F209" s="61" t="s">
        <v>721</v>
      </c>
      <c r="G209" s="42" t="s">
        <v>445</v>
      </c>
      <c r="H209" s="43"/>
      <c r="I209" s="44"/>
      <c r="J209" s="38">
        <f>1.2*1000</f>
        <v>1200</v>
      </c>
      <c r="K209" s="45">
        <v>4.2303240740740738E-2</v>
      </c>
      <c r="L209" s="46" t="s">
        <v>307</v>
      </c>
      <c r="M209" s="38"/>
      <c r="N209" s="38"/>
      <c r="O209" s="38"/>
      <c r="P209" s="38"/>
      <c r="Q209" s="38"/>
      <c r="R209" s="48"/>
      <c r="S209" s="48"/>
      <c r="T209" s="48"/>
      <c r="U209" s="52"/>
      <c r="V209" s="50"/>
      <c r="W209" s="51"/>
      <c r="X209" s="56"/>
    </row>
    <row r="210" spans="1:24">
      <c r="A210" s="38">
        <v>150</v>
      </c>
      <c r="B210" s="38"/>
      <c r="C210" s="38"/>
      <c r="D210" s="38" t="s">
        <v>722</v>
      </c>
      <c r="E210" s="40" t="s">
        <v>723</v>
      </c>
      <c r="F210" s="61" t="s">
        <v>724</v>
      </c>
      <c r="G210" s="42" t="s">
        <v>374</v>
      </c>
      <c r="H210" s="43"/>
      <c r="I210" s="44"/>
      <c r="J210" s="38">
        <f>1.3*1000</f>
        <v>1300</v>
      </c>
      <c r="K210" s="45">
        <v>4.2129629629629628E-2</v>
      </c>
      <c r="L210" s="46" t="s">
        <v>307</v>
      </c>
      <c r="M210" s="38"/>
      <c r="N210" s="38"/>
      <c r="O210" s="38"/>
      <c r="P210" s="38"/>
      <c r="Q210" s="38"/>
      <c r="R210" s="48"/>
      <c r="S210" s="48"/>
      <c r="T210" s="48"/>
      <c r="U210" s="52"/>
      <c r="V210" s="50"/>
      <c r="W210" s="51"/>
      <c r="X210" s="56"/>
    </row>
    <row r="211" spans="1:24">
      <c r="A211" s="38">
        <v>151</v>
      </c>
      <c r="B211" s="38"/>
      <c r="C211" s="38"/>
      <c r="D211" s="38" t="s">
        <v>725</v>
      </c>
      <c r="E211" s="40" t="s">
        <v>726</v>
      </c>
      <c r="F211" s="58" t="s">
        <v>727</v>
      </c>
      <c r="G211" s="42" t="s">
        <v>214</v>
      </c>
      <c r="H211" s="43"/>
      <c r="I211" s="44"/>
      <c r="J211" s="38">
        <f>1*1000</f>
        <v>1000</v>
      </c>
      <c r="K211" s="45">
        <v>3.3020833333333333E-2</v>
      </c>
      <c r="L211" s="46" t="s">
        <v>307</v>
      </c>
      <c r="M211" s="38"/>
      <c r="N211" s="38"/>
      <c r="O211" s="38"/>
      <c r="P211" s="38"/>
      <c r="Q211" s="38"/>
      <c r="R211" s="48"/>
      <c r="S211" s="48"/>
      <c r="T211" s="48"/>
      <c r="U211" s="52"/>
      <c r="V211" s="50"/>
      <c r="W211" s="51"/>
      <c r="X211" s="56"/>
    </row>
    <row r="212" spans="1:24">
      <c r="A212" s="38">
        <v>152</v>
      </c>
      <c r="B212" s="38"/>
      <c r="C212" s="38"/>
      <c r="D212" s="38" t="s">
        <v>728</v>
      </c>
      <c r="E212" s="40" t="s">
        <v>729</v>
      </c>
      <c r="F212" s="61" t="s">
        <v>730</v>
      </c>
      <c r="G212" s="42">
        <v>503</v>
      </c>
      <c r="H212" s="43"/>
      <c r="I212" s="44"/>
      <c r="J212" s="38">
        <f>503</f>
        <v>503</v>
      </c>
      <c r="K212" s="45">
        <v>7.8287037037037044E-2</v>
      </c>
      <c r="L212" s="46" t="s">
        <v>307</v>
      </c>
      <c r="M212" s="38"/>
      <c r="N212" s="38"/>
      <c r="O212" s="38"/>
      <c r="P212" s="38"/>
      <c r="Q212" s="38"/>
      <c r="R212" s="48"/>
      <c r="S212" s="48"/>
      <c r="T212" s="48"/>
      <c r="U212" s="52"/>
      <c r="V212" s="50"/>
      <c r="W212" s="51"/>
      <c r="X212" s="56"/>
    </row>
    <row r="213" spans="1:24">
      <c r="A213" s="38">
        <v>153</v>
      </c>
      <c r="B213" s="38"/>
      <c r="C213" s="38"/>
      <c r="D213" s="38" t="s">
        <v>731</v>
      </c>
      <c r="E213" s="40" t="s">
        <v>732</v>
      </c>
      <c r="F213" s="58" t="s">
        <v>733</v>
      </c>
      <c r="G213" s="42">
        <v>545</v>
      </c>
      <c r="H213" s="43"/>
      <c r="I213" s="44"/>
      <c r="J213" s="38">
        <f>545</f>
        <v>545</v>
      </c>
      <c r="K213" s="45">
        <v>2.2743055555555555E-2</v>
      </c>
      <c r="L213" s="46" t="s">
        <v>307</v>
      </c>
      <c r="M213" s="38"/>
      <c r="N213" s="38"/>
      <c r="O213" s="38"/>
      <c r="P213" s="38"/>
      <c r="Q213" s="38"/>
      <c r="R213" s="48"/>
      <c r="S213" s="48"/>
      <c r="T213" s="48"/>
      <c r="U213" s="52"/>
      <c r="V213" s="50"/>
      <c r="W213" s="51"/>
      <c r="X213" s="56"/>
    </row>
    <row r="214" spans="1:24">
      <c r="A214" s="38">
        <v>154</v>
      </c>
      <c r="B214" s="38"/>
      <c r="C214" s="38"/>
      <c r="D214" s="38" t="s">
        <v>734</v>
      </c>
      <c r="E214" s="40" t="s">
        <v>735</v>
      </c>
      <c r="F214" s="61" t="s">
        <v>736</v>
      </c>
      <c r="G214" s="42" t="s">
        <v>214</v>
      </c>
      <c r="H214" s="43"/>
      <c r="I214" s="44"/>
      <c r="J214" s="38">
        <f>1*1000</f>
        <v>1000</v>
      </c>
      <c r="K214" s="45">
        <v>4.6261574074074073E-2</v>
      </c>
      <c r="L214" s="46" t="s">
        <v>307</v>
      </c>
      <c r="M214" s="38"/>
      <c r="N214" s="38"/>
      <c r="O214" s="38"/>
      <c r="P214" s="38"/>
      <c r="Q214" s="38"/>
      <c r="R214" s="48"/>
      <c r="S214" s="48"/>
      <c r="T214" s="48"/>
      <c r="U214" s="52"/>
      <c r="V214" s="50"/>
      <c r="W214" s="51"/>
      <c r="X214" s="56"/>
    </row>
    <row r="215" spans="1:24">
      <c r="A215" s="38">
        <v>155</v>
      </c>
      <c r="B215" s="38"/>
      <c r="C215" s="38"/>
      <c r="D215" s="38" t="s">
        <v>737</v>
      </c>
      <c r="E215" s="40" t="s">
        <v>738</v>
      </c>
      <c r="F215" s="41" t="s">
        <v>739</v>
      </c>
      <c r="G215" s="42">
        <v>453</v>
      </c>
      <c r="H215" s="43"/>
      <c r="I215" s="44"/>
      <c r="J215" s="38">
        <f>453</f>
        <v>453</v>
      </c>
      <c r="K215" s="45">
        <v>4.9189814814814816E-3</v>
      </c>
      <c r="L215" s="46" t="s">
        <v>307</v>
      </c>
      <c r="M215" s="38"/>
      <c r="N215" s="38"/>
      <c r="O215" s="38"/>
      <c r="P215" s="38"/>
      <c r="Q215" s="38"/>
      <c r="R215" s="48"/>
      <c r="S215" s="48"/>
      <c r="T215" s="48"/>
      <c r="U215" s="52"/>
      <c r="V215" s="50"/>
      <c r="W215" s="51"/>
      <c r="X215" s="56"/>
    </row>
    <row r="216" spans="1:24">
      <c r="A216" s="38">
        <v>156</v>
      </c>
      <c r="B216" s="38"/>
      <c r="C216" s="38"/>
      <c r="D216" s="38" t="s">
        <v>740</v>
      </c>
      <c r="E216" s="40" t="s">
        <v>741</v>
      </c>
      <c r="F216" s="41" t="s">
        <v>742</v>
      </c>
      <c r="G216" s="42">
        <v>446</v>
      </c>
      <c r="H216" s="43"/>
      <c r="I216" s="44"/>
      <c r="J216" s="38">
        <f>446</f>
        <v>446</v>
      </c>
      <c r="K216" s="45">
        <v>2.2916666666666667E-3</v>
      </c>
      <c r="L216" s="46" t="s">
        <v>307</v>
      </c>
      <c r="M216" s="38"/>
      <c r="N216" s="38"/>
      <c r="O216" s="38"/>
      <c r="P216" s="38"/>
      <c r="Q216" s="38"/>
      <c r="R216" s="48"/>
      <c r="S216" s="48"/>
      <c r="T216" s="48"/>
      <c r="U216" s="52"/>
      <c r="V216" s="50"/>
      <c r="W216" s="51"/>
      <c r="X216" s="56"/>
    </row>
    <row r="217" spans="1:24">
      <c r="A217" s="38">
        <v>157</v>
      </c>
      <c r="B217" s="38"/>
      <c r="C217" s="38"/>
      <c r="D217" s="38" t="s">
        <v>743</v>
      </c>
      <c r="E217" s="40" t="s">
        <v>744</v>
      </c>
      <c r="F217" s="41" t="s">
        <v>745</v>
      </c>
      <c r="G217" s="42">
        <v>576</v>
      </c>
      <c r="H217" s="43"/>
      <c r="I217" s="44"/>
      <c r="J217" s="38">
        <f>576</f>
        <v>576</v>
      </c>
      <c r="K217" s="45">
        <v>1.736111111111111E-3</v>
      </c>
      <c r="L217" s="46" t="s">
        <v>307</v>
      </c>
      <c r="M217" s="38"/>
      <c r="N217" s="38"/>
      <c r="O217" s="38"/>
      <c r="P217" s="38"/>
      <c r="Q217" s="38"/>
      <c r="R217" s="48"/>
      <c r="S217" s="48"/>
      <c r="T217" s="48"/>
      <c r="U217" s="52"/>
      <c r="V217" s="50"/>
      <c r="W217" s="51"/>
      <c r="X217" s="56"/>
    </row>
    <row r="218" spans="1:24">
      <c r="A218" s="38">
        <v>158</v>
      </c>
      <c r="B218" s="38"/>
      <c r="C218" s="38"/>
      <c r="D218" s="38" t="s">
        <v>746</v>
      </c>
      <c r="E218" s="40" t="s">
        <v>747</v>
      </c>
      <c r="F218" s="41" t="s">
        <v>748</v>
      </c>
      <c r="G218" s="42">
        <v>435</v>
      </c>
      <c r="H218" s="43"/>
      <c r="I218" s="44"/>
      <c r="J218" s="38">
        <f>435</f>
        <v>435</v>
      </c>
      <c r="K218" s="45">
        <v>2.3842592592592591E-3</v>
      </c>
      <c r="L218" s="46" t="s">
        <v>307</v>
      </c>
      <c r="M218" s="38"/>
      <c r="N218" s="38"/>
      <c r="O218" s="38"/>
      <c r="P218" s="38"/>
      <c r="Q218" s="38"/>
      <c r="R218" s="48"/>
      <c r="S218" s="48"/>
      <c r="T218" s="48"/>
      <c r="U218" s="52"/>
      <c r="V218" s="50"/>
      <c r="W218" s="51"/>
      <c r="X218" s="56"/>
    </row>
    <row r="219" spans="1:24">
      <c r="A219" s="38">
        <v>159</v>
      </c>
      <c r="B219" s="38"/>
      <c r="C219" s="38"/>
      <c r="D219" s="38" t="s">
        <v>749</v>
      </c>
      <c r="E219" s="40" t="s">
        <v>750</v>
      </c>
      <c r="F219" s="41" t="s">
        <v>751</v>
      </c>
      <c r="G219" s="42" t="s">
        <v>396</v>
      </c>
      <c r="H219" s="43"/>
      <c r="I219" s="44"/>
      <c r="J219" s="38">
        <f>1.1*1000</f>
        <v>1100</v>
      </c>
      <c r="K219" s="45">
        <v>1.1689814814814816E-3</v>
      </c>
      <c r="L219" s="46" t="s">
        <v>307</v>
      </c>
      <c r="M219" s="38"/>
      <c r="N219" s="38"/>
      <c r="O219" s="38"/>
      <c r="P219" s="38"/>
      <c r="Q219" s="38"/>
      <c r="R219" s="48"/>
      <c r="S219" s="48"/>
      <c r="T219" s="48"/>
      <c r="U219" s="52"/>
      <c r="V219" s="50"/>
      <c r="W219" s="51"/>
      <c r="X219" s="56"/>
    </row>
    <row r="220" spans="1:24">
      <c r="A220" s="38">
        <v>160</v>
      </c>
      <c r="B220" s="38"/>
      <c r="C220" s="38"/>
      <c r="D220" s="38" t="s">
        <v>752</v>
      </c>
      <c r="E220" s="40" t="s">
        <v>753</v>
      </c>
      <c r="F220" s="41" t="s">
        <v>754</v>
      </c>
      <c r="G220" s="42">
        <v>202</v>
      </c>
      <c r="H220" s="43"/>
      <c r="I220" s="44"/>
      <c r="J220" s="38">
        <f>202</f>
        <v>202</v>
      </c>
      <c r="K220" s="45">
        <v>2.1180555555555553E-3</v>
      </c>
      <c r="L220" s="46" t="s">
        <v>307</v>
      </c>
      <c r="M220" s="38"/>
      <c r="N220" s="38"/>
      <c r="O220" s="38"/>
      <c r="P220" s="38"/>
      <c r="Q220" s="38"/>
      <c r="R220" s="48"/>
      <c r="S220" s="48"/>
      <c r="T220" s="48"/>
      <c r="U220" s="52"/>
      <c r="V220" s="50"/>
      <c r="W220" s="51"/>
      <c r="X220" s="56"/>
    </row>
    <row r="221" spans="1:24">
      <c r="A221" s="38">
        <v>161</v>
      </c>
      <c r="B221" s="38"/>
      <c r="C221" s="38"/>
      <c r="D221" s="38" t="s">
        <v>755</v>
      </c>
      <c r="E221" s="40" t="s">
        <v>756</v>
      </c>
      <c r="F221" s="41" t="s">
        <v>757</v>
      </c>
      <c r="G221" s="42">
        <v>234</v>
      </c>
      <c r="H221" s="43"/>
      <c r="I221" s="44"/>
      <c r="J221" s="38">
        <f>234</f>
        <v>234</v>
      </c>
      <c r="K221" s="45">
        <v>1.4583333333333334E-3</v>
      </c>
      <c r="L221" s="46" t="s">
        <v>307</v>
      </c>
      <c r="M221" s="38"/>
      <c r="N221" s="38"/>
      <c r="O221" s="38"/>
      <c r="P221" s="38"/>
      <c r="Q221" s="38"/>
      <c r="R221" s="48"/>
      <c r="S221" s="48"/>
      <c r="T221" s="48"/>
      <c r="U221" s="52"/>
      <c r="V221" s="50"/>
      <c r="W221" s="51"/>
      <c r="X221" s="56"/>
    </row>
    <row r="222" spans="1:24">
      <c r="A222" s="38">
        <v>162</v>
      </c>
      <c r="B222" s="38"/>
      <c r="C222" s="38"/>
      <c r="D222" s="38" t="s">
        <v>758</v>
      </c>
      <c r="E222" s="40" t="s">
        <v>759</v>
      </c>
      <c r="F222" s="41" t="s">
        <v>760</v>
      </c>
      <c r="G222" s="42">
        <v>497</v>
      </c>
      <c r="H222" s="43"/>
      <c r="I222" s="44"/>
      <c r="J222" s="38">
        <f>497</f>
        <v>497</v>
      </c>
      <c r="K222" s="45">
        <v>1.4699074074074074E-3</v>
      </c>
      <c r="L222" s="46" t="s">
        <v>307</v>
      </c>
      <c r="M222" s="38"/>
      <c r="N222" s="38"/>
      <c r="O222" s="38"/>
      <c r="P222" s="38"/>
      <c r="Q222" s="38"/>
      <c r="R222" s="48"/>
      <c r="S222" s="48"/>
      <c r="T222" s="48"/>
      <c r="U222" s="52"/>
      <c r="V222" s="50"/>
      <c r="W222" s="51"/>
      <c r="X222" s="56"/>
    </row>
    <row r="223" spans="1:24">
      <c r="A223" s="38">
        <v>163</v>
      </c>
      <c r="B223" s="38"/>
      <c r="C223" s="38"/>
      <c r="D223" s="38" t="s">
        <v>761</v>
      </c>
      <c r="E223" s="40" t="s">
        <v>762</v>
      </c>
      <c r="F223" s="41" t="s">
        <v>763</v>
      </c>
      <c r="G223" s="42">
        <v>315</v>
      </c>
      <c r="H223" s="43"/>
      <c r="I223" s="44"/>
      <c r="J223" s="38">
        <f>315</f>
        <v>315</v>
      </c>
      <c r="K223" s="45">
        <v>5.6944444444444438E-3</v>
      </c>
      <c r="L223" s="46" t="s">
        <v>307</v>
      </c>
      <c r="M223" s="38"/>
      <c r="N223" s="38"/>
      <c r="O223" s="38"/>
      <c r="P223" s="38"/>
      <c r="Q223" s="38"/>
      <c r="R223" s="48"/>
      <c r="S223" s="48"/>
      <c r="T223" s="48"/>
      <c r="U223" s="52"/>
      <c r="V223" s="50"/>
      <c r="W223" s="51"/>
      <c r="X223" s="56"/>
    </row>
    <row r="224" spans="1:24">
      <c r="A224" s="38">
        <v>164</v>
      </c>
      <c r="B224" s="38"/>
      <c r="C224" s="38"/>
      <c r="D224" s="38" t="s">
        <v>764</v>
      </c>
      <c r="E224" s="40" t="s">
        <v>765</v>
      </c>
      <c r="F224" s="41" t="s">
        <v>766</v>
      </c>
      <c r="G224" s="42">
        <v>535</v>
      </c>
      <c r="H224" s="43"/>
      <c r="I224" s="44"/>
      <c r="J224" s="38">
        <f>535</f>
        <v>535</v>
      </c>
      <c r="K224" s="45">
        <v>2.1527777777777778E-3</v>
      </c>
      <c r="L224" s="46" t="s">
        <v>307</v>
      </c>
      <c r="M224" s="38"/>
      <c r="N224" s="38"/>
      <c r="O224" s="38"/>
      <c r="P224" s="38"/>
      <c r="Q224" s="38"/>
      <c r="R224" s="48"/>
      <c r="S224" s="48"/>
      <c r="T224" s="48"/>
      <c r="U224" s="52"/>
      <c r="V224" s="50"/>
      <c r="W224" s="51"/>
      <c r="X224" s="56"/>
    </row>
    <row r="225" spans="1:24">
      <c r="A225" s="38">
        <v>165</v>
      </c>
      <c r="B225" s="38"/>
      <c r="C225" s="38"/>
      <c r="D225" s="38" t="s">
        <v>767</v>
      </c>
      <c r="E225" s="40" t="s">
        <v>768</v>
      </c>
      <c r="F225" s="41" t="s">
        <v>769</v>
      </c>
      <c r="G225" s="42" t="s">
        <v>770</v>
      </c>
      <c r="H225" s="43"/>
      <c r="I225" s="44"/>
      <c r="J225" s="38">
        <f>2.7*1000</f>
        <v>2700</v>
      </c>
      <c r="K225" s="45">
        <v>1.0115740740740741E-2</v>
      </c>
      <c r="L225" s="46" t="s">
        <v>307</v>
      </c>
      <c r="M225" s="38"/>
      <c r="N225" s="38"/>
      <c r="O225" s="38"/>
      <c r="P225" s="38"/>
      <c r="Q225" s="38"/>
      <c r="R225" s="48"/>
      <c r="S225" s="48"/>
      <c r="T225" s="48"/>
      <c r="U225" s="52"/>
      <c r="V225" s="50"/>
      <c r="W225" s="51"/>
      <c r="X225" s="56"/>
    </row>
    <row r="226" spans="1:24">
      <c r="A226" s="38">
        <v>166</v>
      </c>
      <c r="B226" s="38"/>
      <c r="C226" s="38"/>
      <c r="D226" s="38" t="s">
        <v>771</v>
      </c>
      <c r="E226" s="40" t="s">
        <v>772</v>
      </c>
      <c r="F226" s="61" t="s">
        <v>773</v>
      </c>
      <c r="G226" s="42" t="s">
        <v>774</v>
      </c>
      <c r="H226" s="43"/>
      <c r="I226" s="44"/>
      <c r="J226" s="38">
        <f>4.7*1000</f>
        <v>4700</v>
      </c>
      <c r="K226" s="45">
        <v>7.5601851851851851E-2</v>
      </c>
      <c r="L226" s="46" t="s">
        <v>307</v>
      </c>
      <c r="M226" s="38"/>
      <c r="N226" s="38"/>
      <c r="O226" s="38"/>
      <c r="P226" s="38"/>
      <c r="Q226" s="38"/>
      <c r="R226" s="48"/>
      <c r="S226" s="48"/>
      <c r="T226" s="48"/>
      <c r="U226" s="52"/>
      <c r="V226" s="50"/>
      <c r="W226" s="51"/>
      <c r="X226" s="56"/>
    </row>
    <row r="227" spans="1:24">
      <c r="A227" s="38">
        <v>167</v>
      </c>
      <c r="B227" s="38"/>
      <c r="C227" s="38"/>
      <c r="D227" s="38" t="s">
        <v>775</v>
      </c>
      <c r="E227" s="40" t="s">
        <v>776</v>
      </c>
      <c r="F227" s="61" t="s">
        <v>777</v>
      </c>
      <c r="G227" s="42" t="s">
        <v>778</v>
      </c>
      <c r="H227" s="43"/>
      <c r="I227" s="44"/>
      <c r="J227" s="38">
        <f>7.5*1000</f>
        <v>7500</v>
      </c>
      <c r="K227" s="45">
        <v>9.3368055555555551E-2</v>
      </c>
      <c r="L227" s="46" t="s">
        <v>307</v>
      </c>
      <c r="M227" s="38"/>
      <c r="N227" s="38"/>
      <c r="O227" s="38"/>
      <c r="P227" s="38"/>
      <c r="Q227" s="38"/>
      <c r="R227" s="48"/>
      <c r="S227" s="48"/>
      <c r="T227" s="48"/>
      <c r="U227" s="52"/>
      <c r="V227" s="50"/>
      <c r="W227" s="51"/>
      <c r="X227" s="56"/>
    </row>
    <row r="228" spans="1:24">
      <c r="A228" s="38">
        <v>168</v>
      </c>
      <c r="B228" s="38"/>
      <c r="C228" s="38"/>
      <c r="D228" s="38" t="s">
        <v>779</v>
      </c>
      <c r="E228" s="40" t="s">
        <v>780</v>
      </c>
      <c r="F228" s="61" t="s">
        <v>781</v>
      </c>
      <c r="G228" s="42" t="s">
        <v>782</v>
      </c>
      <c r="H228" s="43"/>
      <c r="I228" s="44"/>
      <c r="J228" s="38">
        <f>1.8*1000</f>
        <v>1800</v>
      </c>
      <c r="K228" s="45">
        <v>5.2962962962962962E-2</v>
      </c>
      <c r="L228" s="46" t="s">
        <v>307</v>
      </c>
      <c r="M228" s="38"/>
      <c r="N228" s="38"/>
      <c r="O228" s="38"/>
      <c r="P228" s="38"/>
      <c r="Q228" s="38"/>
      <c r="R228" s="48"/>
      <c r="S228" s="48"/>
      <c r="T228" s="48"/>
      <c r="U228" s="52"/>
      <c r="V228" s="50"/>
      <c r="W228" s="51"/>
      <c r="X228" s="56"/>
    </row>
    <row r="229" spans="1:24">
      <c r="A229" s="38">
        <v>169</v>
      </c>
      <c r="B229" s="38"/>
      <c r="C229" s="38"/>
      <c r="D229" s="38" t="s">
        <v>783</v>
      </c>
      <c r="E229" s="40" t="s">
        <v>784</v>
      </c>
      <c r="F229" s="41" t="s">
        <v>785</v>
      </c>
      <c r="G229" s="42">
        <v>343</v>
      </c>
      <c r="H229" s="43"/>
      <c r="I229" s="44"/>
      <c r="J229" s="38">
        <f>343</f>
        <v>343</v>
      </c>
      <c r="K229" s="45">
        <v>2.8240740740740739E-3</v>
      </c>
      <c r="L229" s="46" t="s">
        <v>307</v>
      </c>
      <c r="M229" s="38"/>
      <c r="N229" s="38"/>
      <c r="O229" s="38"/>
      <c r="P229" s="38"/>
      <c r="Q229" s="38"/>
      <c r="R229" s="48"/>
      <c r="S229" s="48"/>
      <c r="T229" s="48"/>
      <c r="U229" s="52"/>
      <c r="V229" s="50"/>
      <c r="W229" s="51"/>
      <c r="X229" s="56"/>
    </row>
    <row r="230" spans="1:24">
      <c r="A230" s="38">
        <v>170</v>
      </c>
      <c r="B230" s="38"/>
      <c r="C230" s="38"/>
      <c r="D230" s="38" t="s">
        <v>786</v>
      </c>
      <c r="E230" s="40" t="s">
        <v>787</v>
      </c>
      <c r="F230" s="61" t="s">
        <v>788</v>
      </c>
      <c r="G230" s="42" t="s">
        <v>187</v>
      </c>
      <c r="H230" s="43"/>
      <c r="I230" s="44"/>
      <c r="J230" s="38">
        <f>1.5*1000</f>
        <v>1500</v>
      </c>
      <c r="K230" s="45">
        <v>5.9594907407407409E-2</v>
      </c>
      <c r="L230" s="46" t="s">
        <v>307</v>
      </c>
      <c r="M230" s="38"/>
      <c r="N230" s="38"/>
      <c r="O230" s="38"/>
      <c r="P230" s="38"/>
      <c r="Q230" s="38"/>
      <c r="R230" s="48"/>
      <c r="S230" s="48"/>
      <c r="T230" s="48"/>
      <c r="U230" s="52"/>
      <c r="V230" s="50"/>
      <c r="W230" s="51"/>
      <c r="X230" s="56"/>
    </row>
    <row r="231" spans="1:24">
      <c r="A231" s="38">
        <v>171</v>
      </c>
      <c r="B231" s="38"/>
      <c r="C231" s="38"/>
      <c r="D231" s="38" t="s">
        <v>789</v>
      </c>
      <c r="E231" s="40" t="s">
        <v>790</v>
      </c>
      <c r="F231" s="58" t="s">
        <v>791</v>
      </c>
      <c r="G231" s="42">
        <v>463</v>
      </c>
      <c r="H231" s="43"/>
      <c r="I231" s="44"/>
      <c r="J231" s="38">
        <f>463</f>
        <v>463</v>
      </c>
      <c r="K231" s="45">
        <v>2.4965277777777781E-2</v>
      </c>
      <c r="L231" s="46" t="s">
        <v>307</v>
      </c>
      <c r="M231" s="38"/>
      <c r="N231" s="38"/>
      <c r="O231" s="38"/>
      <c r="P231" s="38"/>
      <c r="Q231" s="38"/>
      <c r="R231" s="48"/>
      <c r="S231" s="48"/>
      <c r="T231" s="48"/>
      <c r="U231" s="52"/>
      <c r="V231" s="50"/>
      <c r="W231" s="51"/>
      <c r="X231" s="56"/>
    </row>
    <row r="232" spans="1:24">
      <c r="A232" s="38">
        <v>172</v>
      </c>
      <c r="B232" s="38"/>
      <c r="C232" s="38"/>
      <c r="D232" s="38" t="s">
        <v>792</v>
      </c>
      <c r="E232" s="40" t="s">
        <v>793</v>
      </c>
      <c r="F232" s="61" t="s">
        <v>794</v>
      </c>
      <c r="G232" s="42" t="s">
        <v>795</v>
      </c>
      <c r="H232" s="43"/>
      <c r="I232" s="44"/>
      <c r="J232" s="38">
        <f>5.2*1000</f>
        <v>5200</v>
      </c>
      <c r="K232" s="45">
        <v>5.5775462962962964E-2</v>
      </c>
      <c r="L232" s="46" t="s">
        <v>307</v>
      </c>
      <c r="M232" s="38"/>
      <c r="N232" s="38"/>
      <c r="O232" s="38"/>
      <c r="P232" s="38"/>
      <c r="Q232" s="38"/>
      <c r="R232" s="48"/>
      <c r="S232" s="48"/>
      <c r="T232" s="48"/>
      <c r="U232" s="52"/>
      <c r="V232" s="50"/>
      <c r="W232" s="51"/>
      <c r="X232" s="56"/>
    </row>
    <row r="233" spans="1:24">
      <c r="A233" s="38">
        <v>173</v>
      </c>
      <c r="B233" s="38"/>
      <c r="C233" s="38"/>
      <c r="D233" s="38" t="s">
        <v>796</v>
      </c>
      <c r="E233" s="40" t="s">
        <v>797</v>
      </c>
      <c r="F233" s="58" t="s">
        <v>798</v>
      </c>
      <c r="G233" s="42">
        <v>624</v>
      </c>
      <c r="H233" s="43"/>
      <c r="I233" s="44"/>
      <c r="J233" s="38">
        <f>624</f>
        <v>624</v>
      </c>
      <c r="K233" s="45">
        <v>2.5868055555555557E-2</v>
      </c>
      <c r="L233" s="46" t="s">
        <v>307</v>
      </c>
      <c r="M233" s="38"/>
      <c r="N233" s="38"/>
      <c r="O233" s="38"/>
      <c r="P233" s="38"/>
      <c r="Q233" s="38"/>
      <c r="R233" s="48"/>
      <c r="S233" s="48"/>
      <c r="T233" s="48"/>
      <c r="U233" s="52"/>
      <c r="V233" s="50"/>
      <c r="W233" s="51"/>
      <c r="X233" s="56"/>
    </row>
    <row r="234" spans="1:24">
      <c r="A234" s="38">
        <v>174</v>
      </c>
      <c r="B234" s="38"/>
      <c r="C234" s="38"/>
      <c r="D234" s="38" t="s">
        <v>799</v>
      </c>
      <c r="E234" s="40" t="s">
        <v>800</v>
      </c>
      <c r="F234" s="58" t="s">
        <v>801</v>
      </c>
      <c r="G234" s="42" t="s">
        <v>568</v>
      </c>
      <c r="H234" s="43"/>
      <c r="I234" s="44"/>
      <c r="J234" s="38">
        <f>1.4*1000</f>
        <v>1400</v>
      </c>
      <c r="K234" s="45">
        <v>1.7754629629629631E-2</v>
      </c>
      <c r="L234" s="46" t="s">
        <v>307</v>
      </c>
      <c r="M234" s="38"/>
      <c r="N234" s="38"/>
      <c r="O234" s="38"/>
      <c r="P234" s="38"/>
      <c r="Q234" s="38"/>
      <c r="R234" s="48"/>
      <c r="S234" s="48"/>
      <c r="T234" s="48"/>
      <c r="U234" s="52"/>
      <c r="V234" s="50"/>
      <c r="W234" s="51"/>
      <c r="X234" s="56"/>
    </row>
    <row r="235" spans="1:24">
      <c r="A235" s="38">
        <v>175</v>
      </c>
      <c r="B235" s="38"/>
      <c r="C235" s="38"/>
      <c r="D235" s="38" t="s">
        <v>802</v>
      </c>
      <c r="E235" s="40" t="s">
        <v>803</v>
      </c>
      <c r="F235" s="61" t="s">
        <v>804</v>
      </c>
      <c r="G235" s="42" t="s">
        <v>805</v>
      </c>
      <c r="H235" s="43"/>
      <c r="I235" s="44"/>
      <c r="J235" s="38">
        <f>3.1*1000</f>
        <v>3100</v>
      </c>
      <c r="K235" s="45">
        <v>8.3472222222222225E-2</v>
      </c>
      <c r="L235" s="46" t="s">
        <v>307</v>
      </c>
      <c r="M235" s="38"/>
      <c r="N235" s="38"/>
      <c r="O235" s="38"/>
      <c r="P235" s="38"/>
      <c r="Q235" s="38"/>
      <c r="R235" s="48"/>
      <c r="S235" s="48"/>
      <c r="T235" s="48"/>
      <c r="U235" s="52"/>
      <c r="V235" s="50"/>
      <c r="W235" s="51"/>
      <c r="X235" s="56"/>
    </row>
    <row r="236" spans="1:24">
      <c r="A236" s="38">
        <v>176</v>
      </c>
      <c r="B236" s="38"/>
      <c r="C236" s="38"/>
      <c r="D236" s="38" t="s">
        <v>806</v>
      </c>
      <c r="E236" s="40" t="s">
        <v>807</v>
      </c>
      <c r="F236" s="61" t="s">
        <v>808</v>
      </c>
      <c r="G236" s="42" t="s">
        <v>506</v>
      </c>
      <c r="H236" s="43"/>
      <c r="I236" s="44"/>
      <c r="J236" s="38">
        <f>2*1000</f>
        <v>2000</v>
      </c>
      <c r="K236" s="45">
        <v>6.1168981481481477E-2</v>
      </c>
      <c r="L236" s="46" t="s">
        <v>307</v>
      </c>
      <c r="M236" s="38"/>
      <c r="N236" s="38"/>
      <c r="O236" s="38"/>
      <c r="P236" s="38"/>
      <c r="Q236" s="38"/>
      <c r="R236" s="48"/>
      <c r="S236" s="48"/>
      <c r="T236" s="48"/>
      <c r="U236" s="52"/>
      <c r="V236" s="50"/>
      <c r="W236" s="51"/>
      <c r="X236" s="56"/>
    </row>
    <row r="237" spans="1:24">
      <c r="A237" s="38">
        <v>177</v>
      </c>
      <c r="B237" s="38"/>
      <c r="C237" s="38"/>
      <c r="D237" s="38" t="s">
        <v>809</v>
      </c>
      <c r="E237" s="40" t="s">
        <v>810</v>
      </c>
      <c r="F237" s="58" t="s">
        <v>811</v>
      </c>
      <c r="G237" s="42" t="s">
        <v>482</v>
      </c>
      <c r="H237" s="43"/>
      <c r="I237" s="44"/>
      <c r="J237" s="38">
        <f>7.3*1000</f>
        <v>7300</v>
      </c>
      <c r="K237" s="45">
        <v>3.1041666666666665E-2</v>
      </c>
      <c r="L237" s="46" t="s">
        <v>812</v>
      </c>
      <c r="M237" s="38"/>
      <c r="N237" s="38"/>
      <c r="O237" s="38"/>
      <c r="P237" s="38"/>
      <c r="Q237" s="38"/>
      <c r="R237" s="48"/>
      <c r="S237" s="48"/>
      <c r="T237" s="48"/>
      <c r="U237" s="52"/>
      <c r="V237" s="50"/>
      <c r="W237" s="51"/>
      <c r="X237" s="56"/>
    </row>
    <row r="238" spans="1:24">
      <c r="A238" s="38">
        <v>178</v>
      </c>
      <c r="B238" s="38"/>
      <c r="C238" s="38"/>
      <c r="D238" s="38" t="s">
        <v>813</v>
      </c>
      <c r="E238" s="40" t="s">
        <v>814</v>
      </c>
      <c r="F238" s="61" t="s">
        <v>815</v>
      </c>
      <c r="G238" s="42" t="s">
        <v>462</v>
      </c>
      <c r="H238" s="43"/>
      <c r="I238" s="44"/>
      <c r="J238" s="38">
        <f>2.5*1000</f>
        <v>2500</v>
      </c>
      <c r="K238" s="45">
        <v>4.7199074074074067E-2</v>
      </c>
      <c r="L238" s="46" t="s">
        <v>812</v>
      </c>
      <c r="M238" s="38"/>
      <c r="N238" s="38"/>
      <c r="O238" s="38"/>
      <c r="P238" s="38"/>
      <c r="Q238" s="38"/>
      <c r="R238" s="48"/>
      <c r="S238" s="48"/>
      <c r="T238" s="48"/>
      <c r="U238" s="52"/>
      <c r="V238" s="50"/>
      <c r="W238" s="51"/>
      <c r="X238" s="56"/>
    </row>
    <row r="239" spans="1:24">
      <c r="A239" s="38">
        <v>179</v>
      </c>
      <c r="B239" s="38"/>
      <c r="C239" s="38"/>
      <c r="D239" s="38" t="s">
        <v>816</v>
      </c>
      <c r="E239" s="40" t="s">
        <v>817</v>
      </c>
      <c r="F239" s="41" t="s">
        <v>818</v>
      </c>
      <c r="G239" s="42" t="s">
        <v>445</v>
      </c>
      <c r="H239" s="43"/>
      <c r="I239" s="44"/>
      <c r="J239" s="38">
        <f>1.2*1000</f>
        <v>1200</v>
      </c>
      <c r="K239" s="45">
        <v>1.638888888888889E-2</v>
      </c>
      <c r="L239" s="46" t="s">
        <v>812</v>
      </c>
      <c r="M239" s="38"/>
      <c r="N239" s="38"/>
      <c r="O239" s="38"/>
      <c r="P239" s="38"/>
      <c r="Q239" s="38"/>
      <c r="R239" s="48"/>
      <c r="S239" s="48"/>
      <c r="T239" s="48"/>
      <c r="U239" s="52"/>
      <c r="V239" s="50"/>
      <c r="W239" s="51"/>
      <c r="X239" s="56"/>
    </row>
    <row r="240" spans="1:24">
      <c r="A240" s="38">
        <v>180</v>
      </c>
      <c r="B240" s="38"/>
      <c r="C240" s="38"/>
      <c r="D240" s="38" t="s">
        <v>819</v>
      </c>
      <c r="E240" s="40" t="s">
        <v>820</v>
      </c>
      <c r="F240" s="41" t="s">
        <v>269</v>
      </c>
      <c r="G240" s="42" t="s">
        <v>821</v>
      </c>
      <c r="H240" s="43"/>
      <c r="I240" s="44"/>
      <c r="J240" s="38">
        <f>8.4*1000</f>
        <v>8400</v>
      </c>
      <c r="K240" s="45">
        <v>3.2407407407407406E-3</v>
      </c>
      <c r="L240" s="46" t="s">
        <v>812</v>
      </c>
      <c r="M240" s="38"/>
      <c r="N240" s="38"/>
      <c r="O240" s="38"/>
      <c r="P240" s="38"/>
      <c r="Q240" s="38"/>
      <c r="R240" s="48"/>
      <c r="S240" s="48"/>
      <c r="T240" s="48"/>
      <c r="U240" s="52"/>
      <c r="V240" s="50"/>
      <c r="W240" s="51"/>
      <c r="X240" s="56"/>
    </row>
    <row r="241" spans="1:24">
      <c r="A241" s="38">
        <v>181</v>
      </c>
      <c r="B241" s="38"/>
      <c r="C241" s="38"/>
      <c r="D241" s="38" t="s">
        <v>822</v>
      </c>
      <c r="E241" s="40" t="s">
        <v>823</v>
      </c>
      <c r="F241" s="58" t="s">
        <v>824</v>
      </c>
      <c r="G241" s="42" t="s">
        <v>825</v>
      </c>
      <c r="H241" s="43"/>
      <c r="I241" s="44"/>
      <c r="J241" s="38">
        <f>12*1000</f>
        <v>12000</v>
      </c>
      <c r="K241" s="45">
        <v>4.0833333333333333E-2</v>
      </c>
      <c r="L241" s="46" t="s">
        <v>812</v>
      </c>
      <c r="M241" s="38"/>
      <c r="N241" s="38"/>
      <c r="O241" s="38"/>
      <c r="P241" s="38"/>
      <c r="Q241" s="38"/>
      <c r="R241" s="48"/>
      <c r="S241" s="48"/>
      <c r="T241" s="48"/>
      <c r="U241" s="52"/>
      <c r="V241" s="50"/>
      <c r="W241" s="51"/>
      <c r="X241" s="56"/>
    </row>
    <row r="242" spans="1:24">
      <c r="A242" s="38">
        <v>182</v>
      </c>
      <c r="B242" s="38"/>
      <c r="C242" s="38"/>
      <c r="D242" s="38" t="s">
        <v>826</v>
      </c>
      <c r="E242" s="40" t="s">
        <v>827</v>
      </c>
      <c r="F242" s="41" t="s">
        <v>828</v>
      </c>
      <c r="G242" s="42" t="s">
        <v>829</v>
      </c>
      <c r="H242" s="43"/>
      <c r="I242" s="44"/>
      <c r="J242" s="38">
        <f>7.6*1000</f>
        <v>7600</v>
      </c>
      <c r="K242" s="45">
        <v>6.6435185185185182E-3</v>
      </c>
      <c r="L242" s="46" t="s">
        <v>812</v>
      </c>
      <c r="M242" s="38"/>
      <c r="N242" s="38"/>
      <c r="O242" s="38"/>
      <c r="P242" s="38"/>
      <c r="Q242" s="38"/>
      <c r="R242" s="48"/>
      <c r="S242" s="48"/>
      <c r="T242" s="48"/>
      <c r="U242" s="52"/>
      <c r="V242" s="50"/>
      <c r="W242" s="51"/>
      <c r="X242" s="56"/>
    </row>
    <row r="243" spans="1:24">
      <c r="A243" s="38">
        <v>183</v>
      </c>
      <c r="B243" s="38"/>
      <c r="C243" s="38"/>
      <c r="D243" s="38" t="s">
        <v>830</v>
      </c>
      <c r="E243" s="40" t="s">
        <v>831</v>
      </c>
      <c r="F243" s="41" t="s">
        <v>832</v>
      </c>
      <c r="G243" s="42" t="s">
        <v>833</v>
      </c>
      <c r="H243" s="43"/>
      <c r="I243" s="44"/>
      <c r="J243" s="38">
        <f>55*1000</f>
        <v>55000</v>
      </c>
      <c r="K243" s="45">
        <v>1.5949074074074074E-2</v>
      </c>
      <c r="L243" s="46" t="s">
        <v>812</v>
      </c>
      <c r="M243" s="38"/>
      <c r="N243" s="38"/>
      <c r="O243" s="38"/>
      <c r="P243" s="38"/>
      <c r="Q243" s="38"/>
      <c r="R243" s="48"/>
      <c r="S243" s="48"/>
      <c r="T243" s="48"/>
      <c r="U243" s="52"/>
      <c r="V243" s="50"/>
      <c r="W243" s="51"/>
      <c r="X243" s="56"/>
    </row>
    <row r="244" spans="1:24">
      <c r="A244" s="38">
        <v>184</v>
      </c>
      <c r="B244" s="38"/>
      <c r="C244" s="38"/>
      <c r="D244" s="38" t="s">
        <v>834</v>
      </c>
      <c r="E244" s="40" t="s">
        <v>835</v>
      </c>
      <c r="F244" s="41" t="s">
        <v>836</v>
      </c>
      <c r="G244" s="42" t="s">
        <v>837</v>
      </c>
      <c r="H244" s="43"/>
      <c r="I244" s="44"/>
      <c r="J244" s="38">
        <f>6.8*1000</f>
        <v>6800</v>
      </c>
      <c r="K244" s="45">
        <v>1.2118055555555556E-2</v>
      </c>
      <c r="L244" s="46" t="s">
        <v>812</v>
      </c>
      <c r="M244" s="38"/>
      <c r="N244" s="38"/>
      <c r="O244" s="38"/>
      <c r="P244" s="38"/>
      <c r="Q244" s="38"/>
      <c r="R244" s="48"/>
      <c r="S244" s="48"/>
      <c r="T244" s="48"/>
      <c r="U244" s="52"/>
      <c r="V244" s="50"/>
      <c r="W244" s="51"/>
      <c r="X244" s="56"/>
    </row>
    <row r="245" spans="1:24">
      <c r="A245" s="38">
        <v>185</v>
      </c>
      <c r="B245" s="38"/>
      <c r="C245" s="38"/>
      <c r="D245" s="38" t="s">
        <v>838</v>
      </c>
      <c r="E245" s="40" t="s">
        <v>839</v>
      </c>
      <c r="F245" s="41" t="s">
        <v>840</v>
      </c>
      <c r="G245" s="42" t="s">
        <v>122</v>
      </c>
      <c r="H245" s="43"/>
      <c r="I245" s="44"/>
      <c r="J245" s="38">
        <f>4*1000</f>
        <v>4000</v>
      </c>
      <c r="K245" s="45">
        <v>8.4027777777777781E-3</v>
      </c>
      <c r="L245" s="46" t="s">
        <v>812</v>
      </c>
      <c r="M245" s="38"/>
      <c r="N245" s="38"/>
      <c r="O245" s="38"/>
      <c r="P245" s="38"/>
      <c r="Q245" s="38"/>
      <c r="R245" s="48"/>
      <c r="S245" s="48"/>
      <c r="T245" s="48"/>
      <c r="U245" s="52"/>
      <c r="V245" s="50"/>
      <c r="W245" s="51"/>
      <c r="X245" s="56"/>
    </row>
    <row r="246" spans="1:24">
      <c r="A246" s="38">
        <v>186</v>
      </c>
      <c r="B246" s="38"/>
      <c r="C246" s="38"/>
      <c r="D246" s="38" t="s">
        <v>841</v>
      </c>
      <c r="E246" s="40" t="s">
        <v>842</v>
      </c>
      <c r="F246" s="41" t="s">
        <v>843</v>
      </c>
      <c r="G246" s="42" t="s">
        <v>517</v>
      </c>
      <c r="H246" s="43"/>
      <c r="I246" s="44"/>
      <c r="J246" s="38">
        <f>3.9*1000</f>
        <v>3900</v>
      </c>
      <c r="K246" s="45">
        <v>5.1736111111111115E-3</v>
      </c>
      <c r="L246" s="46" t="s">
        <v>812</v>
      </c>
      <c r="M246" s="38"/>
      <c r="N246" s="38"/>
      <c r="O246" s="38"/>
      <c r="P246" s="38"/>
      <c r="Q246" s="38"/>
      <c r="R246" s="48"/>
      <c r="S246" s="48"/>
      <c r="T246" s="48"/>
      <c r="U246" s="52"/>
      <c r="V246" s="50"/>
      <c r="W246" s="51"/>
      <c r="X246" s="56"/>
    </row>
    <row r="247" spans="1:24">
      <c r="A247" s="38">
        <v>187</v>
      </c>
      <c r="B247" s="38"/>
      <c r="C247" s="38"/>
      <c r="D247" s="38" t="s">
        <v>844</v>
      </c>
      <c r="E247" s="40" t="s">
        <v>845</v>
      </c>
      <c r="F247" s="41" t="s">
        <v>846</v>
      </c>
      <c r="G247" s="42" t="s">
        <v>847</v>
      </c>
      <c r="H247" s="43"/>
      <c r="I247" s="44"/>
      <c r="J247" s="38">
        <f>3.8*1000</f>
        <v>3800</v>
      </c>
      <c r="K247" s="45">
        <v>5.7523148148148143E-3</v>
      </c>
      <c r="L247" s="46" t="s">
        <v>812</v>
      </c>
      <c r="M247" s="38"/>
      <c r="N247" s="38"/>
      <c r="O247" s="38"/>
      <c r="P247" s="38"/>
      <c r="Q247" s="38"/>
      <c r="R247" s="48"/>
      <c r="S247" s="48"/>
      <c r="T247" s="48"/>
      <c r="U247" s="52"/>
      <c r="V247" s="50"/>
      <c r="W247" s="51"/>
      <c r="X247" s="56"/>
    </row>
    <row r="248" spans="1:24">
      <c r="A248" s="38">
        <v>188</v>
      </c>
      <c r="B248" s="38"/>
      <c r="C248" s="38"/>
      <c r="D248" s="38" t="s">
        <v>848</v>
      </c>
      <c r="E248" s="40" t="s">
        <v>849</v>
      </c>
      <c r="F248" s="41" t="s">
        <v>850</v>
      </c>
      <c r="G248" s="42" t="s">
        <v>232</v>
      </c>
      <c r="H248" s="43"/>
      <c r="I248" s="44"/>
      <c r="J248" s="38">
        <f>3.2*1000</f>
        <v>3200</v>
      </c>
      <c r="K248" s="45">
        <v>1.5277777777777779E-3</v>
      </c>
      <c r="L248" s="46" t="s">
        <v>812</v>
      </c>
      <c r="M248" s="38"/>
      <c r="N248" s="38"/>
      <c r="O248" s="38"/>
      <c r="P248" s="38"/>
      <c r="Q248" s="38"/>
      <c r="R248" s="48"/>
      <c r="S248" s="48"/>
      <c r="T248" s="48"/>
      <c r="U248" s="52"/>
      <c r="V248" s="50"/>
      <c r="W248" s="51"/>
      <c r="X248" s="56"/>
    </row>
    <row r="249" spans="1:24">
      <c r="A249" s="38">
        <v>189</v>
      </c>
      <c r="B249" s="38"/>
      <c r="C249" s="38"/>
      <c r="D249" s="38" t="s">
        <v>851</v>
      </c>
      <c r="E249" s="40" t="s">
        <v>852</v>
      </c>
      <c r="F249" s="41" t="s">
        <v>853</v>
      </c>
      <c r="G249" s="42" t="s">
        <v>854</v>
      </c>
      <c r="H249" s="43"/>
      <c r="I249" s="44"/>
      <c r="J249" s="38">
        <f>4.6*1000</f>
        <v>4600</v>
      </c>
      <c r="K249" s="45">
        <v>1.5011574074074075E-2</v>
      </c>
      <c r="L249" s="46" t="s">
        <v>812</v>
      </c>
      <c r="M249" s="38"/>
      <c r="N249" s="38"/>
      <c r="O249" s="38"/>
      <c r="P249" s="38"/>
      <c r="Q249" s="38"/>
      <c r="R249" s="48"/>
      <c r="S249" s="48"/>
      <c r="T249" s="48"/>
      <c r="U249" s="52"/>
      <c r="V249" s="50"/>
      <c r="W249" s="51"/>
      <c r="X249" s="56"/>
    </row>
    <row r="250" spans="1:24">
      <c r="A250" s="38">
        <v>190</v>
      </c>
      <c r="B250" s="38"/>
      <c r="C250" s="38"/>
      <c r="D250" s="38" t="s">
        <v>855</v>
      </c>
      <c r="E250" s="40" t="s">
        <v>856</v>
      </c>
      <c r="F250" s="58" t="s">
        <v>857</v>
      </c>
      <c r="G250" s="42" t="s">
        <v>510</v>
      </c>
      <c r="H250" s="43"/>
      <c r="I250" s="44"/>
      <c r="J250" s="38">
        <f>3.7*1000</f>
        <v>3700</v>
      </c>
      <c r="K250" s="45">
        <v>3.1631944444444442E-2</v>
      </c>
      <c r="L250" s="46" t="s">
        <v>812</v>
      </c>
      <c r="M250" s="38"/>
      <c r="N250" s="38"/>
      <c r="O250" s="38"/>
      <c r="P250" s="38"/>
      <c r="Q250" s="38"/>
      <c r="R250" s="48"/>
      <c r="S250" s="48"/>
      <c r="T250" s="48"/>
      <c r="U250" s="52"/>
      <c r="V250" s="50"/>
      <c r="W250" s="51"/>
      <c r="X250" s="56"/>
    </row>
    <row r="251" spans="1:24">
      <c r="A251" s="38">
        <v>191</v>
      </c>
      <c r="B251" s="38"/>
      <c r="C251" s="38"/>
      <c r="D251" s="38" t="s">
        <v>858</v>
      </c>
      <c r="E251" s="40" t="s">
        <v>859</v>
      </c>
      <c r="F251" s="58" t="s">
        <v>860</v>
      </c>
      <c r="G251" s="42" t="s">
        <v>861</v>
      </c>
      <c r="H251" s="43"/>
      <c r="I251" s="44"/>
      <c r="J251" s="38">
        <f>9.4*1000</f>
        <v>9400</v>
      </c>
      <c r="K251" s="45">
        <v>4.0844907407407406E-2</v>
      </c>
      <c r="L251" s="46" t="s">
        <v>812</v>
      </c>
      <c r="M251" s="38"/>
      <c r="N251" s="38"/>
      <c r="O251" s="38"/>
      <c r="P251" s="38"/>
      <c r="Q251" s="38"/>
      <c r="R251" s="48"/>
      <c r="S251" s="48"/>
      <c r="T251" s="48"/>
      <c r="U251" s="52"/>
      <c r="V251" s="50"/>
      <c r="W251" s="51"/>
      <c r="X251" s="56"/>
    </row>
    <row r="252" spans="1:24">
      <c r="A252" s="38">
        <v>192</v>
      </c>
      <c r="B252" s="38"/>
      <c r="C252" s="38"/>
      <c r="D252" s="38" t="s">
        <v>862</v>
      </c>
      <c r="E252" s="40" t="s">
        <v>863</v>
      </c>
      <c r="F252" s="41" t="s">
        <v>864</v>
      </c>
      <c r="G252" s="42">
        <v>938</v>
      </c>
      <c r="H252" s="43"/>
      <c r="I252" s="44"/>
      <c r="J252" s="38">
        <f>938</f>
        <v>938</v>
      </c>
      <c r="K252" s="45">
        <v>1.3541666666666667E-3</v>
      </c>
      <c r="L252" s="46" t="s">
        <v>812</v>
      </c>
      <c r="M252" s="38"/>
      <c r="N252" s="38"/>
      <c r="O252" s="38"/>
      <c r="P252" s="38"/>
      <c r="Q252" s="38"/>
      <c r="R252" s="48"/>
      <c r="S252" s="48"/>
      <c r="T252" s="48"/>
      <c r="U252" s="52"/>
      <c r="V252" s="50"/>
      <c r="W252" s="51"/>
      <c r="X252" s="56"/>
    </row>
    <row r="253" spans="1:24">
      <c r="A253" s="38">
        <v>193</v>
      </c>
      <c r="B253" s="38"/>
      <c r="C253" s="38"/>
      <c r="D253" s="38" t="s">
        <v>865</v>
      </c>
      <c r="E253" s="40" t="s">
        <v>866</v>
      </c>
      <c r="F253" s="41" t="s">
        <v>867</v>
      </c>
      <c r="G253" s="42" t="s">
        <v>782</v>
      </c>
      <c r="H253" s="43"/>
      <c r="I253" s="44"/>
      <c r="J253" s="38">
        <f>1.8*1000</f>
        <v>1800</v>
      </c>
      <c r="K253" s="45">
        <v>9.9189814814814817E-3</v>
      </c>
      <c r="L253" s="46" t="s">
        <v>812</v>
      </c>
      <c r="M253" s="38"/>
      <c r="N253" s="38"/>
      <c r="O253" s="38"/>
      <c r="P253" s="38"/>
      <c r="Q253" s="38"/>
      <c r="R253" s="48"/>
      <c r="S253" s="48"/>
      <c r="T253" s="48"/>
      <c r="U253" s="52"/>
      <c r="V253" s="50"/>
      <c r="W253" s="51"/>
      <c r="X253" s="56"/>
    </row>
    <row r="254" spans="1:24">
      <c r="A254" s="38">
        <v>194</v>
      </c>
      <c r="B254" s="38"/>
      <c r="C254" s="38"/>
      <c r="D254" s="38" t="s">
        <v>868</v>
      </c>
      <c r="E254" s="40" t="s">
        <v>869</v>
      </c>
      <c r="F254" s="58" t="s">
        <v>870</v>
      </c>
      <c r="G254" s="42" t="s">
        <v>351</v>
      </c>
      <c r="H254" s="43"/>
      <c r="I254" s="44"/>
      <c r="J254" s="38">
        <f>4.4*1000</f>
        <v>4400</v>
      </c>
      <c r="K254" s="45">
        <v>2.5416666666666667E-2</v>
      </c>
      <c r="L254" s="46" t="s">
        <v>812</v>
      </c>
      <c r="M254" s="38"/>
      <c r="N254" s="38"/>
      <c r="O254" s="38"/>
      <c r="P254" s="38"/>
      <c r="Q254" s="38"/>
      <c r="R254" s="48"/>
      <c r="S254" s="48"/>
      <c r="T254" s="48"/>
      <c r="U254" s="52"/>
      <c r="V254" s="50"/>
      <c r="W254" s="51"/>
      <c r="X254" s="56"/>
    </row>
    <row r="255" spans="1:24">
      <c r="A255" s="38">
        <v>195</v>
      </c>
      <c r="B255" s="38"/>
      <c r="C255" s="38"/>
      <c r="D255" s="38" t="s">
        <v>871</v>
      </c>
      <c r="E255" s="40" t="s">
        <v>872</v>
      </c>
      <c r="F255" s="41" t="s">
        <v>873</v>
      </c>
      <c r="G255" s="42" t="s">
        <v>214</v>
      </c>
      <c r="H255" s="43"/>
      <c r="I255" s="44"/>
      <c r="J255" s="38">
        <f t="shared" ref="J255:J256" si="21">1*1000</f>
        <v>1000</v>
      </c>
      <c r="K255" s="45">
        <v>4.7453703703703703E-3</v>
      </c>
      <c r="L255" s="46" t="s">
        <v>812</v>
      </c>
      <c r="M255" s="38"/>
      <c r="N255" s="38"/>
      <c r="O255" s="38"/>
      <c r="P255" s="38"/>
      <c r="Q255" s="38"/>
      <c r="R255" s="48"/>
      <c r="S255" s="48"/>
      <c r="T255" s="48"/>
      <c r="U255" s="52"/>
      <c r="V255" s="50"/>
      <c r="W255" s="51"/>
      <c r="X255" s="56"/>
    </row>
    <row r="256" spans="1:24">
      <c r="A256" s="38">
        <v>196</v>
      </c>
      <c r="B256" s="38"/>
      <c r="C256" s="38"/>
      <c r="D256" s="38" t="s">
        <v>874</v>
      </c>
      <c r="E256" s="40" t="s">
        <v>875</v>
      </c>
      <c r="F256" s="41" t="s">
        <v>876</v>
      </c>
      <c r="G256" s="42" t="s">
        <v>214</v>
      </c>
      <c r="H256" s="43"/>
      <c r="I256" s="44"/>
      <c r="J256" s="38">
        <f t="shared" si="21"/>
        <v>1000</v>
      </c>
      <c r="K256" s="45">
        <v>3.0671296296296297E-3</v>
      </c>
      <c r="L256" s="46" t="s">
        <v>812</v>
      </c>
      <c r="M256" s="38"/>
      <c r="N256" s="38"/>
      <c r="O256" s="38"/>
      <c r="P256" s="38"/>
      <c r="Q256" s="38"/>
      <c r="R256" s="48"/>
      <c r="S256" s="48"/>
      <c r="T256" s="48"/>
      <c r="U256" s="52"/>
      <c r="V256" s="50"/>
      <c r="W256" s="51"/>
      <c r="X256" s="56"/>
    </row>
    <row r="257" spans="1:24">
      <c r="A257" s="38">
        <v>197</v>
      </c>
      <c r="B257" s="38"/>
      <c r="C257" s="38"/>
      <c r="D257" s="38" t="s">
        <v>877</v>
      </c>
      <c r="E257" s="40" t="s">
        <v>878</v>
      </c>
      <c r="F257" s="41" t="s">
        <v>879</v>
      </c>
      <c r="G257" s="42" t="s">
        <v>782</v>
      </c>
      <c r="H257" s="43"/>
      <c r="I257" s="44"/>
      <c r="J257" s="38">
        <f>1.8*1000</f>
        <v>1800</v>
      </c>
      <c r="K257" s="45">
        <v>1.8750000000000001E-3</v>
      </c>
      <c r="L257" s="46" t="s">
        <v>812</v>
      </c>
      <c r="M257" s="38"/>
      <c r="N257" s="38"/>
      <c r="O257" s="38"/>
      <c r="P257" s="38"/>
      <c r="Q257" s="38"/>
      <c r="R257" s="48"/>
      <c r="S257" s="48"/>
      <c r="T257" s="48"/>
      <c r="U257" s="52"/>
      <c r="V257" s="50"/>
      <c r="W257" s="51"/>
      <c r="X257" s="56"/>
    </row>
    <row r="258" spans="1:24">
      <c r="A258" s="38">
        <v>198</v>
      </c>
      <c r="B258" s="38"/>
      <c r="C258" s="38"/>
      <c r="D258" s="38" t="s">
        <v>880</v>
      </c>
      <c r="E258" s="40" t="s">
        <v>881</v>
      </c>
      <c r="F258" s="41" t="s">
        <v>882</v>
      </c>
      <c r="G258" s="42" t="s">
        <v>506</v>
      </c>
      <c r="H258" s="43"/>
      <c r="I258" s="44"/>
      <c r="J258" s="38">
        <f>2*1000</f>
        <v>2000</v>
      </c>
      <c r="K258" s="45">
        <v>8.819444444444444E-3</v>
      </c>
      <c r="L258" s="46" t="s">
        <v>812</v>
      </c>
      <c r="M258" s="38"/>
      <c r="N258" s="38"/>
      <c r="O258" s="38"/>
      <c r="P258" s="38"/>
      <c r="Q258" s="38"/>
      <c r="R258" s="48"/>
      <c r="S258" s="48"/>
      <c r="T258" s="48"/>
      <c r="U258" s="52"/>
      <c r="V258" s="50"/>
      <c r="W258" s="51"/>
      <c r="X258" s="56"/>
    </row>
    <row r="259" spans="1:24">
      <c r="A259" s="38">
        <v>199</v>
      </c>
      <c r="B259" s="38"/>
      <c r="C259" s="38"/>
      <c r="D259" s="38" t="s">
        <v>883</v>
      </c>
      <c r="E259" s="40" t="s">
        <v>884</v>
      </c>
      <c r="F259" s="41" t="s">
        <v>885</v>
      </c>
      <c r="G259" s="42" t="s">
        <v>805</v>
      </c>
      <c r="H259" s="43"/>
      <c r="I259" s="44"/>
      <c r="J259" s="38">
        <f>3.1*1000</f>
        <v>3100</v>
      </c>
      <c r="K259" s="45">
        <v>8.9930555555555545E-3</v>
      </c>
      <c r="L259" s="46" t="s">
        <v>812</v>
      </c>
      <c r="M259" s="38"/>
      <c r="N259" s="38"/>
      <c r="O259" s="38"/>
      <c r="P259" s="38"/>
      <c r="Q259" s="38"/>
      <c r="R259" s="48"/>
      <c r="S259" s="48"/>
      <c r="T259" s="48"/>
      <c r="U259" s="52"/>
      <c r="V259" s="50"/>
      <c r="W259" s="51"/>
      <c r="X259" s="56"/>
    </row>
    <row r="260" spans="1:24">
      <c r="A260" s="38">
        <v>200</v>
      </c>
      <c r="B260" s="38"/>
      <c r="C260" s="38"/>
      <c r="D260" s="38" t="s">
        <v>886</v>
      </c>
      <c r="E260" s="40" t="s">
        <v>887</v>
      </c>
      <c r="F260" s="41" t="s">
        <v>888</v>
      </c>
      <c r="G260" s="42" t="s">
        <v>249</v>
      </c>
      <c r="H260" s="43"/>
      <c r="I260" s="44"/>
      <c r="J260" s="38">
        <f>2.4*1000</f>
        <v>2400</v>
      </c>
      <c r="K260" s="45">
        <v>9.2592592592592605E-3</v>
      </c>
      <c r="L260" s="46" t="s">
        <v>812</v>
      </c>
      <c r="M260" s="38"/>
      <c r="N260" s="38"/>
      <c r="O260" s="38"/>
      <c r="P260" s="38"/>
      <c r="Q260" s="38"/>
      <c r="R260" s="48"/>
      <c r="S260" s="48"/>
      <c r="T260" s="48"/>
      <c r="U260" s="52"/>
      <c r="V260" s="50"/>
      <c r="W260" s="51"/>
      <c r="X260" s="56"/>
    </row>
    <row r="261" spans="1:24">
      <c r="A261" s="38">
        <v>201</v>
      </c>
      <c r="B261" s="38"/>
      <c r="C261" s="38"/>
      <c r="D261" s="38" t="s">
        <v>889</v>
      </c>
      <c r="E261" s="40" t="s">
        <v>890</v>
      </c>
      <c r="F261" s="41" t="s">
        <v>891</v>
      </c>
      <c r="G261" s="42" t="s">
        <v>892</v>
      </c>
      <c r="H261" s="43"/>
      <c r="I261" s="44"/>
      <c r="J261" s="38">
        <f>8.1*1000</f>
        <v>8100</v>
      </c>
      <c r="K261" s="45">
        <v>2.6388888888888885E-3</v>
      </c>
      <c r="L261" s="46" t="s">
        <v>893</v>
      </c>
      <c r="M261" s="38"/>
      <c r="N261" s="38"/>
      <c r="O261" s="38"/>
      <c r="P261" s="38"/>
      <c r="Q261" s="38"/>
      <c r="R261" s="48"/>
      <c r="S261" s="48"/>
      <c r="T261" s="48"/>
      <c r="U261" s="52"/>
      <c r="V261" s="50"/>
      <c r="W261" s="51"/>
      <c r="X261" s="56"/>
    </row>
    <row r="262" spans="1:24">
      <c r="A262" s="38">
        <v>202</v>
      </c>
      <c r="B262" s="38"/>
      <c r="C262" s="38"/>
      <c r="D262" s="38" t="s">
        <v>894</v>
      </c>
      <c r="E262" s="40" t="s">
        <v>895</v>
      </c>
      <c r="F262" s="41" t="s">
        <v>896</v>
      </c>
      <c r="G262" s="42" t="s">
        <v>770</v>
      </c>
      <c r="H262" s="43"/>
      <c r="I262" s="44"/>
      <c r="J262" s="38">
        <f>2.7*1000</f>
        <v>2700</v>
      </c>
      <c r="K262" s="45">
        <v>2.7199074074074074E-3</v>
      </c>
      <c r="L262" s="46" t="s">
        <v>893</v>
      </c>
      <c r="M262" s="38"/>
      <c r="N262" s="38"/>
      <c r="O262" s="38"/>
      <c r="P262" s="38"/>
      <c r="Q262" s="38"/>
      <c r="R262" s="48"/>
      <c r="S262" s="48"/>
      <c r="T262" s="48"/>
      <c r="U262" s="52"/>
      <c r="V262" s="50"/>
      <c r="W262" s="51"/>
      <c r="X262" s="56"/>
    </row>
    <row r="263" spans="1:24">
      <c r="A263" s="38">
        <v>203</v>
      </c>
      <c r="B263" s="38"/>
      <c r="C263" s="38"/>
      <c r="D263" s="38" t="s">
        <v>897</v>
      </c>
      <c r="E263" s="40" t="s">
        <v>898</v>
      </c>
      <c r="F263" s="41" t="s">
        <v>899</v>
      </c>
      <c r="G263" s="42" t="s">
        <v>455</v>
      </c>
      <c r="H263" s="43"/>
      <c r="I263" s="44"/>
      <c r="J263" s="38">
        <f>2.9*1000</f>
        <v>2900</v>
      </c>
      <c r="K263" s="45">
        <v>2.2800925925925927E-3</v>
      </c>
      <c r="L263" s="46" t="s">
        <v>893</v>
      </c>
      <c r="M263" s="38"/>
      <c r="N263" s="38"/>
      <c r="O263" s="38"/>
      <c r="P263" s="38"/>
      <c r="Q263" s="38"/>
      <c r="R263" s="48"/>
      <c r="S263" s="48"/>
      <c r="T263" s="48"/>
      <c r="U263" s="52"/>
      <c r="V263" s="50"/>
      <c r="W263" s="51"/>
      <c r="X263" s="56"/>
    </row>
    <row r="264" spans="1:24">
      <c r="A264" s="38">
        <v>204</v>
      </c>
      <c r="B264" s="38"/>
      <c r="C264" s="38"/>
      <c r="D264" s="38" t="s">
        <v>900</v>
      </c>
      <c r="E264" s="40" t="s">
        <v>901</v>
      </c>
      <c r="F264" s="41" t="s">
        <v>902</v>
      </c>
      <c r="G264" s="42" t="s">
        <v>517</v>
      </c>
      <c r="H264" s="43"/>
      <c r="I264" s="44"/>
      <c r="J264" s="38">
        <f t="shared" ref="J264:J265" si="22">3.9*1000</f>
        <v>3900</v>
      </c>
      <c r="K264" s="45">
        <v>4.3518518518518515E-3</v>
      </c>
      <c r="L264" s="46" t="s">
        <v>893</v>
      </c>
      <c r="M264" s="38"/>
      <c r="N264" s="38"/>
      <c r="O264" s="38"/>
      <c r="P264" s="38"/>
      <c r="Q264" s="38"/>
      <c r="R264" s="48"/>
      <c r="S264" s="48"/>
      <c r="T264" s="48"/>
      <c r="U264" s="52"/>
      <c r="V264" s="50"/>
      <c r="W264" s="51"/>
      <c r="X264" s="56"/>
    </row>
    <row r="265" spans="1:24">
      <c r="A265" s="38">
        <v>205</v>
      </c>
      <c r="B265" s="38"/>
      <c r="C265" s="38"/>
      <c r="D265" s="38" t="s">
        <v>903</v>
      </c>
      <c r="E265" s="40" t="s">
        <v>904</v>
      </c>
      <c r="F265" s="41" t="s">
        <v>905</v>
      </c>
      <c r="G265" s="42" t="s">
        <v>517</v>
      </c>
      <c r="H265" s="43"/>
      <c r="I265" s="44"/>
      <c r="J265" s="38">
        <f t="shared" si="22"/>
        <v>3900</v>
      </c>
      <c r="K265" s="45">
        <v>6.4930555555555549E-3</v>
      </c>
      <c r="L265" s="46" t="s">
        <v>893</v>
      </c>
      <c r="M265" s="38"/>
      <c r="N265" s="38"/>
      <c r="O265" s="38"/>
      <c r="P265" s="38"/>
      <c r="Q265" s="38"/>
      <c r="R265" s="48"/>
      <c r="S265" s="48"/>
      <c r="T265" s="48"/>
      <c r="U265" s="52"/>
      <c r="V265" s="50"/>
      <c r="W265" s="51"/>
      <c r="X265" s="56"/>
    </row>
    <row r="266" spans="1:24">
      <c r="A266" s="38">
        <v>206</v>
      </c>
      <c r="B266" s="38"/>
      <c r="C266" s="38"/>
      <c r="D266" s="38" t="s">
        <v>906</v>
      </c>
      <c r="E266" s="40" t="s">
        <v>907</v>
      </c>
      <c r="F266" s="41" t="s">
        <v>908</v>
      </c>
      <c r="G266" s="42" t="s">
        <v>351</v>
      </c>
      <c r="H266" s="43"/>
      <c r="I266" s="44"/>
      <c r="J266" s="38">
        <f>4.4*1000</f>
        <v>4400</v>
      </c>
      <c r="K266" s="45">
        <v>9.2129629629629627E-3</v>
      </c>
      <c r="L266" s="46" t="s">
        <v>893</v>
      </c>
      <c r="M266" s="38"/>
      <c r="N266" s="38"/>
      <c r="O266" s="38"/>
      <c r="P266" s="38"/>
      <c r="Q266" s="38"/>
      <c r="R266" s="48"/>
      <c r="S266" s="48"/>
      <c r="T266" s="48"/>
      <c r="U266" s="52"/>
      <c r="V266" s="50"/>
      <c r="W266" s="51"/>
      <c r="X266" s="56"/>
    </row>
    <row r="267" spans="1:24">
      <c r="A267" s="38">
        <v>207</v>
      </c>
      <c r="B267" s="38"/>
      <c r="C267" s="38"/>
      <c r="D267" s="38" t="s">
        <v>909</v>
      </c>
      <c r="E267" s="40" t="s">
        <v>910</v>
      </c>
      <c r="F267" s="41" t="s">
        <v>911</v>
      </c>
      <c r="G267" s="42" t="s">
        <v>912</v>
      </c>
      <c r="H267" s="43"/>
      <c r="I267" s="44"/>
      <c r="J267" s="38">
        <f>4.2*1000</f>
        <v>4200</v>
      </c>
      <c r="K267" s="45">
        <v>7.2337962962962963E-3</v>
      </c>
      <c r="L267" s="46" t="s">
        <v>893</v>
      </c>
      <c r="M267" s="38"/>
      <c r="N267" s="38"/>
      <c r="O267" s="38"/>
      <c r="P267" s="38"/>
      <c r="Q267" s="38"/>
      <c r="R267" s="48"/>
      <c r="S267" s="48"/>
      <c r="T267" s="48"/>
      <c r="U267" s="52"/>
      <c r="V267" s="50"/>
      <c r="W267" s="51"/>
      <c r="X267" s="56"/>
    </row>
    <row r="268" spans="1:24">
      <c r="A268" s="38">
        <v>208</v>
      </c>
      <c r="B268" s="38"/>
      <c r="C268" s="38"/>
      <c r="D268" s="38" t="s">
        <v>913</v>
      </c>
      <c r="E268" s="40" t="s">
        <v>914</v>
      </c>
      <c r="F268" s="41" t="s">
        <v>915</v>
      </c>
      <c r="G268" s="42" t="s">
        <v>155</v>
      </c>
      <c r="H268" s="43"/>
      <c r="I268" s="44"/>
      <c r="J268" s="38">
        <f>1.9*1000</f>
        <v>1900</v>
      </c>
      <c r="K268" s="45">
        <v>4.3981481481481484E-3</v>
      </c>
      <c r="L268" s="46" t="s">
        <v>893</v>
      </c>
      <c r="M268" s="38"/>
      <c r="N268" s="38"/>
      <c r="O268" s="38"/>
      <c r="P268" s="38"/>
      <c r="Q268" s="38"/>
      <c r="R268" s="48"/>
      <c r="S268" s="48"/>
      <c r="T268" s="48"/>
      <c r="U268" s="52"/>
      <c r="V268" s="50"/>
      <c r="W268" s="51"/>
      <c r="X268" s="56"/>
    </row>
    <row r="269" spans="1:24">
      <c r="A269" s="38">
        <v>209</v>
      </c>
      <c r="B269" s="38"/>
      <c r="C269" s="38"/>
      <c r="D269" s="38" t="s">
        <v>916</v>
      </c>
      <c r="E269" s="40" t="s">
        <v>917</v>
      </c>
      <c r="F269" s="41" t="s">
        <v>918</v>
      </c>
      <c r="G269" s="42" t="s">
        <v>919</v>
      </c>
      <c r="H269" s="43"/>
      <c r="I269" s="44"/>
      <c r="J269" s="38">
        <f>2.8*1000</f>
        <v>2800</v>
      </c>
      <c r="K269" s="45">
        <v>6.5393518518518517E-3</v>
      </c>
      <c r="L269" s="46" t="s">
        <v>893</v>
      </c>
      <c r="M269" s="38"/>
      <c r="N269" s="38"/>
      <c r="O269" s="38"/>
      <c r="P269" s="38"/>
      <c r="Q269" s="38"/>
      <c r="R269" s="48"/>
      <c r="S269" s="48"/>
      <c r="T269" s="48"/>
      <c r="U269" s="52"/>
      <c r="V269" s="50"/>
      <c r="W269" s="51"/>
      <c r="X269" s="56"/>
    </row>
    <row r="270" spans="1:24">
      <c r="A270" s="38">
        <v>210</v>
      </c>
      <c r="B270" s="38"/>
      <c r="C270" s="38"/>
      <c r="D270" s="38" t="s">
        <v>920</v>
      </c>
      <c r="E270" s="40" t="s">
        <v>921</v>
      </c>
      <c r="F270" s="41" t="s">
        <v>922</v>
      </c>
      <c r="G270" s="42" t="s">
        <v>374</v>
      </c>
      <c r="H270" s="43"/>
      <c r="I270" s="44"/>
      <c r="J270" s="38">
        <f>1.3*1000</f>
        <v>1300</v>
      </c>
      <c r="K270" s="45">
        <v>3.2175925925925926E-3</v>
      </c>
      <c r="L270" s="46" t="s">
        <v>893</v>
      </c>
      <c r="M270" s="38"/>
      <c r="N270" s="38"/>
      <c r="O270" s="38"/>
      <c r="P270" s="38"/>
      <c r="Q270" s="38"/>
      <c r="R270" s="48"/>
      <c r="S270" s="48"/>
      <c r="T270" s="48"/>
      <c r="U270" s="52"/>
      <c r="V270" s="50"/>
      <c r="W270" s="51"/>
      <c r="X270" s="56"/>
    </row>
    <row r="271" spans="1:24">
      <c r="A271" s="38">
        <v>211</v>
      </c>
      <c r="B271" s="38"/>
      <c r="C271" s="38"/>
      <c r="D271" s="38" t="s">
        <v>923</v>
      </c>
      <c r="E271" s="40" t="s">
        <v>924</v>
      </c>
      <c r="F271" s="41" t="s">
        <v>925</v>
      </c>
      <c r="G271" s="42" t="s">
        <v>926</v>
      </c>
      <c r="H271" s="43"/>
      <c r="I271" s="44"/>
      <c r="J271" s="38">
        <f>8.7*1000</f>
        <v>8700</v>
      </c>
      <c r="K271" s="45">
        <v>1.3078703703703703E-2</v>
      </c>
      <c r="L271" s="46" t="s">
        <v>893</v>
      </c>
      <c r="M271" s="38"/>
      <c r="N271" s="38"/>
      <c r="O271" s="38"/>
      <c r="P271" s="38"/>
      <c r="Q271" s="38"/>
      <c r="R271" s="48"/>
      <c r="S271" s="48"/>
      <c r="T271" s="48"/>
      <c r="U271" s="52"/>
      <c r="V271" s="50"/>
      <c r="W271" s="51"/>
      <c r="X271" s="56"/>
    </row>
    <row r="272" spans="1:24">
      <c r="A272" s="38">
        <v>212</v>
      </c>
      <c r="B272" s="38"/>
      <c r="C272" s="38"/>
      <c r="D272" s="38" t="s">
        <v>927</v>
      </c>
      <c r="E272" s="40" t="s">
        <v>928</v>
      </c>
      <c r="F272" s="41" t="s">
        <v>929</v>
      </c>
      <c r="G272" s="42" t="s">
        <v>249</v>
      </c>
      <c r="H272" s="43"/>
      <c r="I272" s="44"/>
      <c r="J272" s="38">
        <f>2.4*1000</f>
        <v>2400</v>
      </c>
      <c r="K272" s="45">
        <v>8.0092592592592594E-3</v>
      </c>
      <c r="L272" s="46" t="s">
        <v>893</v>
      </c>
      <c r="M272" s="38"/>
      <c r="N272" s="38"/>
      <c r="O272" s="38"/>
      <c r="P272" s="38"/>
      <c r="Q272" s="38"/>
      <c r="R272" s="48"/>
      <c r="S272" s="48"/>
      <c r="T272" s="48"/>
      <c r="U272" s="52"/>
      <c r="V272" s="50"/>
      <c r="W272" s="51"/>
      <c r="X272" s="56"/>
    </row>
    <row r="273" spans="1:24">
      <c r="A273" s="38">
        <v>213</v>
      </c>
      <c r="B273" s="38"/>
      <c r="C273" s="38"/>
      <c r="D273" s="38" t="s">
        <v>930</v>
      </c>
      <c r="E273" s="40" t="s">
        <v>931</v>
      </c>
      <c r="F273" s="41" t="s">
        <v>932</v>
      </c>
      <c r="G273" s="42" t="s">
        <v>919</v>
      </c>
      <c r="H273" s="43"/>
      <c r="I273" s="44"/>
      <c r="J273" s="38">
        <f>2.8*1000</f>
        <v>2800</v>
      </c>
      <c r="K273" s="45">
        <v>2.5462962962962961E-3</v>
      </c>
      <c r="L273" s="46" t="s">
        <v>893</v>
      </c>
      <c r="M273" s="38"/>
      <c r="N273" s="38"/>
      <c r="O273" s="38"/>
      <c r="P273" s="38"/>
      <c r="Q273" s="38"/>
      <c r="R273" s="48"/>
      <c r="S273" s="48"/>
      <c r="T273" s="48"/>
      <c r="U273" s="52"/>
      <c r="V273" s="50"/>
      <c r="W273" s="51"/>
      <c r="X273" s="56"/>
    </row>
    <row r="274" spans="1:24">
      <c r="A274" s="38">
        <v>214</v>
      </c>
      <c r="B274" s="38"/>
      <c r="C274" s="38"/>
      <c r="D274" s="38" t="s">
        <v>933</v>
      </c>
      <c r="E274" s="40" t="s">
        <v>934</v>
      </c>
      <c r="F274" s="58" t="s">
        <v>935</v>
      </c>
      <c r="G274" s="42" t="s">
        <v>892</v>
      </c>
      <c r="H274" s="43"/>
      <c r="I274" s="44"/>
      <c r="J274" s="38">
        <f>8.1*1000</f>
        <v>8100</v>
      </c>
      <c r="K274" s="45">
        <v>2.9814814814814811E-2</v>
      </c>
      <c r="L274" s="46" t="s">
        <v>893</v>
      </c>
      <c r="M274" s="38"/>
      <c r="N274" s="38"/>
      <c r="O274" s="38"/>
      <c r="P274" s="38"/>
      <c r="Q274" s="38"/>
      <c r="R274" s="48"/>
      <c r="S274" s="48"/>
      <c r="T274" s="48"/>
      <c r="U274" s="52"/>
      <c r="V274" s="50"/>
      <c r="W274" s="51"/>
      <c r="X274" s="56"/>
    </row>
    <row r="275" spans="1:24">
      <c r="A275" s="38">
        <v>215</v>
      </c>
      <c r="B275" s="38"/>
      <c r="C275" s="38"/>
      <c r="D275" s="38" t="s">
        <v>936</v>
      </c>
      <c r="E275" s="40" t="s">
        <v>937</v>
      </c>
      <c r="F275" s="41" t="s">
        <v>938</v>
      </c>
      <c r="G275" s="42" t="s">
        <v>144</v>
      </c>
      <c r="H275" s="43"/>
      <c r="I275" s="44"/>
      <c r="J275" s="38">
        <f>1.7*1000</f>
        <v>1700</v>
      </c>
      <c r="K275" s="45">
        <v>6.7939814814814816E-3</v>
      </c>
      <c r="L275" s="46" t="s">
        <v>893</v>
      </c>
      <c r="M275" s="38"/>
      <c r="N275" s="38"/>
      <c r="O275" s="38"/>
      <c r="P275" s="38"/>
      <c r="Q275" s="38"/>
      <c r="R275" s="48"/>
      <c r="S275" s="48"/>
      <c r="T275" s="48"/>
      <c r="U275" s="52"/>
      <c r="V275" s="50"/>
      <c r="W275" s="51"/>
      <c r="X275" s="56"/>
    </row>
    <row r="276" spans="1:24">
      <c r="A276" s="38">
        <v>216</v>
      </c>
      <c r="B276" s="38"/>
      <c r="C276" s="38"/>
      <c r="D276" s="38" t="s">
        <v>939</v>
      </c>
      <c r="E276" s="40" t="s">
        <v>940</v>
      </c>
      <c r="F276" s="41" t="s">
        <v>941</v>
      </c>
      <c r="G276" s="42" t="s">
        <v>517</v>
      </c>
      <c r="H276" s="43"/>
      <c r="I276" s="44"/>
      <c r="J276" s="38">
        <f>3.9*1000</f>
        <v>3900</v>
      </c>
      <c r="K276" s="45">
        <v>3.0902777777777782E-3</v>
      </c>
      <c r="L276" s="46" t="s">
        <v>893</v>
      </c>
      <c r="M276" s="38"/>
      <c r="N276" s="38"/>
      <c r="O276" s="38"/>
      <c r="P276" s="38"/>
      <c r="Q276" s="38"/>
      <c r="R276" s="48"/>
      <c r="S276" s="48"/>
      <c r="T276" s="48"/>
      <c r="U276" s="52"/>
      <c r="V276" s="50"/>
      <c r="W276" s="51"/>
      <c r="X276" s="56"/>
    </row>
    <row r="277" spans="1:24">
      <c r="A277" s="38">
        <v>217</v>
      </c>
      <c r="B277" s="38"/>
      <c r="C277" s="38"/>
      <c r="D277" s="38" t="s">
        <v>942</v>
      </c>
      <c r="E277" s="40" t="s">
        <v>943</v>
      </c>
      <c r="F277" s="41" t="s">
        <v>944</v>
      </c>
      <c r="G277" s="42">
        <v>254</v>
      </c>
      <c r="H277" s="43"/>
      <c r="I277" s="44"/>
      <c r="J277" s="38">
        <f>254</f>
        <v>254</v>
      </c>
      <c r="K277" s="45">
        <v>2.7314814814814819E-3</v>
      </c>
      <c r="L277" s="46" t="s">
        <v>893</v>
      </c>
      <c r="M277" s="38"/>
      <c r="N277" s="38"/>
      <c r="O277" s="38"/>
      <c r="P277" s="38"/>
      <c r="Q277" s="38"/>
      <c r="R277" s="48"/>
      <c r="S277" s="48"/>
      <c r="T277" s="48"/>
      <c r="U277" s="52"/>
      <c r="V277" s="50"/>
      <c r="W277" s="51"/>
      <c r="X277" s="56"/>
    </row>
    <row r="278" spans="1:24">
      <c r="A278" s="38">
        <v>218</v>
      </c>
      <c r="B278" s="38"/>
      <c r="C278" s="38"/>
      <c r="D278" s="38" t="s">
        <v>945</v>
      </c>
      <c r="E278" s="40" t="s">
        <v>946</v>
      </c>
      <c r="F278" s="58" t="s">
        <v>947</v>
      </c>
      <c r="G278" s="42" t="s">
        <v>135</v>
      </c>
      <c r="H278" s="43"/>
      <c r="I278" s="44"/>
      <c r="J278" s="38">
        <f>10*1000</f>
        <v>10000</v>
      </c>
      <c r="K278" s="45">
        <v>1.8865740740740742E-2</v>
      </c>
      <c r="L278" s="46" t="s">
        <v>893</v>
      </c>
      <c r="M278" s="38"/>
      <c r="N278" s="38"/>
      <c r="O278" s="38"/>
      <c r="P278" s="38"/>
      <c r="Q278" s="38"/>
      <c r="R278" s="48"/>
      <c r="S278" s="48"/>
      <c r="T278" s="48"/>
      <c r="U278" s="52"/>
      <c r="V278" s="50"/>
      <c r="W278" s="51"/>
      <c r="X278" s="56"/>
    </row>
    <row r="279" spans="1:24">
      <c r="A279" s="38">
        <v>219</v>
      </c>
      <c r="B279" s="38"/>
      <c r="C279" s="38"/>
      <c r="D279" s="38" t="s">
        <v>948</v>
      </c>
      <c r="E279" s="40" t="s">
        <v>949</v>
      </c>
      <c r="F279" s="58" t="s">
        <v>950</v>
      </c>
      <c r="G279" s="42" t="s">
        <v>951</v>
      </c>
      <c r="H279" s="43"/>
      <c r="I279" s="44"/>
      <c r="J279" s="38">
        <f>7.8*1000</f>
        <v>7800</v>
      </c>
      <c r="K279" s="45">
        <v>2.5567129629629634E-2</v>
      </c>
      <c r="L279" s="46" t="s">
        <v>893</v>
      </c>
      <c r="M279" s="38"/>
      <c r="N279" s="38"/>
      <c r="O279" s="38"/>
      <c r="P279" s="38"/>
      <c r="Q279" s="38"/>
      <c r="R279" s="48"/>
      <c r="S279" s="48"/>
      <c r="T279" s="48"/>
      <c r="U279" s="52"/>
      <c r="V279" s="50"/>
      <c r="W279" s="51"/>
      <c r="X279" s="56"/>
    </row>
    <row r="280" spans="1:24">
      <c r="A280" s="38">
        <v>220</v>
      </c>
      <c r="B280" s="38"/>
      <c r="C280" s="38"/>
      <c r="D280" s="38" t="s">
        <v>952</v>
      </c>
      <c r="E280" s="40" t="s">
        <v>953</v>
      </c>
      <c r="F280" s="41" t="s">
        <v>954</v>
      </c>
      <c r="G280" s="42">
        <v>499</v>
      </c>
      <c r="H280" s="43"/>
      <c r="I280" s="44"/>
      <c r="J280" s="38">
        <f>499</f>
        <v>499</v>
      </c>
      <c r="K280" s="45">
        <v>1.2291666666666666E-2</v>
      </c>
      <c r="L280" s="46" t="s">
        <v>893</v>
      </c>
      <c r="M280" s="38"/>
      <c r="N280" s="38"/>
      <c r="O280" s="38"/>
      <c r="P280" s="38"/>
      <c r="Q280" s="38"/>
      <c r="R280" s="48"/>
      <c r="S280" s="48"/>
      <c r="T280" s="48"/>
      <c r="U280" s="52"/>
      <c r="V280" s="50"/>
      <c r="W280" s="51"/>
      <c r="X280" s="56"/>
    </row>
    <row r="281" spans="1:24">
      <c r="A281" s="38">
        <v>221</v>
      </c>
      <c r="B281" s="38"/>
      <c r="C281" s="38"/>
      <c r="D281" s="38" t="s">
        <v>955</v>
      </c>
      <c r="E281" s="40" t="s">
        <v>956</v>
      </c>
      <c r="F281" s="41" t="s">
        <v>742</v>
      </c>
      <c r="G281" s="42" t="s">
        <v>597</v>
      </c>
      <c r="H281" s="43"/>
      <c r="I281" s="44"/>
      <c r="J281" s="38">
        <f>2.6*1000</f>
        <v>2600</v>
      </c>
      <c r="K281" s="45">
        <v>2.2916666666666667E-3</v>
      </c>
      <c r="L281" s="46" t="s">
        <v>893</v>
      </c>
      <c r="M281" s="38"/>
      <c r="N281" s="38"/>
      <c r="O281" s="38"/>
      <c r="P281" s="38"/>
      <c r="Q281" s="38"/>
      <c r="R281" s="48"/>
      <c r="S281" s="48"/>
      <c r="T281" s="48"/>
      <c r="U281" s="52"/>
      <c r="V281" s="50"/>
      <c r="W281" s="51"/>
      <c r="X281" s="56"/>
    </row>
    <row r="282" spans="1:24">
      <c r="A282" s="38">
        <v>222</v>
      </c>
      <c r="B282" s="38"/>
      <c r="C282" s="38"/>
      <c r="D282" s="38" t="s">
        <v>957</v>
      </c>
      <c r="E282" s="40" t="s">
        <v>958</v>
      </c>
      <c r="F282" s="41" t="s">
        <v>959</v>
      </c>
      <c r="G282" s="42" t="s">
        <v>396</v>
      </c>
      <c r="H282" s="43"/>
      <c r="I282" s="44"/>
      <c r="J282" s="38">
        <f>1.1*1000</f>
        <v>1100</v>
      </c>
      <c r="K282" s="45">
        <v>4.155092592592593E-3</v>
      </c>
      <c r="L282" s="46" t="s">
        <v>893</v>
      </c>
      <c r="M282" s="38"/>
      <c r="N282" s="38"/>
      <c r="O282" s="38"/>
      <c r="P282" s="38"/>
      <c r="Q282" s="38"/>
      <c r="R282" s="48"/>
      <c r="S282" s="48"/>
      <c r="T282" s="48"/>
      <c r="U282" s="52"/>
      <c r="V282" s="50"/>
      <c r="W282" s="51"/>
      <c r="X282" s="56"/>
    </row>
    <row r="283" spans="1:24">
      <c r="A283" s="38">
        <v>223</v>
      </c>
      <c r="B283" s="38"/>
      <c r="C283" s="38"/>
      <c r="D283" s="38" t="s">
        <v>960</v>
      </c>
      <c r="E283" s="40" t="s">
        <v>961</v>
      </c>
      <c r="F283" s="41" t="s">
        <v>962</v>
      </c>
      <c r="G283" s="42" t="s">
        <v>568</v>
      </c>
      <c r="H283" s="43"/>
      <c r="I283" s="44"/>
      <c r="J283" s="38">
        <f t="shared" ref="J283:J284" si="23">1.4*1000</f>
        <v>1400</v>
      </c>
      <c r="K283" s="45">
        <v>1.4814814814814814E-3</v>
      </c>
      <c r="L283" s="46" t="s">
        <v>893</v>
      </c>
      <c r="M283" s="38"/>
      <c r="N283" s="38"/>
      <c r="O283" s="38"/>
      <c r="P283" s="38"/>
      <c r="Q283" s="38"/>
      <c r="R283" s="48"/>
      <c r="S283" s="48"/>
      <c r="T283" s="48"/>
      <c r="U283" s="52"/>
      <c r="V283" s="50"/>
      <c r="W283" s="51"/>
      <c r="X283" s="56"/>
    </row>
    <row r="284" spans="1:24">
      <c r="A284" s="38">
        <v>224</v>
      </c>
      <c r="B284" s="38"/>
      <c r="C284" s="38"/>
      <c r="D284" s="38" t="s">
        <v>963</v>
      </c>
      <c r="E284" s="40" t="s">
        <v>964</v>
      </c>
      <c r="F284" s="41" t="s">
        <v>965</v>
      </c>
      <c r="G284" s="42" t="s">
        <v>568</v>
      </c>
      <c r="H284" s="43"/>
      <c r="I284" s="44"/>
      <c r="J284" s="38">
        <f t="shared" si="23"/>
        <v>1400</v>
      </c>
      <c r="K284" s="45">
        <v>1.5740740740740741E-3</v>
      </c>
      <c r="L284" s="46" t="s">
        <v>893</v>
      </c>
      <c r="M284" s="38"/>
      <c r="N284" s="38"/>
      <c r="O284" s="38"/>
      <c r="P284" s="38"/>
      <c r="Q284" s="38"/>
      <c r="R284" s="48"/>
      <c r="S284" s="48"/>
      <c r="T284" s="48"/>
      <c r="U284" s="52"/>
      <c r="V284" s="50"/>
      <c r="W284" s="51"/>
      <c r="X284" s="56"/>
    </row>
    <row r="285" spans="1:24">
      <c r="A285" s="38">
        <v>225</v>
      </c>
      <c r="B285" s="38"/>
      <c r="C285" s="38"/>
      <c r="D285" s="38" t="s">
        <v>966</v>
      </c>
      <c r="E285" s="40" t="s">
        <v>967</v>
      </c>
      <c r="F285" s="41" t="s">
        <v>968</v>
      </c>
      <c r="G285" s="42" t="s">
        <v>210</v>
      </c>
      <c r="H285" s="43"/>
      <c r="I285" s="44"/>
      <c r="J285" s="38">
        <f>3.6*1000</f>
        <v>3600</v>
      </c>
      <c r="K285" s="45">
        <v>7.3495370370370372E-3</v>
      </c>
      <c r="L285" s="46" t="s">
        <v>893</v>
      </c>
      <c r="M285" s="38"/>
      <c r="N285" s="38"/>
      <c r="O285" s="38"/>
      <c r="P285" s="38"/>
      <c r="Q285" s="38"/>
      <c r="R285" s="48"/>
      <c r="S285" s="48"/>
      <c r="T285" s="48"/>
      <c r="U285" s="52"/>
      <c r="V285" s="50"/>
      <c r="W285" s="51"/>
      <c r="X285" s="56"/>
    </row>
    <row r="286" spans="1:24">
      <c r="A286" s="38">
        <v>226</v>
      </c>
      <c r="B286" s="38"/>
      <c r="C286" s="38"/>
      <c r="D286" s="38" t="s">
        <v>969</v>
      </c>
      <c r="E286" s="40" t="s">
        <v>970</v>
      </c>
      <c r="F286" s="41" t="s">
        <v>384</v>
      </c>
      <c r="G286" s="42" t="s">
        <v>951</v>
      </c>
      <c r="H286" s="43"/>
      <c r="I286" s="44"/>
      <c r="J286" s="38">
        <f>7.8*1000</f>
        <v>7800</v>
      </c>
      <c r="K286" s="45">
        <v>2.5925925925925925E-3</v>
      </c>
      <c r="L286" s="46" t="s">
        <v>893</v>
      </c>
      <c r="M286" s="38"/>
      <c r="N286" s="38"/>
      <c r="O286" s="38"/>
      <c r="P286" s="38"/>
      <c r="Q286" s="38"/>
      <c r="R286" s="48"/>
      <c r="S286" s="48"/>
      <c r="T286" s="48"/>
      <c r="U286" s="52"/>
      <c r="V286" s="50"/>
      <c r="W286" s="51"/>
      <c r="X286" s="56"/>
    </row>
    <row r="287" spans="1:24">
      <c r="A287" s="38">
        <v>227</v>
      </c>
      <c r="B287" s="38"/>
      <c r="C287" s="38"/>
      <c r="D287" s="38" t="s">
        <v>971</v>
      </c>
      <c r="E287" s="40" t="s">
        <v>972</v>
      </c>
      <c r="F287" s="41" t="s">
        <v>973</v>
      </c>
      <c r="G287" s="42">
        <v>489</v>
      </c>
      <c r="H287" s="43"/>
      <c r="I287" s="44"/>
      <c r="J287" s="38">
        <f>489</f>
        <v>489</v>
      </c>
      <c r="K287" s="45">
        <v>4.4328703703703709E-3</v>
      </c>
      <c r="L287" s="46" t="s">
        <v>893</v>
      </c>
      <c r="M287" s="38"/>
      <c r="N287" s="38"/>
      <c r="O287" s="38"/>
      <c r="P287" s="38"/>
      <c r="Q287" s="38"/>
      <c r="R287" s="48"/>
      <c r="S287" s="48"/>
      <c r="T287" s="48"/>
      <c r="U287" s="52"/>
      <c r="V287" s="50"/>
      <c r="W287" s="51"/>
      <c r="X287" s="56"/>
    </row>
    <row r="288" spans="1:24">
      <c r="A288" s="38">
        <v>228</v>
      </c>
      <c r="B288" s="38"/>
      <c r="C288" s="38"/>
      <c r="D288" s="38" t="s">
        <v>974</v>
      </c>
      <c r="E288" s="40" t="s">
        <v>975</v>
      </c>
      <c r="F288" s="41" t="s">
        <v>891</v>
      </c>
      <c r="G288" s="42">
        <v>413</v>
      </c>
      <c r="H288" s="43"/>
      <c r="I288" s="44"/>
      <c r="J288" s="38">
        <f>413</f>
        <v>413</v>
      </c>
      <c r="K288" s="45">
        <v>2.6388888888888885E-3</v>
      </c>
      <c r="L288" s="46" t="s">
        <v>893</v>
      </c>
      <c r="M288" s="38"/>
      <c r="N288" s="38"/>
      <c r="O288" s="38"/>
      <c r="P288" s="38"/>
      <c r="Q288" s="38"/>
      <c r="R288" s="48"/>
      <c r="S288" s="48"/>
      <c r="T288" s="48"/>
      <c r="U288" s="52"/>
      <c r="V288" s="50"/>
      <c r="W288" s="51"/>
      <c r="X288" s="56"/>
    </row>
    <row r="289" spans="1:24">
      <c r="A289" s="38">
        <v>229</v>
      </c>
      <c r="B289" s="38"/>
      <c r="C289" s="38"/>
      <c r="D289" s="38" t="s">
        <v>976</v>
      </c>
      <c r="E289" s="40" t="s">
        <v>977</v>
      </c>
      <c r="F289" s="58" t="s">
        <v>978</v>
      </c>
      <c r="G289" s="42" t="s">
        <v>490</v>
      </c>
      <c r="H289" s="43"/>
      <c r="I289" s="44"/>
      <c r="J289" s="38">
        <f>11*1000</f>
        <v>11000</v>
      </c>
      <c r="K289" s="45">
        <v>3.4409722222222223E-2</v>
      </c>
      <c r="L289" s="46" t="s">
        <v>893</v>
      </c>
      <c r="M289" s="38"/>
      <c r="N289" s="38"/>
      <c r="O289" s="38"/>
      <c r="P289" s="38"/>
      <c r="Q289" s="38"/>
      <c r="R289" s="48"/>
      <c r="S289" s="48"/>
      <c r="T289" s="48"/>
      <c r="U289" s="52"/>
      <c r="V289" s="50"/>
      <c r="W289" s="51"/>
      <c r="X289" s="56"/>
    </row>
    <row r="290" spans="1:24">
      <c r="A290" s="38">
        <v>230</v>
      </c>
      <c r="B290" s="38"/>
      <c r="C290" s="38"/>
      <c r="D290" s="38" t="s">
        <v>979</v>
      </c>
      <c r="E290" s="40" t="s">
        <v>980</v>
      </c>
      <c r="F290" s="41" t="s">
        <v>120</v>
      </c>
      <c r="G290" s="42" t="s">
        <v>517</v>
      </c>
      <c r="H290" s="43"/>
      <c r="I290" s="44"/>
      <c r="J290" s="38">
        <f>3.9*1000</f>
        <v>3900</v>
      </c>
      <c r="K290" s="45">
        <v>1.0289351851851852E-2</v>
      </c>
      <c r="L290" s="46" t="s">
        <v>893</v>
      </c>
      <c r="M290" s="38"/>
      <c r="N290" s="38"/>
      <c r="O290" s="38"/>
      <c r="P290" s="38"/>
      <c r="Q290" s="38"/>
      <c r="R290" s="48"/>
      <c r="S290" s="48"/>
      <c r="T290" s="48"/>
      <c r="U290" s="52"/>
      <c r="V290" s="50"/>
      <c r="W290" s="51"/>
      <c r="X290" s="56"/>
    </row>
    <row r="291" spans="1:24">
      <c r="A291" s="38">
        <v>231</v>
      </c>
      <c r="B291" s="38"/>
      <c r="C291" s="38"/>
      <c r="D291" s="38" t="s">
        <v>981</v>
      </c>
      <c r="E291" s="40" t="s">
        <v>982</v>
      </c>
      <c r="F291" s="41" t="s">
        <v>983</v>
      </c>
      <c r="G291" s="42" t="s">
        <v>506</v>
      </c>
      <c r="H291" s="43"/>
      <c r="I291" s="44"/>
      <c r="J291" s="38">
        <f>2*1000</f>
        <v>2000</v>
      </c>
      <c r="K291" s="45">
        <v>1.136574074074074E-2</v>
      </c>
      <c r="L291" s="46" t="s">
        <v>893</v>
      </c>
      <c r="M291" s="38"/>
      <c r="N291" s="38"/>
      <c r="O291" s="38"/>
      <c r="P291" s="38"/>
      <c r="Q291" s="38"/>
      <c r="R291" s="48"/>
      <c r="S291" s="48"/>
      <c r="T291" s="48"/>
      <c r="U291" s="52"/>
      <c r="V291" s="50"/>
      <c r="W291" s="51"/>
      <c r="X291" s="56"/>
    </row>
    <row r="292" spans="1:24">
      <c r="A292" s="38">
        <v>232</v>
      </c>
      <c r="B292" s="38"/>
      <c r="C292" s="38"/>
      <c r="D292" s="38" t="s">
        <v>984</v>
      </c>
      <c r="E292" s="40" t="s">
        <v>985</v>
      </c>
      <c r="F292" s="41" t="s">
        <v>986</v>
      </c>
      <c r="G292" s="42">
        <v>769</v>
      </c>
      <c r="H292" s="43"/>
      <c r="I292" s="44"/>
      <c r="J292" s="38">
        <f>769</f>
        <v>769</v>
      </c>
      <c r="K292" s="45">
        <v>8.3912037037037045E-3</v>
      </c>
      <c r="L292" s="46" t="s">
        <v>893</v>
      </c>
      <c r="M292" s="38"/>
      <c r="N292" s="38"/>
      <c r="O292" s="38"/>
      <c r="P292" s="38"/>
      <c r="Q292" s="38"/>
      <c r="R292" s="48"/>
      <c r="S292" s="48"/>
      <c r="T292" s="48"/>
      <c r="U292" s="52"/>
      <c r="V292" s="50"/>
      <c r="W292" s="51"/>
      <c r="X292" s="56"/>
    </row>
    <row r="293" spans="1:24">
      <c r="A293" s="38">
        <v>233</v>
      </c>
      <c r="B293" s="38"/>
      <c r="C293" s="38"/>
      <c r="D293" s="38" t="s">
        <v>987</v>
      </c>
      <c r="E293" s="40" t="s">
        <v>988</v>
      </c>
      <c r="F293" s="41" t="s">
        <v>989</v>
      </c>
      <c r="G293" s="42">
        <v>651</v>
      </c>
      <c r="H293" s="43"/>
      <c r="I293" s="44"/>
      <c r="J293" s="38">
        <f>651</f>
        <v>651</v>
      </c>
      <c r="K293" s="45">
        <v>4.2361111111111106E-3</v>
      </c>
      <c r="L293" s="46" t="s">
        <v>893</v>
      </c>
      <c r="M293" s="38"/>
      <c r="N293" s="38"/>
      <c r="O293" s="38"/>
      <c r="P293" s="38"/>
      <c r="Q293" s="38"/>
      <c r="R293" s="48"/>
      <c r="S293" s="48"/>
      <c r="T293" s="48"/>
      <c r="U293" s="52"/>
      <c r="V293" s="50"/>
      <c r="W293" s="51"/>
      <c r="X293" s="56"/>
    </row>
    <row r="294" spans="1:24">
      <c r="A294" s="38">
        <v>234</v>
      </c>
      <c r="B294" s="38"/>
      <c r="C294" s="38"/>
      <c r="D294" s="38" t="s">
        <v>990</v>
      </c>
      <c r="E294" s="40" t="s">
        <v>991</v>
      </c>
      <c r="F294" s="41" t="s">
        <v>992</v>
      </c>
      <c r="G294" s="42">
        <v>957</v>
      </c>
      <c r="H294" s="43"/>
      <c r="I294" s="44"/>
      <c r="J294" s="38">
        <f>957</f>
        <v>957</v>
      </c>
      <c r="K294" s="45">
        <v>2.6504629629629625E-3</v>
      </c>
      <c r="L294" s="46" t="s">
        <v>893</v>
      </c>
      <c r="M294" s="38"/>
      <c r="N294" s="38"/>
      <c r="O294" s="38"/>
      <c r="P294" s="38"/>
      <c r="Q294" s="38"/>
      <c r="R294" s="48"/>
      <c r="S294" s="48"/>
      <c r="T294" s="48"/>
      <c r="U294" s="52"/>
      <c r="V294" s="50"/>
      <c r="W294" s="51"/>
      <c r="X294" s="56"/>
    </row>
    <row r="295" spans="1:24">
      <c r="A295" s="38">
        <v>235</v>
      </c>
      <c r="B295" s="38"/>
      <c r="C295" s="38"/>
      <c r="D295" s="38" t="s">
        <v>993</v>
      </c>
      <c r="E295" s="40" t="s">
        <v>994</v>
      </c>
      <c r="F295" s="41" t="s">
        <v>995</v>
      </c>
      <c r="G295" s="42" t="s">
        <v>445</v>
      </c>
      <c r="H295" s="43"/>
      <c r="I295" s="44"/>
      <c r="J295" s="38">
        <f>1.2*1000</f>
        <v>1200</v>
      </c>
      <c r="K295" s="45">
        <v>2.2685185185185182E-3</v>
      </c>
      <c r="L295" s="46" t="s">
        <v>893</v>
      </c>
      <c r="M295" s="38"/>
      <c r="N295" s="38"/>
      <c r="O295" s="38"/>
      <c r="P295" s="38"/>
      <c r="Q295" s="38"/>
      <c r="R295" s="48"/>
      <c r="S295" s="48"/>
      <c r="T295" s="48"/>
      <c r="U295" s="52"/>
      <c r="V295" s="50"/>
      <c r="W295" s="51"/>
      <c r="X295" s="56"/>
    </row>
    <row r="296" spans="1:24">
      <c r="A296" s="38">
        <v>236</v>
      </c>
      <c r="B296" s="38"/>
      <c r="C296" s="38"/>
      <c r="D296" s="38" t="s">
        <v>996</v>
      </c>
      <c r="E296" s="40" t="s">
        <v>997</v>
      </c>
      <c r="F296" s="41" t="s">
        <v>998</v>
      </c>
      <c r="G296" s="42">
        <v>895</v>
      </c>
      <c r="H296" s="43"/>
      <c r="I296" s="44"/>
      <c r="J296" s="38">
        <f>895</f>
        <v>895</v>
      </c>
      <c r="K296" s="45">
        <v>3.5532407407407405E-3</v>
      </c>
      <c r="L296" s="46" t="s">
        <v>893</v>
      </c>
      <c r="M296" s="38"/>
      <c r="N296" s="38"/>
      <c r="O296" s="38"/>
      <c r="P296" s="38"/>
      <c r="Q296" s="38"/>
      <c r="R296" s="48"/>
      <c r="S296" s="48"/>
      <c r="T296" s="48"/>
      <c r="U296" s="52"/>
      <c r="V296" s="50"/>
      <c r="W296" s="51"/>
      <c r="X296" s="56"/>
    </row>
    <row r="297" spans="1:24">
      <c r="A297" s="38">
        <v>237</v>
      </c>
      <c r="B297" s="38"/>
      <c r="C297" s="38"/>
      <c r="D297" s="38" t="s">
        <v>999</v>
      </c>
      <c r="E297" s="40" t="s">
        <v>1000</v>
      </c>
      <c r="F297" s="58" t="s">
        <v>1001</v>
      </c>
      <c r="G297" s="42" t="s">
        <v>502</v>
      </c>
      <c r="H297" s="43"/>
      <c r="I297" s="44"/>
      <c r="J297" s="38">
        <f>4.5*1000</f>
        <v>4500</v>
      </c>
      <c r="K297" s="45">
        <v>3.1932870370370368E-2</v>
      </c>
      <c r="L297" s="46" t="s">
        <v>893</v>
      </c>
      <c r="M297" s="38"/>
      <c r="N297" s="38"/>
      <c r="O297" s="38"/>
      <c r="P297" s="38"/>
      <c r="Q297" s="38"/>
      <c r="R297" s="48"/>
      <c r="S297" s="48"/>
      <c r="T297" s="48"/>
      <c r="U297" s="52"/>
      <c r="V297" s="50"/>
      <c r="W297" s="51"/>
      <c r="X297" s="56"/>
    </row>
    <row r="298" spans="1:24">
      <c r="A298" s="38">
        <v>238</v>
      </c>
      <c r="B298" s="38"/>
      <c r="C298" s="38"/>
      <c r="D298" s="38" t="s">
        <v>1002</v>
      </c>
      <c r="E298" s="40" t="s">
        <v>1003</v>
      </c>
      <c r="F298" s="41" t="s">
        <v>1004</v>
      </c>
      <c r="G298" s="42" t="s">
        <v>1005</v>
      </c>
      <c r="H298" s="43"/>
      <c r="I298" s="44"/>
      <c r="J298" s="38">
        <f>1.6*1000</f>
        <v>1600</v>
      </c>
      <c r="K298" s="45">
        <v>2.627314814814815E-3</v>
      </c>
      <c r="L298" s="46" t="s">
        <v>893</v>
      </c>
      <c r="M298" s="38"/>
      <c r="N298" s="38"/>
      <c r="O298" s="38"/>
      <c r="P298" s="38"/>
      <c r="Q298" s="38"/>
      <c r="R298" s="48"/>
      <c r="S298" s="48"/>
      <c r="T298" s="48"/>
      <c r="U298" s="52"/>
      <c r="V298" s="50"/>
      <c r="W298" s="51"/>
      <c r="X298" s="56"/>
    </row>
    <row r="299" spans="1:24">
      <c r="A299" s="38">
        <v>239</v>
      </c>
      <c r="B299" s="38"/>
      <c r="C299" s="38"/>
      <c r="D299" s="38" t="s">
        <v>1006</v>
      </c>
      <c r="E299" s="40" t="s">
        <v>1007</v>
      </c>
      <c r="F299" s="41" t="s">
        <v>181</v>
      </c>
      <c r="G299" s="42">
        <v>825</v>
      </c>
      <c r="H299" s="43"/>
      <c r="I299" s="44"/>
      <c r="J299" s="38">
        <f>825</f>
        <v>825</v>
      </c>
      <c r="K299" s="45">
        <v>2.2222222222222222E-3</v>
      </c>
      <c r="L299" s="46" t="s">
        <v>893</v>
      </c>
      <c r="M299" s="38"/>
      <c r="N299" s="38"/>
      <c r="O299" s="38"/>
      <c r="P299" s="38"/>
      <c r="Q299" s="38"/>
      <c r="R299" s="48"/>
      <c r="S299" s="48"/>
      <c r="T299" s="48"/>
      <c r="U299" s="52"/>
      <c r="V299" s="50"/>
      <c r="W299" s="51"/>
      <c r="X299" s="56"/>
    </row>
    <row r="300" spans="1:24">
      <c r="A300" s="38">
        <v>240</v>
      </c>
      <c r="B300" s="38"/>
      <c r="C300" s="38"/>
      <c r="D300" s="38" t="s">
        <v>1008</v>
      </c>
      <c r="E300" s="40" t="s">
        <v>1009</v>
      </c>
      <c r="F300" s="58" t="s">
        <v>1010</v>
      </c>
      <c r="G300" s="42" t="s">
        <v>1011</v>
      </c>
      <c r="H300" s="43"/>
      <c r="I300" s="44"/>
      <c r="J300" s="38">
        <f>9.9*1000</f>
        <v>9900</v>
      </c>
      <c r="K300" s="45">
        <v>2.1689814814814815E-2</v>
      </c>
      <c r="L300" s="46" t="s">
        <v>893</v>
      </c>
      <c r="M300" s="38"/>
      <c r="N300" s="38"/>
      <c r="O300" s="38"/>
      <c r="P300" s="38"/>
      <c r="Q300" s="38"/>
      <c r="R300" s="48"/>
      <c r="S300" s="48"/>
      <c r="T300" s="48"/>
      <c r="U300" s="52"/>
      <c r="V300" s="50"/>
      <c r="W300" s="51"/>
      <c r="X300" s="56"/>
    </row>
    <row r="301" spans="1:24">
      <c r="A301" s="38">
        <v>241</v>
      </c>
      <c r="B301" s="38"/>
      <c r="C301" s="38"/>
      <c r="D301" s="38" t="s">
        <v>1012</v>
      </c>
      <c r="E301" s="40" t="s">
        <v>1013</v>
      </c>
      <c r="F301" s="41" t="s">
        <v>1014</v>
      </c>
      <c r="G301" s="42">
        <v>906</v>
      </c>
      <c r="H301" s="43"/>
      <c r="I301" s="44"/>
      <c r="J301" s="38">
        <f>906</f>
        <v>906</v>
      </c>
      <c r="K301" s="45">
        <v>1.3310185185185185E-3</v>
      </c>
      <c r="L301" s="46" t="s">
        <v>893</v>
      </c>
      <c r="M301" s="38"/>
      <c r="N301" s="38"/>
      <c r="O301" s="38"/>
      <c r="P301" s="38"/>
      <c r="Q301" s="38"/>
      <c r="R301" s="48"/>
      <c r="S301" s="48"/>
      <c r="T301" s="48"/>
      <c r="U301" s="52"/>
      <c r="V301" s="50"/>
      <c r="W301" s="51"/>
      <c r="X301" s="56"/>
    </row>
    <row r="302" spans="1:24">
      <c r="A302" s="38">
        <v>242</v>
      </c>
      <c r="B302" s="38"/>
      <c r="C302" s="38"/>
      <c r="D302" s="38" t="s">
        <v>1015</v>
      </c>
      <c r="E302" s="40" t="s">
        <v>1016</v>
      </c>
      <c r="F302" s="41" t="s">
        <v>760</v>
      </c>
      <c r="G302" s="42">
        <v>861</v>
      </c>
      <c r="H302" s="43"/>
      <c r="I302" s="44"/>
      <c r="J302" s="38">
        <f>861</f>
        <v>861</v>
      </c>
      <c r="K302" s="45">
        <v>1.4699074074074074E-3</v>
      </c>
      <c r="L302" s="46" t="s">
        <v>893</v>
      </c>
      <c r="M302" s="38"/>
      <c r="N302" s="38"/>
      <c r="O302" s="38"/>
      <c r="P302" s="38"/>
      <c r="Q302" s="38"/>
      <c r="R302" s="48"/>
      <c r="S302" s="48"/>
      <c r="T302" s="48"/>
      <c r="U302" s="52"/>
      <c r="V302" s="50"/>
      <c r="W302" s="51"/>
      <c r="X302" s="56"/>
    </row>
    <row r="303" spans="1:24">
      <c r="A303" s="38">
        <v>243</v>
      </c>
      <c r="B303" s="38"/>
      <c r="C303" s="38"/>
      <c r="D303" s="38" t="s">
        <v>1017</v>
      </c>
      <c r="E303" s="40" t="s">
        <v>1018</v>
      </c>
      <c r="F303" s="41" t="s">
        <v>1019</v>
      </c>
      <c r="G303" s="42" t="s">
        <v>445</v>
      </c>
      <c r="H303" s="43"/>
      <c r="I303" s="44"/>
      <c r="J303" s="38">
        <f>1.2*1000</f>
        <v>1200</v>
      </c>
      <c r="K303" s="45">
        <v>2.8009259259259259E-3</v>
      </c>
      <c r="L303" s="46" t="s">
        <v>893</v>
      </c>
      <c r="M303" s="38"/>
      <c r="N303" s="38"/>
      <c r="O303" s="38"/>
      <c r="P303" s="38"/>
      <c r="Q303" s="38"/>
      <c r="R303" s="48"/>
      <c r="S303" s="48"/>
      <c r="T303" s="48"/>
      <c r="U303" s="52"/>
      <c r="V303" s="50"/>
      <c r="W303" s="51"/>
      <c r="X303" s="56"/>
    </row>
    <row r="304" spans="1:24">
      <c r="A304" s="38">
        <v>244</v>
      </c>
      <c r="B304" s="38"/>
      <c r="C304" s="38"/>
      <c r="D304" s="38" t="s">
        <v>1020</v>
      </c>
      <c r="E304" s="40" t="s">
        <v>1021</v>
      </c>
      <c r="F304" s="41" t="s">
        <v>225</v>
      </c>
      <c r="G304" s="42" t="s">
        <v>122</v>
      </c>
      <c r="H304" s="43"/>
      <c r="I304" s="44"/>
      <c r="J304" s="38">
        <f>4*1000</f>
        <v>4000</v>
      </c>
      <c r="K304" s="45">
        <v>7.1874999999999994E-3</v>
      </c>
      <c r="L304" s="46" t="s">
        <v>893</v>
      </c>
      <c r="M304" s="38"/>
      <c r="N304" s="38"/>
      <c r="O304" s="38"/>
      <c r="P304" s="38"/>
      <c r="Q304" s="38"/>
      <c r="R304" s="48"/>
      <c r="S304" s="48"/>
      <c r="T304" s="48"/>
      <c r="U304" s="52"/>
      <c r="V304" s="50"/>
      <c r="W304" s="51"/>
      <c r="X304" s="56"/>
    </row>
    <row r="305" spans="1:24">
      <c r="A305" s="38">
        <v>245</v>
      </c>
      <c r="B305" s="38"/>
      <c r="C305" s="38"/>
      <c r="D305" s="38" t="s">
        <v>1022</v>
      </c>
      <c r="E305" s="40" t="s">
        <v>1023</v>
      </c>
      <c r="F305" s="58" t="s">
        <v>1024</v>
      </c>
      <c r="G305" s="42" t="s">
        <v>490</v>
      </c>
      <c r="H305" s="43"/>
      <c r="I305" s="44"/>
      <c r="J305" s="38">
        <f>11*1000</f>
        <v>11000</v>
      </c>
      <c r="K305" s="45">
        <v>3.3321759259259259E-2</v>
      </c>
      <c r="L305" s="46" t="s">
        <v>893</v>
      </c>
      <c r="M305" s="38"/>
      <c r="N305" s="38"/>
      <c r="O305" s="38"/>
      <c r="P305" s="38"/>
      <c r="Q305" s="38"/>
      <c r="R305" s="48"/>
      <c r="S305" s="48"/>
      <c r="T305" s="48"/>
      <c r="U305" s="52"/>
      <c r="V305" s="50"/>
      <c r="W305" s="51"/>
      <c r="X305" s="56"/>
    </row>
    <row r="306" spans="1:24">
      <c r="A306" s="38">
        <v>246</v>
      </c>
      <c r="B306" s="38"/>
      <c r="C306" s="38"/>
      <c r="D306" s="38" t="s">
        <v>1025</v>
      </c>
      <c r="E306" s="40" t="s">
        <v>1026</v>
      </c>
      <c r="F306" s="41" t="s">
        <v>1027</v>
      </c>
      <c r="G306" s="42" t="s">
        <v>249</v>
      </c>
      <c r="H306" s="43"/>
      <c r="I306" s="44"/>
      <c r="J306" s="38">
        <f>2.4*1000</f>
        <v>2400</v>
      </c>
      <c r="K306" s="45">
        <v>3.6226851851851854E-3</v>
      </c>
      <c r="L306" s="46" t="s">
        <v>893</v>
      </c>
      <c r="M306" s="38"/>
      <c r="N306" s="38"/>
      <c r="O306" s="38"/>
      <c r="P306" s="38"/>
      <c r="Q306" s="38"/>
      <c r="R306" s="48"/>
      <c r="S306" s="48"/>
      <c r="T306" s="48"/>
      <c r="U306" s="52"/>
      <c r="V306" s="50"/>
      <c r="W306" s="51"/>
      <c r="X306" s="56"/>
    </row>
    <row r="307" spans="1:24">
      <c r="A307" s="38">
        <v>247</v>
      </c>
      <c r="B307" s="38"/>
      <c r="C307" s="38"/>
      <c r="D307" s="38" t="s">
        <v>1028</v>
      </c>
      <c r="E307" s="40" t="s">
        <v>1029</v>
      </c>
      <c r="F307" s="41" t="s">
        <v>1030</v>
      </c>
      <c r="G307" s="42">
        <v>329</v>
      </c>
      <c r="H307" s="43"/>
      <c r="I307" s="44"/>
      <c r="J307" s="38">
        <f>329</f>
        <v>329</v>
      </c>
      <c r="K307" s="45">
        <v>1.7592592592592592E-3</v>
      </c>
      <c r="L307" s="46" t="s">
        <v>893</v>
      </c>
      <c r="M307" s="38"/>
      <c r="N307" s="38"/>
      <c r="O307" s="38"/>
      <c r="P307" s="38"/>
      <c r="Q307" s="38"/>
      <c r="R307" s="48"/>
      <c r="S307" s="48"/>
      <c r="T307" s="48"/>
      <c r="U307" s="52"/>
      <c r="V307" s="50"/>
      <c r="W307" s="51"/>
      <c r="X307" s="56"/>
    </row>
    <row r="308" spans="1:24">
      <c r="A308" s="38">
        <v>248</v>
      </c>
      <c r="B308" s="38"/>
      <c r="C308" s="38"/>
      <c r="D308" s="38" t="s">
        <v>1031</v>
      </c>
      <c r="E308" s="40" t="s">
        <v>1032</v>
      </c>
      <c r="F308" s="58" t="s">
        <v>1033</v>
      </c>
      <c r="G308" s="42" t="s">
        <v>1034</v>
      </c>
      <c r="H308" s="43"/>
      <c r="I308" s="44"/>
      <c r="J308" s="38">
        <f>6.2*1000</f>
        <v>6200</v>
      </c>
      <c r="K308" s="45">
        <v>2.4016203703703706E-2</v>
      </c>
      <c r="L308" s="46" t="s">
        <v>893</v>
      </c>
      <c r="M308" s="38"/>
      <c r="N308" s="38"/>
      <c r="O308" s="38"/>
      <c r="P308" s="38"/>
      <c r="Q308" s="38"/>
      <c r="R308" s="48"/>
      <c r="S308" s="48"/>
      <c r="T308" s="48"/>
      <c r="U308" s="52"/>
      <c r="V308" s="50"/>
      <c r="W308" s="51"/>
      <c r="X308" s="56"/>
    </row>
    <row r="309" spans="1:24">
      <c r="A309" s="38">
        <v>249</v>
      </c>
      <c r="B309" s="38"/>
      <c r="C309" s="38"/>
      <c r="D309" s="38" t="s">
        <v>1035</v>
      </c>
      <c r="E309" s="40" t="s">
        <v>1036</v>
      </c>
      <c r="F309" s="58" t="s">
        <v>1037</v>
      </c>
      <c r="G309" s="42" t="s">
        <v>926</v>
      </c>
      <c r="H309" s="43"/>
      <c r="I309" s="44"/>
      <c r="J309" s="38">
        <f>8.7*1000</f>
        <v>8700</v>
      </c>
      <c r="K309" s="45">
        <v>2.3807870370370368E-2</v>
      </c>
      <c r="L309" s="46" t="s">
        <v>893</v>
      </c>
      <c r="M309" s="38"/>
      <c r="N309" s="38"/>
      <c r="O309" s="38"/>
      <c r="P309" s="38"/>
      <c r="Q309" s="38"/>
      <c r="R309" s="48"/>
      <c r="S309" s="48"/>
      <c r="T309" s="48"/>
      <c r="U309" s="52"/>
      <c r="V309" s="50"/>
      <c r="W309" s="51"/>
      <c r="X309" s="56"/>
    </row>
    <row r="310" spans="1:24">
      <c r="A310" s="38">
        <v>250</v>
      </c>
      <c r="B310" s="38"/>
      <c r="C310" s="38"/>
      <c r="D310" s="38" t="s">
        <v>1038</v>
      </c>
      <c r="E310" s="40" t="s">
        <v>1039</v>
      </c>
      <c r="F310" s="58" t="s">
        <v>1040</v>
      </c>
      <c r="G310" s="42" t="s">
        <v>1041</v>
      </c>
      <c r="H310" s="43"/>
      <c r="I310" s="44"/>
      <c r="J310" s="38">
        <f>31*1000</f>
        <v>31000</v>
      </c>
      <c r="K310" s="45">
        <v>3.9756944444444449E-2</v>
      </c>
      <c r="L310" s="46" t="s">
        <v>1042</v>
      </c>
      <c r="M310" s="38"/>
      <c r="N310" s="38"/>
      <c r="O310" s="38"/>
      <c r="P310" s="38"/>
      <c r="Q310" s="38"/>
      <c r="R310" s="48"/>
      <c r="S310" s="48"/>
      <c r="T310" s="48"/>
      <c r="U310" s="52"/>
      <c r="V310" s="50"/>
      <c r="W310" s="51"/>
      <c r="X310" s="56"/>
    </row>
    <row r="311" spans="1:24">
      <c r="A311" s="38">
        <v>251</v>
      </c>
      <c r="B311" s="38"/>
      <c r="C311" s="38"/>
      <c r="D311" s="38" t="s">
        <v>1043</v>
      </c>
      <c r="E311" s="40" t="s">
        <v>1044</v>
      </c>
      <c r="F311" s="61" t="s">
        <v>1045</v>
      </c>
      <c r="G311" s="42" t="s">
        <v>1046</v>
      </c>
      <c r="H311" s="43"/>
      <c r="I311" s="44"/>
      <c r="J311" s="38">
        <f>20*1000</f>
        <v>20000</v>
      </c>
      <c r="K311" s="45">
        <v>7.3252314814814812E-2</v>
      </c>
      <c r="L311" s="46" t="s">
        <v>1042</v>
      </c>
      <c r="M311" s="38"/>
      <c r="N311" s="38"/>
      <c r="O311" s="38"/>
      <c r="P311" s="38"/>
      <c r="Q311" s="38"/>
      <c r="R311" s="48"/>
      <c r="S311" s="48"/>
      <c r="T311" s="48"/>
      <c r="U311" s="52"/>
      <c r="V311" s="50"/>
      <c r="W311" s="51"/>
      <c r="X311" s="56"/>
    </row>
    <row r="312" spans="1:24">
      <c r="A312" s="38">
        <v>252</v>
      </c>
      <c r="B312" s="38"/>
      <c r="C312" s="38"/>
      <c r="D312" s="38" t="s">
        <v>1047</v>
      </c>
      <c r="E312" s="40" t="s">
        <v>1048</v>
      </c>
      <c r="F312" s="58" t="s">
        <v>1049</v>
      </c>
      <c r="G312" s="42" t="s">
        <v>486</v>
      </c>
      <c r="H312" s="43"/>
      <c r="I312" s="44"/>
      <c r="J312" s="38">
        <f>7.9*1000</f>
        <v>7900</v>
      </c>
      <c r="K312" s="45">
        <v>2.2789351851851852E-2</v>
      </c>
      <c r="L312" s="46" t="s">
        <v>1042</v>
      </c>
      <c r="M312" s="38"/>
      <c r="N312" s="38"/>
      <c r="O312" s="38"/>
      <c r="P312" s="38"/>
      <c r="Q312" s="38"/>
      <c r="R312" s="48"/>
      <c r="S312" s="48"/>
      <c r="T312" s="48"/>
      <c r="U312" s="52"/>
      <c r="V312" s="50"/>
      <c r="W312" s="51"/>
      <c r="X312" s="56"/>
    </row>
    <row r="313" spans="1:24">
      <c r="A313" s="38">
        <v>253</v>
      </c>
      <c r="B313" s="38"/>
      <c r="C313" s="38"/>
      <c r="D313" s="38" t="s">
        <v>1050</v>
      </c>
      <c r="E313" s="40" t="s">
        <v>1051</v>
      </c>
      <c r="F313" s="41" t="s">
        <v>1052</v>
      </c>
      <c r="G313" s="42" t="s">
        <v>506</v>
      </c>
      <c r="H313" s="43"/>
      <c r="I313" s="44"/>
      <c r="J313" s="38">
        <f>2*1000</f>
        <v>2000</v>
      </c>
      <c r="K313" s="45">
        <v>7.0717592592592594E-3</v>
      </c>
      <c r="L313" s="46" t="s">
        <v>1042</v>
      </c>
      <c r="M313" s="38"/>
      <c r="N313" s="38"/>
      <c r="O313" s="38"/>
      <c r="P313" s="38"/>
      <c r="Q313" s="38"/>
      <c r="R313" s="48"/>
      <c r="S313" s="48"/>
      <c r="T313" s="48"/>
      <c r="U313" s="52"/>
      <c r="V313" s="50"/>
      <c r="W313" s="51"/>
      <c r="X313" s="56"/>
    </row>
    <row r="314" spans="1:24">
      <c r="A314" s="38">
        <v>254</v>
      </c>
      <c r="B314" s="38"/>
      <c r="C314" s="38"/>
      <c r="D314" s="38" t="s">
        <v>1053</v>
      </c>
      <c r="E314" s="40" t="s">
        <v>1054</v>
      </c>
      <c r="F314" s="41" t="s">
        <v>1055</v>
      </c>
      <c r="G314" s="42" t="s">
        <v>187</v>
      </c>
      <c r="H314" s="43"/>
      <c r="I314" s="44"/>
      <c r="J314" s="38">
        <f>1.5*1000</f>
        <v>1500</v>
      </c>
      <c r="K314" s="45">
        <v>5.0578703703703706E-3</v>
      </c>
      <c r="L314" s="46" t="s">
        <v>1042</v>
      </c>
      <c r="M314" s="38"/>
      <c r="N314" s="38"/>
      <c r="O314" s="38"/>
      <c r="P314" s="38"/>
      <c r="Q314" s="38"/>
      <c r="R314" s="48"/>
      <c r="S314" s="48"/>
      <c r="T314" s="48"/>
      <c r="U314" s="52"/>
      <c r="V314" s="50"/>
      <c r="W314" s="51"/>
      <c r="X314" s="56"/>
    </row>
    <row r="315" spans="1:24">
      <c r="A315" s="38">
        <v>255</v>
      </c>
      <c r="B315" s="38"/>
      <c r="C315" s="38"/>
      <c r="D315" s="38" t="s">
        <v>1056</v>
      </c>
      <c r="E315" s="40" t="s">
        <v>1057</v>
      </c>
      <c r="F315" s="58" t="s">
        <v>1058</v>
      </c>
      <c r="G315" s="42" t="s">
        <v>438</v>
      </c>
      <c r="H315" s="43"/>
      <c r="I315" s="44"/>
      <c r="J315" s="38">
        <f>2.3*1000</f>
        <v>2300</v>
      </c>
      <c r="K315" s="45">
        <v>0.02</v>
      </c>
      <c r="L315" s="46" t="s">
        <v>1042</v>
      </c>
      <c r="M315" s="38"/>
      <c r="N315" s="38"/>
      <c r="O315" s="38"/>
      <c r="P315" s="38"/>
      <c r="Q315" s="38"/>
      <c r="R315" s="48"/>
      <c r="S315" s="48"/>
      <c r="T315" s="48"/>
      <c r="U315" s="52"/>
      <c r="V315" s="50"/>
      <c r="W315" s="51"/>
      <c r="X315" s="56"/>
    </row>
    <row r="316" spans="1:24">
      <c r="A316" s="38">
        <v>256</v>
      </c>
      <c r="B316" s="38"/>
      <c r="C316" s="38"/>
      <c r="D316" s="38" t="s">
        <v>1059</v>
      </c>
      <c r="E316" s="40" t="s">
        <v>1060</v>
      </c>
      <c r="F316" s="41" t="s">
        <v>1061</v>
      </c>
      <c r="G316" s="42" t="s">
        <v>847</v>
      </c>
      <c r="H316" s="43"/>
      <c r="I316" s="44"/>
      <c r="J316" s="38">
        <f>3.8*1000</f>
        <v>3800</v>
      </c>
      <c r="K316" s="45">
        <v>2.2337962962962967E-3</v>
      </c>
      <c r="L316" s="46" t="s">
        <v>1042</v>
      </c>
      <c r="M316" s="38"/>
      <c r="N316" s="38"/>
      <c r="O316" s="38"/>
      <c r="P316" s="38"/>
      <c r="Q316" s="38"/>
      <c r="R316" s="48"/>
      <c r="S316" s="48"/>
      <c r="T316" s="48"/>
      <c r="U316" s="52"/>
      <c r="V316" s="50"/>
      <c r="W316" s="51"/>
      <c r="X316" s="56"/>
    </row>
    <row r="317" spans="1:24">
      <c r="A317" s="38">
        <v>257</v>
      </c>
      <c r="B317" s="38"/>
      <c r="C317" s="38"/>
      <c r="D317" s="38" t="s">
        <v>1062</v>
      </c>
      <c r="E317" s="40" t="s">
        <v>1063</v>
      </c>
      <c r="F317" s="58" t="s">
        <v>1064</v>
      </c>
      <c r="G317" s="42" t="s">
        <v>568</v>
      </c>
      <c r="H317" s="43"/>
      <c r="I317" s="44"/>
      <c r="J317" s="38">
        <f>1.4*1000</f>
        <v>1400</v>
      </c>
      <c r="K317" s="45">
        <v>1.9456018518518518E-2</v>
      </c>
      <c r="L317" s="46" t="s">
        <v>1042</v>
      </c>
      <c r="M317" s="38"/>
      <c r="N317" s="38"/>
      <c r="O317" s="38"/>
      <c r="P317" s="38"/>
      <c r="Q317" s="38"/>
      <c r="R317" s="48"/>
      <c r="S317" s="48"/>
      <c r="T317" s="48"/>
      <c r="U317" s="52"/>
      <c r="V317" s="50"/>
      <c r="W317" s="51"/>
      <c r="X317" s="56"/>
    </row>
    <row r="318" spans="1:24">
      <c r="A318" s="38">
        <v>258</v>
      </c>
      <c r="B318" s="38"/>
      <c r="C318" s="38"/>
      <c r="D318" s="38" t="s">
        <v>1065</v>
      </c>
      <c r="E318" s="40" t="s">
        <v>1066</v>
      </c>
      <c r="F318" s="41" t="s">
        <v>888</v>
      </c>
      <c r="G318" s="42" t="s">
        <v>290</v>
      </c>
      <c r="H318" s="43"/>
      <c r="I318" s="44"/>
      <c r="J318" s="38">
        <f>6.9*1000</f>
        <v>6900</v>
      </c>
      <c r="K318" s="45">
        <v>9.2592592592592605E-3</v>
      </c>
      <c r="L318" s="46" t="s">
        <v>1042</v>
      </c>
      <c r="M318" s="38"/>
      <c r="N318" s="38"/>
      <c r="O318" s="38"/>
      <c r="P318" s="38"/>
      <c r="Q318" s="38"/>
      <c r="R318" s="48"/>
      <c r="S318" s="48"/>
      <c r="T318" s="48"/>
      <c r="U318" s="52"/>
      <c r="V318" s="50"/>
      <c r="W318" s="51"/>
      <c r="X318" s="56"/>
    </row>
    <row r="319" spans="1:24">
      <c r="A319" s="38">
        <v>259</v>
      </c>
      <c r="B319" s="38"/>
      <c r="C319" s="38"/>
      <c r="D319" s="38" t="s">
        <v>1067</v>
      </c>
      <c r="E319" s="40" t="s">
        <v>1068</v>
      </c>
      <c r="F319" s="41" t="s">
        <v>1069</v>
      </c>
      <c r="G319" s="42" t="s">
        <v>1070</v>
      </c>
      <c r="H319" s="43"/>
      <c r="I319" s="44"/>
      <c r="J319" s="38">
        <f>29*1000</f>
        <v>29000</v>
      </c>
      <c r="K319" s="45">
        <v>8.8541666666666664E-3</v>
      </c>
      <c r="L319" s="46" t="s">
        <v>1042</v>
      </c>
      <c r="M319" s="38"/>
      <c r="N319" s="38"/>
      <c r="O319" s="38"/>
      <c r="P319" s="38"/>
      <c r="Q319" s="38"/>
      <c r="R319" s="48"/>
      <c r="S319" s="48"/>
      <c r="T319" s="48"/>
      <c r="U319" s="52"/>
      <c r="V319" s="50"/>
      <c r="W319" s="51"/>
      <c r="X319" s="56"/>
    </row>
    <row r="320" spans="1:24">
      <c r="A320" s="38">
        <v>260</v>
      </c>
      <c r="B320" s="38"/>
      <c r="C320" s="38"/>
      <c r="D320" s="38" t="s">
        <v>1071</v>
      </c>
      <c r="E320" s="40" t="s">
        <v>1072</v>
      </c>
      <c r="F320" s="41" t="s">
        <v>1073</v>
      </c>
      <c r="G320" s="42" t="s">
        <v>597</v>
      </c>
      <c r="H320" s="43"/>
      <c r="I320" s="44"/>
      <c r="J320" s="38">
        <f>2.6*1000</f>
        <v>2600</v>
      </c>
      <c r="K320" s="45">
        <v>3.9236111111111112E-3</v>
      </c>
      <c r="L320" s="46" t="s">
        <v>1042</v>
      </c>
      <c r="M320" s="38"/>
      <c r="N320" s="38"/>
      <c r="O320" s="38"/>
      <c r="P320" s="38"/>
      <c r="Q320" s="38"/>
      <c r="R320" s="48"/>
      <c r="S320" s="48"/>
      <c r="T320" s="48"/>
      <c r="U320" s="52"/>
      <c r="V320" s="50"/>
      <c r="W320" s="51"/>
      <c r="X320" s="56"/>
    </row>
    <row r="321" spans="1:24">
      <c r="A321" s="38">
        <v>261</v>
      </c>
      <c r="B321" s="38"/>
      <c r="C321" s="38"/>
      <c r="D321" s="38" t="s">
        <v>1074</v>
      </c>
      <c r="E321" s="40" t="s">
        <v>1075</v>
      </c>
      <c r="F321" s="41" t="s">
        <v>712</v>
      </c>
      <c r="G321" s="42" t="s">
        <v>214</v>
      </c>
      <c r="H321" s="43"/>
      <c r="I321" s="44"/>
      <c r="J321" s="38">
        <f>1*1000</f>
        <v>1000</v>
      </c>
      <c r="K321" s="45">
        <v>3.1249999999999997E-3</v>
      </c>
      <c r="L321" s="46" t="s">
        <v>1042</v>
      </c>
      <c r="M321" s="38"/>
      <c r="N321" s="38"/>
      <c r="O321" s="38"/>
      <c r="P321" s="38"/>
      <c r="Q321" s="38"/>
      <c r="R321" s="48"/>
      <c r="S321" s="48"/>
      <c r="T321" s="48"/>
      <c r="U321" s="52"/>
      <c r="V321" s="50"/>
      <c r="W321" s="51"/>
      <c r="X321" s="56"/>
    </row>
    <row r="322" spans="1:24">
      <c r="A322" s="38">
        <v>262</v>
      </c>
      <c r="B322" s="38"/>
      <c r="C322" s="38"/>
      <c r="D322" s="38" t="s">
        <v>1076</v>
      </c>
      <c r="E322" s="40" t="s">
        <v>1077</v>
      </c>
      <c r="F322" s="58" t="s">
        <v>1078</v>
      </c>
      <c r="G322" s="42" t="s">
        <v>1079</v>
      </c>
      <c r="H322" s="43"/>
      <c r="I322" s="44"/>
      <c r="J322" s="38">
        <f>5*1000</f>
        <v>5000</v>
      </c>
      <c r="K322" s="45">
        <v>1.7476851851851851E-2</v>
      </c>
      <c r="L322" s="46" t="s">
        <v>1042</v>
      </c>
      <c r="M322" s="38"/>
      <c r="N322" s="38"/>
      <c r="O322" s="38"/>
      <c r="P322" s="38"/>
      <c r="Q322" s="38"/>
      <c r="R322" s="48"/>
      <c r="S322" s="48"/>
      <c r="T322" s="48"/>
      <c r="U322" s="52"/>
      <c r="V322" s="50"/>
      <c r="W322" s="51"/>
      <c r="X322" s="56"/>
    </row>
    <row r="323" spans="1:24">
      <c r="A323" s="38">
        <v>263</v>
      </c>
      <c r="B323" s="38"/>
      <c r="C323" s="38"/>
      <c r="D323" s="38" t="s">
        <v>1080</v>
      </c>
      <c r="E323" s="40" t="s">
        <v>1081</v>
      </c>
      <c r="F323" s="41" t="s">
        <v>1082</v>
      </c>
      <c r="G323" s="42" t="s">
        <v>502</v>
      </c>
      <c r="H323" s="43"/>
      <c r="I323" s="44"/>
      <c r="J323" s="38">
        <f>4.5*1000</f>
        <v>4500</v>
      </c>
      <c r="K323" s="45">
        <v>1.9560185185185184E-3</v>
      </c>
      <c r="L323" s="46" t="s">
        <v>1042</v>
      </c>
      <c r="M323" s="38"/>
      <c r="N323" s="38"/>
      <c r="O323" s="38"/>
      <c r="P323" s="38"/>
      <c r="Q323" s="38"/>
      <c r="R323" s="48"/>
      <c r="S323" s="48"/>
      <c r="T323" s="48"/>
      <c r="U323" s="52"/>
      <c r="V323" s="50"/>
      <c r="W323" s="51"/>
      <c r="X323" s="56"/>
    </row>
    <row r="324" spans="1:24">
      <c r="A324" s="38">
        <v>264</v>
      </c>
      <c r="B324" s="38"/>
      <c r="C324" s="38"/>
      <c r="D324" s="38" t="s">
        <v>1083</v>
      </c>
      <c r="E324" s="40" t="s">
        <v>1084</v>
      </c>
      <c r="F324" s="41" t="s">
        <v>1085</v>
      </c>
      <c r="G324" s="42" t="s">
        <v>568</v>
      </c>
      <c r="H324" s="43"/>
      <c r="I324" s="44"/>
      <c r="J324" s="38">
        <f>1.4*1000</f>
        <v>1400</v>
      </c>
      <c r="K324" s="45">
        <v>4.1319444444444442E-3</v>
      </c>
      <c r="L324" s="46" t="s">
        <v>1042</v>
      </c>
      <c r="M324" s="38"/>
      <c r="N324" s="38"/>
      <c r="O324" s="38"/>
      <c r="P324" s="38"/>
      <c r="Q324" s="38"/>
      <c r="R324" s="48"/>
      <c r="S324" s="48"/>
      <c r="T324" s="48"/>
      <c r="U324" s="52"/>
      <c r="V324" s="50"/>
      <c r="W324" s="51"/>
      <c r="X324" s="56"/>
    </row>
    <row r="325" spans="1:24">
      <c r="A325" s="38">
        <v>265</v>
      </c>
      <c r="B325" s="38"/>
      <c r="C325" s="38"/>
      <c r="D325" s="38" t="s">
        <v>1086</v>
      </c>
      <c r="E325" s="40" t="s">
        <v>1087</v>
      </c>
      <c r="F325" s="58" t="s">
        <v>1088</v>
      </c>
      <c r="G325" s="42" t="s">
        <v>837</v>
      </c>
      <c r="H325" s="43"/>
      <c r="I325" s="44"/>
      <c r="J325" s="38">
        <f>6.8*1000</f>
        <v>6800</v>
      </c>
      <c r="K325" s="45">
        <v>3.6122685185185181E-2</v>
      </c>
      <c r="L325" s="46" t="s">
        <v>1042</v>
      </c>
      <c r="M325" s="38"/>
      <c r="N325" s="38"/>
      <c r="O325" s="38"/>
      <c r="P325" s="38"/>
      <c r="Q325" s="38"/>
      <c r="R325" s="48"/>
      <c r="S325" s="48"/>
      <c r="T325" s="48"/>
      <c r="U325" s="52"/>
      <c r="V325" s="50"/>
      <c r="W325" s="51"/>
      <c r="X325" s="56"/>
    </row>
    <row r="326" spans="1:24">
      <c r="A326" s="38">
        <v>266</v>
      </c>
      <c r="B326" s="38"/>
      <c r="C326" s="38"/>
      <c r="D326" s="38" t="s">
        <v>1089</v>
      </c>
      <c r="E326" s="40" t="s">
        <v>1090</v>
      </c>
      <c r="F326" s="58" t="s">
        <v>1091</v>
      </c>
      <c r="G326" s="42" t="s">
        <v>232</v>
      </c>
      <c r="H326" s="43"/>
      <c r="I326" s="44"/>
      <c r="J326" s="38">
        <f>3.2*1000</f>
        <v>3200</v>
      </c>
      <c r="K326" s="45">
        <v>2.8125000000000001E-2</v>
      </c>
      <c r="L326" s="46" t="s">
        <v>1042</v>
      </c>
      <c r="M326" s="38"/>
      <c r="N326" s="38"/>
      <c r="O326" s="38"/>
      <c r="P326" s="38"/>
      <c r="Q326" s="38"/>
      <c r="R326" s="48"/>
      <c r="S326" s="48"/>
      <c r="T326" s="48"/>
      <c r="U326" s="52"/>
      <c r="V326" s="50"/>
      <c r="W326" s="51"/>
      <c r="X326" s="56"/>
    </row>
    <row r="327" spans="1:24">
      <c r="A327" s="38">
        <v>267</v>
      </c>
      <c r="B327" s="38"/>
      <c r="C327" s="38"/>
      <c r="D327" s="38" t="s">
        <v>1092</v>
      </c>
      <c r="E327" s="40" t="s">
        <v>1093</v>
      </c>
      <c r="F327" s="58" t="s">
        <v>1094</v>
      </c>
      <c r="G327" s="42" t="s">
        <v>351</v>
      </c>
      <c r="H327" s="43"/>
      <c r="I327" s="44"/>
      <c r="J327" s="38">
        <f>4.4*1000</f>
        <v>4400</v>
      </c>
      <c r="K327" s="45">
        <v>3.3101851851851848E-2</v>
      </c>
      <c r="L327" s="46" t="s">
        <v>1042</v>
      </c>
      <c r="M327" s="38"/>
      <c r="N327" s="38"/>
      <c r="O327" s="38"/>
      <c r="P327" s="38"/>
      <c r="Q327" s="38"/>
      <c r="R327" s="48"/>
      <c r="S327" s="48"/>
      <c r="T327" s="48"/>
      <c r="U327" s="52"/>
      <c r="V327" s="50"/>
      <c r="W327" s="51"/>
      <c r="X327" s="56"/>
    </row>
    <row r="328" spans="1:24">
      <c r="A328" s="38">
        <v>268</v>
      </c>
      <c r="B328" s="38"/>
      <c r="C328" s="38"/>
      <c r="D328" s="38" t="s">
        <v>1095</v>
      </c>
      <c r="E328" s="40" t="s">
        <v>1096</v>
      </c>
      <c r="F328" s="61" t="s">
        <v>1097</v>
      </c>
      <c r="G328" s="42" t="s">
        <v>1098</v>
      </c>
      <c r="H328" s="43"/>
      <c r="I328" s="44"/>
      <c r="J328" s="38">
        <f>64*1000</f>
        <v>64000</v>
      </c>
      <c r="K328" s="45">
        <v>5.9305555555555556E-2</v>
      </c>
      <c r="L328" s="46" t="s">
        <v>1042</v>
      </c>
      <c r="M328" s="38"/>
      <c r="N328" s="38"/>
      <c r="O328" s="38"/>
      <c r="P328" s="38"/>
      <c r="Q328" s="38"/>
      <c r="R328" s="48"/>
      <c r="S328" s="48"/>
      <c r="T328" s="48"/>
      <c r="U328" s="52"/>
      <c r="V328" s="50"/>
      <c r="W328" s="51"/>
      <c r="X328" s="56"/>
    </row>
    <row r="329" spans="1:24">
      <c r="A329" s="38">
        <v>269</v>
      </c>
      <c r="B329" s="38"/>
      <c r="C329" s="38"/>
      <c r="D329" s="38" t="s">
        <v>1099</v>
      </c>
      <c r="E329" s="40" t="s">
        <v>1100</v>
      </c>
      <c r="F329" s="61" t="s">
        <v>1101</v>
      </c>
      <c r="G329" s="42" t="s">
        <v>1102</v>
      </c>
      <c r="H329" s="43"/>
      <c r="I329" s="44"/>
      <c r="J329" s="38">
        <f>6*1000</f>
        <v>6000</v>
      </c>
      <c r="K329" s="45">
        <v>6.1493055555555558E-2</v>
      </c>
      <c r="L329" s="46" t="s">
        <v>1042</v>
      </c>
      <c r="M329" s="38"/>
      <c r="N329" s="38"/>
      <c r="O329" s="38"/>
      <c r="P329" s="38"/>
      <c r="Q329" s="38"/>
      <c r="R329" s="48"/>
      <c r="S329" s="48"/>
      <c r="T329" s="48"/>
      <c r="U329" s="52"/>
      <c r="V329" s="50"/>
      <c r="W329" s="51"/>
      <c r="X329" s="56"/>
    </row>
    <row r="330" spans="1:24">
      <c r="A330" s="38">
        <v>270</v>
      </c>
      <c r="B330" s="38"/>
      <c r="C330" s="38"/>
      <c r="D330" s="38" t="s">
        <v>1103</v>
      </c>
      <c r="E330" s="40" t="s">
        <v>1104</v>
      </c>
      <c r="F330" s="58" t="s">
        <v>1105</v>
      </c>
      <c r="G330" s="42" t="s">
        <v>1106</v>
      </c>
      <c r="H330" s="43"/>
      <c r="I330" s="44"/>
      <c r="J330" s="38">
        <f>8.8*1000</f>
        <v>8800</v>
      </c>
      <c r="K330" s="45">
        <v>1.8888888888888889E-2</v>
      </c>
      <c r="L330" s="46" t="s">
        <v>1042</v>
      </c>
      <c r="M330" s="38"/>
      <c r="N330" s="38"/>
      <c r="O330" s="38"/>
      <c r="P330" s="38"/>
      <c r="Q330" s="38"/>
      <c r="R330" s="48"/>
      <c r="S330" s="48"/>
      <c r="T330" s="48"/>
      <c r="U330" s="52"/>
      <c r="V330" s="50"/>
      <c r="W330" s="51"/>
      <c r="X330" s="56"/>
    </row>
    <row r="331" spans="1:24">
      <c r="A331" s="38">
        <v>271</v>
      </c>
      <c r="B331" s="38"/>
      <c r="C331" s="38"/>
      <c r="D331" s="38" t="s">
        <v>1107</v>
      </c>
      <c r="E331" s="40" t="s">
        <v>1108</v>
      </c>
      <c r="F331" s="58" t="s">
        <v>1109</v>
      </c>
      <c r="G331" s="42" t="s">
        <v>1110</v>
      </c>
      <c r="H331" s="43"/>
      <c r="I331" s="44"/>
      <c r="J331" s="38">
        <f>46*1000</f>
        <v>46000</v>
      </c>
      <c r="K331" s="45">
        <v>3.3611111111111112E-2</v>
      </c>
      <c r="L331" s="46" t="s">
        <v>1042</v>
      </c>
      <c r="M331" s="38"/>
      <c r="N331" s="38"/>
      <c r="O331" s="38"/>
      <c r="P331" s="38"/>
      <c r="Q331" s="38"/>
      <c r="R331" s="48"/>
      <c r="S331" s="48"/>
      <c r="T331" s="48"/>
      <c r="U331" s="52"/>
      <c r="V331" s="50"/>
      <c r="W331" s="51"/>
      <c r="X331" s="56"/>
    </row>
    <row r="332" spans="1:24">
      <c r="A332" s="38">
        <v>272</v>
      </c>
      <c r="B332" s="38"/>
      <c r="C332" s="38"/>
      <c r="D332" s="38" t="s">
        <v>1111</v>
      </c>
      <c r="E332" s="40" t="s">
        <v>1112</v>
      </c>
      <c r="F332" s="58" t="s">
        <v>1113</v>
      </c>
      <c r="G332" s="42" t="s">
        <v>829</v>
      </c>
      <c r="H332" s="43"/>
      <c r="I332" s="44"/>
      <c r="J332" s="38">
        <f>7.6*1000</f>
        <v>7600</v>
      </c>
      <c r="K332" s="45">
        <v>3.3298611111111112E-2</v>
      </c>
      <c r="L332" s="46" t="s">
        <v>1042</v>
      </c>
      <c r="M332" s="38"/>
      <c r="N332" s="38"/>
      <c r="O332" s="38"/>
      <c r="P332" s="38"/>
      <c r="Q332" s="38"/>
      <c r="R332" s="48"/>
      <c r="S332" s="48"/>
      <c r="T332" s="48"/>
      <c r="U332" s="52"/>
      <c r="V332" s="50"/>
      <c r="W332" s="51"/>
      <c r="X332" s="56"/>
    </row>
    <row r="333" spans="1:24">
      <c r="A333" s="38">
        <v>273</v>
      </c>
      <c r="B333" s="38"/>
      <c r="C333" s="38"/>
      <c r="D333" s="38" t="s">
        <v>1114</v>
      </c>
      <c r="E333" s="40" t="s">
        <v>1115</v>
      </c>
      <c r="F333" s="58" t="s">
        <v>1116</v>
      </c>
      <c r="G333" s="42" t="s">
        <v>825</v>
      </c>
      <c r="H333" s="43"/>
      <c r="I333" s="44"/>
      <c r="J333" s="38">
        <f>12*1000</f>
        <v>12000</v>
      </c>
      <c r="K333" s="45">
        <v>3.005787037037037E-2</v>
      </c>
      <c r="L333" s="46" t="s">
        <v>1042</v>
      </c>
      <c r="M333" s="38"/>
      <c r="N333" s="38"/>
      <c r="O333" s="38"/>
      <c r="P333" s="38"/>
      <c r="Q333" s="38"/>
      <c r="R333" s="48"/>
      <c r="S333" s="48"/>
      <c r="T333" s="48"/>
      <c r="U333" s="52"/>
      <c r="V333" s="50"/>
      <c r="W333" s="51"/>
      <c r="X333" s="56"/>
    </row>
    <row r="334" spans="1:24">
      <c r="A334" s="38">
        <v>274</v>
      </c>
      <c r="B334" s="38"/>
      <c r="C334" s="38"/>
      <c r="D334" s="38" t="s">
        <v>1117</v>
      </c>
      <c r="E334" s="40" t="s">
        <v>1118</v>
      </c>
      <c r="F334" s="58" t="s">
        <v>1119</v>
      </c>
      <c r="G334" s="42" t="s">
        <v>351</v>
      </c>
      <c r="H334" s="43"/>
      <c r="I334" s="44"/>
      <c r="J334" s="38">
        <f>4.4*1000</f>
        <v>4400</v>
      </c>
      <c r="K334" s="45">
        <v>2.0902777777777781E-2</v>
      </c>
      <c r="L334" s="46" t="s">
        <v>1042</v>
      </c>
      <c r="M334" s="38"/>
      <c r="N334" s="38"/>
      <c r="O334" s="38"/>
      <c r="P334" s="38"/>
      <c r="Q334" s="38"/>
      <c r="R334" s="48"/>
      <c r="S334" s="48"/>
      <c r="T334" s="48"/>
      <c r="U334" s="52"/>
      <c r="V334" s="50"/>
      <c r="W334" s="51"/>
      <c r="X334" s="56"/>
    </row>
    <row r="335" spans="1:24">
      <c r="A335" s="38">
        <v>275</v>
      </c>
      <c r="B335" s="38"/>
      <c r="C335" s="38"/>
      <c r="D335" s="38" t="s">
        <v>1120</v>
      </c>
      <c r="E335" s="40" t="s">
        <v>1121</v>
      </c>
      <c r="F335" s="58" t="s">
        <v>1122</v>
      </c>
      <c r="G335" s="42" t="s">
        <v>502</v>
      </c>
      <c r="H335" s="43"/>
      <c r="I335" s="44"/>
      <c r="J335" s="38">
        <f>4.5*1000</f>
        <v>4500</v>
      </c>
      <c r="K335" s="45">
        <v>2.2083333333333333E-2</v>
      </c>
      <c r="L335" s="46" t="s">
        <v>1042</v>
      </c>
      <c r="M335" s="38"/>
      <c r="N335" s="38"/>
      <c r="O335" s="38"/>
      <c r="P335" s="38"/>
      <c r="Q335" s="38"/>
      <c r="R335" s="48"/>
      <c r="S335" s="48"/>
      <c r="T335" s="48"/>
      <c r="U335" s="52"/>
      <c r="V335" s="50"/>
      <c r="W335" s="51"/>
      <c r="X335" s="56"/>
    </row>
    <row r="336" spans="1:24">
      <c r="A336" s="38">
        <v>276</v>
      </c>
      <c r="B336" s="38"/>
      <c r="C336" s="38"/>
      <c r="D336" s="38" t="s">
        <v>1123</v>
      </c>
      <c r="E336" s="40" t="s">
        <v>1124</v>
      </c>
      <c r="F336" s="41" t="s">
        <v>1125</v>
      </c>
      <c r="G336" s="42" t="s">
        <v>1126</v>
      </c>
      <c r="H336" s="43"/>
      <c r="I336" s="44"/>
      <c r="J336" s="38">
        <f>4.3*1000</f>
        <v>4300</v>
      </c>
      <c r="K336" s="45">
        <v>5.2430555555555555E-3</v>
      </c>
      <c r="L336" s="46" t="s">
        <v>1042</v>
      </c>
      <c r="M336" s="38"/>
      <c r="N336" s="38"/>
      <c r="O336" s="38"/>
      <c r="P336" s="38"/>
      <c r="Q336" s="38"/>
      <c r="R336" s="48"/>
      <c r="S336" s="48"/>
      <c r="T336" s="48"/>
      <c r="U336" s="52"/>
      <c r="V336" s="50"/>
      <c r="W336" s="51"/>
      <c r="X336" s="56"/>
    </row>
    <row r="337" spans="1:24">
      <c r="A337" s="38">
        <v>277</v>
      </c>
      <c r="B337" s="38"/>
      <c r="C337" s="38"/>
      <c r="D337" s="38" t="s">
        <v>1127</v>
      </c>
      <c r="E337" s="40" t="s">
        <v>1128</v>
      </c>
      <c r="F337" s="58" t="s">
        <v>1129</v>
      </c>
      <c r="G337" s="42" t="s">
        <v>1130</v>
      </c>
      <c r="H337" s="43"/>
      <c r="I337" s="44"/>
      <c r="J337" s="38">
        <f>34*1000</f>
        <v>34000</v>
      </c>
      <c r="K337" s="45">
        <v>2.388888888888889E-2</v>
      </c>
      <c r="L337" s="46" t="s">
        <v>1042</v>
      </c>
      <c r="M337" s="38"/>
      <c r="N337" s="38"/>
      <c r="O337" s="38"/>
      <c r="P337" s="38"/>
      <c r="Q337" s="38"/>
      <c r="R337" s="48"/>
      <c r="S337" s="48"/>
      <c r="T337" s="48"/>
      <c r="U337" s="52"/>
      <c r="V337" s="50"/>
      <c r="W337" s="51"/>
      <c r="X337" s="56"/>
    </row>
    <row r="338" spans="1:24">
      <c r="A338" s="38">
        <v>278</v>
      </c>
      <c r="B338" s="38"/>
      <c r="C338" s="38"/>
      <c r="D338" s="38" t="s">
        <v>1131</v>
      </c>
      <c r="E338" s="40" t="s">
        <v>1132</v>
      </c>
      <c r="F338" s="61" t="s">
        <v>1133</v>
      </c>
      <c r="G338" s="42" t="s">
        <v>1134</v>
      </c>
      <c r="H338" s="43"/>
      <c r="I338" s="44"/>
      <c r="J338" s="38">
        <f>27*1000</f>
        <v>27000</v>
      </c>
      <c r="K338" s="45">
        <v>5.3981481481481484E-2</v>
      </c>
      <c r="L338" s="46" t="s">
        <v>1042</v>
      </c>
      <c r="M338" s="38"/>
      <c r="N338" s="38"/>
      <c r="O338" s="38"/>
      <c r="P338" s="38"/>
      <c r="Q338" s="38"/>
      <c r="R338" s="48"/>
      <c r="S338" s="48"/>
      <c r="T338" s="48"/>
      <c r="U338" s="52"/>
      <c r="V338" s="50"/>
      <c r="W338" s="51"/>
      <c r="X338" s="56"/>
    </row>
    <row r="339" spans="1:24">
      <c r="A339" s="38">
        <v>279</v>
      </c>
      <c r="B339" s="38"/>
      <c r="C339" s="38"/>
      <c r="D339" s="38" t="s">
        <v>1135</v>
      </c>
      <c r="E339" s="40" t="s">
        <v>1136</v>
      </c>
      <c r="F339" s="58" t="s">
        <v>1137</v>
      </c>
      <c r="G339" s="42" t="s">
        <v>494</v>
      </c>
      <c r="H339" s="43"/>
      <c r="I339" s="44"/>
      <c r="J339" s="38">
        <f>6.6*1000</f>
        <v>6600</v>
      </c>
      <c r="K339" s="45">
        <v>3.349537037037037E-2</v>
      </c>
      <c r="L339" s="46" t="s">
        <v>1042</v>
      </c>
      <c r="M339" s="38"/>
      <c r="N339" s="38"/>
      <c r="O339" s="38"/>
      <c r="P339" s="38"/>
      <c r="Q339" s="38"/>
      <c r="R339" s="48"/>
      <c r="S339" s="48"/>
      <c r="T339" s="48"/>
      <c r="U339" s="52"/>
      <c r="V339" s="50"/>
      <c r="W339" s="51"/>
      <c r="X339" s="56"/>
    </row>
    <row r="340" spans="1:24">
      <c r="A340" s="38">
        <v>280</v>
      </c>
      <c r="B340" s="38"/>
      <c r="C340" s="38"/>
      <c r="D340" s="38" t="s">
        <v>1138</v>
      </c>
      <c r="E340" s="40" t="s">
        <v>1139</v>
      </c>
      <c r="F340" s="61" t="s">
        <v>1140</v>
      </c>
      <c r="G340" s="42" t="s">
        <v>1141</v>
      </c>
      <c r="H340" s="43"/>
      <c r="I340" s="44"/>
      <c r="J340" s="38">
        <f>7.2*1000</f>
        <v>7200</v>
      </c>
      <c r="K340" s="45">
        <v>7.1504629629629626E-2</v>
      </c>
      <c r="L340" s="46" t="s">
        <v>1042</v>
      </c>
      <c r="M340" s="38"/>
      <c r="N340" s="38"/>
      <c r="O340" s="38"/>
      <c r="P340" s="38"/>
      <c r="Q340" s="38"/>
      <c r="R340" s="48"/>
      <c r="S340" s="48"/>
      <c r="T340" s="48"/>
      <c r="U340" s="52"/>
      <c r="V340" s="50"/>
      <c r="W340" s="51"/>
      <c r="X340" s="56"/>
    </row>
    <row r="341" spans="1:24">
      <c r="A341" s="38">
        <v>281</v>
      </c>
      <c r="B341" s="38"/>
      <c r="C341" s="38"/>
      <c r="D341" s="38" t="s">
        <v>1142</v>
      </c>
      <c r="E341" s="40" t="s">
        <v>1143</v>
      </c>
      <c r="F341" s="61" t="s">
        <v>1144</v>
      </c>
      <c r="G341" s="42" t="s">
        <v>1046</v>
      </c>
      <c r="H341" s="43"/>
      <c r="I341" s="44"/>
      <c r="J341" s="38">
        <f>20*1000</f>
        <v>20000</v>
      </c>
      <c r="K341" s="45">
        <v>9.6643518518518531E-2</v>
      </c>
      <c r="L341" s="46" t="s">
        <v>1042</v>
      </c>
      <c r="M341" s="38"/>
      <c r="N341" s="38"/>
      <c r="O341" s="38"/>
      <c r="P341" s="38"/>
      <c r="Q341" s="38"/>
      <c r="R341" s="48"/>
      <c r="S341" s="48"/>
      <c r="T341" s="48"/>
      <c r="U341" s="52"/>
      <c r="V341" s="50"/>
      <c r="W341" s="51"/>
      <c r="X341" s="56"/>
    </row>
    <row r="342" spans="1:24">
      <c r="A342" s="38">
        <v>282</v>
      </c>
      <c r="B342" s="38"/>
      <c r="C342" s="38"/>
      <c r="D342" s="38" t="s">
        <v>1145</v>
      </c>
      <c r="E342" s="40" t="s">
        <v>1146</v>
      </c>
      <c r="F342" s="61" t="s">
        <v>1147</v>
      </c>
      <c r="G342" s="42" t="s">
        <v>490</v>
      </c>
      <c r="H342" s="43"/>
      <c r="I342" s="44"/>
      <c r="J342" s="38">
        <f>11*1000</f>
        <v>11000</v>
      </c>
      <c r="K342" s="45">
        <v>7.0729166666666662E-2</v>
      </c>
      <c r="L342" s="46" t="s">
        <v>1042</v>
      </c>
      <c r="M342" s="38"/>
      <c r="N342" s="38"/>
      <c r="O342" s="38"/>
      <c r="P342" s="38"/>
      <c r="Q342" s="38"/>
      <c r="R342" s="48"/>
      <c r="S342" s="48"/>
      <c r="T342" s="48"/>
      <c r="U342" s="52"/>
      <c r="V342" s="50"/>
      <c r="W342" s="51"/>
      <c r="X342" s="56"/>
    </row>
    <row r="343" spans="1:24">
      <c r="A343" s="38">
        <v>283</v>
      </c>
      <c r="B343" s="38"/>
      <c r="C343" s="38"/>
      <c r="D343" s="38" t="s">
        <v>1148</v>
      </c>
      <c r="E343" s="40" t="s">
        <v>1149</v>
      </c>
      <c r="F343" s="61" t="s">
        <v>1150</v>
      </c>
      <c r="G343" s="42" t="s">
        <v>135</v>
      </c>
      <c r="H343" s="43"/>
      <c r="I343" s="44"/>
      <c r="J343" s="38">
        <f>10*1000</f>
        <v>10000</v>
      </c>
      <c r="K343" s="45">
        <v>8.3668981481481483E-2</v>
      </c>
      <c r="L343" s="46" t="s">
        <v>1042</v>
      </c>
      <c r="M343" s="38"/>
      <c r="N343" s="38"/>
      <c r="O343" s="38"/>
      <c r="P343" s="38"/>
      <c r="Q343" s="38"/>
      <c r="R343" s="48"/>
      <c r="S343" s="48"/>
      <c r="T343" s="48"/>
      <c r="U343" s="52"/>
      <c r="V343" s="50"/>
      <c r="W343" s="51"/>
      <c r="X343" s="56"/>
    </row>
    <row r="344" spans="1:24">
      <c r="A344" s="38">
        <v>284</v>
      </c>
      <c r="B344" s="38"/>
      <c r="C344" s="38"/>
      <c r="D344" s="38" t="s">
        <v>1151</v>
      </c>
      <c r="E344" s="40" t="s">
        <v>1152</v>
      </c>
      <c r="F344" s="61" t="s">
        <v>1153</v>
      </c>
      <c r="G344" s="42" t="s">
        <v>774</v>
      </c>
      <c r="H344" s="43"/>
      <c r="I344" s="44"/>
      <c r="J344" s="38">
        <f>4.7*1000</f>
        <v>4700</v>
      </c>
      <c r="K344" s="45">
        <v>7.5624999999999998E-2</v>
      </c>
      <c r="L344" s="46" t="s">
        <v>1042</v>
      </c>
      <c r="M344" s="38"/>
      <c r="N344" s="38"/>
      <c r="O344" s="38"/>
      <c r="P344" s="38"/>
      <c r="Q344" s="38"/>
      <c r="R344" s="48"/>
      <c r="S344" s="48"/>
      <c r="T344" s="48"/>
      <c r="U344" s="52"/>
      <c r="V344" s="50"/>
      <c r="W344" s="51"/>
      <c r="X344" s="56"/>
    </row>
    <row r="345" spans="1:24">
      <c r="A345" s="38">
        <v>285</v>
      </c>
      <c r="B345" s="38"/>
      <c r="C345" s="38"/>
      <c r="D345" s="38" t="s">
        <v>1154</v>
      </c>
      <c r="E345" s="40" t="s">
        <v>1155</v>
      </c>
      <c r="F345" s="58" t="s">
        <v>1156</v>
      </c>
      <c r="G345" s="42" t="s">
        <v>1157</v>
      </c>
      <c r="H345" s="43"/>
      <c r="I345" s="44"/>
      <c r="J345" s="38">
        <f>6.7*1000</f>
        <v>6700</v>
      </c>
      <c r="K345" s="45">
        <v>1.8472222222222223E-2</v>
      </c>
      <c r="L345" s="46" t="s">
        <v>1042</v>
      </c>
      <c r="M345" s="38"/>
      <c r="N345" s="38"/>
      <c r="O345" s="38"/>
      <c r="P345" s="38"/>
      <c r="Q345" s="38"/>
      <c r="R345" s="48"/>
      <c r="S345" s="48"/>
      <c r="T345" s="48"/>
      <c r="U345" s="52"/>
      <c r="V345" s="50"/>
      <c r="W345" s="51"/>
      <c r="X345" s="56"/>
    </row>
    <row r="346" spans="1:24">
      <c r="A346" s="38">
        <v>286</v>
      </c>
      <c r="B346" s="38"/>
      <c r="C346" s="38"/>
      <c r="D346" s="38" t="s">
        <v>1158</v>
      </c>
      <c r="E346" s="40" t="s">
        <v>1159</v>
      </c>
      <c r="F346" s="61" t="s">
        <v>1160</v>
      </c>
      <c r="G346" s="42" t="s">
        <v>490</v>
      </c>
      <c r="H346" s="43"/>
      <c r="I346" s="44"/>
      <c r="J346" s="38">
        <f>11*1000</f>
        <v>11000</v>
      </c>
      <c r="K346" s="45">
        <v>9.5694444444444457E-2</v>
      </c>
      <c r="L346" s="46" t="s">
        <v>1161</v>
      </c>
      <c r="M346" s="38"/>
      <c r="N346" s="38"/>
      <c r="O346" s="38"/>
      <c r="P346" s="38"/>
      <c r="Q346" s="38"/>
      <c r="R346" s="48"/>
      <c r="S346" s="48"/>
      <c r="T346" s="48"/>
      <c r="U346" s="52"/>
      <c r="V346" s="50"/>
      <c r="W346" s="51"/>
      <c r="X346" s="56"/>
    </row>
    <row r="347" spans="1:24">
      <c r="A347" s="38">
        <v>287</v>
      </c>
      <c r="B347" s="38"/>
      <c r="C347" s="38"/>
      <c r="D347" s="38" t="s">
        <v>1162</v>
      </c>
      <c r="E347" s="40" t="s">
        <v>1163</v>
      </c>
      <c r="F347" s="61" t="s">
        <v>1164</v>
      </c>
      <c r="G347" s="42" t="s">
        <v>264</v>
      </c>
      <c r="H347" s="43"/>
      <c r="I347" s="44"/>
      <c r="J347" s="38">
        <f>14*1000</f>
        <v>14000</v>
      </c>
      <c r="K347" s="45">
        <v>8.5358796296296294E-2</v>
      </c>
      <c r="L347" s="46" t="s">
        <v>1161</v>
      </c>
      <c r="M347" s="38"/>
      <c r="N347" s="38"/>
      <c r="O347" s="38"/>
      <c r="P347" s="38"/>
      <c r="Q347" s="38"/>
      <c r="R347" s="48"/>
      <c r="S347" s="48"/>
      <c r="T347" s="48"/>
      <c r="U347" s="52"/>
      <c r="V347" s="50"/>
      <c r="W347" s="51"/>
      <c r="X347" s="56"/>
    </row>
    <row r="348" spans="1:24">
      <c r="A348" s="38">
        <v>288</v>
      </c>
      <c r="B348" s="38"/>
      <c r="C348" s="38"/>
      <c r="D348" s="38" t="s">
        <v>1165</v>
      </c>
      <c r="E348" s="40" t="s">
        <v>1166</v>
      </c>
      <c r="F348" s="61" t="s">
        <v>1167</v>
      </c>
      <c r="G348" s="42" t="s">
        <v>290</v>
      </c>
      <c r="H348" s="43"/>
      <c r="I348" s="44"/>
      <c r="J348" s="38">
        <f>6.9*1000</f>
        <v>6900</v>
      </c>
      <c r="K348" s="45">
        <v>5.6840277777777781E-2</v>
      </c>
      <c r="L348" s="46" t="s">
        <v>1161</v>
      </c>
      <c r="M348" s="38"/>
      <c r="N348" s="38"/>
      <c r="O348" s="38"/>
      <c r="P348" s="38"/>
      <c r="Q348" s="38"/>
      <c r="R348" s="48"/>
      <c r="S348" s="48"/>
      <c r="T348" s="48"/>
      <c r="U348" s="52"/>
      <c r="V348" s="50"/>
      <c r="W348" s="51"/>
      <c r="X348" s="56"/>
    </row>
    <row r="349" spans="1:24">
      <c r="A349" s="38">
        <v>289</v>
      </c>
      <c r="B349" s="38"/>
      <c r="C349" s="38"/>
      <c r="D349" s="38" t="s">
        <v>1168</v>
      </c>
      <c r="E349" s="40" t="s">
        <v>1169</v>
      </c>
      <c r="F349" s="61" t="s">
        <v>1170</v>
      </c>
      <c r="G349" s="42" t="s">
        <v>575</v>
      </c>
      <c r="H349" s="43"/>
      <c r="I349" s="44"/>
      <c r="J349" s="38">
        <f>22*1000</f>
        <v>22000</v>
      </c>
      <c r="K349" s="45">
        <v>7.4872685185185181E-2</v>
      </c>
      <c r="L349" s="46" t="s">
        <v>1161</v>
      </c>
      <c r="M349" s="38"/>
      <c r="N349" s="38"/>
      <c r="O349" s="38"/>
      <c r="P349" s="38"/>
      <c r="Q349" s="38"/>
      <c r="R349" s="48"/>
      <c r="S349" s="48"/>
      <c r="T349" s="48"/>
      <c r="U349" s="52"/>
      <c r="V349" s="50"/>
      <c r="W349" s="51"/>
      <c r="X349" s="56"/>
    </row>
    <row r="350" spans="1:24">
      <c r="A350" s="38">
        <v>290</v>
      </c>
      <c r="B350" s="38"/>
      <c r="C350" s="38"/>
      <c r="D350" s="38" t="s">
        <v>1171</v>
      </c>
      <c r="E350" s="40" t="s">
        <v>1172</v>
      </c>
      <c r="F350" s="61" t="s">
        <v>1173</v>
      </c>
      <c r="G350" s="42" t="s">
        <v>1174</v>
      </c>
      <c r="H350" s="43"/>
      <c r="I350" s="44"/>
      <c r="J350" s="38">
        <f>13*1000</f>
        <v>13000</v>
      </c>
      <c r="K350" s="45">
        <v>8.1319444444444444E-2</v>
      </c>
      <c r="L350" s="46" t="s">
        <v>1161</v>
      </c>
      <c r="M350" s="38"/>
      <c r="N350" s="38"/>
      <c r="O350" s="38"/>
      <c r="P350" s="38"/>
      <c r="Q350" s="38"/>
      <c r="R350" s="48"/>
      <c r="S350" s="48"/>
      <c r="T350" s="48"/>
      <c r="U350" s="52"/>
      <c r="V350" s="50"/>
      <c r="W350" s="51"/>
      <c r="X350" s="56"/>
    </row>
    <row r="351" spans="1:24">
      <c r="A351" s="38">
        <v>291</v>
      </c>
      <c r="B351" s="38"/>
      <c r="C351" s="38"/>
      <c r="D351" s="38" t="s">
        <v>1175</v>
      </c>
      <c r="E351" s="40" t="s">
        <v>1176</v>
      </c>
      <c r="F351" s="61" t="s">
        <v>1177</v>
      </c>
      <c r="G351" s="42" t="s">
        <v>1178</v>
      </c>
      <c r="H351" s="43"/>
      <c r="I351" s="44"/>
      <c r="J351" s="38">
        <f>51*1000</f>
        <v>51000</v>
      </c>
      <c r="K351" s="45">
        <v>6.4849537037037039E-2</v>
      </c>
      <c r="L351" s="46" t="s">
        <v>1161</v>
      </c>
      <c r="M351" s="38"/>
      <c r="N351" s="38"/>
      <c r="O351" s="38"/>
      <c r="P351" s="38"/>
      <c r="Q351" s="38"/>
      <c r="R351" s="48"/>
      <c r="S351" s="48"/>
      <c r="T351" s="48"/>
      <c r="U351" s="52"/>
      <c r="V351" s="50"/>
      <c r="W351" s="51"/>
      <c r="X351" s="56"/>
    </row>
    <row r="352" spans="1:24">
      <c r="A352" s="38">
        <v>292</v>
      </c>
      <c r="B352" s="38"/>
      <c r="C352" s="38"/>
      <c r="D352" s="38" t="s">
        <v>1179</v>
      </c>
      <c r="E352" s="40" t="s">
        <v>1180</v>
      </c>
      <c r="F352" s="61" t="s">
        <v>1181</v>
      </c>
      <c r="G352" s="42" t="s">
        <v>490</v>
      </c>
      <c r="H352" s="43"/>
      <c r="I352" s="44"/>
      <c r="J352" s="38">
        <f>11*1000</f>
        <v>11000</v>
      </c>
      <c r="K352" s="45">
        <v>4.9687499999999996E-2</v>
      </c>
      <c r="L352" s="46" t="s">
        <v>1161</v>
      </c>
      <c r="M352" s="38"/>
      <c r="N352" s="38"/>
      <c r="O352" s="38"/>
      <c r="P352" s="38"/>
      <c r="Q352" s="38"/>
      <c r="R352" s="48"/>
      <c r="S352" s="48"/>
      <c r="T352" s="48"/>
      <c r="U352" s="52"/>
      <c r="V352" s="50"/>
      <c r="W352" s="51"/>
      <c r="X352" s="56"/>
    </row>
    <row r="353" spans="1:24">
      <c r="A353" s="38">
        <v>293</v>
      </c>
      <c r="B353" s="38"/>
      <c r="C353" s="38"/>
      <c r="D353" s="38" t="s">
        <v>1182</v>
      </c>
      <c r="E353" s="40" t="s">
        <v>1183</v>
      </c>
      <c r="F353" s="61" t="s">
        <v>1184</v>
      </c>
      <c r="G353" s="42" t="s">
        <v>661</v>
      </c>
      <c r="H353" s="43"/>
      <c r="I353" s="44"/>
      <c r="J353" s="38">
        <f t="shared" ref="J353:J354" si="24">19*1000</f>
        <v>19000</v>
      </c>
      <c r="K353" s="45">
        <v>6.6412037037037033E-2</v>
      </c>
      <c r="L353" s="46" t="s">
        <v>1161</v>
      </c>
      <c r="M353" s="38"/>
      <c r="N353" s="38"/>
      <c r="O353" s="38"/>
      <c r="P353" s="38"/>
      <c r="Q353" s="38"/>
      <c r="R353" s="48"/>
      <c r="S353" s="48"/>
      <c r="T353" s="48"/>
      <c r="U353" s="52"/>
      <c r="V353" s="50"/>
      <c r="W353" s="51"/>
      <c r="X353" s="56"/>
    </row>
    <row r="354" spans="1:24">
      <c r="A354" s="38">
        <v>294</v>
      </c>
      <c r="B354" s="38"/>
      <c r="C354" s="38"/>
      <c r="D354" s="38" t="s">
        <v>1185</v>
      </c>
      <c r="E354" s="40" t="s">
        <v>1186</v>
      </c>
      <c r="F354" s="41" t="s">
        <v>1187</v>
      </c>
      <c r="G354" s="42" t="s">
        <v>661</v>
      </c>
      <c r="H354" s="43"/>
      <c r="I354" s="44"/>
      <c r="J354" s="38">
        <f t="shared" si="24"/>
        <v>19000</v>
      </c>
      <c r="K354" s="45">
        <v>1.2002314814814815E-2</v>
      </c>
      <c r="L354" s="46" t="s">
        <v>1161</v>
      </c>
      <c r="M354" s="38"/>
      <c r="N354" s="38"/>
      <c r="O354" s="38"/>
      <c r="P354" s="38"/>
      <c r="Q354" s="38"/>
      <c r="R354" s="48"/>
      <c r="S354" s="48"/>
      <c r="T354" s="48"/>
      <c r="U354" s="52"/>
      <c r="V354" s="50"/>
      <c r="W354" s="51"/>
      <c r="X354" s="56"/>
    </row>
    <row r="355" spans="1:24">
      <c r="A355" s="38">
        <v>295</v>
      </c>
      <c r="B355" s="38"/>
      <c r="C355" s="38"/>
      <c r="D355" s="38" t="s">
        <v>1188</v>
      </c>
      <c r="E355" s="40" t="s">
        <v>1189</v>
      </c>
      <c r="F355" s="41" t="s">
        <v>1190</v>
      </c>
      <c r="G355" s="42" t="s">
        <v>521</v>
      </c>
      <c r="H355" s="43"/>
      <c r="I355" s="44"/>
      <c r="J355" s="38">
        <f>3.5*1000</f>
        <v>3500</v>
      </c>
      <c r="K355" s="45">
        <v>7.5347222222222213E-3</v>
      </c>
      <c r="L355" s="46" t="s">
        <v>1161</v>
      </c>
      <c r="M355" s="38"/>
      <c r="N355" s="38"/>
      <c r="O355" s="38"/>
      <c r="P355" s="38"/>
      <c r="Q355" s="38"/>
      <c r="R355" s="48"/>
      <c r="S355" s="48"/>
      <c r="T355" s="48"/>
      <c r="U355" s="52"/>
      <c r="V355" s="50"/>
      <c r="W355" s="51"/>
      <c r="X355" s="56"/>
    </row>
    <row r="356" spans="1:24">
      <c r="A356" s="38">
        <v>296</v>
      </c>
      <c r="B356" s="38"/>
      <c r="C356" s="38"/>
      <c r="D356" s="38" t="s">
        <v>1191</v>
      </c>
      <c r="E356" s="40" t="s">
        <v>1192</v>
      </c>
      <c r="F356" s="61" t="s">
        <v>1193</v>
      </c>
      <c r="G356" s="42" t="s">
        <v>135</v>
      </c>
      <c r="H356" s="43"/>
      <c r="I356" s="44"/>
      <c r="J356" s="38">
        <f t="shared" ref="J356:J357" si="25">10*1000</f>
        <v>10000</v>
      </c>
      <c r="K356" s="45">
        <v>7.3854166666666665E-2</v>
      </c>
      <c r="L356" s="46" t="s">
        <v>1161</v>
      </c>
      <c r="M356" s="38"/>
      <c r="N356" s="38"/>
      <c r="O356" s="38"/>
      <c r="P356" s="38"/>
      <c r="Q356" s="38"/>
      <c r="R356" s="48"/>
      <c r="S356" s="48"/>
      <c r="T356" s="48"/>
      <c r="U356" s="52"/>
      <c r="V356" s="50"/>
      <c r="W356" s="51"/>
      <c r="X356" s="56"/>
    </row>
    <row r="357" spans="1:24">
      <c r="A357" s="38">
        <v>297</v>
      </c>
      <c r="B357" s="38"/>
      <c r="C357" s="38"/>
      <c r="D357" s="38" t="s">
        <v>1194</v>
      </c>
      <c r="E357" s="40" t="s">
        <v>1195</v>
      </c>
      <c r="F357" s="61" t="s">
        <v>1196</v>
      </c>
      <c r="G357" s="42" t="s">
        <v>135</v>
      </c>
      <c r="H357" s="43"/>
      <c r="I357" s="44"/>
      <c r="J357" s="38">
        <f t="shared" si="25"/>
        <v>10000</v>
      </c>
      <c r="K357" s="45">
        <v>6.8749999999999992E-2</v>
      </c>
      <c r="L357" s="46" t="s">
        <v>1161</v>
      </c>
      <c r="M357" s="38"/>
      <c r="N357" s="38"/>
      <c r="O357" s="38"/>
      <c r="P357" s="38"/>
      <c r="Q357" s="38"/>
      <c r="R357" s="48"/>
      <c r="S357" s="48"/>
      <c r="T357" s="48"/>
      <c r="U357" s="52"/>
      <c r="V357" s="50"/>
      <c r="W357" s="51"/>
      <c r="X357" s="56"/>
    </row>
    <row r="358" spans="1:24">
      <c r="A358" s="38">
        <v>298</v>
      </c>
      <c r="B358" s="38"/>
      <c r="C358" s="38"/>
      <c r="D358" s="38" t="s">
        <v>1197</v>
      </c>
      <c r="E358" s="40" t="s">
        <v>1198</v>
      </c>
      <c r="F358" s="58" t="s">
        <v>1199</v>
      </c>
      <c r="G358" s="42" t="s">
        <v>270</v>
      </c>
      <c r="H358" s="43"/>
      <c r="I358" s="44"/>
      <c r="J358" s="38">
        <f>15*1000</f>
        <v>15000</v>
      </c>
      <c r="K358" s="45">
        <v>2.1585648148148145E-2</v>
      </c>
      <c r="L358" s="46" t="s">
        <v>1161</v>
      </c>
      <c r="M358" s="38"/>
      <c r="N358" s="38"/>
      <c r="O358" s="38"/>
      <c r="P358" s="38"/>
      <c r="Q358" s="38"/>
      <c r="R358" s="48"/>
      <c r="S358" s="48"/>
      <c r="T358" s="48"/>
      <c r="U358" s="52"/>
      <c r="V358" s="50"/>
      <c r="W358" s="51"/>
      <c r="X358" s="56"/>
    </row>
    <row r="359" spans="1:24">
      <c r="A359" s="38">
        <v>299</v>
      </c>
      <c r="B359" s="38"/>
      <c r="C359" s="38"/>
      <c r="D359" s="38" t="s">
        <v>1200</v>
      </c>
      <c r="E359" s="40" t="s">
        <v>1201</v>
      </c>
      <c r="F359" s="61" t="s">
        <v>1202</v>
      </c>
      <c r="G359" s="42" t="s">
        <v>805</v>
      </c>
      <c r="H359" s="43"/>
      <c r="I359" s="44"/>
      <c r="J359" s="38">
        <f>3.1*1000</f>
        <v>3100</v>
      </c>
      <c r="K359" s="45">
        <v>6.7662037037037034E-2</v>
      </c>
      <c r="L359" s="46" t="s">
        <v>1161</v>
      </c>
      <c r="M359" s="38"/>
      <c r="N359" s="38"/>
      <c r="O359" s="38"/>
      <c r="P359" s="38"/>
      <c r="Q359" s="38"/>
      <c r="R359" s="48"/>
      <c r="S359" s="48"/>
      <c r="T359" s="48"/>
      <c r="U359" s="52"/>
      <c r="V359" s="50"/>
      <c r="W359" s="51"/>
      <c r="X359" s="56"/>
    </row>
    <row r="360" spans="1:24">
      <c r="A360" s="38">
        <v>300</v>
      </c>
      <c r="B360" s="38"/>
      <c r="C360" s="38"/>
      <c r="D360" s="38" t="s">
        <v>1203</v>
      </c>
      <c r="E360" s="40" t="s">
        <v>1204</v>
      </c>
      <c r="F360" s="61" t="s">
        <v>1205</v>
      </c>
      <c r="G360" s="42" t="s">
        <v>1134</v>
      </c>
      <c r="H360" s="43"/>
      <c r="I360" s="44"/>
      <c r="J360" s="38">
        <f>27*1000</f>
        <v>27000</v>
      </c>
      <c r="K360" s="45">
        <v>0.11447916666666667</v>
      </c>
      <c r="L360" s="46" t="s">
        <v>1161</v>
      </c>
      <c r="M360" s="38"/>
      <c r="N360" s="38"/>
      <c r="O360" s="38"/>
      <c r="P360" s="38"/>
      <c r="Q360" s="38"/>
      <c r="R360" s="48"/>
      <c r="S360" s="48"/>
      <c r="T360" s="48"/>
      <c r="U360" s="52"/>
      <c r="V360" s="50"/>
      <c r="W360" s="51"/>
      <c r="X360" s="56"/>
    </row>
    <row r="361" spans="1:24">
      <c r="A361" s="38">
        <v>301</v>
      </c>
      <c r="B361" s="38"/>
      <c r="C361" s="38"/>
      <c r="D361" s="38" t="s">
        <v>1206</v>
      </c>
      <c r="E361" s="40" t="s">
        <v>1207</v>
      </c>
      <c r="F361" s="61" t="s">
        <v>1208</v>
      </c>
      <c r="G361" s="42" t="s">
        <v>854</v>
      </c>
      <c r="H361" s="43"/>
      <c r="I361" s="44"/>
      <c r="J361" s="38">
        <f>4.6*1000</f>
        <v>4600</v>
      </c>
      <c r="K361" s="45">
        <v>9.5578703703703694E-2</v>
      </c>
      <c r="L361" s="46" t="s">
        <v>1161</v>
      </c>
      <c r="M361" s="38"/>
      <c r="N361" s="38"/>
      <c r="O361" s="38"/>
      <c r="P361" s="38"/>
      <c r="Q361" s="38"/>
      <c r="R361" s="48"/>
      <c r="S361" s="48"/>
      <c r="T361" s="48"/>
      <c r="U361" s="52"/>
      <c r="V361" s="50"/>
      <c r="W361" s="51"/>
      <c r="X361" s="56"/>
    </row>
    <row r="362" spans="1:24">
      <c r="A362" s="38">
        <v>302</v>
      </c>
      <c r="B362" s="38"/>
      <c r="C362" s="38"/>
      <c r="D362" s="38" t="s">
        <v>1209</v>
      </c>
      <c r="E362" s="40" t="s">
        <v>1210</v>
      </c>
      <c r="F362" s="58" t="s">
        <v>1211</v>
      </c>
      <c r="G362" s="42" t="s">
        <v>1134</v>
      </c>
      <c r="H362" s="43"/>
      <c r="I362" s="44"/>
      <c r="J362" s="38">
        <f>27*1000</f>
        <v>27000</v>
      </c>
      <c r="K362" s="45">
        <v>4.0474537037037038E-2</v>
      </c>
      <c r="L362" s="46" t="s">
        <v>1161</v>
      </c>
      <c r="M362" s="38"/>
      <c r="N362" s="38"/>
      <c r="O362" s="38"/>
      <c r="P362" s="38"/>
      <c r="Q362" s="38"/>
      <c r="R362" s="48"/>
      <c r="S362" s="48"/>
      <c r="T362" s="48"/>
      <c r="U362" s="52"/>
      <c r="V362" s="50"/>
      <c r="W362" s="51"/>
      <c r="X362" s="56"/>
    </row>
    <row r="363" spans="1:24">
      <c r="A363" s="38">
        <v>303</v>
      </c>
      <c r="B363" s="38"/>
      <c r="C363" s="38"/>
      <c r="D363" s="38" t="s">
        <v>1212</v>
      </c>
      <c r="E363" s="40" t="s">
        <v>1213</v>
      </c>
      <c r="F363" s="61" t="s">
        <v>1214</v>
      </c>
      <c r="G363" s="42" t="s">
        <v>778</v>
      </c>
      <c r="H363" s="43"/>
      <c r="I363" s="44"/>
      <c r="J363" s="38">
        <f>7.5*1000</f>
        <v>7500</v>
      </c>
      <c r="K363" s="45">
        <v>9.9988425925925925E-2</v>
      </c>
      <c r="L363" s="46" t="s">
        <v>1161</v>
      </c>
      <c r="M363" s="38"/>
      <c r="N363" s="38"/>
      <c r="O363" s="38"/>
      <c r="P363" s="38"/>
      <c r="Q363" s="38"/>
      <c r="R363" s="48"/>
      <c r="S363" s="48"/>
      <c r="T363" s="48"/>
      <c r="U363" s="52"/>
      <c r="V363" s="50"/>
      <c r="W363" s="51"/>
      <c r="X363" s="56"/>
    </row>
    <row r="364" spans="1:24">
      <c r="A364" s="38">
        <v>304</v>
      </c>
      <c r="B364" s="38"/>
      <c r="C364" s="38"/>
      <c r="D364" s="38" t="s">
        <v>1215</v>
      </c>
      <c r="E364" s="40" t="s">
        <v>1216</v>
      </c>
      <c r="F364" s="61" t="s">
        <v>1217</v>
      </c>
      <c r="G364" s="42" t="s">
        <v>1218</v>
      </c>
      <c r="H364" s="43"/>
      <c r="I364" s="44"/>
      <c r="J364" s="38">
        <f>5.7*1000</f>
        <v>5700</v>
      </c>
      <c r="K364" s="45">
        <v>8.6851851851851847E-2</v>
      </c>
      <c r="L364" s="46" t="s">
        <v>1161</v>
      </c>
      <c r="M364" s="38"/>
      <c r="N364" s="38"/>
      <c r="O364" s="38"/>
      <c r="P364" s="38"/>
      <c r="Q364" s="38"/>
      <c r="R364" s="48"/>
      <c r="S364" s="48"/>
      <c r="T364" s="48"/>
      <c r="U364" s="52"/>
      <c r="V364" s="50"/>
      <c r="W364" s="51"/>
      <c r="X364" s="56"/>
    </row>
    <row r="365" spans="1:24">
      <c r="A365" s="38">
        <v>305</v>
      </c>
      <c r="B365" s="38"/>
      <c r="C365" s="38"/>
      <c r="D365" s="38" t="s">
        <v>1219</v>
      </c>
      <c r="E365" s="40" t="s">
        <v>1220</v>
      </c>
      <c r="F365" s="61" t="s">
        <v>1221</v>
      </c>
      <c r="G365" s="42" t="s">
        <v>1046</v>
      </c>
      <c r="H365" s="43"/>
      <c r="I365" s="44"/>
      <c r="J365" s="38">
        <f>20*1000</f>
        <v>20000</v>
      </c>
      <c r="K365" s="45">
        <v>0.1057523148148148</v>
      </c>
      <c r="L365" s="46" t="s">
        <v>1161</v>
      </c>
      <c r="M365" s="38"/>
      <c r="N365" s="38"/>
      <c r="O365" s="38"/>
      <c r="P365" s="38"/>
      <c r="Q365" s="38"/>
      <c r="R365" s="48"/>
      <c r="S365" s="48"/>
      <c r="T365" s="48"/>
      <c r="U365" s="52"/>
      <c r="V365" s="50"/>
      <c r="W365" s="51"/>
      <c r="X365" s="56"/>
    </row>
    <row r="366" spans="1:24">
      <c r="A366" s="38">
        <v>306</v>
      </c>
      <c r="B366" s="38"/>
      <c r="C366" s="38"/>
      <c r="D366" s="38" t="s">
        <v>1222</v>
      </c>
      <c r="E366" s="40" t="s">
        <v>1223</v>
      </c>
      <c r="F366" s="61" t="s">
        <v>1224</v>
      </c>
      <c r="G366" s="42" t="s">
        <v>546</v>
      </c>
      <c r="H366" s="43"/>
      <c r="I366" s="44"/>
      <c r="J366" s="38">
        <f>6.3*1000</f>
        <v>6300</v>
      </c>
      <c r="K366" s="45">
        <v>5.4166666666666669E-2</v>
      </c>
      <c r="L366" s="46" t="s">
        <v>1161</v>
      </c>
      <c r="M366" s="38"/>
      <c r="N366" s="38"/>
      <c r="O366" s="38"/>
      <c r="P366" s="38"/>
      <c r="Q366" s="38"/>
      <c r="R366" s="48"/>
      <c r="S366" s="48"/>
      <c r="T366" s="48"/>
      <c r="U366" s="52"/>
      <c r="V366" s="50"/>
      <c r="W366" s="51"/>
      <c r="X366" s="56"/>
    </row>
    <row r="367" spans="1:24">
      <c r="A367" s="38">
        <v>307</v>
      </c>
      <c r="B367" s="38"/>
      <c r="C367" s="38"/>
      <c r="D367" s="38" t="s">
        <v>1225</v>
      </c>
      <c r="E367" s="40" t="s">
        <v>1226</v>
      </c>
      <c r="F367" s="61" t="s">
        <v>1227</v>
      </c>
      <c r="G367" s="42" t="s">
        <v>837</v>
      </c>
      <c r="H367" s="43"/>
      <c r="I367" s="44"/>
      <c r="J367" s="38">
        <f>6.8*1000</f>
        <v>6800</v>
      </c>
      <c r="K367" s="45">
        <v>7.5856481481481483E-2</v>
      </c>
      <c r="L367" s="46" t="s">
        <v>1161</v>
      </c>
      <c r="M367" s="38"/>
      <c r="N367" s="38"/>
      <c r="O367" s="38"/>
      <c r="P367" s="38"/>
      <c r="Q367" s="38"/>
      <c r="R367" s="48"/>
      <c r="S367" s="48"/>
      <c r="T367" s="48"/>
      <c r="U367" s="52"/>
      <c r="V367" s="50"/>
      <c r="W367" s="51"/>
      <c r="X367" s="56"/>
    </row>
    <row r="368" spans="1:24">
      <c r="A368" s="38">
        <v>308</v>
      </c>
      <c r="B368" s="38"/>
      <c r="C368" s="38"/>
      <c r="D368" s="38" t="s">
        <v>1228</v>
      </c>
      <c r="E368" s="40" t="s">
        <v>1229</v>
      </c>
      <c r="F368" s="61" t="s">
        <v>1230</v>
      </c>
      <c r="G368" s="42" t="s">
        <v>1011</v>
      </c>
      <c r="H368" s="43"/>
      <c r="I368" s="44"/>
      <c r="J368" s="38">
        <f>9.9*1000</f>
        <v>9900</v>
      </c>
      <c r="K368" s="45">
        <v>6.2291666666666669E-2</v>
      </c>
      <c r="L368" s="46" t="s">
        <v>1161</v>
      </c>
      <c r="M368" s="38"/>
      <c r="N368" s="38"/>
      <c r="O368" s="38"/>
      <c r="P368" s="38"/>
      <c r="Q368" s="38"/>
      <c r="R368" s="48"/>
      <c r="S368" s="48"/>
      <c r="T368" s="48"/>
      <c r="U368" s="52"/>
      <c r="V368" s="50"/>
      <c r="W368" s="51"/>
      <c r="X368" s="56"/>
    </row>
    <row r="369" spans="1:24">
      <c r="A369" s="38">
        <v>309</v>
      </c>
      <c r="B369" s="38"/>
      <c r="C369" s="38"/>
      <c r="D369" s="38" t="s">
        <v>1231</v>
      </c>
      <c r="E369" s="40" t="s">
        <v>1232</v>
      </c>
      <c r="F369" s="41" t="s">
        <v>1233</v>
      </c>
      <c r="G369" s="42">
        <v>849</v>
      </c>
      <c r="H369" s="43"/>
      <c r="I369" s="44"/>
      <c r="J369" s="38">
        <f>849</f>
        <v>849</v>
      </c>
      <c r="K369" s="45">
        <v>3.9004629629629632E-3</v>
      </c>
      <c r="L369" s="46" t="s">
        <v>1161</v>
      </c>
      <c r="M369" s="38"/>
      <c r="N369" s="38"/>
      <c r="O369" s="38"/>
      <c r="P369" s="38"/>
      <c r="Q369" s="38"/>
      <c r="R369" s="48"/>
      <c r="S369" s="48"/>
      <c r="T369" s="48"/>
      <c r="U369" s="52"/>
      <c r="V369" s="50"/>
      <c r="W369" s="51"/>
      <c r="X369" s="56"/>
    </row>
    <row r="370" spans="1:24">
      <c r="A370" s="38">
        <v>310</v>
      </c>
      <c r="B370" s="38"/>
      <c r="C370" s="38"/>
      <c r="D370" s="38" t="s">
        <v>1234</v>
      </c>
      <c r="E370" s="40" t="s">
        <v>1235</v>
      </c>
      <c r="F370" s="41" t="s">
        <v>1236</v>
      </c>
      <c r="G370" s="42">
        <v>799</v>
      </c>
      <c r="H370" s="43"/>
      <c r="I370" s="44"/>
      <c r="J370" s="38">
        <f>799</f>
        <v>799</v>
      </c>
      <c r="K370" s="45">
        <v>3.8541666666666668E-3</v>
      </c>
      <c r="L370" s="46" t="s">
        <v>1161</v>
      </c>
      <c r="M370" s="38"/>
      <c r="N370" s="38"/>
      <c r="O370" s="38"/>
      <c r="P370" s="38"/>
      <c r="Q370" s="38"/>
      <c r="R370" s="48"/>
      <c r="S370" s="48"/>
      <c r="T370" s="48"/>
      <c r="U370" s="52"/>
      <c r="V370" s="50"/>
      <c r="W370" s="51"/>
      <c r="X370" s="56"/>
    </row>
    <row r="371" spans="1:24">
      <c r="A371" s="38">
        <v>311</v>
      </c>
      <c r="B371" s="38"/>
      <c r="C371" s="38"/>
      <c r="D371" s="38" t="s">
        <v>1237</v>
      </c>
      <c r="E371" s="40" t="s">
        <v>1238</v>
      </c>
      <c r="F371" s="41" t="s">
        <v>1239</v>
      </c>
      <c r="G371" s="42" t="s">
        <v>568</v>
      </c>
      <c r="H371" s="43"/>
      <c r="I371" s="44"/>
      <c r="J371" s="38">
        <f t="shared" ref="J371:J372" si="26">1.4*1000</f>
        <v>1400</v>
      </c>
      <c r="K371" s="45">
        <v>4.8726851851851856E-3</v>
      </c>
      <c r="L371" s="46" t="s">
        <v>1161</v>
      </c>
      <c r="M371" s="38"/>
      <c r="N371" s="38"/>
      <c r="O371" s="38"/>
      <c r="P371" s="38"/>
      <c r="Q371" s="38"/>
      <c r="R371" s="48"/>
      <c r="S371" s="48"/>
      <c r="T371" s="48"/>
      <c r="U371" s="52"/>
      <c r="V371" s="50"/>
      <c r="W371" s="51"/>
      <c r="X371" s="56"/>
    </row>
    <row r="372" spans="1:24">
      <c r="A372" s="38">
        <v>312</v>
      </c>
      <c r="B372" s="38"/>
      <c r="C372" s="38"/>
      <c r="D372" s="38" t="s">
        <v>1240</v>
      </c>
      <c r="E372" s="40" t="s">
        <v>1241</v>
      </c>
      <c r="F372" s="41" t="s">
        <v>1242</v>
      </c>
      <c r="G372" s="42" t="s">
        <v>568</v>
      </c>
      <c r="H372" s="43"/>
      <c r="I372" s="44"/>
      <c r="J372" s="38">
        <f t="shared" si="26"/>
        <v>1400</v>
      </c>
      <c r="K372" s="45">
        <v>8.7499999999999991E-3</v>
      </c>
      <c r="L372" s="46" t="s">
        <v>1161</v>
      </c>
      <c r="M372" s="38"/>
      <c r="N372" s="38"/>
      <c r="O372" s="38"/>
      <c r="P372" s="38"/>
      <c r="Q372" s="38"/>
      <c r="R372" s="48"/>
      <c r="S372" s="48"/>
      <c r="T372" s="48"/>
      <c r="U372" s="52"/>
      <c r="V372" s="50"/>
      <c r="W372" s="51"/>
      <c r="X372" s="56"/>
    </row>
    <row r="373" spans="1:24">
      <c r="A373" s="38">
        <v>313</v>
      </c>
      <c r="B373" s="38"/>
      <c r="C373" s="38"/>
      <c r="D373" s="38" t="s">
        <v>1243</v>
      </c>
      <c r="E373" s="40" t="s">
        <v>1244</v>
      </c>
      <c r="F373" s="41" t="s">
        <v>1245</v>
      </c>
      <c r="G373" s="42" t="s">
        <v>521</v>
      </c>
      <c r="H373" s="43"/>
      <c r="I373" s="44"/>
      <c r="J373" s="38">
        <f>3.5*1000</f>
        <v>3500</v>
      </c>
      <c r="K373" s="45">
        <v>1.1180555555555556E-2</v>
      </c>
      <c r="L373" s="46" t="s">
        <v>1161</v>
      </c>
      <c r="M373" s="38"/>
      <c r="N373" s="38"/>
      <c r="O373" s="38"/>
      <c r="P373" s="38"/>
      <c r="Q373" s="38"/>
      <c r="R373" s="48"/>
      <c r="S373" s="48"/>
      <c r="T373" s="48"/>
      <c r="U373" s="52"/>
      <c r="V373" s="50"/>
      <c r="W373" s="51"/>
      <c r="X373" s="56"/>
    </row>
    <row r="374" spans="1:24">
      <c r="A374" s="38">
        <v>314</v>
      </c>
      <c r="B374" s="38"/>
      <c r="C374" s="38"/>
      <c r="D374" s="38" t="s">
        <v>1246</v>
      </c>
      <c r="E374" s="40" t="s">
        <v>1247</v>
      </c>
      <c r="F374" s="58" t="s">
        <v>1248</v>
      </c>
      <c r="G374" s="42" t="s">
        <v>597</v>
      </c>
      <c r="H374" s="43"/>
      <c r="I374" s="44"/>
      <c r="J374" s="38">
        <f>2.6*1000</f>
        <v>2600</v>
      </c>
      <c r="K374" s="45">
        <v>2.4664351851851851E-2</v>
      </c>
      <c r="L374" s="46" t="s">
        <v>1161</v>
      </c>
      <c r="M374" s="38"/>
      <c r="N374" s="38"/>
      <c r="O374" s="38"/>
      <c r="P374" s="38"/>
      <c r="Q374" s="38"/>
      <c r="R374" s="48"/>
      <c r="S374" s="48"/>
      <c r="T374" s="48"/>
      <c r="U374" s="52"/>
      <c r="V374" s="50"/>
      <c r="W374" s="51"/>
      <c r="X374" s="56"/>
    </row>
    <row r="375" spans="1:24">
      <c r="A375" s="38">
        <v>315</v>
      </c>
      <c r="B375" s="38"/>
      <c r="C375" s="38"/>
      <c r="D375" s="38" t="s">
        <v>1249</v>
      </c>
      <c r="E375" s="40" t="s">
        <v>1250</v>
      </c>
      <c r="F375" s="58" t="s">
        <v>1251</v>
      </c>
      <c r="G375" s="42" t="s">
        <v>455</v>
      </c>
      <c r="H375" s="43"/>
      <c r="I375" s="44"/>
      <c r="J375" s="38">
        <f>2.9*1000</f>
        <v>2900</v>
      </c>
      <c r="K375" s="45">
        <v>2.2835648148148147E-2</v>
      </c>
      <c r="L375" s="46" t="s">
        <v>1161</v>
      </c>
      <c r="M375" s="38"/>
      <c r="N375" s="38"/>
      <c r="O375" s="38"/>
      <c r="P375" s="38"/>
      <c r="Q375" s="38"/>
      <c r="R375" s="48"/>
      <c r="S375" s="48"/>
      <c r="T375" s="48"/>
      <c r="U375" s="52"/>
      <c r="V375" s="50"/>
      <c r="W375" s="51"/>
      <c r="X375" s="56"/>
    </row>
    <row r="376" spans="1:24">
      <c r="A376" s="38">
        <v>316</v>
      </c>
      <c r="B376" s="38"/>
      <c r="C376" s="38"/>
      <c r="D376" s="38" t="s">
        <v>1252</v>
      </c>
      <c r="E376" s="40" t="s">
        <v>1253</v>
      </c>
      <c r="F376" s="58" t="s">
        <v>1254</v>
      </c>
      <c r="G376" s="42" t="s">
        <v>1102</v>
      </c>
      <c r="H376" s="43"/>
      <c r="I376" s="44"/>
      <c r="J376" s="38">
        <f>6*1000</f>
        <v>6000</v>
      </c>
      <c r="K376" s="45">
        <v>2.0949074074074075E-2</v>
      </c>
      <c r="L376" s="46" t="s">
        <v>1161</v>
      </c>
      <c r="M376" s="38"/>
      <c r="N376" s="38"/>
      <c r="O376" s="38"/>
      <c r="P376" s="38"/>
      <c r="Q376" s="38"/>
      <c r="R376" s="48"/>
      <c r="S376" s="48"/>
      <c r="T376" s="48"/>
      <c r="U376" s="52"/>
      <c r="V376" s="50"/>
      <c r="W376" s="51"/>
      <c r="X376" s="56"/>
    </row>
    <row r="377" spans="1:24">
      <c r="A377" s="38">
        <v>317</v>
      </c>
      <c r="B377" s="38"/>
      <c r="C377" s="38"/>
      <c r="D377" s="38" t="s">
        <v>1255</v>
      </c>
      <c r="E377" s="40" t="s">
        <v>1256</v>
      </c>
      <c r="F377" s="41" t="s">
        <v>1257</v>
      </c>
      <c r="G377" s="42" t="s">
        <v>350</v>
      </c>
      <c r="H377" s="43"/>
      <c r="I377" s="44"/>
      <c r="J377" s="38">
        <f>3*1000</f>
        <v>3000</v>
      </c>
      <c r="K377" s="45">
        <v>1.1597222222222222E-2</v>
      </c>
      <c r="L377" s="46" t="s">
        <v>1161</v>
      </c>
      <c r="M377" s="38"/>
      <c r="N377" s="38"/>
      <c r="O377" s="38"/>
      <c r="P377" s="38"/>
      <c r="Q377" s="38"/>
      <c r="R377" s="48"/>
      <c r="S377" s="48"/>
      <c r="T377" s="48"/>
      <c r="U377" s="52"/>
      <c r="V377" s="50"/>
      <c r="W377" s="51"/>
      <c r="X377" s="56"/>
    </row>
    <row r="378" spans="1:24">
      <c r="A378" s="38">
        <v>318</v>
      </c>
      <c r="B378" s="38"/>
      <c r="C378" s="38"/>
      <c r="D378" s="38" t="s">
        <v>1258</v>
      </c>
      <c r="E378" s="40" t="s">
        <v>1259</v>
      </c>
      <c r="F378" s="61" t="s">
        <v>1260</v>
      </c>
      <c r="G378" s="42" t="s">
        <v>1261</v>
      </c>
      <c r="H378" s="43"/>
      <c r="I378" s="44"/>
      <c r="J378" s="38">
        <f>70*1000</f>
        <v>70000</v>
      </c>
      <c r="K378" s="45">
        <v>6.6006944444444438E-2</v>
      </c>
      <c r="L378" s="46" t="s">
        <v>1161</v>
      </c>
      <c r="M378" s="38"/>
      <c r="N378" s="38"/>
      <c r="O378" s="38"/>
      <c r="P378" s="38"/>
      <c r="Q378" s="38"/>
      <c r="R378" s="48"/>
      <c r="S378" s="48"/>
      <c r="T378" s="48"/>
      <c r="U378" s="52"/>
      <c r="V378" s="50"/>
      <c r="W378" s="51"/>
      <c r="X378" s="56"/>
    </row>
    <row r="379" spans="1:24">
      <c r="A379" s="38">
        <v>319</v>
      </c>
      <c r="B379" s="38"/>
      <c r="C379" s="38"/>
      <c r="D379" s="38" t="s">
        <v>1262</v>
      </c>
      <c r="E379" s="40" t="s">
        <v>1263</v>
      </c>
      <c r="F379" s="61" t="s">
        <v>1264</v>
      </c>
      <c r="G379" s="42" t="s">
        <v>478</v>
      </c>
      <c r="H379" s="43"/>
      <c r="I379" s="44"/>
      <c r="J379" s="38">
        <f>28*1000</f>
        <v>28000</v>
      </c>
      <c r="K379" s="45">
        <v>9.2581018518518521E-2</v>
      </c>
      <c r="L379" s="46" t="s">
        <v>1161</v>
      </c>
      <c r="M379" s="38"/>
      <c r="N379" s="38"/>
      <c r="O379" s="38"/>
      <c r="P379" s="38"/>
      <c r="Q379" s="38"/>
      <c r="R379" s="48"/>
      <c r="S379" s="48"/>
      <c r="T379" s="48"/>
      <c r="U379" s="52"/>
      <c r="V379" s="50"/>
      <c r="W379" s="51"/>
      <c r="X379" s="56"/>
    </row>
    <row r="380" spans="1:24">
      <c r="A380" s="38">
        <v>320</v>
      </c>
      <c r="B380" s="38"/>
      <c r="C380" s="38"/>
      <c r="D380" s="38" t="s">
        <v>1265</v>
      </c>
      <c r="E380" s="40" t="s">
        <v>1266</v>
      </c>
      <c r="F380" s="41" t="s">
        <v>213</v>
      </c>
      <c r="G380" s="42" t="s">
        <v>155</v>
      </c>
      <c r="H380" s="43"/>
      <c r="I380" s="44"/>
      <c r="J380" s="38">
        <f>1.9*1000</f>
        <v>1900</v>
      </c>
      <c r="K380" s="45">
        <v>2.4652777777777776E-3</v>
      </c>
      <c r="L380" s="46" t="s">
        <v>1161</v>
      </c>
      <c r="M380" s="38"/>
      <c r="N380" s="38"/>
      <c r="O380" s="38"/>
      <c r="P380" s="38"/>
      <c r="Q380" s="38"/>
      <c r="R380" s="48"/>
      <c r="S380" s="48"/>
      <c r="T380" s="48"/>
      <c r="U380" s="52"/>
      <c r="V380" s="50"/>
      <c r="W380" s="51"/>
      <c r="X380" s="56"/>
    </row>
    <row r="381" spans="1:24">
      <c r="A381" s="38">
        <v>321</v>
      </c>
      <c r="B381" s="38"/>
      <c r="C381" s="38"/>
      <c r="D381" s="38" t="s">
        <v>1267</v>
      </c>
      <c r="E381" s="40" t="s">
        <v>1268</v>
      </c>
      <c r="F381" s="41" t="s">
        <v>1269</v>
      </c>
      <c r="G381" s="42" t="s">
        <v>256</v>
      </c>
      <c r="H381" s="43"/>
      <c r="I381" s="44"/>
      <c r="J381" s="38">
        <f>2.1*1000</f>
        <v>2100</v>
      </c>
      <c r="K381" s="45">
        <v>1.712962962962963E-3</v>
      </c>
      <c r="L381" s="46" t="s">
        <v>1161</v>
      </c>
      <c r="M381" s="38"/>
      <c r="N381" s="38"/>
      <c r="O381" s="38"/>
      <c r="P381" s="38"/>
      <c r="Q381" s="38"/>
      <c r="R381" s="48"/>
      <c r="S381" s="48"/>
      <c r="T381" s="48"/>
      <c r="U381" s="52"/>
      <c r="V381" s="50"/>
      <c r="W381" s="51"/>
      <c r="X381" s="56"/>
    </row>
    <row r="382" spans="1:24">
      <c r="A382" s="38">
        <v>322</v>
      </c>
      <c r="B382" s="38"/>
      <c r="C382" s="38"/>
      <c r="D382" s="38" t="s">
        <v>1270</v>
      </c>
      <c r="E382" s="40" t="s">
        <v>1271</v>
      </c>
      <c r="F382" s="41" t="s">
        <v>367</v>
      </c>
      <c r="G382" s="42" t="s">
        <v>829</v>
      </c>
      <c r="H382" s="43"/>
      <c r="I382" s="44"/>
      <c r="J382" s="38">
        <f>7.6*1000</f>
        <v>7600</v>
      </c>
      <c r="K382" s="45">
        <v>3.4490740740740745E-3</v>
      </c>
      <c r="L382" s="46" t="s">
        <v>1161</v>
      </c>
      <c r="M382" s="38"/>
      <c r="N382" s="38"/>
      <c r="O382" s="38"/>
      <c r="P382" s="38"/>
      <c r="Q382" s="38"/>
      <c r="R382" s="48"/>
      <c r="S382" s="48"/>
      <c r="T382" s="48"/>
      <c r="U382" s="52"/>
      <c r="V382" s="50"/>
      <c r="W382" s="51"/>
      <c r="X382" s="56"/>
    </row>
    <row r="383" spans="1:24">
      <c r="A383" s="38">
        <v>323</v>
      </c>
      <c r="B383" s="38"/>
      <c r="C383" s="38"/>
      <c r="D383" s="38" t="s">
        <v>1272</v>
      </c>
      <c r="E383" s="40" t="s">
        <v>1273</v>
      </c>
      <c r="F383" s="41" t="s">
        <v>1274</v>
      </c>
      <c r="G383" s="42">
        <v>944</v>
      </c>
      <c r="H383" s="43"/>
      <c r="I383" s="44"/>
      <c r="J383" s="38">
        <f>944</f>
        <v>944</v>
      </c>
      <c r="K383" s="45">
        <v>9.479166666666667E-3</v>
      </c>
      <c r="L383" s="46" t="s">
        <v>1161</v>
      </c>
      <c r="M383" s="38"/>
      <c r="N383" s="38"/>
      <c r="O383" s="38"/>
      <c r="P383" s="38"/>
      <c r="Q383" s="38"/>
      <c r="R383" s="48"/>
      <c r="S383" s="48"/>
      <c r="T383" s="48"/>
      <c r="U383" s="52"/>
      <c r="V383" s="50"/>
      <c r="W383" s="51"/>
      <c r="X383" s="56"/>
    </row>
    <row r="384" spans="1:24">
      <c r="A384" s="38">
        <v>324</v>
      </c>
      <c r="B384" s="38"/>
      <c r="C384" s="38"/>
      <c r="D384" s="38" t="s">
        <v>1275</v>
      </c>
      <c r="E384" s="40" t="s">
        <v>1276</v>
      </c>
      <c r="F384" s="41" t="s">
        <v>1277</v>
      </c>
      <c r="G384" s="42">
        <v>545</v>
      </c>
      <c r="H384" s="43"/>
      <c r="I384" s="44"/>
      <c r="J384" s="38">
        <f>545</f>
        <v>545</v>
      </c>
      <c r="K384" s="45">
        <v>1.5972222222222221E-3</v>
      </c>
      <c r="L384" s="46" t="s">
        <v>1161</v>
      </c>
      <c r="M384" s="38"/>
      <c r="N384" s="38"/>
      <c r="O384" s="38"/>
      <c r="P384" s="38"/>
      <c r="Q384" s="38"/>
      <c r="R384" s="48"/>
      <c r="S384" s="48"/>
      <c r="T384" s="48"/>
      <c r="U384" s="52"/>
      <c r="V384" s="50"/>
      <c r="W384" s="51"/>
      <c r="X384" s="56"/>
    </row>
    <row r="385" spans="1:24">
      <c r="A385" s="38">
        <v>325</v>
      </c>
      <c r="B385" s="38"/>
      <c r="C385" s="38"/>
      <c r="D385" s="38" t="s">
        <v>1278</v>
      </c>
      <c r="E385" s="40" t="s">
        <v>1279</v>
      </c>
      <c r="F385" s="41" t="s">
        <v>965</v>
      </c>
      <c r="G385" s="42">
        <v>626</v>
      </c>
      <c r="H385" s="43"/>
      <c r="I385" s="44"/>
      <c r="J385" s="38">
        <f>626</f>
        <v>626</v>
      </c>
      <c r="K385" s="45">
        <v>1.5740740740740741E-3</v>
      </c>
      <c r="L385" s="46" t="s">
        <v>1161</v>
      </c>
      <c r="M385" s="38"/>
      <c r="N385" s="38"/>
      <c r="O385" s="38"/>
      <c r="P385" s="38"/>
      <c r="Q385" s="38"/>
      <c r="R385" s="48"/>
      <c r="S385" s="48"/>
      <c r="T385" s="48"/>
      <c r="U385" s="52"/>
      <c r="V385" s="50"/>
      <c r="W385" s="51"/>
      <c r="X385" s="56"/>
    </row>
    <row r="386" spans="1:24">
      <c r="A386" s="38">
        <v>326</v>
      </c>
      <c r="B386" s="38"/>
      <c r="C386" s="38"/>
      <c r="D386" s="38" t="s">
        <v>1280</v>
      </c>
      <c r="E386" s="40" t="s">
        <v>1281</v>
      </c>
      <c r="F386" s="41" t="s">
        <v>1282</v>
      </c>
      <c r="G386" s="42" t="s">
        <v>187</v>
      </c>
      <c r="H386" s="43"/>
      <c r="I386" s="44"/>
      <c r="J386" s="38">
        <f>1.5*1000</f>
        <v>1500</v>
      </c>
      <c r="K386" s="45">
        <v>5.4861111111111117E-3</v>
      </c>
      <c r="L386" s="46" t="s">
        <v>1161</v>
      </c>
      <c r="M386" s="38"/>
      <c r="N386" s="38"/>
      <c r="O386" s="38"/>
      <c r="P386" s="38"/>
      <c r="Q386" s="38"/>
      <c r="R386" s="48"/>
      <c r="S386" s="48"/>
      <c r="T386" s="48"/>
      <c r="U386" s="52"/>
      <c r="V386" s="50"/>
      <c r="W386" s="51"/>
      <c r="X386" s="56"/>
    </row>
    <row r="387" spans="1:24">
      <c r="A387" s="38">
        <v>327</v>
      </c>
      <c r="B387" s="38"/>
      <c r="C387" s="38"/>
      <c r="D387" s="38" t="s">
        <v>1283</v>
      </c>
      <c r="E387" s="40" t="s">
        <v>1284</v>
      </c>
      <c r="F387" s="41" t="s">
        <v>1285</v>
      </c>
      <c r="G387" s="42" t="s">
        <v>1005</v>
      </c>
      <c r="H387" s="43"/>
      <c r="I387" s="44"/>
      <c r="J387" s="38">
        <f>1.6*1000</f>
        <v>1600</v>
      </c>
      <c r="K387" s="45">
        <v>5.0694444444444441E-3</v>
      </c>
      <c r="L387" s="46" t="s">
        <v>1161</v>
      </c>
      <c r="M387" s="38"/>
      <c r="N387" s="38"/>
      <c r="O387" s="38"/>
      <c r="P387" s="38"/>
      <c r="Q387" s="38"/>
      <c r="R387" s="48"/>
      <c r="S387" s="48"/>
      <c r="T387" s="48"/>
      <c r="U387" s="52"/>
      <c r="V387" s="50"/>
      <c r="W387" s="51"/>
      <c r="X387" s="56"/>
    </row>
    <row r="388" spans="1:24">
      <c r="A388" s="38">
        <v>328</v>
      </c>
      <c r="B388" s="38"/>
      <c r="C388" s="38"/>
      <c r="D388" s="38" t="s">
        <v>1286</v>
      </c>
      <c r="E388" s="40" t="s">
        <v>1287</v>
      </c>
      <c r="F388" s="61" t="s">
        <v>1288</v>
      </c>
      <c r="G388" s="42" t="s">
        <v>1289</v>
      </c>
      <c r="H388" s="43"/>
      <c r="I388" s="44"/>
      <c r="J388" s="38">
        <f>16*1000</f>
        <v>16000</v>
      </c>
      <c r="K388" s="45">
        <v>6.0740740740740741E-2</v>
      </c>
      <c r="L388" s="46" t="s">
        <v>1161</v>
      </c>
      <c r="M388" s="38"/>
      <c r="N388" s="38"/>
      <c r="O388" s="38"/>
      <c r="P388" s="38"/>
      <c r="Q388" s="38"/>
      <c r="R388" s="48"/>
      <c r="S388" s="48"/>
      <c r="T388" s="48"/>
      <c r="U388" s="52"/>
      <c r="V388" s="50"/>
      <c r="W388" s="51"/>
      <c r="X388" s="56"/>
    </row>
    <row r="389" spans="1:24">
      <c r="A389" s="38">
        <v>329</v>
      </c>
      <c r="B389" s="38"/>
      <c r="C389" s="38"/>
      <c r="D389" s="38" t="s">
        <v>1290</v>
      </c>
      <c r="E389" s="40" t="s">
        <v>1291</v>
      </c>
      <c r="F389" s="41" t="s">
        <v>1292</v>
      </c>
      <c r="G389" s="42" t="s">
        <v>187</v>
      </c>
      <c r="H389" s="43"/>
      <c r="I389" s="44"/>
      <c r="J389" s="38">
        <f>1.5*1000</f>
        <v>1500</v>
      </c>
      <c r="K389" s="45">
        <v>2.0023148148148148E-3</v>
      </c>
      <c r="L389" s="46" t="s">
        <v>1161</v>
      </c>
      <c r="M389" s="38"/>
      <c r="N389" s="38"/>
      <c r="O389" s="38"/>
      <c r="P389" s="38"/>
      <c r="Q389" s="38"/>
      <c r="R389" s="48"/>
      <c r="S389" s="48"/>
      <c r="T389" s="48"/>
      <c r="U389" s="52"/>
      <c r="V389" s="50"/>
      <c r="W389" s="51"/>
      <c r="X389" s="56"/>
    </row>
    <row r="390" spans="1:24">
      <c r="A390" s="38">
        <v>330</v>
      </c>
      <c r="B390" s="38"/>
      <c r="C390" s="38"/>
      <c r="D390" s="38" t="s">
        <v>1293</v>
      </c>
      <c r="E390" s="40" t="s">
        <v>1294</v>
      </c>
      <c r="F390" s="41" t="s">
        <v>1295</v>
      </c>
      <c r="G390" s="42" t="s">
        <v>445</v>
      </c>
      <c r="H390" s="43"/>
      <c r="I390" s="44"/>
      <c r="J390" s="38">
        <f>1.2*1000</f>
        <v>1200</v>
      </c>
      <c r="K390" s="45">
        <v>7.8703703703703705E-4</v>
      </c>
      <c r="L390" s="46" t="s">
        <v>1161</v>
      </c>
      <c r="M390" s="38"/>
      <c r="N390" s="38"/>
      <c r="O390" s="38"/>
      <c r="P390" s="38"/>
      <c r="Q390" s="38"/>
      <c r="R390" s="48"/>
      <c r="S390" s="48"/>
      <c r="T390" s="48"/>
      <c r="U390" s="52"/>
      <c r="V390" s="50"/>
      <c r="W390" s="51"/>
      <c r="X390" s="56"/>
    </row>
    <row r="391" spans="1:24">
      <c r="A391" s="38">
        <v>331</v>
      </c>
      <c r="B391" s="38"/>
      <c r="C391" s="38"/>
      <c r="D391" s="38" t="s">
        <v>1296</v>
      </c>
      <c r="E391" s="40" t="s">
        <v>1297</v>
      </c>
      <c r="F391" s="41" t="s">
        <v>1298</v>
      </c>
      <c r="G391" s="42" t="s">
        <v>276</v>
      </c>
      <c r="H391" s="43"/>
      <c r="I391" s="44"/>
      <c r="J391" s="38">
        <f>9.3*1000</f>
        <v>9300</v>
      </c>
      <c r="K391" s="45">
        <v>6.2499999999999995E-3</v>
      </c>
      <c r="L391" s="46" t="s">
        <v>1161</v>
      </c>
      <c r="M391" s="38"/>
      <c r="N391" s="38"/>
      <c r="O391" s="38"/>
      <c r="P391" s="38"/>
      <c r="Q391" s="38"/>
      <c r="R391" s="48"/>
      <c r="S391" s="48"/>
      <c r="T391" s="48"/>
      <c r="U391" s="52"/>
      <c r="V391" s="50"/>
      <c r="W391" s="51"/>
      <c r="X391" s="56"/>
    </row>
    <row r="392" spans="1:24">
      <c r="A392" s="38">
        <v>332</v>
      </c>
      <c r="B392" s="38"/>
      <c r="C392" s="38"/>
      <c r="D392" s="38" t="s">
        <v>1299</v>
      </c>
      <c r="E392" s="40" t="s">
        <v>1300</v>
      </c>
      <c r="F392" s="41" t="s">
        <v>896</v>
      </c>
      <c r="G392" s="42">
        <v>265</v>
      </c>
      <c r="H392" s="43"/>
      <c r="I392" s="44"/>
      <c r="J392" s="38">
        <f>265</f>
        <v>265</v>
      </c>
      <c r="K392" s="45">
        <v>2.7199074074074074E-3</v>
      </c>
      <c r="L392" s="46" t="s">
        <v>1161</v>
      </c>
      <c r="M392" s="38"/>
      <c r="N392" s="38"/>
      <c r="O392" s="38"/>
      <c r="P392" s="38"/>
      <c r="Q392" s="38"/>
      <c r="R392" s="48"/>
      <c r="S392" s="48"/>
      <c r="T392" s="48"/>
      <c r="U392" s="52"/>
      <c r="V392" s="50"/>
      <c r="W392" s="51"/>
      <c r="X392" s="56"/>
    </row>
    <row r="393" spans="1:24">
      <c r="A393" s="38">
        <v>333</v>
      </c>
      <c r="B393" s="38"/>
      <c r="C393" s="38"/>
      <c r="D393" s="38" t="s">
        <v>1301</v>
      </c>
      <c r="E393" s="40" t="s">
        <v>1302</v>
      </c>
      <c r="F393" s="41" t="s">
        <v>1303</v>
      </c>
      <c r="G393" s="42">
        <v>238</v>
      </c>
      <c r="H393" s="43"/>
      <c r="I393" s="44"/>
      <c r="J393" s="38">
        <f>238</f>
        <v>238</v>
      </c>
      <c r="K393" s="45">
        <v>2.6041666666666665E-3</v>
      </c>
      <c r="L393" s="46" t="s">
        <v>1161</v>
      </c>
      <c r="M393" s="38"/>
      <c r="N393" s="38"/>
      <c r="O393" s="38"/>
      <c r="P393" s="38"/>
      <c r="Q393" s="38"/>
      <c r="R393" s="48"/>
      <c r="S393" s="48"/>
      <c r="T393" s="48"/>
      <c r="U393" s="52"/>
      <c r="V393" s="50"/>
      <c r="W393" s="51"/>
      <c r="X393" s="56"/>
    </row>
    <row r="394" spans="1:24">
      <c r="A394" s="38">
        <v>334</v>
      </c>
      <c r="B394" s="38"/>
      <c r="C394" s="38"/>
      <c r="D394" s="38" t="s">
        <v>1304</v>
      </c>
      <c r="E394" s="40" t="s">
        <v>1305</v>
      </c>
      <c r="F394" s="41" t="s">
        <v>1306</v>
      </c>
      <c r="G394" s="42">
        <v>585</v>
      </c>
      <c r="H394" s="43"/>
      <c r="I394" s="44"/>
      <c r="J394" s="38">
        <f>585</f>
        <v>585</v>
      </c>
      <c r="K394" s="45">
        <v>7.8125E-3</v>
      </c>
      <c r="L394" s="46" t="s">
        <v>1161</v>
      </c>
      <c r="M394" s="38"/>
      <c r="N394" s="38"/>
      <c r="O394" s="38"/>
      <c r="P394" s="38"/>
      <c r="Q394" s="38"/>
      <c r="R394" s="48"/>
      <c r="S394" s="48"/>
      <c r="T394" s="48"/>
      <c r="U394" s="52"/>
      <c r="V394" s="50"/>
      <c r="W394" s="51"/>
      <c r="X394" s="56"/>
    </row>
    <row r="395" spans="1:24">
      <c r="A395" s="38">
        <v>335</v>
      </c>
      <c r="B395" s="38"/>
      <c r="C395" s="38"/>
      <c r="D395" s="38" t="s">
        <v>1307</v>
      </c>
      <c r="E395" s="40" t="s">
        <v>1308</v>
      </c>
      <c r="F395" s="58" t="s">
        <v>1309</v>
      </c>
      <c r="G395" s="42" t="s">
        <v>1106</v>
      </c>
      <c r="H395" s="43"/>
      <c r="I395" s="44"/>
      <c r="J395" s="38">
        <f>8.8*1000</f>
        <v>8800</v>
      </c>
      <c r="K395" s="45">
        <v>3.9328703703703706E-2</v>
      </c>
      <c r="L395" s="46" t="s">
        <v>1161</v>
      </c>
      <c r="M395" s="38"/>
      <c r="N395" s="38"/>
      <c r="O395" s="38"/>
      <c r="P395" s="38"/>
      <c r="Q395" s="38"/>
      <c r="R395" s="48"/>
      <c r="S395" s="48"/>
      <c r="T395" s="48"/>
      <c r="U395" s="52"/>
      <c r="V395" s="50"/>
      <c r="W395" s="51"/>
      <c r="X395" s="56"/>
    </row>
    <row r="396" spans="1:24">
      <c r="A396" s="38">
        <v>336</v>
      </c>
      <c r="B396" s="38"/>
      <c r="C396" s="38"/>
      <c r="D396" s="38" t="s">
        <v>1310</v>
      </c>
      <c r="E396" s="40" t="s">
        <v>1311</v>
      </c>
      <c r="F396" s="41" t="s">
        <v>891</v>
      </c>
      <c r="G396" s="42" t="s">
        <v>1312</v>
      </c>
      <c r="H396" s="43"/>
      <c r="I396" s="44"/>
      <c r="J396" s="38">
        <f>2.2*1000</f>
        <v>2200</v>
      </c>
      <c r="K396" s="45">
        <v>2.6388888888888885E-3</v>
      </c>
      <c r="L396" s="46" t="s">
        <v>1161</v>
      </c>
      <c r="M396" s="38"/>
      <c r="N396" s="38"/>
      <c r="O396" s="38"/>
      <c r="P396" s="38"/>
      <c r="Q396" s="38"/>
      <c r="R396" s="48"/>
      <c r="S396" s="48"/>
      <c r="T396" s="48"/>
      <c r="U396" s="52"/>
      <c r="V396" s="50"/>
      <c r="W396" s="51"/>
      <c r="X396" s="56"/>
    </row>
    <row r="397" spans="1:24">
      <c r="A397" s="38">
        <v>337</v>
      </c>
      <c r="B397" s="38"/>
      <c r="C397" s="38"/>
      <c r="D397" s="38" t="s">
        <v>1313</v>
      </c>
      <c r="E397" s="40" t="s">
        <v>1314</v>
      </c>
      <c r="F397" s="61" t="s">
        <v>1315</v>
      </c>
      <c r="G397" s="42" t="s">
        <v>357</v>
      </c>
      <c r="H397" s="43"/>
      <c r="I397" s="44"/>
      <c r="J397" s="38">
        <f>3.3*1000</f>
        <v>3300</v>
      </c>
      <c r="K397" s="45">
        <v>7.5069444444444453E-2</v>
      </c>
      <c r="L397" s="46" t="s">
        <v>1161</v>
      </c>
      <c r="M397" s="38"/>
      <c r="N397" s="38"/>
      <c r="O397" s="38"/>
      <c r="P397" s="38"/>
      <c r="Q397" s="38"/>
      <c r="R397" s="48"/>
      <c r="S397" s="48"/>
      <c r="T397" s="48"/>
      <c r="U397" s="52"/>
      <c r="V397" s="50"/>
      <c r="W397" s="51"/>
      <c r="X397" s="56"/>
    </row>
    <row r="398" spans="1:24">
      <c r="A398" s="38">
        <v>338</v>
      </c>
      <c r="B398" s="38"/>
      <c r="C398" s="38"/>
      <c r="D398" s="38" t="s">
        <v>1316</v>
      </c>
      <c r="E398" s="40" t="s">
        <v>1317</v>
      </c>
      <c r="F398" s="41" t="s">
        <v>1318</v>
      </c>
      <c r="G398" s="42">
        <v>828</v>
      </c>
      <c r="H398" s="43"/>
      <c r="I398" s="44"/>
      <c r="J398" s="38">
        <f>828</f>
        <v>828</v>
      </c>
      <c r="K398" s="45">
        <v>2.5000000000000001E-3</v>
      </c>
      <c r="L398" s="46" t="s">
        <v>1161</v>
      </c>
      <c r="M398" s="38"/>
      <c r="N398" s="38"/>
      <c r="O398" s="38"/>
      <c r="P398" s="38"/>
      <c r="Q398" s="38"/>
      <c r="R398" s="48"/>
      <c r="S398" s="48"/>
      <c r="T398" s="48"/>
      <c r="U398" s="52"/>
      <c r="V398" s="50"/>
      <c r="W398" s="51"/>
      <c r="X398" s="56"/>
    </row>
    <row r="399" spans="1:24">
      <c r="A399" s="38">
        <v>339</v>
      </c>
      <c r="B399" s="38"/>
      <c r="C399" s="38"/>
      <c r="D399" s="38" t="s">
        <v>1319</v>
      </c>
      <c r="E399" s="40" t="s">
        <v>1320</v>
      </c>
      <c r="F399" s="41" t="s">
        <v>1321</v>
      </c>
      <c r="G399" s="42" t="s">
        <v>445</v>
      </c>
      <c r="H399" s="43"/>
      <c r="I399" s="44"/>
      <c r="J399" s="38">
        <f>1.2*1000</f>
        <v>1200</v>
      </c>
      <c r="K399" s="45">
        <v>9.8379629629629642E-4</v>
      </c>
      <c r="L399" s="46" t="s">
        <v>1161</v>
      </c>
      <c r="M399" s="38"/>
      <c r="N399" s="38"/>
      <c r="O399" s="38"/>
      <c r="P399" s="38"/>
      <c r="Q399" s="38"/>
      <c r="R399" s="48"/>
      <c r="S399" s="48"/>
      <c r="T399" s="48"/>
      <c r="U399" s="52"/>
      <c r="V399" s="50"/>
      <c r="W399" s="51"/>
      <c r="X399" s="56"/>
    </row>
    <row r="400" spans="1:24">
      <c r="A400" s="38">
        <v>340</v>
      </c>
      <c r="B400" s="38"/>
      <c r="C400" s="38"/>
      <c r="D400" s="38" t="s">
        <v>1322</v>
      </c>
      <c r="E400" s="40" t="s">
        <v>1323</v>
      </c>
      <c r="F400" s="61" t="s">
        <v>1324</v>
      </c>
      <c r="G400" s="42" t="s">
        <v>510</v>
      </c>
      <c r="H400" s="43"/>
      <c r="I400" s="44"/>
      <c r="J400" s="38">
        <f>3.7*1000</f>
        <v>3700</v>
      </c>
      <c r="K400" s="45">
        <v>7.0636574074074074E-2</v>
      </c>
      <c r="L400" s="46" t="s">
        <v>1161</v>
      </c>
      <c r="M400" s="38"/>
      <c r="N400" s="38"/>
      <c r="O400" s="38"/>
      <c r="P400" s="38"/>
      <c r="Q400" s="38"/>
      <c r="R400" s="48"/>
      <c r="S400" s="48"/>
      <c r="T400" s="48"/>
      <c r="U400" s="52"/>
      <c r="V400" s="50"/>
      <c r="W400" s="51"/>
      <c r="X400" s="56"/>
    </row>
    <row r="401" spans="1:24">
      <c r="A401" s="38">
        <v>341</v>
      </c>
      <c r="B401" s="38"/>
      <c r="C401" s="38"/>
      <c r="D401" s="38" t="s">
        <v>1325</v>
      </c>
      <c r="E401" s="40" t="s">
        <v>1326</v>
      </c>
      <c r="F401" s="41" t="s">
        <v>1327</v>
      </c>
      <c r="G401" s="42" t="s">
        <v>837</v>
      </c>
      <c r="H401" s="43"/>
      <c r="I401" s="44"/>
      <c r="J401" s="38">
        <f>6.8*1000</f>
        <v>6800</v>
      </c>
      <c r="K401" s="45">
        <v>1.2453703703703703E-2</v>
      </c>
      <c r="L401" s="46" t="s">
        <v>1161</v>
      </c>
      <c r="M401" s="38"/>
      <c r="N401" s="38"/>
      <c r="O401" s="38"/>
      <c r="P401" s="38"/>
      <c r="Q401" s="38"/>
      <c r="R401" s="48"/>
      <c r="S401" s="48"/>
      <c r="T401" s="48"/>
      <c r="U401" s="52"/>
      <c r="V401" s="50"/>
      <c r="W401" s="51"/>
      <c r="X401" s="56"/>
    </row>
    <row r="402" spans="1:24">
      <c r="A402" s="38">
        <v>342</v>
      </c>
      <c r="B402" s="38"/>
      <c r="C402" s="38"/>
      <c r="D402" s="38" t="s">
        <v>1328</v>
      </c>
      <c r="E402" s="40" t="s">
        <v>1329</v>
      </c>
      <c r="F402" s="41" t="s">
        <v>1330</v>
      </c>
      <c r="G402" s="42" t="s">
        <v>445</v>
      </c>
      <c r="H402" s="43"/>
      <c r="I402" s="44"/>
      <c r="J402" s="38">
        <f t="shared" ref="J402:J403" si="27">1.2*1000</f>
        <v>1200</v>
      </c>
      <c r="K402" s="45">
        <v>2.7546296296296294E-3</v>
      </c>
      <c r="L402" s="46" t="s">
        <v>1161</v>
      </c>
      <c r="M402" s="38"/>
      <c r="N402" s="38"/>
      <c r="O402" s="38"/>
      <c r="P402" s="38"/>
      <c r="Q402" s="38"/>
      <c r="R402" s="48"/>
      <c r="S402" s="48"/>
      <c r="T402" s="48"/>
      <c r="U402" s="52"/>
      <c r="V402" s="50"/>
      <c r="W402" s="51"/>
      <c r="X402" s="56"/>
    </row>
    <row r="403" spans="1:24">
      <c r="A403" s="38">
        <v>343</v>
      </c>
      <c r="B403" s="38"/>
      <c r="C403" s="38"/>
      <c r="D403" s="38" t="s">
        <v>1331</v>
      </c>
      <c r="E403" s="40" t="s">
        <v>1332</v>
      </c>
      <c r="F403" s="41" t="s">
        <v>1333</v>
      </c>
      <c r="G403" s="42" t="s">
        <v>445</v>
      </c>
      <c r="H403" s="43"/>
      <c r="I403" s="44"/>
      <c r="J403" s="38">
        <f t="shared" si="27"/>
        <v>1200</v>
      </c>
      <c r="K403" s="45">
        <v>2.5694444444444445E-3</v>
      </c>
      <c r="L403" s="46" t="s">
        <v>1161</v>
      </c>
      <c r="M403" s="38"/>
      <c r="N403" s="38"/>
      <c r="O403" s="38"/>
      <c r="P403" s="38"/>
      <c r="Q403" s="38"/>
      <c r="R403" s="48"/>
      <c r="S403" s="48"/>
      <c r="T403" s="48"/>
      <c r="U403" s="52"/>
      <c r="V403" s="50"/>
      <c r="W403" s="51"/>
      <c r="X403" s="56"/>
    </row>
    <row r="404" spans="1:24">
      <c r="A404" s="38">
        <v>344</v>
      </c>
      <c r="B404" s="38"/>
      <c r="C404" s="38"/>
      <c r="D404" s="38" t="s">
        <v>1334</v>
      </c>
      <c r="E404" s="40" t="s">
        <v>1335</v>
      </c>
      <c r="F404" s="41" t="s">
        <v>1336</v>
      </c>
      <c r="G404" s="42">
        <v>231</v>
      </c>
      <c r="H404" s="43"/>
      <c r="I404" s="44"/>
      <c r="J404" s="38">
        <f>231</f>
        <v>231</v>
      </c>
      <c r="K404" s="45">
        <v>1.7708333333333332E-3</v>
      </c>
      <c r="L404" s="46" t="s">
        <v>1161</v>
      </c>
      <c r="M404" s="38"/>
      <c r="N404" s="38"/>
      <c r="O404" s="38"/>
      <c r="P404" s="38"/>
      <c r="Q404" s="38"/>
      <c r="R404" s="48"/>
      <c r="S404" s="48"/>
      <c r="T404" s="48"/>
      <c r="U404" s="52"/>
      <c r="V404" s="50"/>
      <c r="W404" s="51"/>
      <c r="X404" s="56"/>
    </row>
    <row r="405" spans="1:24">
      <c r="A405" s="38">
        <v>345</v>
      </c>
      <c r="B405" s="38"/>
      <c r="C405" s="38"/>
      <c r="D405" s="38" t="s">
        <v>1337</v>
      </c>
      <c r="E405" s="40" t="s">
        <v>1338</v>
      </c>
      <c r="F405" s="41" t="s">
        <v>1339</v>
      </c>
      <c r="G405" s="42">
        <v>666</v>
      </c>
      <c r="H405" s="43"/>
      <c r="I405" s="44"/>
      <c r="J405" s="38">
        <f>666</f>
        <v>666</v>
      </c>
      <c r="K405" s="45">
        <v>1.3194444444444443E-3</v>
      </c>
      <c r="L405" s="46" t="s">
        <v>1161</v>
      </c>
      <c r="M405" s="38"/>
      <c r="N405" s="38"/>
      <c r="O405" s="38"/>
      <c r="P405" s="38"/>
      <c r="Q405" s="38"/>
      <c r="R405" s="48"/>
      <c r="S405" s="48"/>
      <c r="T405" s="48"/>
      <c r="U405" s="52"/>
      <c r="V405" s="50"/>
      <c r="W405" s="51"/>
      <c r="X405" s="56"/>
    </row>
    <row r="406" spans="1:24">
      <c r="A406" s="38">
        <v>346</v>
      </c>
      <c r="B406" s="38"/>
      <c r="C406" s="38"/>
      <c r="D406" s="38" t="s">
        <v>1340</v>
      </c>
      <c r="E406" s="40" t="s">
        <v>1341</v>
      </c>
      <c r="F406" s="41" t="s">
        <v>1342</v>
      </c>
      <c r="G406" s="42">
        <v>191</v>
      </c>
      <c r="H406" s="43"/>
      <c r="I406" s="44"/>
      <c r="J406" s="38">
        <f>191</f>
        <v>191</v>
      </c>
      <c r="K406" s="45">
        <v>9.4907407407407408E-4</v>
      </c>
      <c r="L406" s="46" t="s">
        <v>1161</v>
      </c>
      <c r="M406" s="38"/>
      <c r="N406" s="38"/>
      <c r="O406" s="38"/>
      <c r="P406" s="38"/>
      <c r="Q406" s="38"/>
      <c r="R406" s="48"/>
      <c r="S406" s="48"/>
      <c r="T406" s="48"/>
      <c r="U406" s="52"/>
      <c r="V406" s="50"/>
      <c r="W406" s="51"/>
      <c r="X406" s="56"/>
    </row>
    <row r="407" spans="1:24">
      <c r="A407" s="38">
        <v>347</v>
      </c>
      <c r="B407" s="38"/>
      <c r="C407" s="38"/>
      <c r="D407" s="38" t="s">
        <v>1343</v>
      </c>
      <c r="E407" s="40" t="s">
        <v>1344</v>
      </c>
      <c r="F407" s="41" t="s">
        <v>1345</v>
      </c>
      <c r="G407" s="42">
        <v>870</v>
      </c>
      <c r="H407" s="43"/>
      <c r="I407" s="44"/>
      <c r="J407" s="38">
        <f>870</f>
        <v>870</v>
      </c>
      <c r="K407" s="45">
        <v>6.076388888888889E-3</v>
      </c>
      <c r="L407" s="46" t="s">
        <v>1161</v>
      </c>
      <c r="M407" s="38"/>
      <c r="N407" s="38"/>
      <c r="O407" s="38"/>
      <c r="P407" s="38"/>
      <c r="Q407" s="38"/>
      <c r="R407" s="48"/>
      <c r="S407" s="48"/>
      <c r="T407" s="48"/>
      <c r="U407" s="52"/>
      <c r="V407" s="50"/>
      <c r="W407" s="51"/>
      <c r="X407" s="56"/>
    </row>
    <row r="408" spans="1:24">
      <c r="A408" s="38">
        <v>348</v>
      </c>
      <c r="B408" s="38"/>
      <c r="C408" s="38"/>
      <c r="D408" s="38" t="s">
        <v>1346</v>
      </c>
      <c r="E408" s="40" t="s">
        <v>1347</v>
      </c>
      <c r="F408" s="41" t="s">
        <v>1348</v>
      </c>
      <c r="G408" s="42">
        <v>527</v>
      </c>
      <c r="H408" s="43"/>
      <c r="I408" s="44"/>
      <c r="J408" s="38">
        <f>527</f>
        <v>527</v>
      </c>
      <c r="K408" s="45">
        <v>3.6574074074074074E-3</v>
      </c>
      <c r="L408" s="46" t="s">
        <v>1161</v>
      </c>
      <c r="M408" s="38"/>
      <c r="N408" s="38"/>
      <c r="O408" s="38"/>
      <c r="P408" s="38"/>
      <c r="Q408" s="38"/>
      <c r="R408" s="48"/>
      <c r="S408" s="48"/>
      <c r="T408" s="48"/>
      <c r="U408" s="52"/>
      <c r="V408" s="50"/>
      <c r="W408" s="51"/>
      <c r="X408" s="56"/>
    </row>
    <row r="409" spans="1:24">
      <c r="A409" s="38">
        <v>349</v>
      </c>
      <c r="B409" s="38"/>
      <c r="C409" s="38"/>
      <c r="D409" s="38" t="s">
        <v>1349</v>
      </c>
      <c r="E409" s="40" t="s">
        <v>1350</v>
      </c>
      <c r="F409" s="41" t="s">
        <v>1351</v>
      </c>
      <c r="G409" s="42" t="s">
        <v>214</v>
      </c>
      <c r="H409" s="43"/>
      <c r="I409" s="44"/>
      <c r="J409" s="38">
        <f>1*1000</f>
        <v>1000</v>
      </c>
      <c r="K409" s="45">
        <v>5.2662037037037035E-3</v>
      </c>
      <c r="L409" s="46" t="s">
        <v>1161</v>
      </c>
      <c r="M409" s="38"/>
      <c r="N409" s="38"/>
      <c r="O409" s="38"/>
      <c r="P409" s="38"/>
      <c r="Q409" s="38"/>
      <c r="R409" s="48"/>
      <c r="S409" s="48"/>
      <c r="T409" s="48"/>
      <c r="U409" s="52"/>
      <c r="V409" s="50"/>
      <c r="W409" s="51"/>
      <c r="X409" s="56"/>
    </row>
    <row r="410" spans="1:24">
      <c r="A410" s="38">
        <v>350</v>
      </c>
      <c r="B410" s="38"/>
      <c r="C410" s="38"/>
      <c r="D410" s="38" t="s">
        <v>1352</v>
      </c>
      <c r="E410" s="40" t="s">
        <v>1353</v>
      </c>
      <c r="F410" s="41" t="s">
        <v>1354</v>
      </c>
      <c r="G410" s="42">
        <v>368</v>
      </c>
      <c r="H410" s="43"/>
      <c r="I410" s="44"/>
      <c r="J410" s="38">
        <f>368</f>
        <v>368</v>
      </c>
      <c r="K410" s="45">
        <v>1.1805555555555556E-3</v>
      </c>
      <c r="L410" s="46" t="s">
        <v>1161</v>
      </c>
      <c r="M410" s="38"/>
      <c r="N410" s="38"/>
      <c r="O410" s="38"/>
      <c r="P410" s="38"/>
      <c r="Q410" s="38"/>
      <c r="R410" s="48"/>
      <c r="S410" s="48"/>
      <c r="T410" s="48"/>
      <c r="U410" s="52"/>
      <c r="V410" s="50"/>
      <c r="W410" s="51"/>
      <c r="X410" s="56"/>
    </row>
    <row r="411" spans="1:24">
      <c r="A411" s="38">
        <v>351</v>
      </c>
      <c r="B411" s="38"/>
      <c r="C411" s="38"/>
      <c r="D411" s="38" t="s">
        <v>1355</v>
      </c>
      <c r="E411" s="40" t="s">
        <v>1356</v>
      </c>
      <c r="F411" s="41" t="s">
        <v>1357</v>
      </c>
      <c r="G411" s="42" t="s">
        <v>374</v>
      </c>
      <c r="H411" s="43"/>
      <c r="I411" s="44"/>
      <c r="J411" s="38">
        <f>1.3*1000</f>
        <v>1300</v>
      </c>
      <c r="K411" s="45">
        <v>2.9398148148148148E-3</v>
      </c>
      <c r="L411" s="46" t="s">
        <v>1161</v>
      </c>
      <c r="M411" s="38"/>
      <c r="N411" s="38"/>
      <c r="O411" s="38"/>
      <c r="P411" s="38"/>
      <c r="Q411" s="38"/>
      <c r="R411" s="48"/>
      <c r="S411" s="48"/>
      <c r="T411" s="48"/>
      <c r="U411" s="52"/>
      <c r="V411" s="50"/>
      <c r="W411" s="51"/>
      <c r="X411" s="56"/>
    </row>
    <row r="412" spans="1:24">
      <c r="A412" s="38">
        <v>352</v>
      </c>
      <c r="B412" s="38"/>
      <c r="C412" s="38"/>
      <c r="D412" s="38" t="s">
        <v>1358</v>
      </c>
      <c r="E412" s="40" t="s">
        <v>1359</v>
      </c>
      <c r="F412" s="41" t="s">
        <v>1360</v>
      </c>
      <c r="G412" s="42">
        <v>207</v>
      </c>
      <c r="H412" s="43"/>
      <c r="I412" s="44"/>
      <c r="J412" s="38">
        <f>207</f>
        <v>207</v>
      </c>
      <c r="K412" s="45">
        <v>3.425925925925926E-3</v>
      </c>
      <c r="L412" s="46" t="s">
        <v>1161</v>
      </c>
      <c r="M412" s="38"/>
      <c r="N412" s="38"/>
      <c r="O412" s="38"/>
      <c r="P412" s="38"/>
      <c r="Q412" s="38"/>
      <c r="R412" s="48"/>
      <c r="S412" s="48"/>
      <c r="T412" s="48"/>
      <c r="U412" s="52"/>
      <c r="V412" s="50"/>
      <c r="W412" s="51"/>
      <c r="X412" s="56"/>
    </row>
    <row r="413" spans="1:24">
      <c r="A413" s="38">
        <v>353</v>
      </c>
      <c r="B413" s="38"/>
      <c r="C413" s="38"/>
      <c r="D413" s="38" t="s">
        <v>1361</v>
      </c>
      <c r="E413" s="40" t="s">
        <v>1362</v>
      </c>
      <c r="F413" s="41" t="s">
        <v>1363</v>
      </c>
      <c r="G413" s="42">
        <v>177</v>
      </c>
      <c r="H413" s="43"/>
      <c r="I413" s="44"/>
      <c r="J413" s="38">
        <f>177</f>
        <v>177</v>
      </c>
      <c r="K413" s="45">
        <v>2.7777777777777778E-4</v>
      </c>
      <c r="L413" s="46" t="s">
        <v>1161</v>
      </c>
      <c r="M413" s="38"/>
      <c r="N413" s="38"/>
      <c r="O413" s="38"/>
      <c r="P413" s="38"/>
      <c r="Q413" s="38"/>
      <c r="R413" s="48"/>
      <c r="S413" s="48"/>
      <c r="T413" s="48"/>
      <c r="U413" s="52"/>
      <c r="V413" s="50"/>
      <c r="W413" s="51"/>
      <c r="X413" s="56"/>
    </row>
    <row r="414" spans="1:24">
      <c r="A414" s="38">
        <v>354</v>
      </c>
      <c r="B414" s="38"/>
      <c r="C414" s="38"/>
      <c r="D414" s="38" t="s">
        <v>1364</v>
      </c>
      <c r="E414" s="40" t="s">
        <v>1365</v>
      </c>
      <c r="F414" s="41" t="s">
        <v>1366</v>
      </c>
      <c r="G414" s="42" t="s">
        <v>350</v>
      </c>
      <c r="H414" s="43"/>
      <c r="I414" s="44"/>
      <c r="J414" s="38">
        <f>3*1000</f>
        <v>3000</v>
      </c>
      <c r="K414" s="45">
        <v>2.615740740740741E-3</v>
      </c>
      <c r="L414" s="46" t="s">
        <v>1161</v>
      </c>
      <c r="M414" s="38"/>
      <c r="N414" s="38"/>
      <c r="O414" s="38"/>
      <c r="P414" s="38"/>
      <c r="Q414" s="38"/>
      <c r="R414" s="48"/>
      <c r="S414" s="48"/>
      <c r="T414" s="48"/>
      <c r="U414" s="52"/>
      <c r="V414" s="50"/>
      <c r="W414" s="51"/>
      <c r="X414" s="56"/>
    </row>
    <row r="415" spans="1:24">
      <c r="A415" s="38">
        <v>355</v>
      </c>
      <c r="B415" s="38"/>
      <c r="C415" s="38"/>
      <c r="D415" s="38" t="s">
        <v>1367</v>
      </c>
      <c r="E415" s="40" t="s">
        <v>1368</v>
      </c>
      <c r="F415" s="41" t="s">
        <v>1369</v>
      </c>
      <c r="G415" s="42" t="s">
        <v>155</v>
      </c>
      <c r="H415" s="43"/>
      <c r="I415" s="44"/>
      <c r="J415" s="38">
        <f>1.9*1000</f>
        <v>1900</v>
      </c>
      <c r="K415" s="45">
        <v>2.9629629629629628E-3</v>
      </c>
      <c r="L415" s="46" t="s">
        <v>1161</v>
      </c>
      <c r="M415" s="38"/>
      <c r="N415" s="38"/>
      <c r="O415" s="38"/>
      <c r="P415" s="38"/>
      <c r="Q415" s="38"/>
      <c r="R415" s="48"/>
      <c r="S415" s="48"/>
      <c r="T415" s="48"/>
      <c r="U415" s="52"/>
      <c r="V415" s="50"/>
      <c r="W415" s="51"/>
      <c r="X415" s="56"/>
    </row>
    <row r="416" spans="1:24">
      <c r="A416" s="38">
        <v>356</v>
      </c>
      <c r="B416" s="38"/>
      <c r="C416" s="38"/>
      <c r="D416" s="38" t="s">
        <v>1370</v>
      </c>
      <c r="E416" s="40" t="s">
        <v>1371</v>
      </c>
      <c r="F416" s="41" t="s">
        <v>1372</v>
      </c>
      <c r="G416" s="42">
        <v>549</v>
      </c>
      <c r="H416" s="43"/>
      <c r="I416" s="44"/>
      <c r="J416" s="38">
        <f>549</f>
        <v>549</v>
      </c>
      <c r="K416" s="45">
        <v>2.1874999999999998E-3</v>
      </c>
      <c r="L416" s="46" t="s">
        <v>1161</v>
      </c>
      <c r="M416" s="38"/>
      <c r="N416" s="38"/>
      <c r="O416" s="38"/>
      <c r="P416" s="38"/>
      <c r="Q416" s="38"/>
      <c r="R416" s="48"/>
      <c r="S416" s="48"/>
      <c r="T416" s="48"/>
      <c r="U416" s="52"/>
      <c r="V416" s="50"/>
      <c r="W416" s="51"/>
      <c r="X416" s="56"/>
    </row>
    <row r="417" spans="1:24">
      <c r="A417" s="38">
        <v>357</v>
      </c>
      <c r="B417" s="38"/>
      <c r="C417" s="38"/>
      <c r="D417" s="38" t="s">
        <v>1373</v>
      </c>
      <c r="E417" s="40" t="s">
        <v>1374</v>
      </c>
      <c r="F417" s="41" t="s">
        <v>1375</v>
      </c>
      <c r="G417" s="42">
        <v>632</v>
      </c>
      <c r="H417" s="43"/>
      <c r="I417" s="44"/>
      <c r="J417" s="38">
        <f>632</f>
        <v>632</v>
      </c>
      <c r="K417" s="45">
        <v>4.3749999999999995E-3</v>
      </c>
      <c r="L417" s="46" t="s">
        <v>1161</v>
      </c>
      <c r="M417" s="38"/>
      <c r="N417" s="38"/>
      <c r="O417" s="38"/>
      <c r="P417" s="38"/>
      <c r="Q417" s="38"/>
      <c r="R417" s="48"/>
      <c r="S417" s="48"/>
      <c r="T417" s="48"/>
      <c r="U417" s="52"/>
      <c r="V417" s="50"/>
      <c r="W417" s="51"/>
      <c r="X417" s="56"/>
    </row>
    <row r="418" spans="1:24">
      <c r="A418" s="38">
        <v>358</v>
      </c>
      <c r="B418" s="38"/>
      <c r="C418" s="38"/>
      <c r="D418" s="38" t="s">
        <v>1376</v>
      </c>
      <c r="E418" s="40" t="s">
        <v>1377</v>
      </c>
      <c r="F418" s="41" t="s">
        <v>1378</v>
      </c>
      <c r="G418" s="42">
        <v>656</v>
      </c>
      <c r="H418" s="43"/>
      <c r="I418" s="44"/>
      <c r="J418" s="38">
        <f>656</f>
        <v>656</v>
      </c>
      <c r="K418" s="45">
        <v>3.1250000000000001E-4</v>
      </c>
      <c r="L418" s="46" t="s">
        <v>1161</v>
      </c>
      <c r="M418" s="38"/>
      <c r="N418" s="38"/>
      <c r="O418" s="38"/>
      <c r="P418" s="38"/>
      <c r="Q418" s="38"/>
      <c r="R418" s="48"/>
      <c r="S418" s="48"/>
      <c r="T418" s="48"/>
      <c r="U418" s="52"/>
      <c r="V418" s="50"/>
      <c r="W418" s="51"/>
      <c r="X418" s="56"/>
    </row>
    <row r="419" spans="1:24">
      <c r="A419" s="38">
        <v>359</v>
      </c>
      <c r="B419" s="38"/>
      <c r="C419" s="38"/>
      <c r="D419" s="38" t="s">
        <v>1379</v>
      </c>
      <c r="E419" s="40" t="s">
        <v>1380</v>
      </c>
      <c r="F419" s="41" t="s">
        <v>739</v>
      </c>
      <c r="G419" s="42" t="s">
        <v>445</v>
      </c>
      <c r="H419" s="43"/>
      <c r="I419" s="44"/>
      <c r="J419" s="38">
        <f>1.2*1000</f>
        <v>1200</v>
      </c>
      <c r="K419" s="45">
        <v>4.9189814814814816E-3</v>
      </c>
      <c r="L419" s="46" t="s">
        <v>1381</v>
      </c>
      <c r="M419" s="38"/>
      <c r="N419" s="38"/>
      <c r="O419" s="38"/>
      <c r="P419" s="38"/>
      <c r="Q419" s="38"/>
      <c r="R419" s="48"/>
      <c r="S419" s="48"/>
      <c r="T419" s="48"/>
      <c r="U419" s="52"/>
      <c r="V419" s="50"/>
      <c r="W419" s="51"/>
      <c r="X419" s="56"/>
    </row>
    <row r="420" spans="1:24">
      <c r="A420" s="38">
        <v>360</v>
      </c>
      <c r="B420" s="38"/>
      <c r="C420" s="38"/>
      <c r="D420" s="38" t="s">
        <v>1382</v>
      </c>
      <c r="E420" s="40" t="s">
        <v>1383</v>
      </c>
      <c r="F420" s="41" t="s">
        <v>1357</v>
      </c>
      <c r="G420" s="42" t="s">
        <v>374</v>
      </c>
      <c r="H420" s="43"/>
      <c r="I420" s="44"/>
      <c r="J420" s="38">
        <f>1.3*1000</f>
        <v>1300</v>
      </c>
      <c r="K420" s="45">
        <v>2.9398148148148148E-3</v>
      </c>
      <c r="L420" s="46" t="s">
        <v>1161</v>
      </c>
      <c r="M420" s="38"/>
      <c r="N420" s="38"/>
      <c r="O420" s="38"/>
      <c r="P420" s="38"/>
      <c r="Q420" s="38"/>
      <c r="R420" s="48"/>
      <c r="S420" s="48"/>
      <c r="T420" s="48"/>
      <c r="U420" s="52"/>
      <c r="V420" s="50"/>
      <c r="W420" s="51"/>
      <c r="X420" s="56"/>
    </row>
    <row r="421" spans="1:24">
      <c r="A421" s="38">
        <v>361</v>
      </c>
      <c r="B421" s="38"/>
      <c r="C421" s="38"/>
      <c r="D421" s="38" t="s">
        <v>1384</v>
      </c>
      <c r="E421" s="40" t="s">
        <v>1385</v>
      </c>
      <c r="F421" s="41" t="s">
        <v>1386</v>
      </c>
      <c r="G421" s="42" t="s">
        <v>847</v>
      </c>
      <c r="H421" s="43"/>
      <c r="I421" s="44"/>
      <c r="J421" s="38">
        <f>3.8*1000</f>
        <v>3800</v>
      </c>
      <c r="K421" s="45">
        <v>1.3912037037037037E-2</v>
      </c>
      <c r="L421" s="46" t="s">
        <v>1161</v>
      </c>
      <c r="M421" s="38"/>
      <c r="N421" s="38"/>
      <c r="O421" s="38"/>
      <c r="P421" s="38"/>
      <c r="Q421" s="38"/>
      <c r="R421" s="48"/>
      <c r="S421" s="48"/>
      <c r="T421" s="48"/>
      <c r="U421" s="52"/>
      <c r="V421" s="50"/>
      <c r="W421" s="51"/>
      <c r="X421" s="56"/>
    </row>
    <row r="422" spans="1:24">
      <c r="A422" s="38">
        <v>362</v>
      </c>
      <c r="B422" s="38"/>
      <c r="C422" s="38"/>
      <c r="D422" s="38" t="s">
        <v>1387</v>
      </c>
      <c r="E422" s="40" t="s">
        <v>1388</v>
      </c>
      <c r="F422" s="58" t="s">
        <v>1389</v>
      </c>
      <c r="G422" s="42" t="s">
        <v>1390</v>
      </c>
      <c r="H422" s="43"/>
      <c r="I422" s="44"/>
      <c r="J422" s="38">
        <f>9.2*1000</f>
        <v>9200</v>
      </c>
      <c r="K422" s="45">
        <v>1.6898148148148148E-2</v>
      </c>
      <c r="L422" s="46" t="s">
        <v>1161</v>
      </c>
      <c r="M422" s="38"/>
      <c r="N422" s="38"/>
      <c r="O422" s="38"/>
      <c r="P422" s="38"/>
      <c r="Q422" s="38"/>
      <c r="R422" s="48"/>
      <c r="S422" s="48"/>
      <c r="T422" s="48"/>
      <c r="U422" s="52"/>
      <c r="V422" s="50"/>
      <c r="W422" s="51"/>
      <c r="X422" s="56"/>
    </row>
    <row r="423" spans="1:24">
      <c r="A423" s="38">
        <v>363</v>
      </c>
      <c r="B423" s="38"/>
      <c r="C423" s="38"/>
      <c r="D423" s="38" t="s">
        <v>1391</v>
      </c>
      <c r="E423" s="40" t="s">
        <v>1392</v>
      </c>
      <c r="F423" s="41" t="s">
        <v>1393</v>
      </c>
      <c r="G423" s="42" t="s">
        <v>1005</v>
      </c>
      <c r="H423" s="43"/>
      <c r="I423" s="44"/>
      <c r="J423" s="38">
        <f>1.6*1000</f>
        <v>1600</v>
      </c>
      <c r="K423" s="45">
        <v>2.2106481481481478E-3</v>
      </c>
      <c r="L423" s="46" t="s">
        <v>1161</v>
      </c>
      <c r="M423" s="38"/>
      <c r="N423" s="38"/>
      <c r="O423" s="38"/>
      <c r="P423" s="38"/>
      <c r="Q423" s="38"/>
      <c r="R423" s="48"/>
      <c r="S423" s="48"/>
      <c r="T423" s="48"/>
      <c r="U423" s="52"/>
      <c r="V423" s="50"/>
      <c r="W423" s="51"/>
      <c r="X423" s="56"/>
    </row>
    <row r="424" spans="1:24">
      <c r="A424" s="38">
        <v>364</v>
      </c>
      <c r="B424" s="38"/>
      <c r="C424" s="38"/>
      <c r="D424" s="38" t="s">
        <v>1394</v>
      </c>
      <c r="E424" s="40" t="s">
        <v>1395</v>
      </c>
      <c r="F424" s="58" t="s">
        <v>1396</v>
      </c>
      <c r="G424" s="42" t="s">
        <v>770</v>
      </c>
      <c r="H424" s="43"/>
      <c r="I424" s="44"/>
      <c r="J424" s="38">
        <f>2.7*1000</f>
        <v>2700</v>
      </c>
      <c r="K424" s="45">
        <v>2.2615740740740742E-2</v>
      </c>
      <c r="L424" s="46" t="s">
        <v>1161</v>
      </c>
      <c r="M424" s="38"/>
      <c r="N424" s="38"/>
      <c r="O424" s="38"/>
      <c r="P424" s="38"/>
      <c r="Q424" s="38"/>
      <c r="R424" s="48"/>
      <c r="S424" s="48"/>
      <c r="T424" s="48"/>
      <c r="U424" s="52"/>
      <c r="V424" s="50"/>
      <c r="W424" s="51"/>
      <c r="X424" s="56"/>
    </row>
    <row r="425" spans="1:24">
      <c r="A425" s="38">
        <v>365</v>
      </c>
      <c r="B425" s="38"/>
      <c r="C425" s="38"/>
      <c r="D425" s="38" t="s">
        <v>1397</v>
      </c>
      <c r="E425" s="40" t="s">
        <v>1398</v>
      </c>
      <c r="F425" s="41" t="s">
        <v>1399</v>
      </c>
      <c r="G425" s="42">
        <v>768</v>
      </c>
      <c r="H425" s="43"/>
      <c r="I425" s="44"/>
      <c r="J425" s="38">
        <f>768</f>
        <v>768</v>
      </c>
      <c r="K425" s="45">
        <v>2.8587962962962963E-3</v>
      </c>
      <c r="L425" s="46" t="s">
        <v>1161</v>
      </c>
      <c r="M425" s="38"/>
      <c r="N425" s="38"/>
      <c r="O425" s="38"/>
      <c r="P425" s="38"/>
      <c r="Q425" s="38"/>
      <c r="R425" s="48"/>
      <c r="S425" s="48"/>
      <c r="T425" s="48"/>
      <c r="U425" s="52"/>
      <c r="V425" s="50"/>
      <c r="W425" s="51"/>
      <c r="X425" s="56"/>
    </row>
    <row r="426" spans="1:24">
      <c r="A426" s="38">
        <v>366</v>
      </c>
      <c r="B426" s="38"/>
      <c r="C426" s="38"/>
      <c r="D426" s="38" t="s">
        <v>1400</v>
      </c>
      <c r="E426" s="40" t="s">
        <v>1401</v>
      </c>
      <c r="F426" s="41" t="s">
        <v>306</v>
      </c>
      <c r="G426" s="42">
        <v>925</v>
      </c>
      <c r="H426" s="43"/>
      <c r="I426" s="44"/>
      <c r="J426" s="38">
        <f>925</f>
        <v>925</v>
      </c>
      <c r="K426" s="45">
        <v>1.2037037037037038E-3</v>
      </c>
      <c r="L426" s="46" t="s">
        <v>1161</v>
      </c>
      <c r="M426" s="38"/>
      <c r="N426" s="38"/>
      <c r="O426" s="38"/>
      <c r="P426" s="38"/>
      <c r="Q426" s="38"/>
      <c r="R426" s="48"/>
      <c r="S426" s="48"/>
      <c r="T426" s="48"/>
      <c r="U426" s="52"/>
      <c r="V426" s="50"/>
      <c r="W426" s="51"/>
      <c r="X426" s="56"/>
    </row>
    <row r="427" spans="1:24">
      <c r="A427" s="38">
        <v>367</v>
      </c>
      <c r="B427" s="38"/>
      <c r="C427" s="38"/>
      <c r="D427" s="38" t="s">
        <v>1402</v>
      </c>
      <c r="E427" s="40" t="s">
        <v>1403</v>
      </c>
      <c r="F427" s="41" t="s">
        <v>1404</v>
      </c>
      <c r="G427" s="42" t="s">
        <v>825</v>
      </c>
      <c r="H427" s="43"/>
      <c r="I427" s="44"/>
      <c r="J427" s="38">
        <f>12*1000</f>
        <v>12000</v>
      </c>
      <c r="K427" s="45">
        <v>1.8634259259259261E-3</v>
      </c>
      <c r="L427" s="46" t="s">
        <v>1161</v>
      </c>
      <c r="M427" s="38"/>
      <c r="N427" s="38"/>
      <c r="O427" s="38"/>
      <c r="P427" s="38"/>
      <c r="Q427" s="38"/>
      <c r="R427" s="48"/>
      <c r="S427" s="48"/>
      <c r="T427" s="48"/>
      <c r="U427" s="52"/>
      <c r="V427" s="50"/>
      <c r="W427" s="51"/>
      <c r="X427" s="56"/>
    </row>
    <row r="428" spans="1:24">
      <c r="A428" s="38">
        <v>368</v>
      </c>
      <c r="B428" s="38"/>
      <c r="C428" s="38"/>
      <c r="D428" s="38" t="s">
        <v>1405</v>
      </c>
      <c r="E428" s="40" t="s">
        <v>1406</v>
      </c>
      <c r="F428" s="41" t="s">
        <v>1407</v>
      </c>
      <c r="G428" s="42" t="s">
        <v>1174</v>
      </c>
      <c r="H428" s="43"/>
      <c r="I428" s="44"/>
      <c r="J428" s="38">
        <f>13*1000</f>
        <v>13000</v>
      </c>
      <c r="K428" s="45">
        <v>1.5914351851851853E-2</v>
      </c>
      <c r="L428" s="46" t="s">
        <v>1161</v>
      </c>
      <c r="M428" s="38"/>
      <c r="N428" s="38"/>
      <c r="O428" s="38"/>
      <c r="P428" s="38"/>
      <c r="Q428" s="38"/>
      <c r="R428" s="48"/>
      <c r="S428" s="48"/>
      <c r="T428" s="48"/>
      <c r="U428" s="52"/>
      <c r="V428" s="50"/>
      <c r="W428" s="51"/>
      <c r="X428" s="56"/>
    </row>
    <row r="429" spans="1:24">
      <c r="A429" s="38">
        <v>369</v>
      </c>
      <c r="B429" s="38"/>
      <c r="C429" s="38"/>
      <c r="D429" s="38" t="s">
        <v>1408</v>
      </c>
      <c r="E429" s="40" t="s">
        <v>1409</v>
      </c>
      <c r="F429" s="41" t="s">
        <v>1410</v>
      </c>
      <c r="G429" s="42">
        <v>193</v>
      </c>
      <c r="H429" s="43"/>
      <c r="I429" s="44"/>
      <c r="J429" s="38">
        <f>193</f>
        <v>193</v>
      </c>
      <c r="K429" s="45">
        <v>3.8773148148148143E-3</v>
      </c>
      <c r="L429" s="46" t="s">
        <v>1161</v>
      </c>
      <c r="M429" s="38"/>
      <c r="N429" s="38"/>
      <c r="O429" s="38"/>
      <c r="P429" s="38"/>
      <c r="Q429" s="38"/>
      <c r="R429" s="48"/>
      <c r="S429" s="48"/>
      <c r="T429" s="48"/>
      <c r="U429" s="52"/>
      <c r="V429" s="50"/>
      <c r="W429" s="51"/>
      <c r="X429" s="56"/>
    </row>
    <row r="430" spans="1:24">
      <c r="A430" s="38">
        <v>370</v>
      </c>
      <c r="B430" s="38"/>
      <c r="C430" s="38"/>
      <c r="D430" s="38" t="s">
        <v>1411</v>
      </c>
      <c r="E430" s="40" t="s">
        <v>1412</v>
      </c>
      <c r="F430" s="41" t="s">
        <v>1413</v>
      </c>
      <c r="G430" s="42">
        <v>219</v>
      </c>
      <c r="H430" s="43"/>
      <c r="I430" s="44"/>
      <c r="J430" s="38">
        <f>219</f>
        <v>219</v>
      </c>
      <c r="K430" s="45">
        <v>2.1296296296296298E-3</v>
      </c>
      <c r="L430" s="46" t="s">
        <v>1161</v>
      </c>
      <c r="M430" s="38"/>
      <c r="N430" s="38"/>
      <c r="O430" s="38"/>
      <c r="P430" s="38"/>
      <c r="Q430" s="38"/>
      <c r="R430" s="48"/>
      <c r="S430" s="48"/>
      <c r="T430" s="48"/>
      <c r="U430" s="52"/>
      <c r="V430" s="50"/>
      <c r="W430" s="51"/>
      <c r="X430" s="56"/>
    </row>
    <row r="431" spans="1:24">
      <c r="A431" s="38">
        <v>371</v>
      </c>
      <c r="B431" s="38"/>
      <c r="C431" s="38"/>
      <c r="D431" s="38" t="s">
        <v>1414</v>
      </c>
      <c r="E431" s="40" t="s">
        <v>1415</v>
      </c>
      <c r="F431" s="41" t="s">
        <v>176</v>
      </c>
      <c r="G431" s="42">
        <v>413</v>
      </c>
      <c r="H431" s="43"/>
      <c r="I431" s="44"/>
      <c r="J431" s="38">
        <f>413</f>
        <v>413</v>
      </c>
      <c r="K431" s="45">
        <v>2.4189814814814816E-3</v>
      </c>
      <c r="L431" s="46" t="s">
        <v>1161</v>
      </c>
      <c r="M431" s="38"/>
      <c r="N431" s="38"/>
      <c r="O431" s="38"/>
      <c r="P431" s="38"/>
      <c r="Q431" s="38"/>
      <c r="R431" s="48"/>
      <c r="S431" s="48"/>
      <c r="T431" s="48"/>
      <c r="U431" s="52"/>
      <c r="V431" s="50"/>
      <c r="W431" s="51"/>
      <c r="X431" s="56"/>
    </row>
    <row r="432" spans="1:24">
      <c r="A432" s="38">
        <v>372</v>
      </c>
      <c r="B432" s="38"/>
      <c r="C432" s="38"/>
      <c r="D432" s="38" t="s">
        <v>1416</v>
      </c>
      <c r="E432" s="40" t="s">
        <v>1417</v>
      </c>
      <c r="F432" s="41" t="s">
        <v>1418</v>
      </c>
      <c r="G432" s="42">
        <v>126</v>
      </c>
      <c r="H432" s="43"/>
      <c r="I432" s="44"/>
      <c r="J432" s="38">
        <f>126</f>
        <v>126</v>
      </c>
      <c r="K432" s="45">
        <v>1.6203703703703703E-3</v>
      </c>
      <c r="L432" s="46" t="s">
        <v>1161</v>
      </c>
      <c r="M432" s="38"/>
      <c r="N432" s="38"/>
      <c r="O432" s="38"/>
      <c r="P432" s="38"/>
      <c r="Q432" s="38"/>
      <c r="R432" s="48"/>
      <c r="S432" s="48"/>
      <c r="T432" s="48"/>
      <c r="U432" s="52"/>
      <c r="V432" s="50"/>
      <c r="W432" s="51"/>
      <c r="X432" s="56"/>
    </row>
    <row r="433" spans="1:24">
      <c r="A433" s="38">
        <v>373</v>
      </c>
      <c r="B433" s="38"/>
      <c r="C433" s="38"/>
      <c r="D433" s="38" t="s">
        <v>1419</v>
      </c>
      <c r="E433" s="40" t="s">
        <v>1420</v>
      </c>
      <c r="F433" s="41" t="s">
        <v>149</v>
      </c>
      <c r="G433" s="42">
        <v>154</v>
      </c>
      <c r="H433" s="43"/>
      <c r="I433" s="44"/>
      <c r="J433" s="38">
        <f>154</f>
        <v>154</v>
      </c>
      <c r="K433" s="45">
        <v>3.3680555555555551E-3</v>
      </c>
      <c r="L433" s="46" t="s">
        <v>1161</v>
      </c>
      <c r="M433" s="38"/>
      <c r="N433" s="38"/>
      <c r="O433" s="38"/>
      <c r="P433" s="38"/>
      <c r="Q433" s="38"/>
      <c r="R433" s="48"/>
      <c r="S433" s="48"/>
      <c r="T433" s="48"/>
      <c r="U433" s="52"/>
      <c r="V433" s="50"/>
      <c r="W433" s="51"/>
      <c r="X433" s="56"/>
    </row>
    <row r="434" spans="1:24">
      <c r="A434" s="38">
        <v>374</v>
      </c>
      <c r="B434" s="38"/>
      <c r="C434" s="38"/>
      <c r="D434" s="38" t="s">
        <v>1421</v>
      </c>
      <c r="E434" s="40" t="s">
        <v>1422</v>
      </c>
      <c r="F434" s="41" t="s">
        <v>1423</v>
      </c>
      <c r="G434" s="42">
        <v>119</v>
      </c>
      <c r="H434" s="43"/>
      <c r="I434" s="44"/>
      <c r="J434" s="38">
        <f>119</f>
        <v>119</v>
      </c>
      <c r="K434" s="45">
        <v>2.3263888888888887E-3</v>
      </c>
      <c r="L434" s="46" t="s">
        <v>1161</v>
      </c>
      <c r="M434" s="38"/>
      <c r="N434" s="38"/>
      <c r="O434" s="38"/>
      <c r="P434" s="38"/>
      <c r="Q434" s="38"/>
      <c r="R434" s="48"/>
      <c r="S434" s="48"/>
      <c r="T434" s="48"/>
      <c r="U434" s="52"/>
      <c r="V434" s="50"/>
      <c r="W434" s="51"/>
      <c r="X434" s="56"/>
    </row>
    <row r="435" spans="1:24">
      <c r="A435" s="38">
        <v>375</v>
      </c>
      <c r="B435" s="38"/>
      <c r="C435" s="38"/>
      <c r="D435" s="38" t="s">
        <v>1424</v>
      </c>
      <c r="E435" s="40" t="s">
        <v>1425</v>
      </c>
      <c r="F435" s="41" t="s">
        <v>1426</v>
      </c>
      <c r="G435" s="42">
        <v>241</v>
      </c>
      <c r="H435" s="43"/>
      <c r="I435" s="44"/>
      <c r="J435" s="38">
        <f>241</f>
        <v>241</v>
      </c>
      <c r="K435" s="45">
        <v>8.7962962962962962E-4</v>
      </c>
      <c r="L435" s="46" t="s">
        <v>1161</v>
      </c>
      <c r="M435" s="38"/>
      <c r="N435" s="38"/>
      <c r="O435" s="38"/>
      <c r="P435" s="38"/>
      <c r="Q435" s="38"/>
      <c r="R435" s="48"/>
      <c r="S435" s="48"/>
      <c r="T435" s="48"/>
      <c r="U435" s="52"/>
      <c r="V435" s="50"/>
      <c r="W435" s="51"/>
      <c r="X435" s="56"/>
    </row>
    <row r="436" spans="1:24">
      <c r="A436" s="38">
        <v>376</v>
      </c>
      <c r="B436" s="38"/>
      <c r="C436" s="38"/>
      <c r="D436" s="38" t="s">
        <v>1427</v>
      </c>
      <c r="E436" s="40" t="s">
        <v>1428</v>
      </c>
      <c r="F436" s="41" t="s">
        <v>1429</v>
      </c>
      <c r="G436" s="42" t="s">
        <v>1174</v>
      </c>
      <c r="H436" s="43"/>
      <c r="I436" s="44"/>
      <c r="J436" s="38">
        <f>13*1000</f>
        <v>13000</v>
      </c>
      <c r="K436" s="45">
        <v>8.2986111111111108E-3</v>
      </c>
      <c r="L436" s="46" t="s">
        <v>1161</v>
      </c>
      <c r="M436" s="38"/>
      <c r="N436" s="38"/>
      <c r="O436" s="38"/>
      <c r="P436" s="38"/>
      <c r="Q436" s="38"/>
      <c r="R436" s="48"/>
      <c r="S436" s="48"/>
      <c r="T436" s="48"/>
      <c r="U436" s="52"/>
      <c r="V436" s="50"/>
      <c r="W436" s="51"/>
      <c r="X436" s="56"/>
    </row>
    <row r="437" spans="1:24">
      <c r="A437" s="38">
        <v>377</v>
      </c>
      <c r="B437" s="38"/>
      <c r="C437" s="38"/>
      <c r="D437" s="38" t="s">
        <v>1430</v>
      </c>
      <c r="E437" s="40" t="s">
        <v>1431</v>
      </c>
      <c r="F437" s="41" t="s">
        <v>1432</v>
      </c>
      <c r="G437" s="42" t="s">
        <v>1046</v>
      </c>
      <c r="H437" s="43"/>
      <c r="I437" s="44"/>
      <c r="J437" s="38">
        <f>20*1000</f>
        <v>20000</v>
      </c>
      <c r="K437" s="45">
        <v>6.7592592592592591E-3</v>
      </c>
      <c r="L437" s="46" t="s">
        <v>1161</v>
      </c>
      <c r="M437" s="38"/>
      <c r="N437" s="38"/>
      <c r="O437" s="38"/>
      <c r="P437" s="38"/>
      <c r="Q437" s="38"/>
      <c r="R437" s="48"/>
      <c r="S437" s="48"/>
      <c r="T437" s="48"/>
      <c r="U437" s="52"/>
      <c r="V437" s="50"/>
      <c r="W437" s="51"/>
      <c r="X437" s="56"/>
    </row>
    <row r="438" spans="1:24">
      <c r="A438" s="38">
        <v>378</v>
      </c>
      <c r="B438" s="38"/>
      <c r="C438" s="38"/>
      <c r="D438" s="38" t="s">
        <v>1433</v>
      </c>
      <c r="E438" s="40" t="s">
        <v>1434</v>
      </c>
      <c r="F438" s="41" t="s">
        <v>1435</v>
      </c>
      <c r="G438" s="42">
        <v>844</v>
      </c>
      <c r="H438" s="43"/>
      <c r="I438" s="44"/>
      <c r="J438" s="38">
        <f>844</f>
        <v>844</v>
      </c>
      <c r="K438" s="45">
        <v>2.5347222222222221E-3</v>
      </c>
      <c r="L438" s="46" t="s">
        <v>1161</v>
      </c>
      <c r="M438" s="38"/>
      <c r="N438" s="38"/>
      <c r="O438" s="38"/>
      <c r="P438" s="38"/>
      <c r="Q438" s="38"/>
      <c r="R438" s="48"/>
      <c r="S438" s="48"/>
      <c r="T438" s="48"/>
      <c r="U438" s="52"/>
      <c r="V438" s="50"/>
      <c r="W438" s="51"/>
      <c r="X438" s="56"/>
    </row>
    <row r="439" spans="1:24">
      <c r="A439" s="38">
        <v>379</v>
      </c>
      <c r="B439" s="38"/>
      <c r="C439" s="38"/>
      <c r="D439" s="38" t="s">
        <v>1436</v>
      </c>
      <c r="E439" s="40" t="s">
        <v>1437</v>
      </c>
      <c r="F439" s="41" t="s">
        <v>1438</v>
      </c>
      <c r="G439" s="42">
        <v>904</v>
      </c>
      <c r="H439" s="43"/>
      <c r="I439" s="44"/>
      <c r="J439" s="38">
        <f>904</f>
        <v>904</v>
      </c>
      <c r="K439" s="45">
        <v>5.37037037037037E-3</v>
      </c>
      <c r="L439" s="46" t="s">
        <v>1161</v>
      </c>
      <c r="M439" s="38"/>
      <c r="N439" s="38"/>
      <c r="O439" s="38"/>
      <c r="P439" s="38"/>
      <c r="Q439" s="38"/>
      <c r="R439" s="48"/>
      <c r="S439" s="48"/>
      <c r="T439" s="48"/>
      <c r="U439" s="52"/>
      <c r="V439" s="50"/>
      <c r="W439" s="51"/>
      <c r="X439" s="56"/>
    </row>
    <row r="440" spans="1:24">
      <c r="A440" s="38">
        <v>380</v>
      </c>
      <c r="B440" s="38"/>
      <c r="C440" s="38"/>
      <c r="D440" s="38" t="s">
        <v>1439</v>
      </c>
      <c r="E440" s="40" t="s">
        <v>1440</v>
      </c>
      <c r="F440" s="41" t="s">
        <v>1030</v>
      </c>
      <c r="G440" s="42">
        <v>384</v>
      </c>
      <c r="H440" s="43"/>
      <c r="I440" s="44"/>
      <c r="J440" s="38">
        <f>384</f>
        <v>384</v>
      </c>
      <c r="K440" s="45">
        <v>1.7592592592592592E-3</v>
      </c>
      <c r="L440" s="46" t="s">
        <v>1161</v>
      </c>
      <c r="M440" s="38"/>
      <c r="N440" s="38"/>
      <c r="O440" s="38"/>
      <c r="P440" s="38"/>
      <c r="Q440" s="38"/>
      <c r="R440" s="48"/>
      <c r="S440" s="48"/>
      <c r="T440" s="48"/>
      <c r="U440" s="52"/>
      <c r="V440" s="50"/>
      <c r="W440" s="51"/>
      <c r="X440" s="56"/>
    </row>
    <row r="441" spans="1:24">
      <c r="A441" s="38">
        <v>381</v>
      </c>
      <c r="B441" s="38"/>
      <c r="C441" s="38"/>
      <c r="D441" s="38" t="s">
        <v>1441</v>
      </c>
      <c r="E441" s="40" t="s">
        <v>1442</v>
      </c>
      <c r="F441" s="41" t="s">
        <v>1443</v>
      </c>
      <c r="G441" s="42" t="s">
        <v>1444</v>
      </c>
      <c r="H441" s="43"/>
      <c r="I441" s="44"/>
      <c r="J441" s="38">
        <f>43*1000</f>
        <v>43000</v>
      </c>
      <c r="K441" s="45">
        <v>4.9652777777777777E-3</v>
      </c>
      <c r="L441" s="46" t="s">
        <v>1161</v>
      </c>
      <c r="M441" s="38"/>
      <c r="N441" s="38"/>
      <c r="O441" s="38"/>
      <c r="P441" s="38"/>
      <c r="Q441" s="38"/>
      <c r="R441" s="48"/>
      <c r="S441" s="48"/>
      <c r="T441" s="48"/>
      <c r="U441" s="52"/>
      <c r="V441" s="50"/>
      <c r="W441" s="51"/>
      <c r="X441" s="56"/>
    </row>
    <row r="442" spans="1:24">
      <c r="A442" s="38">
        <v>382</v>
      </c>
      <c r="B442" s="38"/>
      <c r="C442" s="38"/>
      <c r="D442" s="38" t="s">
        <v>1445</v>
      </c>
      <c r="E442" s="40" t="s">
        <v>1446</v>
      </c>
      <c r="F442" s="41" t="s">
        <v>1447</v>
      </c>
      <c r="G442" s="42" t="s">
        <v>374</v>
      </c>
      <c r="H442" s="43"/>
      <c r="I442" s="44"/>
      <c r="J442" s="38">
        <f>1.3*1000</f>
        <v>1300</v>
      </c>
      <c r="K442" s="45">
        <v>1.1689814814814814E-2</v>
      </c>
      <c r="L442" s="46" t="s">
        <v>1161</v>
      </c>
      <c r="M442" s="38"/>
      <c r="N442" s="38"/>
      <c r="O442" s="38"/>
      <c r="P442" s="38"/>
      <c r="Q442" s="38"/>
      <c r="R442" s="48"/>
      <c r="S442" s="48"/>
      <c r="T442" s="48"/>
      <c r="U442" s="52"/>
      <c r="V442" s="50"/>
      <c r="W442" s="51"/>
      <c r="X442" s="56"/>
    </row>
    <row r="443" spans="1:24">
      <c r="A443" s="38">
        <v>383</v>
      </c>
      <c r="B443" s="38"/>
      <c r="C443" s="38"/>
      <c r="D443" s="38" t="s">
        <v>1448</v>
      </c>
      <c r="E443" s="40" t="s">
        <v>1449</v>
      </c>
      <c r="F443" s="41" t="s">
        <v>896</v>
      </c>
      <c r="G443" s="42" t="s">
        <v>396</v>
      </c>
      <c r="H443" s="43"/>
      <c r="I443" s="44"/>
      <c r="J443" s="38">
        <f>1.1*1000</f>
        <v>1100</v>
      </c>
      <c r="K443" s="45">
        <v>2.7199074074074074E-3</v>
      </c>
      <c r="L443" s="46" t="s">
        <v>1161</v>
      </c>
      <c r="M443" s="38"/>
      <c r="N443" s="38"/>
      <c r="O443" s="38"/>
      <c r="P443" s="38"/>
      <c r="Q443" s="38"/>
      <c r="R443" s="48"/>
      <c r="S443" s="48"/>
      <c r="T443" s="48"/>
      <c r="U443" s="52"/>
      <c r="V443" s="50"/>
      <c r="W443" s="51"/>
      <c r="X443" s="56"/>
    </row>
    <row r="444" spans="1:24">
      <c r="A444" s="38">
        <v>384</v>
      </c>
      <c r="B444" s="38"/>
      <c r="C444" s="38"/>
      <c r="D444" s="38" t="s">
        <v>1450</v>
      </c>
      <c r="E444" s="40" t="s">
        <v>1451</v>
      </c>
      <c r="F444" s="41" t="s">
        <v>1452</v>
      </c>
      <c r="G444" s="42">
        <v>947</v>
      </c>
      <c r="H444" s="43"/>
      <c r="I444" s="44"/>
      <c r="J444" s="38">
        <f>947</f>
        <v>947</v>
      </c>
      <c r="K444" s="45">
        <v>2.0254629629629629E-3</v>
      </c>
      <c r="L444" s="46" t="s">
        <v>1161</v>
      </c>
      <c r="M444" s="38"/>
      <c r="N444" s="38"/>
      <c r="O444" s="38"/>
      <c r="P444" s="38"/>
      <c r="Q444" s="38"/>
      <c r="R444" s="48"/>
      <c r="S444" s="48"/>
      <c r="T444" s="48"/>
      <c r="U444" s="52"/>
      <c r="V444" s="50"/>
      <c r="W444" s="51"/>
      <c r="X444" s="56"/>
    </row>
    <row r="445" spans="1:24">
      <c r="A445" s="38">
        <v>385</v>
      </c>
      <c r="B445" s="38"/>
      <c r="C445" s="38"/>
      <c r="D445" s="38" t="s">
        <v>1453</v>
      </c>
      <c r="E445" s="40" t="s">
        <v>1454</v>
      </c>
      <c r="F445" s="41" t="s">
        <v>1455</v>
      </c>
      <c r="G445" s="42">
        <v>405</v>
      </c>
      <c r="H445" s="43"/>
      <c r="I445" s="44"/>
      <c r="J445" s="38">
        <f>405</f>
        <v>405</v>
      </c>
      <c r="K445" s="45">
        <v>3.4375E-3</v>
      </c>
      <c r="L445" s="46" t="s">
        <v>1161</v>
      </c>
      <c r="M445" s="38"/>
      <c r="N445" s="38"/>
      <c r="O445" s="38"/>
      <c r="P445" s="38"/>
      <c r="Q445" s="38"/>
      <c r="R445" s="48"/>
      <c r="S445" s="48"/>
      <c r="T445" s="48"/>
      <c r="U445" s="52"/>
      <c r="V445" s="50"/>
      <c r="W445" s="51"/>
      <c r="X445" s="56"/>
    </row>
    <row r="446" spans="1:24">
      <c r="A446" s="38">
        <v>386</v>
      </c>
      <c r="B446" s="38"/>
      <c r="C446" s="38"/>
      <c r="D446" s="38" t="s">
        <v>1456</v>
      </c>
      <c r="E446" s="40" t="s">
        <v>1457</v>
      </c>
      <c r="F446" s="41" t="s">
        <v>1458</v>
      </c>
      <c r="G446" s="42">
        <v>365</v>
      </c>
      <c r="H446" s="43"/>
      <c r="I446" s="44"/>
      <c r="J446" s="38">
        <f>365</f>
        <v>365</v>
      </c>
      <c r="K446" s="45">
        <v>2.9745370370370373E-3</v>
      </c>
      <c r="L446" s="46" t="s">
        <v>1161</v>
      </c>
      <c r="M446" s="38"/>
      <c r="N446" s="38"/>
      <c r="O446" s="38"/>
      <c r="P446" s="38"/>
      <c r="Q446" s="38"/>
      <c r="R446" s="48"/>
      <c r="S446" s="48"/>
      <c r="T446" s="48"/>
      <c r="U446" s="52"/>
      <c r="V446" s="50"/>
      <c r="W446" s="51"/>
      <c r="X446" s="56"/>
    </row>
    <row r="447" spans="1:24">
      <c r="A447" s="38">
        <v>387</v>
      </c>
      <c r="B447" s="38"/>
      <c r="C447" s="38"/>
      <c r="D447" s="38" t="s">
        <v>1459</v>
      </c>
      <c r="E447" s="40" t="s">
        <v>1460</v>
      </c>
      <c r="F447" s="41" t="s">
        <v>1461</v>
      </c>
      <c r="G447" s="42">
        <v>728</v>
      </c>
      <c r="H447" s="43"/>
      <c r="I447" s="44"/>
      <c r="J447" s="38">
        <f>728</f>
        <v>728</v>
      </c>
      <c r="K447" s="45">
        <v>3.37962962962963E-3</v>
      </c>
      <c r="L447" s="46" t="s">
        <v>1161</v>
      </c>
      <c r="M447" s="38"/>
      <c r="N447" s="38"/>
      <c r="O447" s="38"/>
      <c r="P447" s="38"/>
      <c r="Q447" s="38"/>
      <c r="R447" s="48"/>
      <c r="S447" s="48"/>
      <c r="T447" s="48"/>
      <c r="U447" s="52"/>
      <c r="V447" s="50"/>
      <c r="W447" s="51"/>
      <c r="X447" s="56"/>
    </row>
    <row r="448" spans="1:24">
      <c r="A448" s="38">
        <v>388</v>
      </c>
      <c r="B448" s="38"/>
      <c r="C448" s="38"/>
      <c r="D448" s="38" t="s">
        <v>1462</v>
      </c>
      <c r="E448" s="40" t="s">
        <v>1463</v>
      </c>
      <c r="F448" s="58" t="s">
        <v>1464</v>
      </c>
      <c r="G448" s="42" t="s">
        <v>510</v>
      </c>
      <c r="H448" s="43"/>
      <c r="I448" s="44"/>
      <c r="J448" s="38">
        <f>3.7*1000</f>
        <v>3700</v>
      </c>
      <c r="K448" s="45">
        <v>3.1782407407407405E-2</v>
      </c>
      <c r="L448" s="46" t="s">
        <v>1161</v>
      </c>
      <c r="M448" s="38"/>
      <c r="N448" s="38"/>
      <c r="O448" s="38"/>
      <c r="P448" s="38"/>
      <c r="Q448" s="38"/>
      <c r="R448" s="48"/>
      <c r="S448" s="48"/>
      <c r="T448" s="48"/>
      <c r="U448" s="52"/>
      <c r="V448" s="50"/>
      <c r="W448" s="51"/>
      <c r="X448" s="56"/>
    </row>
    <row r="449" spans="1:24">
      <c r="A449" s="38">
        <v>389</v>
      </c>
      <c r="B449" s="38"/>
      <c r="C449" s="38"/>
      <c r="D449" s="38" t="s">
        <v>1465</v>
      </c>
      <c r="E449" s="40" t="s">
        <v>1466</v>
      </c>
      <c r="F449" s="41" t="s">
        <v>1061</v>
      </c>
      <c r="G449" s="42">
        <v>634</v>
      </c>
      <c r="H449" s="43"/>
      <c r="I449" s="44"/>
      <c r="J449" s="38">
        <f>634</f>
        <v>634</v>
      </c>
      <c r="K449" s="45">
        <v>2.2337962962962967E-3</v>
      </c>
      <c r="L449" s="46" t="s">
        <v>1161</v>
      </c>
      <c r="M449" s="38"/>
      <c r="N449" s="38"/>
      <c r="O449" s="38"/>
      <c r="P449" s="38"/>
      <c r="Q449" s="38"/>
      <c r="R449" s="48"/>
      <c r="S449" s="48"/>
      <c r="T449" s="48"/>
      <c r="U449" s="52"/>
      <c r="V449" s="50"/>
      <c r="W449" s="51"/>
      <c r="X449" s="56"/>
    </row>
    <row r="450" spans="1:24">
      <c r="A450" s="38">
        <v>390</v>
      </c>
      <c r="B450" s="38"/>
      <c r="C450" s="38"/>
      <c r="D450" s="38" t="s">
        <v>1467</v>
      </c>
      <c r="E450" s="40" t="s">
        <v>1468</v>
      </c>
      <c r="F450" s="41" t="s">
        <v>1469</v>
      </c>
      <c r="G450" s="42">
        <v>387</v>
      </c>
      <c r="H450" s="43"/>
      <c r="I450" s="44"/>
      <c r="J450" s="38">
        <f>387</f>
        <v>387</v>
      </c>
      <c r="K450" s="45">
        <v>1.8171296296296297E-3</v>
      </c>
      <c r="L450" s="46" t="s">
        <v>1161</v>
      </c>
      <c r="M450" s="38"/>
      <c r="N450" s="38"/>
      <c r="O450" s="38"/>
      <c r="P450" s="38"/>
      <c r="Q450" s="38"/>
      <c r="R450" s="48"/>
      <c r="S450" s="48"/>
      <c r="T450" s="48"/>
      <c r="U450" s="52"/>
      <c r="V450" s="50"/>
      <c r="W450" s="51"/>
      <c r="X450" s="56"/>
    </row>
    <row r="451" spans="1:24">
      <c r="A451" s="38">
        <v>391</v>
      </c>
      <c r="B451" s="38"/>
      <c r="C451" s="38"/>
      <c r="D451" s="38" t="s">
        <v>1470</v>
      </c>
      <c r="E451" s="40" t="s">
        <v>1471</v>
      </c>
      <c r="F451" s="41" t="s">
        <v>1472</v>
      </c>
      <c r="G451" s="42">
        <v>319</v>
      </c>
      <c r="H451" s="43"/>
      <c r="I451" s="44"/>
      <c r="J451" s="38">
        <f>319</f>
        <v>319</v>
      </c>
      <c r="K451" s="45">
        <v>1.8402777777777777E-3</v>
      </c>
      <c r="L451" s="46" t="s">
        <v>1161</v>
      </c>
      <c r="M451" s="38"/>
      <c r="N451" s="38"/>
      <c r="O451" s="38"/>
      <c r="P451" s="38"/>
      <c r="Q451" s="38"/>
      <c r="R451" s="48"/>
      <c r="S451" s="48"/>
      <c r="T451" s="48"/>
      <c r="U451" s="52"/>
      <c r="V451" s="50"/>
      <c r="W451" s="51"/>
      <c r="X451" s="56"/>
    </row>
    <row r="452" spans="1:24">
      <c r="A452" s="38">
        <v>392</v>
      </c>
      <c r="B452" s="38"/>
      <c r="C452" s="38"/>
      <c r="D452" s="38" t="s">
        <v>1473</v>
      </c>
      <c r="E452" s="40" t="s">
        <v>1474</v>
      </c>
      <c r="F452" s="41" t="s">
        <v>1475</v>
      </c>
      <c r="G452" s="42">
        <v>282</v>
      </c>
      <c r="H452" s="43"/>
      <c r="I452" s="44"/>
      <c r="J452" s="38">
        <f>282</f>
        <v>282</v>
      </c>
      <c r="K452" s="45">
        <v>1.0995370370370371E-3</v>
      </c>
      <c r="L452" s="46" t="s">
        <v>1161</v>
      </c>
      <c r="M452" s="38"/>
      <c r="N452" s="38"/>
      <c r="O452" s="38"/>
      <c r="P452" s="38"/>
      <c r="Q452" s="38"/>
      <c r="R452" s="48"/>
      <c r="S452" s="48"/>
      <c r="T452" s="48"/>
      <c r="U452" s="52"/>
      <c r="V452" s="50"/>
      <c r="W452" s="51"/>
      <c r="X452" s="56"/>
    </row>
    <row r="453" spans="1:24">
      <c r="A453" s="38">
        <v>393</v>
      </c>
      <c r="B453" s="38"/>
      <c r="C453" s="38"/>
      <c r="D453" s="38" t="s">
        <v>1476</v>
      </c>
      <c r="E453" s="40" t="s">
        <v>1477</v>
      </c>
      <c r="F453" s="41" t="s">
        <v>1478</v>
      </c>
      <c r="G453" s="42" t="s">
        <v>214</v>
      </c>
      <c r="H453" s="43"/>
      <c r="I453" s="44"/>
      <c r="J453" s="38">
        <f>1*1000</f>
        <v>1000</v>
      </c>
      <c r="K453" s="45">
        <v>5.7986111111111112E-3</v>
      </c>
      <c r="L453" s="46" t="s">
        <v>1161</v>
      </c>
      <c r="M453" s="38"/>
      <c r="N453" s="38"/>
      <c r="O453" s="38"/>
      <c r="P453" s="38"/>
      <c r="Q453" s="38"/>
      <c r="R453" s="48"/>
      <c r="S453" s="48"/>
      <c r="T453" s="48"/>
      <c r="U453" s="52"/>
      <c r="V453" s="50"/>
      <c r="W453" s="51"/>
      <c r="X453" s="56"/>
    </row>
    <row r="454" spans="1:24">
      <c r="A454" s="38">
        <v>394</v>
      </c>
      <c r="B454" s="38"/>
      <c r="C454" s="38"/>
      <c r="D454" s="38" t="s">
        <v>1479</v>
      </c>
      <c r="E454" s="40" t="s">
        <v>1480</v>
      </c>
      <c r="F454" s="41" t="s">
        <v>1481</v>
      </c>
      <c r="G454" s="42">
        <v>790</v>
      </c>
      <c r="H454" s="43"/>
      <c r="I454" s="44"/>
      <c r="J454" s="38">
        <f>790</f>
        <v>790</v>
      </c>
      <c r="K454" s="45">
        <v>2.8124999999999995E-3</v>
      </c>
      <c r="L454" s="46" t="s">
        <v>1161</v>
      </c>
      <c r="M454" s="38"/>
      <c r="N454" s="38"/>
      <c r="O454" s="38"/>
      <c r="P454" s="38"/>
      <c r="Q454" s="38"/>
      <c r="R454" s="48"/>
      <c r="S454" s="48"/>
      <c r="T454" s="48"/>
      <c r="U454" s="52"/>
      <c r="V454" s="50"/>
      <c r="W454" s="51"/>
      <c r="X454" s="56"/>
    </row>
    <row r="455" spans="1:24">
      <c r="A455" s="38">
        <v>395</v>
      </c>
      <c r="B455" s="38"/>
      <c r="C455" s="38"/>
      <c r="D455" s="38" t="s">
        <v>1482</v>
      </c>
      <c r="E455" s="40" t="s">
        <v>1483</v>
      </c>
      <c r="F455" s="41" t="s">
        <v>1484</v>
      </c>
      <c r="G455" s="42">
        <v>270</v>
      </c>
      <c r="H455" s="43"/>
      <c r="I455" s="44"/>
      <c r="J455" s="38">
        <f>270</f>
        <v>270</v>
      </c>
      <c r="K455" s="45">
        <v>7.7546296296296304E-4</v>
      </c>
      <c r="L455" s="46" t="s">
        <v>1161</v>
      </c>
      <c r="M455" s="38"/>
      <c r="N455" s="38"/>
      <c r="O455" s="38"/>
      <c r="P455" s="38"/>
      <c r="Q455" s="38"/>
      <c r="R455" s="48"/>
      <c r="S455" s="48"/>
      <c r="T455" s="48"/>
      <c r="U455" s="52"/>
      <c r="V455" s="50"/>
      <c r="W455" s="51"/>
      <c r="X455" s="56"/>
    </row>
    <row r="456" spans="1:24">
      <c r="A456" s="38">
        <v>396</v>
      </c>
      <c r="B456" s="38"/>
      <c r="C456" s="38"/>
      <c r="D456" s="38" t="s">
        <v>1485</v>
      </c>
      <c r="E456" s="40" t="s">
        <v>1486</v>
      </c>
      <c r="F456" s="41" t="s">
        <v>1487</v>
      </c>
      <c r="G456" s="42" t="s">
        <v>1488</v>
      </c>
      <c r="H456" s="43"/>
      <c r="I456" s="44"/>
      <c r="J456" s="38">
        <f>9.5*1000</f>
        <v>9500</v>
      </c>
      <c r="K456" s="45">
        <v>1.4224537037037037E-2</v>
      </c>
      <c r="L456" s="46" t="s">
        <v>1161</v>
      </c>
      <c r="M456" s="38"/>
      <c r="N456" s="38"/>
      <c r="O456" s="38"/>
      <c r="P456" s="38"/>
      <c r="Q456" s="38"/>
      <c r="R456" s="48"/>
      <c r="S456" s="48"/>
      <c r="T456" s="48"/>
      <c r="U456" s="52"/>
      <c r="V456" s="50"/>
      <c r="W456" s="51"/>
      <c r="X456" s="56"/>
    </row>
    <row r="457" spans="1:24">
      <c r="A457" s="38">
        <v>397</v>
      </c>
      <c r="B457" s="38"/>
      <c r="C457" s="38"/>
      <c r="D457" s="38" t="s">
        <v>1489</v>
      </c>
      <c r="E457" s="40" t="s">
        <v>1490</v>
      </c>
      <c r="F457" s="41" t="s">
        <v>1491</v>
      </c>
      <c r="G457" s="42">
        <v>276</v>
      </c>
      <c r="H457" s="43"/>
      <c r="I457" s="44"/>
      <c r="J457" s="38">
        <f>276</f>
        <v>276</v>
      </c>
      <c r="K457" s="45">
        <v>2.5115740740740741E-3</v>
      </c>
      <c r="L457" s="46" t="s">
        <v>1161</v>
      </c>
      <c r="M457" s="38"/>
      <c r="N457" s="38"/>
      <c r="O457" s="38"/>
      <c r="P457" s="38"/>
      <c r="Q457" s="38"/>
      <c r="R457" s="48"/>
      <c r="S457" s="48"/>
      <c r="T457" s="48"/>
      <c r="U457" s="52"/>
      <c r="V457" s="50"/>
      <c r="W457" s="51"/>
      <c r="X457" s="56"/>
    </row>
    <row r="458" spans="1:24">
      <c r="A458" s="38">
        <v>398</v>
      </c>
      <c r="B458" s="38"/>
      <c r="C458" s="38"/>
      <c r="D458" s="38" t="s">
        <v>1492</v>
      </c>
      <c r="E458" s="40" t="s">
        <v>1493</v>
      </c>
      <c r="F458" s="41" t="s">
        <v>1285</v>
      </c>
      <c r="G458" s="42">
        <v>574</v>
      </c>
      <c r="H458" s="43"/>
      <c r="I458" s="44"/>
      <c r="J458" s="38">
        <f>574</f>
        <v>574</v>
      </c>
      <c r="K458" s="45">
        <v>5.0694444444444441E-3</v>
      </c>
      <c r="L458" s="46" t="s">
        <v>1161</v>
      </c>
      <c r="M458" s="38"/>
      <c r="N458" s="38"/>
      <c r="O458" s="38"/>
      <c r="P458" s="38"/>
      <c r="Q458" s="38"/>
      <c r="R458" s="48"/>
      <c r="S458" s="48"/>
      <c r="T458" s="48"/>
      <c r="U458" s="52"/>
      <c r="V458" s="50"/>
      <c r="W458" s="51"/>
      <c r="X458" s="56"/>
    </row>
    <row r="459" spans="1:24">
      <c r="A459" s="38">
        <v>399</v>
      </c>
      <c r="B459" s="38"/>
      <c r="C459" s="38"/>
      <c r="D459" s="38" t="s">
        <v>1494</v>
      </c>
      <c r="E459" s="40" t="s">
        <v>1495</v>
      </c>
      <c r="F459" s="41" t="s">
        <v>1496</v>
      </c>
      <c r="G459" s="42">
        <v>612</v>
      </c>
      <c r="H459" s="43"/>
      <c r="I459" s="44"/>
      <c r="J459" s="38">
        <f>612</f>
        <v>612</v>
      </c>
      <c r="K459" s="45">
        <v>1.5393518518518519E-3</v>
      </c>
      <c r="L459" s="46" t="s">
        <v>1161</v>
      </c>
      <c r="M459" s="38"/>
      <c r="N459" s="38"/>
      <c r="O459" s="38"/>
      <c r="P459" s="38"/>
      <c r="Q459" s="38"/>
      <c r="R459" s="48"/>
      <c r="S459" s="48"/>
      <c r="T459" s="48"/>
      <c r="U459" s="52"/>
      <c r="V459" s="50"/>
      <c r="W459" s="51"/>
      <c r="X459" s="56"/>
    </row>
    <row r="460" spans="1:24">
      <c r="A460" s="38">
        <v>400</v>
      </c>
      <c r="B460" s="38"/>
      <c r="C460" s="38"/>
      <c r="D460" s="38" t="s">
        <v>1497</v>
      </c>
      <c r="E460" s="40" t="s">
        <v>1498</v>
      </c>
      <c r="F460" s="41" t="s">
        <v>751</v>
      </c>
      <c r="G460" s="42">
        <v>423</v>
      </c>
      <c r="H460" s="43"/>
      <c r="I460" s="44"/>
      <c r="J460" s="38">
        <f>423</f>
        <v>423</v>
      </c>
      <c r="K460" s="45">
        <v>1.1689814814814816E-3</v>
      </c>
      <c r="L460" s="46" t="s">
        <v>1161</v>
      </c>
      <c r="M460" s="38"/>
      <c r="N460" s="38"/>
      <c r="O460" s="38"/>
      <c r="P460" s="38"/>
      <c r="Q460" s="38"/>
      <c r="R460" s="48"/>
      <c r="S460" s="48"/>
      <c r="T460" s="48"/>
      <c r="U460" s="52"/>
      <c r="V460" s="50"/>
      <c r="W460" s="51"/>
      <c r="X460" s="56"/>
    </row>
    <row r="461" spans="1:24">
      <c r="A461" s="38">
        <v>401</v>
      </c>
      <c r="B461" s="38"/>
      <c r="C461" s="38"/>
      <c r="D461" s="38" t="s">
        <v>1499</v>
      </c>
      <c r="E461" s="40" t="s">
        <v>1500</v>
      </c>
      <c r="F461" s="41" t="s">
        <v>1501</v>
      </c>
      <c r="G461" s="42">
        <v>567</v>
      </c>
      <c r="H461" s="43"/>
      <c r="I461" s="44"/>
      <c r="J461" s="38">
        <f>567</f>
        <v>567</v>
      </c>
      <c r="K461" s="45">
        <v>1.3657407407407409E-3</v>
      </c>
      <c r="L461" s="46" t="s">
        <v>1161</v>
      </c>
      <c r="M461" s="38"/>
      <c r="N461" s="38"/>
      <c r="O461" s="38"/>
      <c r="P461" s="38"/>
      <c r="Q461" s="38"/>
      <c r="R461" s="48"/>
      <c r="S461" s="48"/>
      <c r="T461" s="48"/>
      <c r="U461" s="52"/>
      <c r="V461" s="50"/>
      <c r="W461" s="51"/>
      <c r="X461" s="56"/>
    </row>
    <row r="462" spans="1:24">
      <c r="A462" s="38">
        <v>402</v>
      </c>
      <c r="B462" s="38"/>
      <c r="C462" s="38"/>
      <c r="D462" s="38" t="s">
        <v>1502</v>
      </c>
      <c r="E462" s="40" t="s">
        <v>1503</v>
      </c>
      <c r="F462" s="41" t="s">
        <v>995</v>
      </c>
      <c r="G462" s="42">
        <v>231</v>
      </c>
      <c r="H462" s="43"/>
      <c r="I462" s="44"/>
      <c r="J462" s="38">
        <f>231</f>
        <v>231</v>
      </c>
      <c r="K462" s="45">
        <v>2.2685185185185182E-3</v>
      </c>
      <c r="L462" s="46" t="s">
        <v>1161</v>
      </c>
      <c r="M462" s="38"/>
      <c r="N462" s="38"/>
      <c r="O462" s="38"/>
      <c r="P462" s="38"/>
      <c r="Q462" s="38"/>
      <c r="R462" s="48"/>
      <c r="S462" s="48"/>
      <c r="T462" s="48"/>
      <c r="U462" s="52"/>
      <c r="V462" s="50"/>
      <c r="W462" s="51"/>
      <c r="X462" s="56"/>
    </row>
    <row r="463" spans="1:24">
      <c r="A463" s="38">
        <v>403</v>
      </c>
      <c r="B463" s="38"/>
      <c r="C463" s="38"/>
      <c r="D463" s="38" t="s">
        <v>1504</v>
      </c>
      <c r="E463" s="40" t="s">
        <v>1505</v>
      </c>
      <c r="F463" s="41" t="s">
        <v>1506</v>
      </c>
      <c r="G463" s="42">
        <v>415</v>
      </c>
      <c r="H463" s="43"/>
      <c r="I463" s="44"/>
      <c r="J463" s="38">
        <f>415</f>
        <v>415</v>
      </c>
      <c r="K463" s="45">
        <v>2.8935185185185188E-3</v>
      </c>
      <c r="L463" s="46" t="s">
        <v>1161</v>
      </c>
      <c r="M463" s="38"/>
      <c r="N463" s="38"/>
      <c r="O463" s="38"/>
      <c r="P463" s="38"/>
      <c r="Q463" s="38"/>
      <c r="R463" s="48"/>
      <c r="S463" s="48"/>
      <c r="T463" s="48"/>
      <c r="U463" s="52"/>
      <c r="V463" s="50"/>
      <c r="W463" s="51"/>
      <c r="X463" s="56"/>
    </row>
    <row r="464" spans="1:24">
      <c r="A464" s="38">
        <v>404</v>
      </c>
      <c r="B464" s="38"/>
      <c r="C464" s="38"/>
      <c r="D464" s="38" t="s">
        <v>1507</v>
      </c>
      <c r="E464" s="40" t="s">
        <v>1508</v>
      </c>
      <c r="F464" s="41" t="s">
        <v>1509</v>
      </c>
      <c r="G464" s="42">
        <v>553</v>
      </c>
      <c r="H464" s="43"/>
      <c r="I464" s="44"/>
      <c r="J464" s="38">
        <f>553</f>
        <v>553</v>
      </c>
      <c r="K464" s="45">
        <v>2.1990740740740742E-3</v>
      </c>
      <c r="L464" s="46" t="s">
        <v>1161</v>
      </c>
      <c r="M464" s="38"/>
      <c r="N464" s="38"/>
      <c r="O464" s="38"/>
      <c r="P464" s="38"/>
      <c r="Q464" s="38"/>
      <c r="R464" s="48"/>
      <c r="S464" s="48"/>
      <c r="T464" s="48"/>
      <c r="U464" s="52"/>
      <c r="V464" s="50"/>
      <c r="W464" s="51"/>
      <c r="X464" s="56"/>
    </row>
    <row r="465" spans="1:24">
      <c r="A465" s="38">
        <v>405</v>
      </c>
      <c r="B465" s="38"/>
      <c r="C465" s="38"/>
      <c r="D465" s="38" t="s">
        <v>1510</v>
      </c>
      <c r="E465" s="40" t="s">
        <v>1511</v>
      </c>
      <c r="F465" s="41" t="s">
        <v>864</v>
      </c>
      <c r="G465" s="42">
        <v>353</v>
      </c>
      <c r="H465" s="43"/>
      <c r="I465" s="44"/>
      <c r="J465" s="38">
        <f>353</f>
        <v>353</v>
      </c>
      <c r="K465" s="45">
        <v>1.3541666666666667E-3</v>
      </c>
      <c r="L465" s="46" t="s">
        <v>1161</v>
      </c>
      <c r="M465" s="38"/>
      <c r="N465" s="38"/>
      <c r="O465" s="38"/>
      <c r="P465" s="38"/>
      <c r="Q465" s="38"/>
      <c r="R465" s="48"/>
      <c r="S465" s="48"/>
      <c r="T465" s="48"/>
      <c r="U465" s="52"/>
      <c r="V465" s="50"/>
      <c r="W465" s="51"/>
      <c r="X465" s="56"/>
    </row>
    <row r="466" spans="1:24">
      <c r="A466" s="38">
        <v>406</v>
      </c>
      <c r="B466" s="38"/>
      <c r="C466" s="38"/>
      <c r="D466" s="38" t="s">
        <v>1512</v>
      </c>
      <c r="E466" s="40" t="s">
        <v>1513</v>
      </c>
      <c r="F466" s="41" t="s">
        <v>1514</v>
      </c>
      <c r="G466" s="42">
        <v>798</v>
      </c>
      <c r="H466" s="43"/>
      <c r="I466" s="44"/>
      <c r="J466" s="38">
        <f>798</f>
        <v>798</v>
      </c>
      <c r="K466" s="45">
        <v>1.8287037037037037E-3</v>
      </c>
      <c r="L466" s="46" t="s">
        <v>1161</v>
      </c>
      <c r="M466" s="38"/>
      <c r="N466" s="38"/>
      <c r="O466" s="38"/>
      <c r="P466" s="38"/>
      <c r="Q466" s="38"/>
      <c r="R466" s="48"/>
      <c r="S466" s="48"/>
      <c r="T466" s="48"/>
      <c r="U466" s="52"/>
      <c r="V466" s="50"/>
      <c r="W466" s="51"/>
      <c r="X466" s="56"/>
    </row>
    <row r="467" spans="1:24">
      <c r="A467" s="38">
        <v>407</v>
      </c>
      <c r="B467" s="38"/>
      <c r="C467" s="38"/>
      <c r="D467" s="38" t="s">
        <v>1515</v>
      </c>
      <c r="E467" s="40" t="s">
        <v>1516</v>
      </c>
      <c r="F467" s="41" t="s">
        <v>318</v>
      </c>
      <c r="G467" s="42">
        <v>632</v>
      </c>
      <c r="H467" s="43"/>
      <c r="I467" s="44"/>
      <c r="J467" s="38">
        <f>632</f>
        <v>632</v>
      </c>
      <c r="K467" s="45">
        <v>5.9490740740740745E-3</v>
      </c>
      <c r="L467" s="46" t="s">
        <v>1161</v>
      </c>
      <c r="M467" s="38"/>
      <c r="N467" s="38"/>
      <c r="O467" s="38"/>
      <c r="P467" s="38"/>
      <c r="Q467" s="38"/>
      <c r="R467" s="48"/>
      <c r="S467" s="48"/>
      <c r="T467" s="48"/>
      <c r="U467" s="52"/>
      <c r="V467" s="50"/>
      <c r="W467" s="51"/>
      <c r="X467" s="56"/>
    </row>
    <row r="468" spans="1:24">
      <c r="A468" s="38">
        <v>408</v>
      </c>
      <c r="B468" s="38"/>
      <c r="C468" s="38"/>
      <c r="D468" s="38" t="s">
        <v>1517</v>
      </c>
      <c r="E468" s="40" t="s">
        <v>1518</v>
      </c>
      <c r="F468" s="41" t="s">
        <v>757</v>
      </c>
      <c r="G468" s="42">
        <v>363</v>
      </c>
      <c r="H468" s="43"/>
      <c r="I468" s="44"/>
      <c r="J468" s="38">
        <f>363</f>
        <v>363</v>
      </c>
      <c r="K468" s="45">
        <v>1.4583333333333334E-3</v>
      </c>
      <c r="L468" s="46" t="s">
        <v>1161</v>
      </c>
      <c r="M468" s="38"/>
      <c r="N468" s="38"/>
      <c r="O468" s="38"/>
      <c r="P468" s="38"/>
      <c r="Q468" s="38"/>
      <c r="R468" s="48"/>
      <c r="S468" s="48"/>
      <c r="T468" s="48"/>
      <c r="U468" s="52"/>
      <c r="V468" s="50"/>
      <c r="W468" s="51"/>
      <c r="X468" s="56"/>
    </row>
    <row r="469" spans="1:24">
      <c r="A469" s="38">
        <v>409</v>
      </c>
      <c r="B469" s="38"/>
      <c r="C469" s="38"/>
      <c r="D469" s="38" t="s">
        <v>1519</v>
      </c>
      <c r="E469" s="40" t="s">
        <v>1520</v>
      </c>
      <c r="F469" s="41" t="s">
        <v>1521</v>
      </c>
      <c r="G469" s="42" t="s">
        <v>249</v>
      </c>
      <c r="H469" s="43"/>
      <c r="I469" s="44"/>
      <c r="J469" s="38">
        <f>2.4*1000</f>
        <v>2400</v>
      </c>
      <c r="K469" s="45">
        <v>2.0370370370370373E-3</v>
      </c>
      <c r="L469" s="46" t="s">
        <v>1161</v>
      </c>
      <c r="M469" s="38"/>
      <c r="N469" s="38"/>
      <c r="O469" s="38"/>
      <c r="P469" s="38"/>
      <c r="Q469" s="38"/>
      <c r="R469" s="48"/>
      <c r="S469" s="48"/>
      <c r="T469" s="48"/>
      <c r="U469" s="52"/>
      <c r="V469" s="50"/>
      <c r="W469" s="51"/>
      <c r="X469" s="56"/>
    </row>
    <row r="470" spans="1:24">
      <c r="A470" s="38">
        <v>410</v>
      </c>
      <c r="B470" s="38"/>
      <c r="C470" s="38"/>
      <c r="D470" s="38" t="s">
        <v>1522</v>
      </c>
      <c r="E470" s="40" t="s">
        <v>1523</v>
      </c>
      <c r="F470" s="41" t="s">
        <v>1524</v>
      </c>
      <c r="G470" s="42">
        <v>513</v>
      </c>
      <c r="H470" s="43"/>
      <c r="I470" s="44"/>
      <c r="J470" s="38">
        <f>513</f>
        <v>513</v>
      </c>
      <c r="K470" s="45">
        <v>7.6388888888888893E-4</v>
      </c>
      <c r="L470" s="46" t="s">
        <v>1161</v>
      </c>
      <c r="M470" s="38"/>
      <c r="N470" s="38"/>
      <c r="O470" s="38"/>
      <c r="P470" s="38"/>
      <c r="Q470" s="38"/>
      <c r="R470" s="48"/>
      <c r="S470" s="48"/>
      <c r="T470" s="48"/>
      <c r="U470" s="52"/>
      <c r="V470" s="50"/>
      <c r="W470" s="51"/>
      <c r="X470" s="56"/>
    </row>
    <row r="471" spans="1:24">
      <c r="A471" s="38">
        <v>411</v>
      </c>
      <c r="B471" s="38"/>
      <c r="C471" s="38"/>
      <c r="D471" s="38" t="s">
        <v>1525</v>
      </c>
      <c r="E471" s="40" t="s">
        <v>1526</v>
      </c>
      <c r="F471" s="41" t="s">
        <v>1366</v>
      </c>
      <c r="G471" s="42">
        <v>765</v>
      </c>
      <c r="H471" s="43"/>
      <c r="I471" s="44"/>
      <c r="J471" s="38">
        <f>765</f>
        <v>765</v>
      </c>
      <c r="K471" s="45">
        <v>2.615740740740741E-3</v>
      </c>
      <c r="L471" s="46" t="s">
        <v>1161</v>
      </c>
      <c r="M471" s="38"/>
      <c r="N471" s="38"/>
      <c r="O471" s="38"/>
      <c r="P471" s="38"/>
      <c r="Q471" s="38"/>
      <c r="R471" s="48"/>
      <c r="S471" s="48"/>
      <c r="T471" s="48"/>
      <c r="U471" s="52"/>
      <c r="V471" s="50"/>
      <c r="W471" s="51"/>
      <c r="X471" s="56"/>
    </row>
    <row r="472" spans="1:24">
      <c r="A472" s="38">
        <v>412</v>
      </c>
      <c r="B472" s="38"/>
      <c r="C472" s="38"/>
      <c r="D472" s="38" t="s">
        <v>1527</v>
      </c>
      <c r="E472" s="40" t="s">
        <v>1528</v>
      </c>
      <c r="F472" s="41" t="s">
        <v>1369</v>
      </c>
      <c r="G472" s="42">
        <v>477</v>
      </c>
      <c r="H472" s="43"/>
      <c r="I472" s="44"/>
      <c r="J472" s="38">
        <f>477</f>
        <v>477</v>
      </c>
      <c r="K472" s="45">
        <v>2.9629629629629628E-3</v>
      </c>
      <c r="L472" s="46" t="s">
        <v>1161</v>
      </c>
      <c r="M472" s="38"/>
      <c r="N472" s="38"/>
      <c r="O472" s="38"/>
      <c r="P472" s="38"/>
      <c r="Q472" s="38"/>
      <c r="R472" s="48"/>
      <c r="S472" s="48"/>
      <c r="T472" s="48"/>
      <c r="U472" s="52"/>
      <c r="V472" s="50"/>
      <c r="W472" s="51"/>
      <c r="X472" s="56"/>
    </row>
    <row r="473" spans="1:24">
      <c r="A473" s="38">
        <v>413</v>
      </c>
      <c r="B473" s="38"/>
      <c r="C473" s="38"/>
      <c r="D473" s="38" t="s">
        <v>1529</v>
      </c>
      <c r="E473" s="40" t="s">
        <v>1530</v>
      </c>
      <c r="F473" s="41" t="s">
        <v>1004</v>
      </c>
      <c r="G473" s="42">
        <v>742</v>
      </c>
      <c r="H473" s="43"/>
      <c r="I473" s="44"/>
      <c r="J473" s="38">
        <f>742</f>
        <v>742</v>
      </c>
      <c r="K473" s="45">
        <v>2.627314814814815E-3</v>
      </c>
      <c r="L473" s="46" t="s">
        <v>1161</v>
      </c>
      <c r="M473" s="38"/>
      <c r="N473" s="38"/>
      <c r="O473" s="38"/>
      <c r="P473" s="38"/>
      <c r="Q473" s="38"/>
      <c r="R473" s="48"/>
      <c r="S473" s="48"/>
      <c r="T473" s="48"/>
      <c r="U473" s="52"/>
      <c r="V473" s="50"/>
      <c r="W473" s="51"/>
      <c r="X473" s="56"/>
    </row>
    <row r="474" spans="1:24">
      <c r="A474" s="38">
        <v>414</v>
      </c>
      <c r="B474" s="38"/>
      <c r="C474" s="38"/>
      <c r="D474" s="38" t="s">
        <v>1531</v>
      </c>
      <c r="E474" s="40" t="s">
        <v>1532</v>
      </c>
      <c r="F474" s="41" t="s">
        <v>1073</v>
      </c>
      <c r="G474" s="42">
        <v>540</v>
      </c>
      <c r="H474" s="43"/>
      <c r="I474" s="44"/>
      <c r="J474" s="38">
        <f>540</f>
        <v>540</v>
      </c>
      <c r="K474" s="45">
        <v>3.9236111111111112E-3</v>
      </c>
      <c r="L474" s="46" t="s">
        <v>1161</v>
      </c>
      <c r="M474" s="38"/>
      <c r="N474" s="38"/>
      <c r="O474" s="38"/>
      <c r="P474" s="38"/>
      <c r="Q474" s="38"/>
      <c r="R474" s="48"/>
      <c r="S474" s="48"/>
      <c r="T474" s="48"/>
      <c r="U474" s="52"/>
      <c r="V474" s="50"/>
      <c r="W474" s="51"/>
      <c r="X474" s="56"/>
    </row>
    <row r="475" spans="1:24">
      <c r="A475" s="38">
        <v>415</v>
      </c>
      <c r="B475" s="38"/>
      <c r="C475" s="38"/>
      <c r="D475" s="38" t="s">
        <v>1533</v>
      </c>
      <c r="E475" s="40" t="s">
        <v>1534</v>
      </c>
      <c r="F475" s="41" t="s">
        <v>1475</v>
      </c>
      <c r="G475" s="42">
        <v>657</v>
      </c>
      <c r="H475" s="43"/>
      <c r="I475" s="44"/>
      <c r="J475" s="38">
        <f>657</f>
        <v>657</v>
      </c>
      <c r="K475" s="45">
        <v>1.0995370370370371E-3</v>
      </c>
      <c r="L475" s="46" t="s">
        <v>1161</v>
      </c>
      <c r="M475" s="38"/>
      <c r="N475" s="38"/>
      <c r="O475" s="38"/>
      <c r="P475" s="38"/>
      <c r="Q475" s="38"/>
      <c r="R475" s="48"/>
      <c r="S475" s="48"/>
      <c r="T475" s="48"/>
      <c r="U475" s="52"/>
      <c r="V475" s="50"/>
      <c r="W475" s="51"/>
      <c r="X475" s="56"/>
    </row>
    <row r="476" spans="1:24">
      <c r="A476" s="38">
        <v>416</v>
      </c>
      <c r="B476" s="38"/>
      <c r="C476" s="38"/>
      <c r="D476" s="38" t="s">
        <v>1535</v>
      </c>
      <c r="E476" s="40" t="s">
        <v>1536</v>
      </c>
      <c r="F476" s="41" t="s">
        <v>1336</v>
      </c>
      <c r="G476" s="42">
        <v>535</v>
      </c>
      <c r="H476" s="43"/>
      <c r="I476" s="44"/>
      <c r="J476" s="38">
        <f>535</f>
        <v>535</v>
      </c>
      <c r="K476" s="45">
        <v>1.7708333333333332E-3</v>
      </c>
      <c r="L476" s="46" t="s">
        <v>1161</v>
      </c>
      <c r="M476" s="38"/>
      <c r="N476" s="38"/>
      <c r="O476" s="38"/>
      <c r="P476" s="38"/>
      <c r="Q476" s="38"/>
      <c r="R476" s="48"/>
      <c r="S476" s="48"/>
      <c r="T476" s="48"/>
      <c r="U476" s="52"/>
      <c r="V476" s="50"/>
      <c r="W476" s="51"/>
      <c r="X476" s="56"/>
    </row>
    <row r="477" spans="1:24">
      <c r="A477" s="38">
        <v>417</v>
      </c>
      <c r="B477" s="38"/>
      <c r="C477" s="38"/>
      <c r="D477" s="38" t="s">
        <v>1537</v>
      </c>
      <c r="E477" s="40" t="s">
        <v>1538</v>
      </c>
      <c r="F477" s="58" t="s">
        <v>1539</v>
      </c>
      <c r="G477" s="42" t="s">
        <v>1540</v>
      </c>
      <c r="H477" s="43"/>
      <c r="I477" s="44"/>
      <c r="J477" s="38">
        <f>6.4*1000</f>
        <v>6400</v>
      </c>
      <c r="K477" s="45">
        <v>1.8807870370370371E-2</v>
      </c>
      <c r="L477" s="46" t="s">
        <v>1161</v>
      </c>
      <c r="M477" s="38"/>
      <c r="N477" s="38"/>
      <c r="O477" s="38"/>
      <c r="P477" s="38"/>
      <c r="Q477" s="38"/>
      <c r="R477" s="48"/>
      <c r="S477" s="48"/>
      <c r="T477" s="48"/>
      <c r="U477" s="52"/>
      <c r="V477" s="50"/>
      <c r="W477" s="51"/>
      <c r="X477" s="56"/>
    </row>
    <row r="478" spans="1:24">
      <c r="A478" s="38">
        <v>418</v>
      </c>
      <c r="B478" s="38"/>
      <c r="C478" s="38"/>
      <c r="D478" s="38" t="s">
        <v>1541</v>
      </c>
      <c r="E478" s="40" t="s">
        <v>1542</v>
      </c>
      <c r="F478" s="41" t="s">
        <v>1543</v>
      </c>
      <c r="G478" s="42">
        <v>257</v>
      </c>
      <c r="H478" s="43"/>
      <c r="I478" s="44"/>
      <c r="J478" s="38">
        <f>257</f>
        <v>257</v>
      </c>
      <c r="K478" s="45">
        <v>2.0486111111111113E-3</v>
      </c>
      <c r="L478" s="46" t="s">
        <v>1161</v>
      </c>
      <c r="M478" s="38"/>
      <c r="N478" s="38"/>
      <c r="O478" s="38"/>
      <c r="P478" s="38"/>
      <c r="Q478" s="38"/>
      <c r="R478" s="48"/>
      <c r="S478" s="48"/>
      <c r="T478" s="48"/>
      <c r="U478" s="52"/>
      <c r="V478" s="50"/>
      <c r="W478" s="51"/>
      <c r="X478" s="56"/>
    </row>
    <row r="479" spans="1:24">
      <c r="A479" s="38">
        <v>419</v>
      </c>
      <c r="B479" s="38"/>
      <c r="C479" s="38"/>
      <c r="D479" s="38" t="s">
        <v>1544</v>
      </c>
      <c r="E479" s="40" t="s">
        <v>1545</v>
      </c>
      <c r="F479" s="41" t="s">
        <v>1546</v>
      </c>
      <c r="G479" s="42">
        <v>485</v>
      </c>
      <c r="H479" s="43"/>
      <c r="I479" s="44"/>
      <c r="J479" s="38">
        <f>485</f>
        <v>485</v>
      </c>
      <c r="K479" s="45">
        <v>1.5624999999999999E-3</v>
      </c>
      <c r="L479" s="46" t="s">
        <v>1161</v>
      </c>
      <c r="M479" s="38"/>
      <c r="N479" s="38"/>
      <c r="O479" s="38"/>
      <c r="P479" s="38"/>
      <c r="Q479" s="38"/>
      <c r="R479" s="48"/>
      <c r="S479" s="48"/>
      <c r="T479" s="48"/>
      <c r="U479" s="52"/>
      <c r="V479" s="50"/>
      <c r="W479" s="51"/>
      <c r="X479" s="56"/>
    </row>
    <row r="480" spans="1:24">
      <c r="A480" s="38">
        <v>420</v>
      </c>
      <c r="B480" s="38"/>
      <c r="C480" s="38"/>
      <c r="D480" s="38" t="s">
        <v>1547</v>
      </c>
      <c r="E480" s="40" t="s">
        <v>1548</v>
      </c>
      <c r="F480" s="41" t="s">
        <v>1549</v>
      </c>
      <c r="G480" s="42">
        <v>994</v>
      </c>
      <c r="H480" s="43"/>
      <c r="I480" s="44"/>
      <c r="J480" s="38">
        <f>994</f>
        <v>994</v>
      </c>
      <c r="K480" s="45">
        <v>3.5879629629629635E-4</v>
      </c>
      <c r="L480" s="46" t="s">
        <v>1161</v>
      </c>
      <c r="M480" s="38"/>
      <c r="N480" s="38"/>
      <c r="O480" s="38"/>
      <c r="P480" s="38"/>
      <c r="Q480" s="38"/>
      <c r="R480" s="48"/>
      <c r="S480" s="48"/>
      <c r="T480" s="48"/>
      <c r="U480" s="52"/>
      <c r="V480" s="50"/>
      <c r="W480" s="51"/>
      <c r="X480" s="56"/>
    </row>
    <row r="481" spans="1:24">
      <c r="A481" s="38">
        <v>421</v>
      </c>
      <c r="B481" s="38"/>
      <c r="C481" s="38"/>
      <c r="D481" s="38" t="s">
        <v>1550</v>
      </c>
      <c r="E481" s="40" t="s">
        <v>1551</v>
      </c>
      <c r="F481" s="41" t="s">
        <v>1552</v>
      </c>
      <c r="G481" s="42" t="s">
        <v>357</v>
      </c>
      <c r="H481" s="43"/>
      <c r="I481" s="44"/>
      <c r="J481" s="38">
        <f>3.3*1000</f>
        <v>3300</v>
      </c>
      <c r="K481" s="45">
        <v>3.8194444444444443E-3</v>
      </c>
      <c r="L481" s="46" t="s">
        <v>1161</v>
      </c>
      <c r="M481" s="38"/>
      <c r="N481" s="38"/>
      <c r="O481" s="38"/>
      <c r="P481" s="38"/>
      <c r="Q481" s="38"/>
      <c r="R481" s="48"/>
      <c r="S481" s="48"/>
      <c r="T481" s="48"/>
      <c r="U481" s="52"/>
      <c r="V481" s="50"/>
      <c r="W481" s="51"/>
      <c r="X481" s="56"/>
    </row>
    <row r="482" spans="1:24">
      <c r="A482" s="38">
        <v>422</v>
      </c>
      <c r="B482" s="38"/>
      <c r="C482" s="38"/>
      <c r="D482" s="38" t="s">
        <v>1553</v>
      </c>
      <c r="E482" s="40" t="s">
        <v>1554</v>
      </c>
      <c r="F482" s="41" t="s">
        <v>1418</v>
      </c>
      <c r="G482" s="42">
        <v>376</v>
      </c>
      <c r="H482" s="43"/>
      <c r="I482" s="44"/>
      <c r="J482" s="38">
        <f>376</f>
        <v>376</v>
      </c>
      <c r="K482" s="45">
        <v>1.6203703703703703E-3</v>
      </c>
      <c r="L482" s="46" t="s">
        <v>1161</v>
      </c>
      <c r="M482" s="38"/>
      <c r="N482" s="38"/>
      <c r="O482" s="38"/>
      <c r="P482" s="38"/>
      <c r="Q482" s="38"/>
      <c r="R482" s="48"/>
      <c r="S482" s="48"/>
      <c r="T482" s="48"/>
      <c r="U482" s="52"/>
      <c r="V482" s="50"/>
      <c r="W482" s="51"/>
      <c r="X482" s="56"/>
    </row>
    <row r="483" spans="1:24">
      <c r="A483" s="38">
        <v>423</v>
      </c>
      <c r="B483" s="38"/>
      <c r="C483" s="38"/>
      <c r="D483" s="38" t="s">
        <v>1555</v>
      </c>
      <c r="E483" s="40" t="s">
        <v>1556</v>
      </c>
      <c r="F483" s="41" t="s">
        <v>1557</v>
      </c>
      <c r="G483" s="42">
        <v>263</v>
      </c>
      <c r="H483" s="43"/>
      <c r="I483" s="44"/>
      <c r="J483" s="38">
        <f>263</f>
        <v>263</v>
      </c>
      <c r="K483" s="45">
        <v>4.5138888888888892E-4</v>
      </c>
      <c r="L483" s="46" t="s">
        <v>1161</v>
      </c>
      <c r="M483" s="38"/>
      <c r="N483" s="38"/>
      <c r="O483" s="38"/>
      <c r="P483" s="38"/>
      <c r="Q483" s="38"/>
      <c r="R483" s="48"/>
      <c r="S483" s="48"/>
      <c r="T483" s="48"/>
      <c r="U483" s="52"/>
      <c r="V483" s="50"/>
      <c r="W483" s="51"/>
      <c r="X483" s="56"/>
    </row>
    <row r="484" spans="1:24">
      <c r="A484" s="38">
        <v>424</v>
      </c>
      <c r="B484" s="38"/>
      <c r="C484" s="38"/>
      <c r="D484" s="38" t="s">
        <v>1558</v>
      </c>
      <c r="E484" s="40" t="s">
        <v>1559</v>
      </c>
      <c r="F484" s="41" t="s">
        <v>1469</v>
      </c>
      <c r="G484" s="42">
        <v>309</v>
      </c>
      <c r="H484" s="43"/>
      <c r="I484" s="44"/>
      <c r="J484" s="38">
        <f>309</f>
        <v>309</v>
      </c>
      <c r="K484" s="45">
        <v>1.8171296296296297E-3</v>
      </c>
      <c r="L484" s="46" t="s">
        <v>1161</v>
      </c>
      <c r="M484" s="38"/>
      <c r="N484" s="38"/>
      <c r="O484" s="38"/>
      <c r="P484" s="38"/>
      <c r="Q484" s="38"/>
      <c r="R484" s="48"/>
      <c r="S484" s="48"/>
      <c r="T484" s="48"/>
      <c r="U484" s="52"/>
      <c r="V484" s="50"/>
      <c r="W484" s="51"/>
      <c r="X484" s="56"/>
    </row>
    <row r="485" spans="1:24">
      <c r="A485" s="38">
        <v>425</v>
      </c>
      <c r="B485" s="38"/>
      <c r="C485" s="38"/>
      <c r="D485" s="38" t="s">
        <v>1560</v>
      </c>
      <c r="E485" s="40" t="s">
        <v>1561</v>
      </c>
      <c r="F485" s="41" t="s">
        <v>1562</v>
      </c>
      <c r="G485" s="42">
        <v>899</v>
      </c>
      <c r="H485" s="43"/>
      <c r="I485" s="44"/>
      <c r="J485" s="38">
        <f>899</f>
        <v>899</v>
      </c>
      <c r="K485" s="45">
        <v>8.9120370370370362E-4</v>
      </c>
      <c r="L485" s="46" t="s">
        <v>1161</v>
      </c>
      <c r="M485" s="38"/>
      <c r="N485" s="38"/>
      <c r="O485" s="38"/>
      <c r="P485" s="38"/>
      <c r="Q485" s="38"/>
      <c r="R485" s="48"/>
      <c r="S485" s="48"/>
      <c r="T485" s="48"/>
      <c r="U485" s="52"/>
      <c r="V485" s="50"/>
      <c r="W485" s="51"/>
      <c r="X485" s="56"/>
    </row>
    <row r="486" spans="1:24">
      <c r="A486" s="38">
        <v>426</v>
      </c>
      <c r="B486" s="38"/>
      <c r="C486" s="38"/>
      <c r="D486" s="38" t="s">
        <v>1563</v>
      </c>
      <c r="E486" s="40" t="s">
        <v>1564</v>
      </c>
      <c r="F486" s="41" t="s">
        <v>745</v>
      </c>
      <c r="G486" s="42" t="s">
        <v>568</v>
      </c>
      <c r="H486" s="43"/>
      <c r="I486" s="44"/>
      <c r="J486" s="38">
        <f>1.4*1000</f>
        <v>1400</v>
      </c>
      <c r="K486" s="45">
        <v>1.736111111111111E-3</v>
      </c>
      <c r="L486" s="46" t="s">
        <v>1161</v>
      </c>
      <c r="M486" s="38"/>
      <c r="N486" s="38"/>
      <c r="O486" s="38"/>
      <c r="P486" s="38"/>
      <c r="Q486" s="38"/>
      <c r="R486" s="48"/>
      <c r="S486" s="48"/>
      <c r="T486" s="48"/>
      <c r="U486" s="52"/>
      <c r="V486" s="50"/>
      <c r="W486" s="51"/>
      <c r="X486" s="56"/>
    </row>
    <row r="487" spans="1:24">
      <c r="A487" s="38">
        <v>427</v>
      </c>
      <c r="B487" s="38"/>
      <c r="C487" s="38"/>
      <c r="D487" s="38" t="s">
        <v>1565</v>
      </c>
      <c r="E487" s="40" t="s">
        <v>1566</v>
      </c>
      <c r="F487" s="41" t="s">
        <v>1567</v>
      </c>
      <c r="G487" s="42">
        <v>328</v>
      </c>
      <c r="H487" s="43"/>
      <c r="I487" s="44"/>
      <c r="J487" s="38">
        <f>328</f>
        <v>328</v>
      </c>
      <c r="K487" s="45">
        <v>2.3958333333333336E-3</v>
      </c>
      <c r="L487" s="46" t="s">
        <v>1161</v>
      </c>
      <c r="M487" s="38"/>
      <c r="N487" s="38"/>
      <c r="O487" s="38"/>
      <c r="P487" s="38"/>
      <c r="Q487" s="38"/>
      <c r="R487" s="48"/>
      <c r="S487" s="48"/>
      <c r="T487" s="48"/>
      <c r="U487" s="52"/>
      <c r="V487" s="50"/>
      <c r="W487" s="51"/>
      <c r="X487" s="56"/>
    </row>
    <row r="488" spans="1:24">
      <c r="A488" s="38">
        <v>428</v>
      </c>
      <c r="B488" s="38"/>
      <c r="C488" s="38"/>
      <c r="D488" s="38" t="s">
        <v>1568</v>
      </c>
      <c r="E488" s="40" t="s">
        <v>1569</v>
      </c>
      <c r="F488" s="41" t="s">
        <v>231</v>
      </c>
      <c r="G488" s="42">
        <v>776</v>
      </c>
      <c r="H488" s="43"/>
      <c r="I488" s="44"/>
      <c r="J488" s="38">
        <f>776</f>
        <v>776</v>
      </c>
      <c r="K488" s="45">
        <v>1.3078703703703705E-3</v>
      </c>
      <c r="L488" s="46" t="s">
        <v>1161</v>
      </c>
      <c r="M488" s="38"/>
      <c r="N488" s="38"/>
      <c r="O488" s="38"/>
      <c r="P488" s="38"/>
      <c r="Q488" s="38"/>
      <c r="R488" s="48"/>
      <c r="S488" s="48"/>
      <c r="T488" s="48"/>
      <c r="U488" s="52"/>
      <c r="V488" s="50"/>
      <c r="W488" s="51"/>
      <c r="X488" s="56"/>
    </row>
    <row r="489" spans="1:24">
      <c r="A489" s="38">
        <v>429</v>
      </c>
      <c r="B489" s="38"/>
      <c r="C489" s="38"/>
      <c r="D489" s="38" t="s">
        <v>1570</v>
      </c>
      <c r="E489" s="40" t="s">
        <v>1571</v>
      </c>
      <c r="F489" s="41" t="s">
        <v>1572</v>
      </c>
      <c r="G489" s="42">
        <v>241</v>
      </c>
      <c r="H489" s="43"/>
      <c r="I489" s="44"/>
      <c r="J489" s="38">
        <f>241</f>
        <v>241</v>
      </c>
      <c r="K489" s="45">
        <v>1.2962962962962963E-3</v>
      </c>
      <c r="L489" s="46" t="s">
        <v>1161</v>
      </c>
      <c r="M489" s="38"/>
      <c r="N489" s="38"/>
      <c r="O489" s="38"/>
      <c r="P489" s="38"/>
      <c r="Q489" s="38"/>
      <c r="R489" s="48"/>
      <c r="S489" s="48"/>
      <c r="T489" s="48"/>
      <c r="U489" s="52"/>
      <c r="V489" s="50"/>
      <c r="W489" s="51"/>
      <c r="X489" s="56"/>
    </row>
    <row r="490" spans="1:24">
      <c r="A490" s="38">
        <v>430</v>
      </c>
      <c r="B490" s="38"/>
      <c r="C490" s="38"/>
      <c r="D490" s="38" t="s">
        <v>1573</v>
      </c>
      <c r="E490" s="40" t="s">
        <v>1574</v>
      </c>
      <c r="F490" s="41" t="s">
        <v>1575</v>
      </c>
      <c r="G490" s="42">
        <v>440</v>
      </c>
      <c r="H490" s="43"/>
      <c r="I490" s="44"/>
      <c r="J490" s="38">
        <f>440</f>
        <v>440</v>
      </c>
      <c r="K490" s="45">
        <v>4.386574074074074E-3</v>
      </c>
      <c r="L490" s="46" t="s">
        <v>1161</v>
      </c>
      <c r="M490" s="38"/>
      <c r="N490" s="38"/>
      <c r="O490" s="38"/>
      <c r="P490" s="38"/>
      <c r="Q490" s="38"/>
      <c r="R490" s="48"/>
      <c r="S490" s="48"/>
      <c r="T490" s="48"/>
      <c r="U490" s="52"/>
      <c r="V490" s="50"/>
      <c r="W490" s="51"/>
      <c r="X490" s="56"/>
    </row>
    <row r="491" spans="1:24">
      <c r="A491" s="38">
        <v>431</v>
      </c>
      <c r="B491" s="38"/>
      <c r="C491" s="38"/>
      <c r="D491" s="38" t="s">
        <v>1576</v>
      </c>
      <c r="E491" s="40" t="s">
        <v>1577</v>
      </c>
      <c r="F491" s="41" t="s">
        <v>1578</v>
      </c>
      <c r="G491" s="42">
        <v>801</v>
      </c>
      <c r="H491" s="43"/>
      <c r="I491" s="44"/>
      <c r="J491" s="38">
        <f>801</f>
        <v>801</v>
      </c>
      <c r="K491" s="45">
        <v>3.414351851851852E-3</v>
      </c>
      <c r="L491" s="46" t="s">
        <v>1161</v>
      </c>
      <c r="M491" s="38"/>
      <c r="N491" s="38"/>
      <c r="O491" s="38"/>
      <c r="P491" s="38"/>
      <c r="Q491" s="38"/>
      <c r="R491" s="48"/>
      <c r="S491" s="48"/>
      <c r="T491" s="48"/>
      <c r="U491" s="52"/>
      <c r="V491" s="50"/>
      <c r="W491" s="51"/>
      <c r="X491" s="56"/>
    </row>
    <row r="492" spans="1:24">
      <c r="A492" s="38">
        <v>432</v>
      </c>
      <c r="B492" s="38"/>
      <c r="C492" s="38"/>
      <c r="D492" s="38" t="s">
        <v>1579</v>
      </c>
      <c r="E492" s="40" t="s">
        <v>1580</v>
      </c>
      <c r="F492" s="41" t="s">
        <v>1581</v>
      </c>
      <c r="G492" s="42">
        <v>271</v>
      </c>
      <c r="H492" s="43"/>
      <c r="I492" s="44"/>
      <c r="J492" s="38">
        <f>271</f>
        <v>271</v>
      </c>
      <c r="K492" s="45">
        <v>2.4537037037037036E-3</v>
      </c>
      <c r="L492" s="46" t="s">
        <v>1161</v>
      </c>
      <c r="M492" s="38"/>
      <c r="N492" s="38"/>
      <c r="O492" s="38"/>
      <c r="P492" s="38"/>
      <c r="Q492" s="38"/>
      <c r="R492" s="48"/>
      <c r="S492" s="48"/>
      <c r="T492" s="48"/>
      <c r="U492" s="52"/>
      <c r="V492" s="50"/>
      <c r="W492" s="51"/>
      <c r="X492" s="56"/>
    </row>
    <row r="493" spans="1:24">
      <c r="A493" s="38">
        <v>433</v>
      </c>
      <c r="B493" s="38"/>
      <c r="C493" s="38"/>
      <c r="D493" s="38" t="s">
        <v>1582</v>
      </c>
      <c r="E493" s="40" t="s">
        <v>1583</v>
      </c>
      <c r="F493" s="41" t="s">
        <v>127</v>
      </c>
      <c r="G493" s="42">
        <v>296</v>
      </c>
      <c r="H493" s="43"/>
      <c r="I493" s="44"/>
      <c r="J493" s="38">
        <f>296</f>
        <v>296</v>
      </c>
      <c r="K493" s="45">
        <v>2.1643518518518518E-3</v>
      </c>
      <c r="L493" s="46" t="s">
        <v>1161</v>
      </c>
      <c r="M493" s="38"/>
      <c r="N493" s="38"/>
      <c r="O493" s="38"/>
      <c r="P493" s="38"/>
      <c r="Q493" s="38"/>
      <c r="R493" s="48"/>
      <c r="S493" s="48"/>
      <c r="T493" s="48"/>
      <c r="U493" s="52"/>
      <c r="V493" s="50"/>
      <c r="W493" s="51"/>
      <c r="X493" s="56"/>
    </row>
    <row r="494" spans="1:24">
      <c r="A494" s="38">
        <v>434</v>
      </c>
      <c r="B494" s="38"/>
      <c r="C494" s="38"/>
      <c r="D494" s="38" t="s">
        <v>1584</v>
      </c>
      <c r="E494" s="40" t="s">
        <v>1585</v>
      </c>
      <c r="F494" s="41" t="s">
        <v>1586</v>
      </c>
      <c r="G494" s="42">
        <v>696</v>
      </c>
      <c r="H494" s="43"/>
      <c r="I494" s="44"/>
      <c r="J494" s="38">
        <f>696</f>
        <v>696</v>
      </c>
      <c r="K494" s="45">
        <v>2.8472222222222219E-3</v>
      </c>
      <c r="L494" s="46" t="s">
        <v>1161</v>
      </c>
      <c r="M494" s="38"/>
      <c r="N494" s="38"/>
      <c r="O494" s="38"/>
      <c r="P494" s="38"/>
      <c r="Q494" s="38"/>
      <c r="R494" s="48"/>
      <c r="S494" s="48"/>
      <c r="T494" s="48"/>
      <c r="U494" s="52"/>
      <c r="V494" s="50"/>
      <c r="W494" s="51"/>
      <c r="X494" s="56"/>
    </row>
    <row r="495" spans="1:24">
      <c r="A495" s="38">
        <v>435</v>
      </c>
      <c r="B495" s="38"/>
      <c r="C495" s="38"/>
      <c r="D495" s="38" t="s">
        <v>1587</v>
      </c>
      <c r="E495" s="40" t="s">
        <v>1588</v>
      </c>
      <c r="F495" s="41" t="s">
        <v>1589</v>
      </c>
      <c r="G495" s="42" t="s">
        <v>249</v>
      </c>
      <c r="H495" s="43"/>
      <c r="I495" s="44"/>
      <c r="J495" s="38">
        <f>2.4*1000</f>
        <v>2400</v>
      </c>
      <c r="K495" s="45">
        <v>1.3310185185185187E-2</v>
      </c>
      <c r="L495" s="46" t="s">
        <v>1161</v>
      </c>
      <c r="M495" s="38"/>
      <c r="N495" s="38"/>
      <c r="O495" s="38"/>
      <c r="P495" s="38"/>
      <c r="Q495" s="38"/>
      <c r="R495" s="48"/>
      <c r="S495" s="48"/>
      <c r="T495" s="48"/>
      <c r="U495" s="52"/>
      <c r="V495" s="50"/>
      <c r="W495" s="51"/>
      <c r="X495" s="56"/>
    </row>
    <row r="496" spans="1:24">
      <c r="A496" s="38">
        <v>436</v>
      </c>
      <c r="B496" s="38"/>
      <c r="C496" s="38"/>
      <c r="D496" s="38" t="s">
        <v>1590</v>
      </c>
      <c r="E496" s="40" t="s">
        <v>1591</v>
      </c>
      <c r="F496" s="41" t="s">
        <v>1277</v>
      </c>
      <c r="G496" s="42">
        <v>928</v>
      </c>
      <c r="H496" s="43"/>
      <c r="I496" s="44"/>
      <c r="J496" s="38">
        <f>928</f>
        <v>928</v>
      </c>
      <c r="K496" s="45">
        <v>1.5972222222222221E-3</v>
      </c>
      <c r="L496" s="46" t="s">
        <v>1161</v>
      </c>
      <c r="M496" s="38"/>
      <c r="N496" s="38"/>
      <c r="O496" s="38"/>
      <c r="P496" s="38"/>
      <c r="Q496" s="38"/>
      <c r="R496" s="48"/>
      <c r="S496" s="48"/>
      <c r="T496" s="48"/>
      <c r="U496" s="52"/>
      <c r="V496" s="50"/>
      <c r="W496" s="51"/>
      <c r="X496" s="56"/>
    </row>
    <row r="497" spans="1:24">
      <c r="A497" s="38">
        <v>437</v>
      </c>
      <c r="B497" s="38"/>
      <c r="C497" s="38"/>
      <c r="D497" s="38" t="s">
        <v>1592</v>
      </c>
      <c r="E497" s="40" t="s">
        <v>1593</v>
      </c>
      <c r="F497" s="41" t="s">
        <v>1594</v>
      </c>
      <c r="G497" s="42">
        <v>261</v>
      </c>
      <c r="H497" s="43"/>
      <c r="I497" s="44"/>
      <c r="J497" s="38">
        <f>261</f>
        <v>261</v>
      </c>
      <c r="K497" s="45">
        <v>4.5833333333333334E-3</v>
      </c>
      <c r="L497" s="46" t="s">
        <v>1161</v>
      </c>
      <c r="M497" s="38"/>
      <c r="N497" s="38"/>
      <c r="O497" s="38"/>
      <c r="P497" s="38"/>
      <c r="Q497" s="38"/>
      <c r="R497" s="48"/>
      <c r="S497" s="48"/>
      <c r="T497" s="48"/>
      <c r="U497" s="52"/>
      <c r="V497" s="50"/>
      <c r="W497" s="51"/>
      <c r="X497" s="56"/>
    </row>
    <row r="498" spans="1:24">
      <c r="A498" s="38">
        <v>438</v>
      </c>
      <c r="B498" s="38"/>
      <c r="C498" s="38"/>
      <c r="D498" s="38" t="s">
        <v>1595</v>
      </c>
      <c r="E498" s="40" t="s">
        <v>1596</v>
      </c>
      <c r="F498" s="41" t="s">
        <v>1597</v>
      </c>
      <c r="G498" s="42">
        <v>309</v>
      </c>
      <c r="H498" s="43"/>
      <c r="I498" s="44"/>
      <c r="J498" s="38">
        <f>309</f>
        <v>309</v>
      </c>
      <c r="K498" s="45">
        <v>2.0833333333333333E-3</v>
      </c>
      <c r="L498" s="46" t="s">
        <v>1161</v>
      </c>
      <c r="M498" s="38"/>
      <c r="N498" s="38"/>
      <c r="O498" s="38"/>
      <c r="P498" s="38"/>
      <c r="Q498" s="38"/>
      <c r="R498" s="48"/>
      <c r="S498" s="48"/>
      <c r="T498" s="48"/>
      <c r="U498" s="52"/>
      <c r="V498" s="50"/>
      <c r="W498" s="51"/>
      <c r="X498" s="56"/>
    </row>
    <row r="499" spans="1:24">
      <c r="A499" s="38">
        <v>439</v>
      </c>
      <c r="B499" s="38"/>
      <c r="C499" s="38"/>
      <c r="D499" s="38" t="s">
        <v>1598</v>
      </c>
      <c r="E499" s="40" t="s">
        <v>1599</v>
      </c>
      <c r="F499" s="41" t="s">
        <v>1600</v>
      </c>
      <c r="G499" s="42">
        <v>184</v>
      </c>
      <c r="H499" s="43"/>
      <c r="I499" s="44"/>
      <c r="J499" s="38">
        <f>184</f>
        <v>184</v>
      </c>
      <c r="K499" s="45">
        <v>1.9675925925925928E-3</v>
      </c>
      <c r="L499" s="46" t="s">
        <v>1161</v>
      </c>
      <c r="M499" s="38"/>
      <c r="N499" s="38"/>
      <c r="O499" s="38"/>
      <c r="P499" s="38"/>
      <c r="Q499" s="38"/>
      <c r="R499" s="48"/>
      <c r="S499" s="48"/>
      <c r="T499" s="48"/>
      <c r="U499" s="52"/>
      <c r="V499" s="50"/>
      <c r="W499" s="51"/>
      <c r="X499" s="56"/>
    </row>
    <row r="500" spans="1:24">
      <c r="A500" s="38">
        <v>440</v>
      </c>
      <c r="B500" s="38"/>
      <c r="C500" s="38"/>
      <c r="D500" s="38" t="s">
        <v>1601</v>
      </c>
      <c r="E500" s="40" t="s">
        <v>1602</v>
      </c>
      <c r="F500" s="41" t="s">
        <v>1603</v>
      </c>
      <c r="G500" s="42">
        <v>380</v>
      </c>
      <c r="H500" s="43"/>
      <c r="I500" s="44"/>
      <c r="J500" s="38">
        <f>380</f>
        <v>380</v>
      </c>
      <c r="K500" s="45">
        <v>3.6342592592592594E-3</v>
      </c>
      <c r="L500" s="46" t="s">
        <v>1161</v>
      </c>
      <c r="M500" s="38"/>
      <c r="N500" s="38"/>
      <c r="O500" s="38"/>
      <c r="P500" s="38"/>
      <c r="Q500" s="38"/>
      <c r="R500" s="48"/>
      <c r="S500" s="48"/>
      <c r="T500" s="48"/>
      <c r="U500" s="52"/>
      <c r="V500" s="50"/>
      <c r="W500" s="51"/>
      <c r="X500" s="56"/>
    </row>
    <row r="501" spans="1:24">
      <c r="A501" s="38">
        <v>441</v>
      </c>
      <c r="B501" s="38"/>
      <c r="C501" s="38"/>
      <c r="D501" s="38" t="s">
        <v>1604</v>
      </c>
      <c r="E501" s="40" t="s">
        <v>1605</v>
      </c>
      <c r="F501" s="41" t="s">
        <v>1606</v>
      </c>
      <c r="G501" s="42">
        <v>398</v>
      </c>
      <c r="H501" s="43"/>
      <c r="I501" s="44"/>
      <c r="J501" s="38">
        <f>398</f>
        <v>398</v>
      </c>
      <c r="K501" s="45">
        <v>1.2152777777777778E-3</v>
      </c>
      <c r="L501" s="46" t="s">
        <v>1161</v>
      </c>
      <c r="M501" s="38"/>
      <c r="N501" s="38"/>
      <c r="O501" s="38"/>
      <c r="P501" s="38"/>
      <c r="Q501" s="38"/>
      <c r="R501" s="48"/>
      <c r="S501" s="48"/>
      <c r="T501" s="48"/>
      <c r="U501" s="52"/>
      <c r="V501" s="50"/>
      <c r="W501" s="51"/>
      <c r="X501" s="56"/>
    </row>
    <row r="502" spans="1:24">
      <c r="A502" s="38">
        <v>442</v>
      </c>
      <c r="B502" s="38"/>
      <c r="C502" s="38"/>
      <c r="D502" s="38" t="s">
        <v>1607</v>
      </c>
      <c r="E502" s="40" t="s">
        <v>1608</v>
      </c>
      <c r="F502" s="41" t="s">
        <v>902</v>
      </c>
      <c r="G502" s="42">
        <v>667</v>
      </c>
      <c r="H502" s="43"/>
      <c r="I502" s="44"/>
      <c r="J502" s="38">
        <f>667</f>
        <v>667</v>
      </c>
      <c r="K502" s="45">
        <v>4.3518518518518515E-3</v>
      </c>
      <c r="L502" s="46" t="s">
        <v>1161</v>
      </c>
      <c r="M502" s="38"/>
      <c r="N502" s="38"/>
      <c r="O502" s="38"/>
      <c r="P502" s="38"/>
      <c r="Q502" s="38"/>
      <c r="R502" s="48"/>
      <c r="S502" s="48"/>
      <c r="T502" s="48"/>
      <c r="U502" s="52"/>
      <c r="V502" s="50"/>
      <c r="W502" s="51"/>
      <c r="X502" s="56"/>
    </row>
    <row r="503" spans="1:24">
      <c r="A503" s="38">
        <v>443</v>
      </c>
      <c r="B503" s="38"/>
      <c r="C503" s="38"/>
      <c r="D503" s="38" t="s">
        <v>1609</v>
      </c>
      <c r="E503" s="40" t="s">
        <v>1610</v>
      </c>
      <c r="F503" s="41" t="s">
        <v>1611</v>
      </c>
      <c r="G503" s="42" t="s">
        <v>1005</v>
      </c>
      <c r="H503" s="43"/>
      <c r="I503" s="44"/>
      <c r="J503" s="38">
        <f>1.6*1000</f>
        <v>1600</v>
      </c>
      <c r="K503" s="45">
        <v>5.2777777777777771E-3</v>
      </c>
      <c r="L503" s="46" t="s">
        <v>1161</v>
      </c>
      <c r="M503" s="38"/>
      <c r="N503" s="38"/>
      <c r="O503" s="38"/>
      <c r="P503" s="38"/>
      <c r="Q503" s="38"/>
      <c r="R503" s="48"/>
      <c r="S503" s="48"/>
      <c r="T503" s="48"/>
      <c r="U503" s="52"/>
      <c r="V503" s="50"/>
      <c r="W503" s="51"/>
      <c r="X503" s="56"/>
    </row>
    <row r="504" spans="1:24">
      <c r="A504" s="38">
        <v>444</v>
      </c>
      <c r="B504" s="38"/>
      <c r="C504" s="38"/>
      <c r="D504" s="38" t="s">
        <v>1612</v>
      </c>
      <c r="E504" s="40" t="s">
        <v>1613</v>
      </c>
      <c r="F504" s="41" t="s">
        <v>760</v>
      </c>
      <c r="G504" s="42">
        <v>797</v>
      </c>
      <c r="H504" s="43"/>
      <c r="I504" s="44"/>
      <c r="J504" s="38">
        <f>797</f>
        <v>797</v>
      </c>
      <c r="K504" s="45">
        <v>1.4699074074074074E-3</v>
      </c>
      <c r="L504" s="46" t="s">
        <v>1161</v>
      </c>
      <c r="M504" s="38"/>
      <c r="N504" s="38"/>
      <c r="O504" s="38"/>
      <c r="P504" s="38"/>
      <c r="Q504" s="38"/>
      <c r="R504" s="48"/>
      <c r="S504" s="48"/>
      <c r="T504" s="48"/>
      <c r="U504" s="52"/>
      <c r="V504" s="50"/>
      <c r="W504" s="51"/>
      <c r="X504" s="56"/>
    </row>
    <row r="505" spans="1:24">
      <c r="A505" s="38">
        <v>445</v>
      </c>
      <c r="B505" s="38"/>
      <c r="C505" s="38"/>
      <c r="D505" s="38" t="s">
        <v>1614</v>
      </c>
      <c r="E505" s="40" t="s">
        <v>1615</v>
      </c>
      <c r="F505" s="41" t="s">
        <v>1616</v>
      </c>
      <c r="G505" s="42">
        <v>327</v>
      </c>
      <c r="H505" s="43"/>
      <c r="I505" s="44"/>
      <c r="J505" s="38">
        <f>327</f>
        <v>327</v>
      </c>
      <c r="K505" s="45">
        <v>3.2060185185185191E-3</v>
      </c>
      <c r="L505" s="46" t="s">
        <v>1161</v>
      </c>
      <c r="M505" s="38"/>
      <c r="N505" s="38"/>
      <c r="O505" s="38"/>
      <c r="P505" s="38"/>
      <c r="Q505" s="38"/>
      <c r="R505" s="48"/>
      <c r="S505" s="48"/>
      <c r="T505" s="48"/>
      <c r="U505" s="52"/>
      <c r="V505" s="50"/>
      <c r="W505" s="51"/>
      <c r="X505" s="56"/>
    </row>
    <row r="506" spans="1:24">
      <c r="A506" s="38">
        <v>446</v>
      </c>
      <c r="B506" s="38"/>
      <c r="C506" s="38"/>
      <c r="D506" s="38" t="s">
        <v>1617</v>
      </c>
      <c r="E506" s="40" t="s">
        <v>1618</v>
      </c>
      <c r="F506" s="41" t="s">
        <v>1562</v>
      </c>
      <c r="G506" s="42">
        <v>173</v>
      </c>
      <c r="H506" s="43"/>
      <c r="I506" s="44"/>
      <c r="J506" s="38">
        <f>173</f>
        <v>173</v>
      </c>
      <c r="K506" s="45">
        <v>8.9120370370370362E-4</v>
      </c>
      <c r="L506" s="46" t="s">
        <v>1161</v>
      </c>
      <c r="M506" s="38"/>
      <c r="N506" s="38"/>
      <c r="O506" s="38"/>
      <c r="P506" s="38"/>
      <c r="Q506" s="38"/>
      <c r="R506" s="48"/>
      <c r="S506" s="48"/>
      <c r="T506" s="48"/>
      <c r="U506" s="52"/>
      <c r="V506" s="50"/>
      <c r="W506" s="51"/>
      <c r="X506" s="56"/>
    </row>
    <row r="507" spans="1:24">
      <c r="A507" s="38">
        <v>447</v>
      </c>
      <c r="B507" s="38"/>
      <c r="C507" s="38"/>
      <c r="D507" s="38" t="s">
        <v>1619</v>
      </c>
      <c r="E507" s="40" t="s">
        <v>1620</v>
      </c>
      <c r="F507" s="41" t="s">
        <v>1621</v>
      </c>
      <c r="G507" s="42">
        <v>297</v>
      </c>
      <c r="H507" s="43"/>
      <c r="I507" s="44"/>
      <c r="J507" s="38">
        <f>297</f>
        <v>297</v>
      </c>
      <c r="K507" s="45">
        <v>4.2129629629629626E-3</v>
      </c>
      <c r="L507" s="46" t="s">
        <v>1161</v>
      </c>
      <c r="M507" s="38"/>
      <c r="N507" s="38"/>
      <c r="O507" s="38"/>
      <c r="P507" s="38"/>
      <c r="Q507" s="38"/>
      <c r="R507" s="48"/>
      <c r="S507" s="48"/>
      <c r="T507" s="48"/>
      <c r="U507" s="52"/>
      <c r="V507" s="50"/>
      <c r="W507" s="51"/>
      <c r="X507" s="56"/>
    </row>
    <row r="508" spans="1:24">
      <c r="A508" s="38">
        <v>448</v>
      </c>
      <c r="B508" s="38"/>
      <c r="C508" s="38"/>
      <c r="D508" s="38" t="s">
        <v>1622</v>
      </c>
      <c r="E508" s="40" t="s">
        <v>1623</v>
      </c>
      <c r="F508" s="41" t="s">
        <v>944</v>
      </c>
      <c r="G508" s="42">
        <v>182</v>
      </c>
      <c r="H508" s="43"/>
      <c r="I508" s="44"/>
      <c r="J508" s="38">
        <f>182</f>
        <v>182</v>
      </c>
      <c r="K508" s="45">
        <v>2.7314814814814819E-3</v>
      </c>
      <c r="L508" s="46" t="s">
        <v>1161</v>
      </c>
      <c r="M508" s="38"/>
      <c r="N508" s="38"/>
      <c r="O508" s="38"/>
      <c r="P508" s="38"/>
      <c r="Q508" s="38"/>
      <c r="R508" s="48"/>
      <c r="S508" s="48"/>
      <c r="T508" s="48"/>
      <c r="U508" s="52"/>
      <c r="V508" s="50"/>
      <c r="W508" s="51"/>
      <c r="X508" s="56"/>
    </row>
    <row r="509" spans="1:24">
      <c r="A509" s="38">
        <v>449</v>
      </c>
      <c r="B509" s="38"/>
      <c r="C509" s="38"/>
      <c r="D509" s="38" t="s">
        <v>1624</v>
      </c>
      <c r="E509" s="40" t="s">
        <v>1625</v>
      </c>
      <c r="F509" s="41" t="s">
        <v>1626</v>
      </c>
      <c r="G509" s="42" t="s">
        <v>782</v>
      </c>
      <c r="H509" s="43"/>
      <c r="I509" s="44"/>
      <c r="J509" s="38">
        <f>1.8*1000</f>
        <v>1800</v>
      </c>
      <c r="K509" s="45">
        <v>1.0081018518518519E-2</v>
      </c>
      <c r="L509" s="46" t="s">
        <v>1161</v>
      </c>
      <c r="M509" s="38"/>
      <c r="N509" s="38"/>
      <c r="O509" s="38"/>
      <c r="P509" s="38"/>
      <c r="Q509" s="38"/>
      <c r="R509" s="48"/>
      <c r="S509" s="48"/>
      <c r="T509" s="48"/>
      <c r="U509" s="52"/>
      <c r="V509" s="50"/>
      <c r="W509" s="51"/>
      <c r="X509" s="56"/>
    </row>
    <row r="510" spans="1:24">
      <c r="A510" s="38">
        <v>450</v>
      </c>
      <c r="B510" s="38"/>
      <c r="C510" s="38"/>
      <c r="D510" s="38" t="s">
        <v>1627</v>
      </c>
      <c r="E510" s="40" t="s">
        <v>1628</v>
      </c>
      <c r="F510" s="58" t="s">
        <v>1629</v>
      </c>
      <c r="G510" s="42" t="s">
        <v>210</v>
      </c>
      <c r="H510" s="43"/>
      <c r="I510" s="44"/>
      <c r="J510" s="38">
        <f>3.6*1000</f>
        <v>3600</v>
      </c>
      <c r="K510" s="45">
        <v>2.7025462962962959E-2</v>
      </c>
      <c r="L510" s="46" t="s">
        <v>1161</v>
      </c>
      <c r="M510" s="38"/>
      <c r="N510" s="38"/>
      <c r="O510" s="38"/>
      <c r="P510" s="38"/>
      <c r="Q510" s="38"/>
      <c r="R510" s="48"/>
      <c r="S510" s="48"/>
      <c r="T510" s="48"/>
      <c r="U510" s="52"/>
      <c r="V510" s="50"/>
      <c r="W510" s="51"/>
      <c r="X510" s="56"/>
    </row>
    <row r="511" spans="1:24">
      <c r="A511" s="38">
        <v>451</v>
      </c>
      <c r="B511" s="38"/>
      <c r="C511" s="38"/>
      <c r="D511" s="38" t="s">
        <v>1630</v>
      </c>
      <c r="E511" s="40" t="s">
        <v>1631</v>
      </c>
      <c r="F511" s="41" t="s">
        <v>1632</v>
      </c>
      <c r="G511" s="42">
        <v>198</v>
      </c>
      <c r="H511" s="43"/>
      <c r="I511" s="44"/>
      <c r="J511" s="38">
        <f>198</f>
        <v>198</v>
      </c>
      <c r="K511" s="45">
        <v>2.3611111111111111E-3</v>
      </c>
      <c r="L511" s="46" t="s">
        <v>1161</v>
      </c>
      <c r="M511" s="38"/>
      <c r="N511" s="38"/>
      <c r="O511" s="38"/>
      <c r="P511" s="38"/>
      <c r="Q511" s="38"/>
      <c r="R511" s="48"/>
      <c r="S511" s="48"/>
      <c r="T511" s="48"/>
      <c r="U511" s="52"/>
      <c r="V511" s="50"/>
      <c r="W511" s="51"/>
      <c r="X511" s="56"/>
    </row>
    <row r="512" spans="1:24">
      <c r="A512" s="38">
        <v>452</v>
      </c>
      <c r="B512" s="38"/>
      <c r="C512" s="38"/>
      <c r="D512" s="38" t="s">
        <v>1633</v>
      </c>
      <c r="E512" s="40" t="s">
        <v>1634</v>
      </c>
      <c r="F512" s="41" t="s">
        <v>1635</v>
      </c>
      <c r="G512" s="42">
        <v>193</v>
      </c>
      <c r="H512" s="43"/>
      <c r="I512" s="44"/>
      <c r="J512" s="38">
        <f>193</f>
        <v>193</v>
      </c>
      <c r="K512" s="45">
        <v>1.7013888888888892E-3</v>
      </c>
      <c r="L512" s="46" t="s">
        <v>1161</v>
      </c>
      <c r="M512" s="38"/>
      <c r="N512" s="38"/>
      <c r="O512" s="38"/>
      <c r="P512" s="38"/>
      <c r="Q512" s="38"/>
      <c r="R512" s="48"/>
      <c r="S512" s="48"/>
      <c r="T512" s="48"/>
      <c r="U512" s="52"/>
      <c r="V512" s="50"/>
      <c r="W512" s="51"/>
      <c r="X512" s="56"/>
    </row>
    <row r="513" spans="1:24">
      <c r="A513" s="38">
        <v>453</v>
      </c>
      <c r="B513" s="38"/>
      <c r="C513" s="38"/>
      <c r="D513" s="38" t="s">
        <v>1636</v>
      </c>
      <c r="E513" s="40" t="s">
        <v>1637</v>
      </c>
      <c r="F513" s="41" t="s">
        <v>1638</v>
      </c>
      <c r="G513" s="42" t="s">
        <v>214</v>
      </c>
      <c r="H513" s="43"/>
      <c r="I513" s="44"/>
      <c r="J513" s="38">
        <f>1*1000</f>
        <v>1000</v>
      </c>
      <c r="K513" s="45">
        <v>7.4189814814814813E-3</v>
      </c>
      <c r="L513" s="46" t="s">
        <v>1161</v>
      </c>
      <c r="M513" s="38"/>
      <c r="N513" s="38"/>
      <c r="O513" s="38"/>
      <c r="P513" s="38"/>
      <c r="Q513" s="38"/>
      <c r="R513" s="48"/>
      <c r="S513" s="48"/>
      <c r="T513" s="48"/>
      <c r="U513" s="52"/>
      <c r="V513" s="50"/>
      <c r="W513" s="51"/>
      <c r="X513" s="56"/>
    </row>
    <row r="514" spans="1:24">
      <c r="A514" s="38">
        <v>454</v>
      </c>
      <c r="B514" s="38"/>
      <c r="C514" s="38"/>
      <c r="D514" s="38" t="s">
        <v>1639</v>
      </c>
      <c r="E514" s="40" t="s">
        <v>1640</v>
      </c>
      <c r="F514" s="41" t="s">
        <v>1641</v>
      </c>
      <c r="G514" s="42">
        <v>530</v>
      </c>
      <c r="H514" s="43"/>
      <c r="I514" s="44"/>
      <c r="J514" s="38">
        <f>530</f>
        <v>530</v>
      </c>
      <c r="K514" s="45">
        <v>1.6666666666666668E-3</v>
      </c>
      <c r="L514" s="46" t="s">
        <v>1161</v>
      </c>
      <c r="M514" s="38"/>
      <c r="N514" s="38"/>
      <c r="O514" s="38"/>
      <c r="P514" s="38"/>
      <c r="Q514" s="38"/>
      <c r="R514" s="48"/>
      <c r="S514" s="48"/>
      <c r="T514" s="48"/>
      <c r="U514" s="52"/>
      <c r="V514" s="50"/>
      <c r="W514" s="51"/>
      <c r="X514" s="56"/>
    </row>
    <row r="515" spans="1:24">
      <c r="A515" s="38">
        <v>455</v>
      </c>
      <c r="B515" s="38"/>
      <c r="C515" s="38"/>
      <c r="D515" s="38" t="s">
        <v>1642</v>
      </c>
      <c r="E515" s="40" t="s">
        <v>1643</v>
      </c>
      <c r="F515" s="41" t="s">
        <v>1644</v>
      </c>
      <c r="G515" s="42">
        <v>509</v>
      </c>
      <c r="H515" s="43"/>
      <c r="I515" s="44"/>
      <c r="J515" s="38">
        <f>509</f>
        <v>509</v>
      </c>
      <c r="K515" s="45">
        <v>1.3773148148148147E-3</v>
      </c>
      <c r="L515" s="46" t="s">
        <v>1161</v>
      </c>
      <c r="M515" s="38"/>
      <c r="N515" s="38"/>
      <c r="O515" s="38"/>
      <c r="P515" s="38"/>
      <c r="Q515" s="38"/>
      <c r="R515" s="48"/>
      <c r="S515" s="48"/>
      <c r="T515" s="48"/>
      <c r="U515" s="52"/>
      <c r="V515" s="50"/>
      <c r="W515" s="51"/>
      <c r="X515" s="56"/>
    </row>
    <row r="516" spans="1:24">
      <c r="A516" s="38">
        <v>456</v>
      </c>
      <c r="B516" s="38"/>
      <c r="C516" s="38"/>
      <c r="D516" s="38" t="s">
        <v>1645</v>
      </c>
      <c r="E516" s="40" t="s">
        <v>1646</v>
      </c>
      <c r="F516" s="41" t="s">
        <v>1452</v>
      </c>
      <c r="G516" s="42">
        <v>352</v>
      </c>
      <c r="H516" s="43"/>
      <c r="I516" s="44"/>
      <c r="J516" s="38">
        <f>352</f>
        <v>352</v>
      </c>
      <c r="K516" s="45">
        <v>2.0254629629629629E-3</v>
      </c>
      <c r="L516" s="46" t="s">
        <v>1161</v>
      </c>
      <c r="M516" s="38"/>
      <c r="N516" s="38"/>
      <c r="O516" s="38"/>
      <c r="P516" s="38"/>
      <c r="Q516" s="38"/>
      <c r="R516" s="48"/>
      <c r="S516" s="48"/>
      <c r="T516" s="48"/>
      <c r="U516" s="52"/>
      <c r="V516" s="50"/>
      <c r="W516" s="51"/>
      <c r="X516" s="56"/>
    </row>
    <row r="517" spans="1:24">
      <c r="A517" s="38">
        <v>457</v>
      </c>
      <c r="B517" s="38"/>
      <c r="C517" s="38"/>
      <c r="D517" s="38" t="s">
        <v>1647</v>
      </c>
      <c r="E517" s="40" t="s">
        <v>1648</v>
      </c>
      <c r="F517" s="41" t="s">
        <v>1649</v>
      </c>
      <c r="G517" s="42">
        <v>223</v>
      </c>
      <c r="H517" s="43"/>
      <c r="I517" s="44"/>
      <c r="J517" s="38">
        <f>223</f>
        <v>223</v>
      </c>
      <c r="K517" s="45">
        <v>3.8888888888888883E-3</v>
      </c>
      <c r="L517" s="46" t="s">
        <v>1161</v>
      </c>
      <c r="M517" s="38"/>
      <c r="N517" s="38"/>
      <c r="O517" s="38"/>
      <c r="P517" s="38"/>
      <c r="Q517" s="38"/>
      <c r="R517" s="48"/>
      <c r="S517" s="48"/>
      <c r="T517" s="48"/>
      <c r="U517" s="52"/>
      <c r="V517" s="50"/>
      <c r="W517" s="51"/>
      <c r="X517" s="56"/>
    </row>
    <row r="518" spans="1:24">
      <c r="A518" s="38">
        <v>458</v>
      </c>
      <c r="B518" s="38"/>
      <c r="C518" s="38"/>
      <c r="D518" s="38" t="s">
        <v>1650</v>
      </c>
      <c r="E518" s="40" t="s">
        <v>1651</v>
      </c>
      <c r="F518" s="58" t="s">
        <v>1652</v>
      </c>
      <c r="G518" s="42" t="s">
        <v>462</v>
      </c>
      <c r="H518" s="43"/>
      <c r="I518" s="44"/>
      <c r="J518" s="38">
        <f>2.5*1000</f>
        <v>2500</v>
      </c>
      <c r="K518" s="45">
        <v>3.4340277777777782E-2</v>
      </c>
      <c r="L518" s="46" t="s">
        <v>1161</v>
      </c>
      <c r="M518" s="38"/>
      <c r="N518" s="38"/>
      <c r="O518" s="38"/>
      <c r="P518" s="38"/>
      <c r="Q518" s="38"/>
      <c r="R518" s="48"/>
      <c r="S518" s="48"/>
      <c r="T518" s="48"/>
      <c r="U518" s="52"/>
      <c r="V518" s="50"/>
      <c r="W518" s="51"/>
      <c r="X518" s="56"/>
    </row>
    <row r="519" spans="1:24">
      <c r="A519" s="38">
        <v>459</v>
      </c>
      <c r="B519" s="38"/>
      <c r="C519" s="38"/>
      <c r="D519" s="38" t="s">
        <v>1653</v>
      </c>
      <c r="E519" s="40" t="s">
        <v>1654</v>
      </c>
      <c r="F519" s="58" t="s">
        <v>1655</v>
      </c>
      <c r="G519" s="42" t="s">
        <v>351</v>
      </c>
      <c r="H519" s="43"/>
      <c r="I519" s="44"/>
      <c r="J519" s="38">
        <f>4.4*1000</f>
        <v>4400</v>
      </c>
      <c r="K519" s="45">
        <v>2.7303240740740743E-2</v>
      </c>
      <c r="L519" s="46" t="s">
        <v>1161</v>
      </c>
      <c r="M519" s="38"/>
      <c r="N519" s="38"/>
      <c r="O519" s="38"/>
      <c r="P519" s="38"/>
      <c r="Q519" s="38"/>
      <c r="R519" s="48"/>
      <c r="S519" s="48"/>
      <c r="T519" s="48"/>
      <c r="U519" s="52"/>
      <c r="V519" s="50"/>
      <c r="W519" s="51"/>
      <c r="X519" s="56"/>
    </row>
    <row r="520" spans="1:24">
      <c r="A520" s="38">
        <v>460</v>
      </c>
      <c r="B520" s="38"/>
      <c r="C520" s="38"/>
      <c r="D520" s="38" t="s">
        <v>1656</v>
      </c>
      <c r="E520" s="40" t="s">
        <v>1657</v>
      </c>
      <c r="F520" s="41" t="s">
        <v>1082</v>
      </c>
      <c r="G520" s="42" t="s">
        <v>770</v>
      </c>
      <c r="H520" s="43"/>
      <c r="I520" s="44"/>
      <c r="J520" s="38">
        <f>2.7*1000</f>
        <v>2700</v>
      </c>
      <c r="K520" s="45">
        <v>1.9560185185185184E-3</v>
      </c>
      <c r="L520" s="46" t="s">
        <v>1161</v>
      </c>
      <c r="M520" s="38"/>
      <c r="N520" s="38"/>
      <c r="O520" s="38"/>
      <c r="P520" s="38"/>
      <c r="Q520" s="38"/>
      <c r="R520" s="48"/>
      <c r="S520" s="48"/>
      <c r="T520" s="48"/>
      <c r="U520" s="52"/>
      <c r="V520" s="50"/>
      <c r="W520" s="51"/>
      <c r="X520" s="56"/>
    </row>
    <row r="521" spans="1:24">
      <c r="A521" s="38">
        <v>461</v>
      </c>
      <c r="B521" s="38"/>
      <c r="C521" s="38"/>
      <c r="D521" s="38" t="s">
        <v>1658</v>
      </c>
      <c r="E521" s="40" t="s">
        <v>1659</v>
      </c>
      <c r="F521" s="41" t="s">
        <v>1660</v>
      </c>
      <c r="G521" s="42" t="s">
        <v>1312</v>
      </c>
      <c r="H521" s="43"/>
      <c r="I521" s="44"/>
      <c r="J521" s="38">
        <f>2.2*1000</f>
        <v>2200</v>
      </c>
      <c r="K521" s="45">
        <v>1.1331018518518518E-2</v>
      </c>
      <c r="L521" s="46" t="s">
        <v>1161</v>
      </c>
      <c r="M521" s="38"/>
      <c r="N521" s="38"/>
      <c r="O521" s="38"/>
      <c r="P521" s="38"/>
      <c r="Q521" s="38"/>
      <c r="R521" s="48"/>
      <c r="S521" s="48"/>
      <c r="T521" s="48"/>
      <c r="U521" s="52"/>
      <c r="V521" s="50"/>
      <c r="W521" s="51"/>
      <c r="X521" s="56"/>
    </row>
    <row r="522" spans="1:24">
      <c r="A522" s="38">
        <v>462</v>
      </c>
      <c r="B522" s="38"/>
      <c r="C522" s="38"/>
      <c r="D522" s="38" t="s">
        <v>1661</v>
      </c>
      <c r="E522" s="40" t="s">
        <v>1662</v>
      </c>
      <c r="F522" s="41" t="s">
        <v>1663</v>
      </c>
      <c r="G522" s="42" t="s">
        <v>214</v>
      </c>
      <c r="H522" s="43"/>
      <c r="I522" s="44"/>
      <c r="J522" s="38">
        <f>1*1000</f>
        <v>1000</v>
      </c>
      <c r="K522" s="45">
        <v>7.6504629629629631E-3</v>
      </c>
      <c r="L522" s="46" t="s">
        <v>1161</v>
      </c>
      <c r="M522" s="38"/>
      <c r="N522" s="38"/>
      <c r="O522" s="38"/>
      <c r="P522" s="38"/>
      <c r="Q522" s="38"/>
      <c r="R522" s="48"/>
      <c r="S522" s="48"/>
      <c r="T522" s="48"/>
      <c r="U522" s="52"/>
      <c r="V522" s="50"/>
      <c r="W522" s="51"/>
      <c r="X522" s="56"/>
    </row>
    <row r="523" spans="1:24">
      <c r="A523" s="38">
        <v>463</v>
      </c>
      <c r="B523" s="38"/>
      <c r="C523" s="38"/>
      <c r="D523" s="38" t="s">
        <v>1664</v>
      </c>
      <c r="E523" s="40" t="s">
        <v>1665</v>
      </c>
      <c r="F523" s="41" t="s">
        <v>1666</v>
      </c>
      <c r="G523" s="42">
        <v>704</v>
      </c>
      <c r="H523" s="43"/>
      <c r="I523" s="44"/>
      <c r="J523" s="38">
        <f>704</f>
        <v>704</v>
      </c>
      <c r="K523" s="45">
        <v>4.7337962962962958E-3</v>
      </c>
      <c r="L523" s="46" t="s">
        <v>1161</v>
      </c>
      <c r="M523" s="38"/>
      <c r="N523" s="38"/>
      <c r="O523" s="38"/>
      <c r="P523" s="38"/>
      <c r="Q523" s="38"/>
      <c r="R523" s="48"/>
      <c r="S523" s="48"/>
      <c r="T523" s="48"/>
      <c r="U523" s="52"/>
      <c r="V523" s="50"/>
      <c r="W523" s="51"/>
      <c r="X523" s="56"/>
    </row>
    <row r="524" spans="1:24">
      <c r="A524" s="38">
        <v>464</v>
      </c>
      <c r="B524" s="38"/>
      <c r="C524" s="38"/>
      <c r="D524" s="38" t="s">
        <v>1667</v>
      </c>
      <c r="E524" s="40" t="s">
        <v>1668</v>
      </c>
      <c r="F524" s="41" t="s">
        <v>1303</v>
      </c>
      <c r="G524" s="42">
        <v>396</v>
      </c>
      <c r="H524" s="43"/>
      <c r="I524" s="44"/>
      <c r="J524" s="38">
        <f>396</f>
        <v>396</v>
      </c>
      <c r="K524" s="45">
        <v>2.6041666666666665E-3</v>
      </c>
      <c r="L524" s="46" t="s">
        <v>1161</v>
      </c>
      <c r="M524" s="38"/>
      <c r="N524" s="38"/>
      <c r="O524" s="38"/>
      <c r="P524" s="38"/>
      <c r="Q524" s="38"/>
      <c r="R524" s="48"/>
      <c r="S524" s="48"/>
      <c r="T524" s="48"/>
      <c r="U524" s="52"/>
      <c r="V524" s="50"/>
      <c r="W524" s="51"/>
      <c r="X524" s="56"/>
    </row>
    <row r="525" spans="1:24">
      <c r="A525" s="38">
        <v>465</v>
      </c>
      <c r="B525" s="38"/>
      <c r="C525" s="38"/>
      <c r="D525" s="38" t="s">
        <v>1669</v>
      </c>
      <c r="E525" s="40" t="s">
        <v>1670</v>
      </c>
      <c r="F525" s="41" t="s">
        <v>1496</v>
      </c>
      <c r="G525" s="42">
        <v>260</v>
      </c>
      <c r="H525" s="43"/>
      <c r="I525" s="44"/>
      <c r="J525" s="38">
        <f>260</f>
        <v>260</v>
      </c>
      <c r="K525" s="45">
        <v>1.5393518518518519E-3</v>
      </c>
      <c r="L525" s="46" t="s">
        <v>1161</v>
      </c>
      <c r="M525" s="38"/>
      <c r="N525" s="38"/>
      <c r="O525" s="38"/>
      <c r="P525" s="38"/>
      <c r="Q525" s="38"/>
      <c r="R525" s="48"/>
      <c r="S525" s="48"/>
      <c r="T525" s="48"/>
      <c r="U525" s="52"/>
      <c r="V525" s="50"/>
      <c r="W525" s="51"/>
      <c r="X525" s="56"/>
    </row>
    <row r="526" spans="1:24">
      <c r="A526" s="38">
        <v>466</v>
      </c>
      <c r="B526" s="38"/>
      <c r="C526" s="38"/>
      <c r="D526" s="38" t="s">
        <v>1671</v>
      </c>
      <c r="E526" s="40" t="s">
        <v>1672</v>
      </c>
      <c r="F526" s="41" t="s">
        <v>1673</v>
      </c>
      <c r="G526" s="42">
        <v>366</v>
      </c>
      <c r="H526" s="43"/>
      <c r="I526" s="44"/>
      <c r="J526" s="38">
        <f>366</f>
        <v>366</v>
      </c>
      <c r="K526" s="45">
        <v>1.1342592592592591E-3</v>
      </c>
      <c r="L526" s="46" t="s">
        <v>1161</v>
      </c>
      <c r="M526" s="38"/>
      <c r="N526" s="38"/>
      <c r="O526" s="38"/>
      <c r="P526" s="38"/>
      <c r="Q526" s="38"/>
      <c r="R526" s="48"/>
      <c r="S526" s="48"/>
      <c r="T526" s="48"/>
      <c r="U526" s="52"/>
      <c r="V526" s="50"/>
      <c r="W526" s="51"/>
      <c r="X526" s="56"/>
    </row>
    <row r="527" spans="1:24">
      <c r="A527" s="38">
        <v>467</v>
      </c>
      <c r="B527" s="38"/>
      <c r="C527" s="38"/>
      <c r="D527" s="38" t="s">
        <v>1674</v>
      </c>
      <c r="E527" s="40" t="s">
        <v>1675</v>
      </c>
      <c r="F527" s="41" t="s">
        <v>1514</v>
      </c>
      <c r="G527" s="42">
        <v>461</v>
      </c>
      <c r="H527" s="43"/>
      <c r="I527" s="44"/>
      <c r="J527" s="38">
        <f>461</f>
        <v>461</v>
      </c>
      <c r="K527" s="45">
        <v>1.8287037037037037E-3</v>
      </c>
      <c r="L527" s="46" t="s">
        <v>1161</v>
      </c>
      <c r="M527" s="38"/>
      <c r="N527" s="38"/>
      <c r="O527" s="38"/>
      <c r="P527" s="38"/>
      <c r="Q527" s="38"/>
      <c r="R527" s="48"/>
      <c r="S527" s="48"/>
      <c r="T527" s="48"/>
      <c r="U527" s="52"/>
      <c r="V527" s="50"/>
      <c r="W527" s="51"/>
      <c r="X527" s="56"/>
    </row>
    <row r="528" spans="1:24">
      <c r="A528" s="38">
        <v>468</v>
      </c>
      <c r="B528" s="38"/>
      <c r="C528" s="38"/>
      <c r="D528" s="38" t="s">
        <v>1676</v>
      </c>
      <c r="E528" s="40" t="s">
        <v>1677</v>
      </c>
      <c r="F528" s="41" t="s">
        <v>1342</v>
      </c>
      <c r="G528" s="42">
        <v>849</v>
      </c>
      <c r="H528" s="43"/>
      <c r="I528" s="44"/>
      <c r="J528" s="38">
        <f>849</f>
        <v>849</v>
      </c>
      <c r="K528" s="45">
        <v>9.4907407407407408E-4</v>
      </c>
      <c r="L528" s="46" t="s">
        <v>1161</v>
      </c>
      <c r="M528" s="38"/>
      <c r="N528" s="38"/>
      <c r="O528" s="38"/>
      <c r="P528" s="38"/>
      <c r="Q528" s="38"/>
      <c r="R528" s="48"/>
      <c r="S528" s="48"/>
      <c r="T528" s="48"/>
      <c r="U528" s="52"/>
      <c r="V528" s="50"/>
      <c r="W528" s="51"/>
      <c r="X528" s="56"/>
    </row>
    <row r="529" spans="1:24">
      <c r="A529" s="38">
        <v>469</v>
      </c>
      <c r="B529" s="38"/>
      <c r="C529" s="38"/>
      <c r="D529" s="38" t="s">
        <v>1678</v>
      </c>
      <c r="E529" s="40" t="s">
        <v>1679</v>
      </c>
      <c r="F529" s="41" t="s">
        <v>1680</v>
      </c>
      <c r="G529" s="42">
        <v>248</v>
      </c>
      <c r="H529" s="43"/>
      <c r="I529" s="44"/>
      <c r="J529" s="38">
        <f>248</f>
        <v>248</v>
      </c>
      <c r="K529" s="45">
        <v>1.5046296296296294E-3</v>
      </c>
      <c r="L529" s="46" t="s">
        <v>1161</v>
      </c>
      <c r="M529" s="38"/>
      <c r="N529" s="38"/>
      <c r="O529" s="38"/>
      <c r="P529" s="38"/>
      <c r="Q529" s="38"/>
      <c r="R529" s="48"/>
      <c r="S529" s="48"/>
      <c r="T529" s="48"/>
      <c r="U529" s="52"/>
      <c r="V529" s="50"/>
      <c r="W529" s="51"/>
      <c r="X529" s="56"/>
    </row>
    <row r="530" spans="1:24">
      <c r="A530" s="38">
        <v>470</v>
      </c>
      <c r="B530" s="38"/>
      <c r="C530" s="38"/>
      <c r="D530" s="38" t="s">
        <v>1681</v>
      </c>
      <c r="E530" s="40" t="s">
        <v>1682</v>
      </c>
      <c r="F530" s="41" t="s">
        <v>231</v>
      </c>
      <c r="G530" s="42">
        <v>671</v>
      </c>
      <c r="H530" s="43"/>
      <c r="I530" s="44"/>
      <c r="J530" s="38">
        <f>671</f>
        <v>671</v>
      </c>
      <c r="K530" s="45">
        <v>1.3078703703703705E-3</v>
      </c>
      <c r="L530" s="46" t="s">
        <v>1161</v>
      </c>
      <c r="M530" s="38"/>
      <c r="N530" s="38"/>
      <c r="O530" s="38"/>
      <c r="P530" s="38"/>
      <c r="Q530" s="38"/>
      <c r="R530" s="48"/>
      <c r="S530" s="48"/>
      <c r="T530" s="48"/>
      <c r="U530" s="52"/>
      <c r="V530" s="50"/>
      <c r="W530" s="51"/>
      <c r="X530" s="56"/>
    </row>
    <row r="531" spans="1:24">
      <c r="A531" s="38">
        <v>471</v>
      </c>
      <c r="B531" s="38"/>
      <c r="C531" s="38"/>
      <c r="D531" s="38" t="s">
        <v>1683</v>
      </c>
      <c r="E531" s="40" t="s">
        <v>1684</v>
      </c>
      <c r="F531" s="41" t="s">
        <v>1685</v>
      </c>
      <c r="G531" s="42">
        <v>335</v>
      </c>
      <c r="H531" s="43"/>
      <c r="I531" s="44"/>
      <c r="J531" s="38">
        <f>335</f>
        <v>335</v>
      </c>
      <c r="K531" s="45">
        <v>7.0601851851851847E-4</v>
      </c>
      <c r="L531" s="46" t="s">
        <v>1161</v>
      </c>
      <c r="M531" s="38"/>
      <c r="N531" s="38"/>
      <c r="O531" s="38"/>
      <c r="P531" s="38"/>
      <c r="Q531" s="38"/>
      <c r="R531" s="48"/>
      <c r="S531" s="48"/>
      <c r="T531" s="48"/>
      <c r="U531" s="52"/>
      <c r="V531" s="50"/>
      <c r="W531" s="51"/>
      <c r="X531" s="56"/>
    </row>
    <row r="532" spans="1:24">
      <c r="A532" s="38">
        <v>472</v>
      </c>
      <c r="B532" s="38"/>
      <c r="C532" s="38"/>
      <c r="D532" s="38" t="s">
        <v>1686</v>
      </c>
      <c r="E532" s="40" t="s">
        <v>1687</v>
      </c>
      <c r="F532" s="41" t="s">
        <v>1688</v>
      </c>
      <c r="G532" s="42" t="s">
        <v>214</v>
      </c>
      <c r="H532" s="43"/>
      <c r="I532" s="44"/>
      <c r="J532" s="38">
        <f>1*1000</f>
        <v>1000</v>
      </c>
      <c r="K532" s="45">
        <v>4.9884259259259265E-3</v>
      </c>
      <c r="L532" s="46" t="s">
        <v>1161</v>
      </c>
      <c r="M532" s="38"/>
      <c r="N532" s="38"/>
      <c r="O532" s="38"/>
      <c r="P532" s="38"/>
      <c r="Q532" s="38"/>
      <c r="R532" s="48"/>
      <c r="S532" s="48"/>
      <c r="T532" s="48"/>
      <c r="U532" s="52"/>
      <c r="V532" s="50"/>
      <c r="W532" s="51"/>
      <c r="X532" s="56"/>
    </row>
    <row r="533" spans="1:24">
      <c r="A533" s="38">
        <v>473</v>
      </c>
      <c r="B533" s="38"/>
      <c r="C533" s="38"/>
      <c r="D533" s="38" t="s">
        <v>1689</v>
      </c>
      <c r="E533" s="40" t="s">
        <v>1690</v>
      </c>
      <c r="F533" s="41" t="s">
        <v>1691</v>
      </c>
      <c r="G533" s="42">
        <v>704</v>
      </c>
      <c r="H533" s="43"/>
      <c r="I533" s="44"/>
      <c r="J533" s="38">
        <f>704</f>
        <v>704</v>
      </c>
      <c r="K533" s="45">
        <v>8.4259259259259253E-3</v>
      </c>
      <c r="L533" s="46" t="s">
        <v>1161</v>
      </c>
      <c r="M533" s="38"/>
      <c r="N533" s="38"/>
      <c r="O533" s="38"/>
      <c r="P533" s="38"/>
      <c r="Q533" s="38"/>
      <c r="R533" s="48"/>
      <c r="S533" s="48"/>
      <c r="T533" s="48"/>
      <c r="U533" s="52"/>
      <c r="V533" s="50"/>
      <c r="W533" s="51"/>
      <c r="X533" s="56"/>
    </row>
    <row r="534" spans="1:24">
      <c r="A534" s="38">
        <v>474</v>
      </c>
      <c r="B534" s="38"/>
      <c r="C534" s="38"/>
      <c r="D534" s="38" t="s">
        <v>1692</v>
      </c>
      <c r="E534" s="40" t="s">
        <v>1693</v>
      </c>
      <c r="F534" s="41" t="s">
        <v>1695</v>
      </c>
      <c r="G534" s="42" t="s">
        <v>396</v>
      </c>
      <c r="H534" s="43"/>
      <c r="I534" s="44"/>
      <c r="J534" s="38">
        <f>1.1*1000</f>
        <v>1100</v>
      </c>
      <c r="K534" s="45">
        <v>1.1099537037037038E-2</v>
      </c>
      <c r="L534" s="46" t="s">
        <v>1161</v>
      </c>
      <c r="M534" s="38"/>
      <c r="N534" s="38"/>
      <c r="O534" s="38"/>
      <c r="P534" s="38"/>
      <c r="Q534" s="38"/>
      <c r="R534" s="48"/>
      <c r="S534" s="48"/>
      <c r="T534" s="48"/>
      <c r="U534" s="52"/>
      <c r="V534" s="50"/>
      <c r="W534" s="51"/>
      <c r="X534" s="56"/>
    </row>
    <row r="535" spans="1:24">
      <c r="A535" s="38">
        <v>475</v>
      </c>
      <c r="B535" s="38"/>
      <c r="C535" s="38"/>
      <c r="D535" s="38" t="s">
        <v>1699</v>
      </c>
      <c r="E535" s="40" t="s">
        <v>1700</v>
      </c>
      <c r="F535" s="41" t="s">
        <v>181</v>
      </c>
      <c r="G535" s="42">
        <v>179</v>
      </c>
      <c r="H535" s="43"/>
      <c r="I535" s="44"/>
      <c r="J535" s="38">
        <f>179</f>
        <v>179</v>
      </c>
      <c r="K535" s="45">
        <v>2.2222222222222222E-3</v>
      </c>
      <c r="L535" s="46" t="s">
        <v>1161</v>
      </c>
      <c r="M535" s="38"/>
      <c r="N535" s="38"/>
      <c r="O535" s="38"/>
      <c r="P535" s="38"/>
      <c r="Q535" s="38"/>
      <c r="R535" s="48"/>
      <c r="S535" s="48"/>
      <c r="T535" s="48"/>
      <c r="U535" s="52"/>
      <c r="V535" s="50"/>
      <c r="W535" s="51"/>
      <c r="X535" s="56"/>
    </row>
    <row r="536" spans="1:24">
      <c r="A536" s="38">
        <v>476</v>
      </c>
      <c r="B536" s="38"/>
      <c r="C536" s="38"/>
      <c r="D536" s="38" t="s">
        <v>1701</v>
      </c>
      <c r="E536" s="40" t="s">
        <v>1702</v>
      </c>
      <c r="F536" s="41" t="s">
        <v>1703</v>
      </c>
      <c r="G536" s="42">
        <v>961</v>
      </c>
      <c r="H536" s="43"/>
      <c r="I536" s="44"/>
      <c r="J536" s="38">
        <f>961</f>
        <v>961</v>
      </c>
      <c r="K536" s="45">
        <v>5.6249999999999989E-3</v>
      </c>
      <c r="L536" s="46" t="s">
        <v>1161</v>
      </c>
      <c r="M536" s="38"/>
      <c r="N536" s="38"/>
      <c r="O536" s="38"/>
      <c r="P536" s="38"/>
      <c r="Q536" s="38"/>
      <c r="R536" s="48"/>
      <c r="S536" s="48"/>
      <c r="T536" s="48"/>
      <c r="U536" s="52"/>
      <c r="V536" s="50"/>
      <c r="W536" s="51"/>
      <c r="X536" s="56"/>
    </row>
    <row r="537" spans="1:24">
      <c r="A537" s="38">
        <v>477</v>
      </c>
      <c r="B537" s="38"/>
      <c r="C537" s="38"/>
      <c r="D537" s="38" t="s">
        <v>1704</v>
      </c>
      <c r="E537" s="40" t="s">
        <v>1705</v>
      </c>
      <c r="F537" s="41" t="s">
        <v>1514</v>
      </c>
      <c r="G537" s="42">
        <v>144</v>
      </c>
      <c r="H537" s="43"/>
      <c r="I537" s="44"/>
      <c r="J537" s="38">
        <f>144</f>
        <v>144</v>
      </c>
      <c r="K537" s="45">
        <v>1.8287037037037037E-3</v>
      </c>
      <c r="L537" s="46" t="s">
        <v>1161</v>
      </c>
      <c r="M537" s="38"/>
      <c r="N537" s="38"/>
      <c r="O537" s="38"/>
      <c r="P537" s="38"/>
      <c r="Q537" s="38"/>
      <c r="R537" s="48"/>
      <c r="S537" s="48"/>
      <c r="T537" s="48"/>
      <c r="U537" s="52"/>
      <c r="V537" s="50"/>
      <c r="W537" s="51"/>
      <c r="X537" s="56"/>
    </row>
    <row r="538" spans="1:24">
      <c r="A538" s="38">
        <v>478</v>
      </c>
      <c r="B538" s="38"/>
      <c r="C538" s="38"/>
      <c r="D538" s="38" t="s">
        <v>1706</v>
      </c>
      <c r="E538" s="40" t="s">
        <v>1707</v>
      </c>
      <c r="F538" s="41" t="s">
        <v>1708</v>
      </c>
      <c r="G538" s="42" t="s">
        <v>249</v>
      </c>
      <c r="H538" s="43"/>
      <c r="I538" s="44"/>
      <c r="J538" s="38">
        <f>2.4*1000</f>
        <v>2400</v>
      </c>
      <c r="K538" s="45">
        <v>2.6620370370370374E-3</v>
      </c>
      <c r="L538" s="46" t="s">
        <v>1161</v>
      </c>
      <c r="M538" s="38"/>
      <c r="N538" s="38"/>
      <c r="O538" s="38"/>
      <c r="P538" s="38"/>
      <c r="Q538" s="38"/>
      <c r="R538" s="48"/>
      <c r="S538" s="48"/>
      <c r="T538" s="48"/>
      <c r="U538" s="52"/>
      <c r="V538" s="50"/>
      <c r="W538" s="51"/>
      <c r="X538" s="56"/>
    </row>
    <row r="539" spans="1:24">
      <c r="A539" s="38">
        <v>479</v>
      </c>
      <c r="B539" s="38"/>
      <c r="C539" s="38"/>
      <c r="D539" s="38" t="s">
        <v>1709</v>
      </c>
      <c r="E539" s="40" t="s">
        <v>1710</v>
      </c>
      <c r="F539" s="41" t="s">
        <v>1688</v>
      </c>
      <c r="G539" s="42" t="s">
        <v>919</v>
      </c>
      <c r="H539" s="43"/>
      <c r="I539" s="44"/>
      <c r="J539" s="38">
        <f>2.8*1000</f>
        <v>2800</v>
      </c>
      <c r="K539" s="45">
        <v>4.9884259259259265E-3</v>
      </c>
      <c r="L539" s="46" t="s">
        <v>1161</v>
      </c>
      <c r="M539" s="38"/>
      <c r="N539" s="38"/>
      <c r="O539" s="38"/>
      <c r="P539" s="38"/>
      <c r="Q539" s="38"/>
      <c r="R539" s="48"/>
      <c r="S539" s="48"/>
      <c r="T539" s="48"/>
      <c r="U539" s="52"/>
      <c r="V539" s="50"/>
      <c r="W539" s="51"/>
      <c r="X539" s="56"/>
    </row>
    <row r="540" spans="1:24">
      <c r="A540" s="38">
        <v>480</v>
      </c>
      <c r="B540" s="38"/>
      <c r="C540" s="38"/>
      <c r="D540" s="38" t="s">
        <v>1711</v>
      </c>
      <c r="E540" s="40" t="s">
        <v>1712</v>
      </c>
      <c r="F540" s="41" t="s">
        <v>1713</v>
      </c>
      <c r="G540" s="42" t="s">
        <v>264</v>
      </c>
      <c r="H540" s="43"/>
      <c r="I540" s="44"/>
      <c r="J540" s="38">
        <f>14*1000</f>
        <v>14000</v>
      </c>
      <c r="K540" s="45">
        <v>8.5416666666666679E-3</v>
      </c>
      <c r="L540" s="46" t="s">
        <v>1161</v>
      </c>
      <c r="M540" s="38"/>
      <c r="N540" s="38"/>
      <c r="O540" s="38"/>
      <c r="P540" s="38"/>
      <c r="Q540" s="38"/>
      <c r="R540" s="48"/>
      <c r="S540" s="48"/>
      <c r="T540" s="48"/>
      <c r="U540" s="52"/>
      <c r="V540" s="50"/>
      <c r="W540" s="51"/>
      <c r="X540" s="56"/>
    </row>
    <row r="541" spans="1:24">
      <c r="A541" s="38">
        <v>481</v>
      </c>
      <c r="B541" s="38"/>
      <c r="C541" s="38"/>
      <c r="D541" s="38" t="s">
        <v>1714</v>
      </c>
      <c r="E541" s="40" t="s">
        <v>1715</v>
      </c>
      <c r="F541" s="41" t="s">
        <v>263</v>
      </c>
      <c r="G541" s="42" t="s">
        <v>521</v>
      </c>
      <c r="H541" s="43"/>
      <c r="I541" s="44"/>
      <c r="J541" s="38">
        <f>3.5*1000</f>
        <v>3500</v>
      </c>
      <c r="K541" s="45">
        <v>7.4884259259259262E-3</v>
      </c>
      <c r="L541" s="46" t="s">
        <v>1161</v>
      </c>
      <c r="M541" s="38"/>
      <c r="N541" s="38"/>
      <c r="O541" s="38"/>
      <c r="P541" s="38"/>
      <c r="Q541" s="38"/>
      <c r="R541" s="48"/>
      <c r="S541" s="48"/>
      <c r="T541" s="48"/>
      <c r="U541" s="52"/>
      <c r="V541" s="50"/>
      <c r="W541" s="51"/>
      <c r="X541" s="56"/>
    </row>
    <row r="542" spans="1:24">
      <c r="A542" s="38">
        <v>482</v>
      </c>
      <c r="B542" s="38"/>
      <c r="C542" s="38"/>
      <c r="D542" s="38" t="s">
        <v>1716</v>
      </c>
      <c r="E542" s="40" t="s">
        <v>1717</v>
      </c>
      <c r="F542" s="41" t="s">
        <v>1718</v>
      </c>
      <c r="G542" s="42">
        <v>118</v>
      </c>
      <c r="H542" s="43"/>
      <c r="I542" s="44"/>
      <c r="J542" s="38">
        <f>118</f>
        <v>118</v>
      </c>
      <c r="K542" s="45">
        <v>1.0763888888888889E-3</v>
      </c>
      <c r="L542" s="46" t="s">
        <v>1161</v>
      </c>
      <c r="M542" s="38"/>
      <c r="N542" s="38"/>
      <c r="O542" s="38"/>
      <c r="P542" s="38"/>
      <c r="Q542" s="38"/>
      <c r="R542" s="48"/>
      <c r="S542" s="48"/>
      <c r="T542" s="48"/>
      <c r="U542" s="52"/>
      <c r="V542" s="50"/>
      <c r="W542" s="51"/>
      <c r="X542" s="56"/>
    </row>
    <row r="543" spans="1:24">
      <c r="A543" s="38">
        <v>483</v>
      </c>
      <c r="B543" s="38"/>
      <c r="C543" s="38"/>
      <c r="D543" s="38" t="s">
        <v>1719</v>
      </c>
      <c r="E543" s="40" t="s">
        <v>1720</v>
      </c>
      <c r="F543" s="41" t="s">
        <v>1721</v>
      </c>
      <c r="G543" s="42">
        <v>317</v>
      </c>
      <c r="H543" s="43"/>
      <c r="I543" s="44"/>
      <c r="J543" s="38">
        <f>317</f>
        <v>317</v>
      </c>
      <c r="K543" s="45">
        <v>1.6319444444444445E-3</v>
      </c>
      <c r="L543" s="46" t="s">
        <v>1161</v>
      </c>
      <c r="M543" s="38"/>
      <c r="N543" s="38"/>
      <c r="O543" s="38"/>
      <c r="P543" s="38"/>
      <c r="Q543" s="38"/>
      <c r="R543" s="48"/>
      <c r="S543" s="48"/>
      <c r="T543" s="48"/>
      <c r="U543" s="52"/>
      <c r="V543" s="50"/>
      <c r="W543" s="51"/>
      <c r="X543" s="56"/>
    </row>
    <row r="544" spans="1:24">
      <c r="A544" s="38">
        <v>484</v>
      </c>
      <c r="B544" s="38"/>
      <c r="C544" s="38"/>
      <c r="D544" s="38" t="s">
        <v>1722</v>
      </c>
      <c r="E544" s="40" t="s">
        <v>1723</v>
      </c>
      <c r="F544" s="41" t="s">
        <v>1375</v>
      </c>
      <c r="G544" s="42" t="s">
        <v>232</v>
      </c>
      <c r="H544" s="43"/>
      <c r="I544" s="44"/>
      <c r="J544" s="38">
        <f>3.2*1000</f>
        <v>3200</v>
      </c>
      <c r="K544" s="45">
        <v>4.3749999999999995E-3</v>
      </c>
      <c r="L544" s="46" t="s">
        <v>1161</v>
      </c>
      <c r="M544" s="38"/>
      <c r="N544" s="38"/>
      <c r="O544" s="38"/>
      <c r="P544" s="38"/>
      <c r="Q544" s="38"/>
      <c r="R544" s="48"/>
      <c r="S544" s="48"/>
      <c r="T544" s="48"/>
      <c r="U544" s="52"/>
      <c r="V544" s="50"/>
      <c r="W544" s="51"/>
      <c r="X544" s="56"/>
    </row>
    <row r="545" spans="1:24">
      <c r="A545" s="38">
        <v>485</v>
      </c>
      <c r="B545" s="38"/>
      <c r="C545" s="38"/>
      <c r="D545" s="38" t="s">
        <v>1724</v>
      </c>
      <c r="E545" s="40" t="s">
        <v>1725</v>
      </c>
      <c r="F545" s="41" t="s">
        <v>1413</v>
      </c>
      <c r="G545" s="42">
        <v>219</v>
      </c>
      <c r="H545" s="43"/>
      <c r="I545" s="44"/>
      <c r="J545" s="38">
        <f>219</f>
        <v>219</v>
      </c>
      <c r="K545" s="45">
        <v>2.1296296296296298E-3</v>
      </c>
      <c r="L545" s="46" t="s">
        <v>1161</v>
      </c>
      <c r="M545" s="38"/>
      <c r="N545" s="38"/>
      <c r="O545" s="38"/>
      <c r="P545" s="38"/>
      <c r="Q545" s="38"/>
      <c r="R545" s="48"/>
      <c r="S545" s="48"/>
      <c r="T545" s="48"/>
      <c r="U545" s="52"/>
      <c r="V545" s="50"/>
      <c r="W545" s="51"/>
      <c r="X545" s="56"/>
    </row>
    <row r="546" spans="1:24">
      <c r="A546" s="38">
        <v>486</v>
      </c>
      <c r="B546" s="38"/>
      <c r="C546" s="38"/>
      <c r="D546" s="38" t="s">
        <v>1726</v>
      </c>
      <c r="E546" s="40" t="s">
        <v>1727</v>
      </c>
      <c r="F546" s="41" t="s">
        <v>1728</v>
      </c>
      <c r="G546" s="42" t="s">
        <v>575</v>
      </c>
      <c r="H546" s="43"/>
      <c r="I546" s="44"/>
      <c r="J546" s="38">
        <f>22*1000</f>
        <v>22000</v>
      </c>
      <c r="K546" s="45">
        <v>7.2453703703703708E-3</v>
      </c>
      <c r="L546" s="46" t="s">
        <v>1161</v>
      </c>
      <c r="M546" s="38"/>
      <c r="N546" s="38"/>
      <c r="O546" s="38"/>
      <c r="P546" s="38"/>
      <c r="Q546" s="38"/>
      <c r="R546" s="48"/>
      <c r="S546" s="48"/>
      <c r="T546" s="48"/>
      <c r="U546" s="52"/>
      <c r="V546" s="50"/>
      <c r="W546" s="51"/>
      <c r="X546" s="56"/>
    </row>
    <row r="547" spans="1:24">
      <c r="A547" s="38">
        <v>487</v>
      </c>
      <c r="B547" s="38"/>
      <c r="C547" s="38"/>
      <c r="D547" s="38" t="s">
        <v>1729</v>
      </c>
      <c r="E547" s="40" t="s">
        <v>1730</v>
      </c>
      <c r="F547" s="41" t="s">
        <v>766</v>
      </c>
      <c r="G547" s="42">
        <v>743</v>
      </c>
      <c r="H547" s="43"/>
      <c r="I547" s="44"/>
      <c r="J547" s="38">
        <f>743</f>
        <v>743</v>
      </c>
      <c r="K547" s="45">
        <v>2.1527777777777778E-3</v>
      </c>
      <c r="L547" s="46" t="s">
        <v>1161</v>
      </c>
      <c r="M547" s="38"/>
      <c r="N547" s="38"/>
      <c r="O547" s="38"/>
      <c r="P547" s="38"/>
      <c r="Q547" s="38"/>
      <c r="R547" s="48"/>
      <c r="S547" s="48"/>
      <c r="T547" s="48"/>
      <c r="U547" s="52"/>
      <c r="V547" s="50"/>
      <c r="W547" s="51"/>
      <c r="X547" s="56"/>
    </row>
    <row r="548" spans="1:24">
      <c r="A548" s="38">
        <v>488</v>
      </c>
      <c r="B548" s="38"/>
      <c r="C548" s="38"/>
      <c r="D548" s="38" t="s">
        <v>1731</v>
      </c>
      <c r="E548" s="40" t="s">
        <v>1732</v>
      </c>
      <c r="F548" s="41" t="s">
        <v>1644</v>
      </c>
      <c r="G548" s="42">
        <v>408</v>
      </c>
      <c r="H548" s="43"/>
      <c r="I548" s="44"/>
      <c r="J548" s="38">
        <f>408</f>
        <v>408</v>
      </c>
      <c r="K548" s="45">
        <v>1.3773148148148147E-3</v>
      </c>
      <c r="L548" s="46" t="s">
        <v>1161</v>
      </c>
      <c r="M548" s="38"/>
      <c r="N548" s="38"/>
      <c r="O548" s="38"/>
      <c r="P548" s="38"/>
      <c r="Q548" s="38"/>
      <c r="R548" s="48"/>
      <c r="S548" s="48"/>
      <c r="T548" s="48"/>
      <c r="U548" s="52"/>
      <c r="V548" s="50"/>
      <c r="W548" s="51"/>
      <c r="X548" s="56"/>
    </row>
    <row r="549" spans="1:24">
      <c r="A549" s="38">
        <v>489</v>
      </c>
      <c r="B549" s="38"/>
      <c r="C549" s="38"/>
      <c r="D549" s="38" t="s">
        <v>1733</v>
      </c>
      <c r="E549" s="40" t="s">
        <v>1734</v>
      </c>
      <c r="F549" s="41" t="s">
        <v>1735</v>
      </c>
      <c r="G549" s="42" t="s">
        <v>782</v>
      </c>
      <c r="H549" s="43"/>
      <c r="I549" s="44"/>
      <c r="J549" s="38">
        <f>1.8*1000</f>
        <v>1800</v>
      </c>
      <c r="K549" s="45">
        <v>3.2291666666666666E-3</v>
      </c>
      <c r="L549" s="46" t="s">
        <v>1161</v>
      </c>
      <c r="M549" s="38"/>
      <c r="N549" s="38"/>
      <c r="O549" s="38"/>
      <c r="P549" s="38"/>
      <c r="Q549" s="38"/>
      <c r="R549" s="48"/>
      <c r="S549" s="48"/>
      <c r="T549" s="48"/>
      <c r="U549" s="52"/>
      <c r="V549" s="50"/>
      <c r="W549" s="51"/>
      <c r="X549" s="56"/>
    </row>
    <row r="550" spans="1:24">
      <c r="A550" s="38">
        <v>490</v>
      </c>
      <c r="B550" s="38"/>
      <c r="C550" s="38"/>
      <c r="D550" s="38" t="s">
        <v>1736</v>
      </c>
      <c r="E550" s="40" t="s">
        <v>1737</v>
      </c>
      <c r="F550" s="41" t="s">
        <v>1521</v>
      </c>
      <c r="G550" s="42">
        <v>577</v>
      </c>
      <c r="H550" s="43"/>
      <c r="I550" s="44"/>
      <c r="J550" s="38">
        <f>577</f>
        <v>577</v>
      </c>
      <c r="K550" s="45">
        <v>2.0370370370370373E-3</v>
      </c>
      <c r="L550" s="46" t="s">
        <v>1161</v>
      </c>
      <c r="M550" s="38"/>
      <c r="N550" s="38"/>
      <c r="O550" s="38"/>
      <c r="P550" s="38"/>
      <c r="Q550" s="38"/>
      <c r="R550" s="48"/>
      <c r="S550" s="48"/>
      <c r="T550" s="48"/>
      <c r="U550" s="52"/>
      <c r="V550" s="50"/>
      <c r="W550" s="51"/>
      <c r="X550" s="56"/>
    </row>
    <row r="551" spans="1:24">
      <c r="A551" s="38">
        <v>491</v>
      </c>
      <c r="B551" s="38"/>
      <c r="C551" s="38"/>
      <c r="D551" s="38" t="s">
        <v>1738</v>
      </c>
      <c r="E551" s="40" t="s">
        <v>1739</v>
      </c>
      <c r="F551" s="41" t="s">
        <v>1399</v>
      </c>
      <c r="G551" s="42" t="s">
        <v>396</v>
      </c>
      <c r="H551" s="43"/>
      <c r="I551" s="44"/>
      <c r="J551" s="38">
        <f>1.1*1000</f>
        <v>1100</v>
      </c>
      <c r="K551" s="45">
        <v>2.8587962962962963E-3</v>
      </c>
      <c r="L551" s="46" t="s">
        <v>1161</v>
      </c>
      <c r="M551" s="38"/>
      <c r="N551" s="38"/>
      <c r="O551" s="38"/>
      <c r="P551" s="38"/>
      <c r="Q551" s="38"/>
      <c r="R551" s="48"/>
      <c r="S551" s="48"/>
      <c r="T551" s="48"/>
      <c r="U551" s="52"/>
      <c r="V551" s="50"/>
      <c r="W551" s="51"/>
      <c r="X551" s="56"/>
    </row>
    <row r="552" spans="1:24">
      <c r="A552" s="38">
        <v>492</v>
      </c>
      <c r="B552" s="38"/>
      <c r="C552" s="38"/>
      <c r="D552" s="38" t="s">
        <v>1740</v>
      </c>
      <c r="E552" s="40" t="s">
        <v>1741</v>
      </c>
      <c r="F552" s="41" t="s">
        <v>1721</v>
      </c>
      <c r="G552" s="42">
        <v>225</v>
      </c>
      <c r="H552" s="43"/>
      <c r="I552" s="44"/>
      <c r="J552" s="38">
        <f>225</f>
        <v>225</v>
      </c>
      <c r="K552" s="45">
        <v>1.6319444444444445E-3</v>
      </c>
      <c r="L552" s="46" t="s">
        <v>1161</v>
      </c>
      <c r="M552" s="38"/>
      <c r="N552" s="38"/>
      <c r="O552" s="38"/>
      <c r="P552" s="38"/>
      <c r="Q552" s="38"/>
      <c r="R552" s="48"/>
      <c r="S552" s="48"/>
      <c r="T552" s="48"/>
      <c r="U552" s="52"/>
      <c r="V552" s="50"/>
      <c r="W552" s="51"/>
      <c r="X552" s="56"/>
    </row>
    <row r="553" spans="1:24">
      <c r="A553" s="38">
        <v>493</v>
      </c>
      <c r="B553" s="38"/>
      <c r="C553" s="38"/>
      <c r="D553" s="38" t="s">
        <v>1742</v>
      </c>
      <c r="E553" s="40" t="s">
        <v>1743</v>
      </c>
      <c r="F553" s="41" t="s">
        <v>1586</v>
      </c>
      <c r="G553" s="42">
        <v>208</v>
      </c>
      <c r="H553" s="43"/>
      <c r="I553" s="44"/>
      <c r="J553" s="38">
        <f>208</f>
        <v>208</v>
      </c>
      <c r="K553" s="45">
        <v>2.8472222222222219E-3</v>
      </c>
      <c r="L553" s="46" t="s">
        <v>1161</v>
      </c>
      <c r="M553" s="38"/>
      <c r="N553" s="38"/>
      <c r="O553" s="38"/>
      <c r="P553" s="38"/>
      <c r="Q553" s="38"/>
      <c r="R553" s="48"/>
      <c r="S553" s="48"/>
      <c r="T553" s="48"/>
      <c r="U553" s="52"/>
      <c r="V553" s="50"/>
      <c r="W553" s="51"/>
      <c r="X553" s="56"/>
    </row>
    <row r="554" spans="1:24">
      <c r="A554" s="38">
        <v>494</v>
      </c>
      <c r="B554" s="38"/>
      <c r="C554" s="38"/>
      <c r="D554" s="38" t="s">
        <v>1744</v>
      </c>
      <c r="E554" s="40" t="s">
        <v>1745</v>
      </c>
      <c r="F554" s="41" t="s">
        <v>1746</v>
      </c>
      <c r="G554" s="42">
        <v>422</v>
      </c>
      <c r="H554" s="43"/>
      <c r="I554" s="44"/>
      <c r="J554" s="38">
        <f>422</f>
        <v>422</v>
      </c>
      <c r="K554" s="45">
        <v>2.685185185185185E-3</v>
      </c>
      <c r="L554" s="46" t="s">
        <v>1161</v>
      </c>
      <c r="M554" s="38"/>
      <c r="N554" s="38"/>
      <c r="O554" s="38"/>
      <c r="P554" s="38"/>
      <c r="Q554" s="38"/>
      <c r="R554" s="48"/>
      <c r="S554" s="48"/>
      <c r="T554" s="48"/>
      <c r="U554" s="52"/>
      <c r="V554" s="50"/>
      <c r="W554" s="51"/>
      <c r="X554" s="56"/>
    </row>
    <row r="555" spans="1:24">
      <c r="A555" s="38">
        <v>495</v>
      </c>
      <c r="B555" s="38"/>
      <c r="C555" s="38"/>
      <c r="D555" s="38" t="s">
        <v>1747</v>
      </c>
      <c r="E555" s="40" t="s">
        <v>1748</v>
      </c>
      <c r="F555" s="41" t="s">
        <v>1749</v>
      </c>
      <c r="G555" s="42" t="s">
        <v>494</v>
      </c>
      <c r="H555" s="43"/>
      <c r="I555" s="44"/>
      <c r="J555" s="38">
        <f>6.6*1000</f>
        <v>6600</v>
      </c>
      <c r="K555" s="45">
        <v>5.5092592592592589E-3</v>
      </c>
      <c r="L555" s="46" t="s">
        <v>1161</v>
      </c>
      <c r="M555" s="38"/>
      <c r="N555" s="38"/>
      <c r="O555" s="38"/>
      <c r="P555" s="38"/>
      <c r="Q555" s="38"/>
      <c r="R555" s="48"/>
      <c r="S555" s="48"/>
      <c r="T555" s="48"/>
      <c r="U555" s="52"/>
      <c r="V555" s="50"/>
      <c r="W555" s="51"/>
      <c r="X555" s="56"/>
    </row>
    <row r="556" spans="1:24">
      <c r="A556" s="38">
        <v>496</v>
      </c>
      <c r="B556" s="38"/>
      <c r="C556" s="38"/>
      <c r="D556" s="38" t="s">
        <v>1750</v>
      </c>
      <c r="E556" s="40" t="s">
        <v>1751</v>
      </c>
      <c r="F556" s="41" t="s">
        <v>1752</v>
      </c>
      <c r="G556" s="42" t="s">
        <v>214</v>
      </c>
      <c r="H556" s="43"/>
      <c r="I556" s="44"/>
      <c r="J556" s="38">
        <f>1*1000</f>
        <v>1000</v>
      </c>
      <c r="K556" s="45">
        <v>4.0393518518518521E-3</v>
      </c>
      <c r="L556" s="46" t="s">
        <v>1161</v>
      </c>
      <c r="M556" s="38"/>
      <c r="N556" s="38"/>
      <c r="O556" s="38"/>
      <c r="P556" s="38"/>
      <c r="Q556" s="38"/>
      <c r="R556" s="48"/>
      <c r="S556" s="48"/>
      <c r="T556" s="48"/>
      <c r="U556" s="52"/>
      <c r="V556" s="50"/>
      <c r="W556" s="51"/>
      <c r="X556" s="56"/>
    </row>
    <row r="557" spans="1:24">
      <c r="A557" s="38">
        <v>497</v>
      </c>
      <c r="B557" s="38"/>
      <c r="C557" s="38"/>
      <c r="D557" s="38" t="s">
        <v>1753</v>
      </c>
      <c r="E557" s="40" t="s">
        <v>1754</v>
      </c>
      <c r="F557" s="61" t="s">
        <v>1755</v>
      </c>
      <c r="G557" s="42" t="s">
        <v>256</v>
      </c>
      <c r="H557" s="43"/>
      <c r="I557" s="44"/>
      <c r="J557" s="38">
        <f>2.1*1000</f>
        <v>2100</v>
      </c>
      <c r="K557" s="45">
        <v>4.3946759259259255E-2</v>
      </c>
      <c r="L557" s="46" t="s">
        <v>1161</v>
      </c>
      <c r="M557" s="38"/>
      <c r="N557" s="38"/>
      <c r="O557" s="38"/>
      <c r="P557" s="38"/>
      <c r="Q557" s="38"/>
      <c r="R557" s="48"/>
      <c r="S557" s="48"/>
      <c r="T557" s="48"/>
      <c r="U557" s="52"/>
      <c r="V557" s="50"/>
      <c r="W557" s="51"/>
      <c r="X557" s="56"/>
    </row>
    <row r="558" spans="1:24">
      <c r="A558" s="38">
        <v>498</v>
      </c>
      <c r="B558" s="38"/>
      <c r="C558" s="38"/>
      <c r="D558" s="38" t="s">
        <v>1756</v>
      </c>
      <c r="E558" s="40" t="s">
        <v>1757</v>
      </c>
      <c r="F558" s="58" t="s">
        <v>1758</v>
      </c>
      <c r="G558" s="42" t="s">
        <v>155</v>
      </c>
      <c r="H558" s="43"/>
      <c r="I558" s="44"/>
      <c r="J558" s="38">
        <f>1.9*1000</f>
        <v>1900</v>
      </c>
      <c r="K558" s="45">
        <v>2.5046296296296299E-2</v>
      </c>
      <c r="L558" s="46" t="s">
        <v>1161</v>
      </c>
      <c r="M558" s="38"/>
      <c r="N558" s="38"/>
      <c r="O558" s="38"/>
      <c r="P558" s="38"/>
      <c r="Q558" s="38"/>
      <c r="R558" s="48"/>
      <c r="S558" s="48"/>
      <c r="T558" s="48"/>
      <c r="U558" s="52"/>
      <c r="V558" s="50"/>
      <c r="W558" s="51"/>
      <c r="X558" s="56"/>
    </row>
    <row r="559" spans="1:24">
      <c r="A559" s="38">
        <v>499</v>
      </c>
      <c r="B559" s="38"/>
      <c r="C559" s="38"/>
      <c r="D559" s="38" t="s">
        <v>1759</v>
      </c>
      <c r="E559" s="40" t="s">
        <v>1760</v>
      </c>
      <c r="F559" s="41" t="s">
        <v>1761</v>
      </c>
      <c r="G559" s="42">
        <v>234</v>
      </c>
      <c r="H559" s="43"/>
      <c r="I559" s="44"/>
      <c r="J559" s="38">
        <f>234</f>
        <v>234</v>
      </c>
      <c r="K559" s="45">
        <v>1.3888888888888889E-3</v>
      </c>
      <c r="L559" s="46" t="s">
        <v>1161</v>
      </c>
      <c r="M559" s="38"/>
      <c r="N559" s="38"/>
      <c r="O559" s="38"/>
      <c r="P559" s="38"/>
      <c r="Q559" s="38"/>
      <c r="R559" s="48"/>
      <c r="S559" s="48"/>
      <c r="T559" s="48"/>
      <c r="U559" s="52"/>
      <c r="V559" s="50"/>
      <c r="W559" s="51"/>
      <c r="X559" s="56"/>
    </row>
    <row r="560" spans="1:24">
      <c r="A560" s="38">
        <v>500</v>
      </c>
      <c r="B560" s="38"/>
      <c r="C560" s="38"/>
      <c r="D560" s="38" t="s">
        <v>1762</v>
      </c>
      <c r="E560" s="40" t="s">
        <v>1763</v>
      </c>
      <c r="F560" s="41" t="s">
        <v>1372</v>
      </c>
      <c r="G560" s="42">
        <v>205</v>
      </c>
      <c r="H560" s="43"/>
      <c r="I560" s="44"/>
      <c r="J560" s="38">
        <f>205</f>
        <v>205</v>
      </c>
      <c r="K560" s="45">
        <v>2.1874999999999998E-3</v>
      </c>
      <c r="L560" s="46" t="s">
        <v>1161</v>
      </c>
      <c r="M560" s="38"/>
      <c r="N560" s="38"/>
      <c r="O560" s="38"/>
      <c r="P560" s="38"/>
      <c r="Q560" s="38"/>
      <c r="R560" s="48"/>
      <c r="S560" s="48"/>
      <c r="T560" s="48"/>
      <c r="U560" s="52"/>
      <c r="V560" s="50"/>
      <c r="W560" s="51"/>
      <c r="X560" s="56"/>
    </row>
    <row r="561" spans="1:24">
      <c r="A561" s="38">
        <v>501</v>
      </c>
      <c r="B561" s="38"/>
      <c r="C561" s="38"/>
      <c r="D561" s="38" t="s">
        <v>1764</v>
      </c>
      <c r="E561" s="40" t="s">
        <v>1765</v>
      </c>
      <c r="F561" s="58" t="s">
        <v>1766</v>
      </c>
      <c r="G561" s="42" t="s">
        <v>350</v>
      </c>
      <c r="H561" s="43"/>
      <c r="I561" s="44"/>
      <c r="J561" s="38">
        <f>3*1000</f>
        <v>3000</v>
      </c>
      <c r="K561" s="45">
        <v>2.3958333333333331E-2</v>
      </c>
      <c r="L561" s="46" t="s">
        <v>1161</v>
      </c>
      <c r="M561" s="38"/>
      <c r="N561" s="38"/>
      <c r="O561" s="38"/>
      <c r="P561" s="38"/>
      <c r="Q561" s="38"/>
      <c r="R561" s="48"/>
      <c r="S561" s="48"/>
      <c r="T561" s="48"/>
      <c r="U561" s="52"/>
      <c r="V561" s="50"/>
      <c r="W561" s="51"/>
      <c r="X561" s="56"/>
    </row>
    <row r="562" spans="1:24">
      <c r="A562" s="38">
        <v>502</v>
      </c>
      <c r="B562" s="38"/>
      <c r="C562" s="38"/>
      <c r="D562" s="38" t="s">
        <v>1767</v>
      </c>
      <c r="E562" s="40" t="s">
        <v>1768</v>
      </c>
      <c r="F562" s="58" t="s">
        <v>1769</v>
      </c>
      <c r="G562" s="42" t="s">
        <v>249</v>
      </c>
      <c r="H562" s="43"/>
      <c r="I562" s="44"/>
      <c r="J562" s="38">
        <f>2.4*1000</f>
        <v>2400</v>
      </c>
      <c r="K562" s="45">
        <v>3.7743055555555557E-2</v>
      </c>
      <c r="L562" s="46" t="s">
        <v>1161</v>
      </c>
      <c r="M562" s="38"/>
      <c r="N562" s="38"/>
      <c r="O562" s="38"/>
      <c r="P562" s="38"/>
      <c r="Q562" s="38"/>
      <c r="R562" s="48"/>
      <c r="S562" s="48"/>
      <c r="T562" s="48"/>
      <c r="U562" s="52"/>
      <c r="V562" s="50"/>
      <c r="W562" s="51"/>
      <c r="X562" s="56"/>
    </row>
    <row r="563" spans="1:24">
      <c r="A563" s="38">
        <v>503</v>
      </c>
      <c r="B563" s="38"/>
      <c r="C563" s="38"/>
      <c r="D563" s="38" t="s">
        <v>1770</v>
      </c>
      <c r="E563" s="40" t="s">
        <v>1771</v>
      </c>
      <c r="F563" s="58" t="s">
        <v>1772</v>
      </c>
      <c r="G563" s="42" t="s">
        <v>919</v>
      </c>
      <c r="H563" s="43"/>
      <c r="I563" s="44"/>
      <c r="J563" s="38">
        <f>2.8*1000</f>
        <v>2800</v>
      </c>
      <c r="K563" s="45">
        <v>1.8460648148148146E-2</v>
      </c>
      <c r="L563" s="46" t="s">
        <v>1161</v>
      </c>
      <c r="M563" s="38"/>
      <c r="N563" s="38"/>
      <c r="O563" s="38"/>
      <c r="P563" s="38"/>
      <c r="Q563" s="38"/>
      <c r="R563" s="48"/>
      <c r="S563" s="48"/>
      <c r="T563" s="48"/>
      <c r="U563" s="52"/>
      <c r="V563" s="50"/>
      <c r="W563" s="51"/>
      <c r="X563" s="56"/>
    </row>
    <row r="564" spans="1:24">
      <c r="A564" s="38">
        <v>504</v>
      </c>
      <c r="B564" s="38"/>
      <c r="C564" s="38"/>
      <c r="D564" s="38" t="s">
        <v>1773</v>
      </c>
      <c r="E564" s="40" t="s">
        <v>1774</v>
      </c>
      <c r="F564" s="58" t="s">
        <v>1775</v>
      </c>
      <c r="G564" s="42" t="s">
        <v>521</v>
      </c>
      <c r="H564" s="43"/>
      <c r="I564" s="44"/>
      <c r="J564" s="38">
        <f>3.5*1000</f>
        <v>3500</v>
      </c>
      <c r="K564" s="45">
        <v>3.8206018518518521E-2</v>
      </c>
      <c r="L564" s="46" t="s">
        <v>1161</v>
      </c>
      <c r="M564" s="38"/>
      <c r="N564" s="38"/>
      <c r="O564" s="38"/>
      <c r="P564" s="38"/>
      <c r="Q564" s="38"/>
      <c r="R564" s="48"/>
      <c r="S564" s="48"/>
      <c r="T564" s="48"/>
      <c r="U564" s="52"/>
      <c r="V564" s="50"/>
      <c r="W564" s="51"/>
      <c r="X564" s="56"/>
    </row>
    <row r="565" spans="1:24">
      <c r="A565" s="38">
        <v>505</v>
      </c>
      <c r="B565" s="38"/>
      <c r="C565" s="38"/>
      <c r="D565" s="38" t="s">
        <v>1776</v>
      </c>
      <c r="E565" s="40" t="s">
        <v>1777</v>
      </c>
      <c r="F565" s="41" t="s">
        <v>1778</v>
      </c>
      <c r="G565" s="42" t="s">
        <v>214</v>
      </c>
      <c r="H565" s="43"/>
      <c r="I565" s="44"/>
      <c r="J565" s="38">
        <f>1*1000</f>
        <v>1000</v>
      </c>
      <c r="K565" s="45">
        <v>1.1562499999999998E-2</v>
      </c>
      <c r="L565" s="46" t="s">
        <v>1161</v>
      </c>
      <c r="M565" s="38"/>
      <c r="N565" s="38"/>
      <c r="O565" s="38"/>
      <c r="P565" s="38"/>
      <c r="Q565" s="38"/>
      <c r="R565" s="48"/>
      <c r="S565" s="48"/>
      <c r="T565" s="48"/>
      <c r="U565" s="52"/>
      <c r="V565" s="50"/>
      <c r="W565" s="51"/>
      <c r="X565" s="56"/>
    </row>
    <row r="566" spans="1:24">
      <c r="A566" s="38">
        <v>506</v>
      </c>
      <c r="B566" s="38"/>
      <c r="C566" s="38"/>
      <c r="D566" s="38" t="s">
        <v>1779</v>
      </c>
      <c r="E566" s="40" t="s">
        <v>1780</v>
      </c>
      <c r="F566" s="58" t="s">
        <v>1781</v>
      </c>
      <c r="G566" s="42" t="s">
        <v>1126</v>
      </c>
      <c r="H566" s="43"/>
      <c r="I566" s="44"/>
      <c r="J566" s="38">
        <f>4.3*1000</f>
        <v>4300</v>
      </c>
      <c r="K566" s="45">
        <v>2.4340277777777777E-2</v>
      </c>
      <c r="L566" s="46" t="s">
        <v>1161</v>
      </c>
      <c r="M566" s="38"/>
      <c r="N566" s="38"/>
      <c r="O566" s="38"/>
      <c r="P566" s="38"/>
      <c r="Q566" s="38"/>
      <c r="R566" s="48"/>
      <c r="S566" s="48"/>
      <c r="T566" s="48"/>
      <c r="U566" s="52"/>
      <c r="V566" s="50"/>
      <c r="W566" s="51"/>
      <c r="X566" s="56"/>
    </row>
    <row r="567" spans="1:24">
      <c r="A567" s="38">
        <v>507</v>
      </c>
      <c r="B567" s="38"/>
      <c r="C567" s="38"/>
      <c r="D567" s="38" t="s">
        <v>1782</v>
      </c>
      <c r="E567" s="40" t="s">
        <v>1783</v>
      </c>
      <c r="F567" s="41" t="s">
        <v>1784</v>
      </c>
      <c r="G567" s="42" t="s">
        <v>597</v>
      </c>
      <c r="H567" s="43"/>
      <c r="I567" s="44"/>
      <c r="J567" s="38">
        <f>2.6*1000</f>
        <v>2600</v>
      </c>
      <c r="K567" s="45">
        <v>1.3182870370370371E-2</v>
      </c>
      <c r="L567" s="46" t="s">
        <v>1161</v>
      </c>
      <c r="M567" s="38"/>
      <c r="N567" s="38"/>
      <c r="O567" s="38"/>
      <c r="P567" s="38"/>
      <c r="Q567" s="38"/>
      <c r="R567" s="48"/>
      <c r="S567" s="48"/>
      <c r="T567" s="48"/>
      <c r="U567" s="52"/>
      <c r="V567" s="50"/>
      <c r="W567" s="51"/>
      <c r="X567" s="56"/>
    </row>
    <row r="568" spans="1:24">
      <c r="A568" s="38">
        <v>508</v>
      </c>
      <c r="B568" s="38"/>
      <c r="C568" s="38"/>
      <c r="D568" s="38" t="s">
        <v>1785</v>
      </c>
      <c r="E568" s="40" t="s">
        <v>1786</v>
      </c>
      <c r="F568" s="41" t="s">
        <v>1787</v>
      </c>
      <c r="G568" s="42">
        <v>473</v>
      </c>
      <c r="H568" s="43"/>
      <c r="I568" s="44"/>
      <c r="J568" s="38">
        <f>473</f>
        <v>473</v>
      </c>
      <c r="K568" s="45">
        <v>6.5277777777777782E-3</v>
      </c>
      <c r="L568" s="46" t="s">
        <v>1161</v>
      </c>
      <c r="M568" s="38"/>
      <c r="N568" s="38"/>
      <c r="O568" s="38"/>
      <c r="P568" s="38"/>
      <c r="Q568" s="38"/>
      <c r="R568" s="48"/>
      <c r="S568" s="48"/>
      <c r="T568" s="48"/>
      <c r="U568" s="52"/>
      <c r="V568" s="50"/>
      <c r="W568" s="51"/>
      <c r="X568" s="56"/>
    </row>
    <row r="569" spans="1:24">
      <c r="A569" s="38">
        <v>509</v>
      </c>
      <c r="B569" s="38"/>
      <c r="C569" s="38"/>
      <c r="D569" s="38" t="s">
        <v>1788</v>
      </c>
      <c r="E569" s="40" t="s">
        <v>1789</v>
      </c>
      <c r="F569" s="41" t="s">
        <v>196</v>
      </c>
      <c r="G569" s="42">
        <v>974</v>
      </c>
      <c r="H569" s="43"/>
      <c r="I569" s="44"/>
      <c r="J569" s="38">
        <f>974</f>
        <v>974</v>
      </c>
      <c r="K569" s="45">
        <v>2.673611111111111E-3</v>
      </c>
      <c r="L569" s="46" t="s">
        <v>1161</v>
      </c>
      <c r="M569" s="38"/>
      <c r="N569" s="38"/>
      <c r="O569" s="38"/>
      <c r="P569" s="38"/>
      <c r="Q569" s="38"/>
      <c r="R569" s="48"/>
      <c r="S569" s="48"/>
      <c r="T569" s="48"/>
      <c r="U569" s="52"/>
      <c r="V569" s="50"/>
      <c r="W569" s="51"/>
      <c r="X569" s="56"/>
    </row>
    <row r="570" spans="1:24">
      <c r="A570" s="38">
        <v>510</v>
      </c>
      <c r="B570" s="38"/>
      <c r="C570" s="38"/>
      <c r="D570" s="38" t="s">
        <v>1790</v>
      </c>
      <c r="E570" s="40" t="s">
        <v>1791</v>
      </c>
      <c r="F570" s="41" t="s">
        <v>1339</v>
      </c>
      <c r="G570" s="42">
        <v>437</v>
      </c>
      <c r="H570" s="43"/>
      <c r="I570" s="44"/>
      <c r="J570" s="38">
        <f>437</f>
        <v>437</v>
      </c>
      <c r="K570" s="45">
        <v>1.3194444444444443E-3</v>
      </c>
      <c r="L570" s="46" t="s">
        <v>1161</v>
      </c>
      <c r="M570" s="38"/>
      <c r="N570" s="38"/>
      <c r="O570" s="38"/>
      <c r="P570" s="38"/>
      <c r="Q570" s="38"/>
      <c r="R570" s="48"/>
      <c r="S570" s="48"/>
      <c r="T570" s="48"/>
      <c r="U570" s="52"/>
      <c r="V570" s="50"/>
      <c r="W570" s="51"/>
      <c r="X570" s="56"/>
    </row>
    <row r="571" spans="1:24">
      <c r="A571" s="38">
        <v>511</v>
      </c>
      <c r="B571" s="38"/>
      <c r="C571" s="38"/>
      <c r="D571" s="38" t="s">
        <v>1792</v>
      </c>
      <c r="E571" s="40" t="s">
        <v>1793</v>
      </c>
      <c r="F571" s="41" t="s">
        <v>1794</v>
      </c>
      <c r="G571" s="42">
        <v>274</v>
      </c>
      <c r="H571" s="43"/>
      <c r="I571" s="44"/>
      <c r="J571" s="38">
        <f>274</f>
        <v>274</v>
      </c>
      <c r="K571" s="45">
        <v>1.4351851851851854E-3</v>
      </c>
      <c r="L571" s="46" t="s">
        <v>1161</v>
      </c>
      <c r="M571" s="38"/>
      <c r="N571" s="38"/>
      <c r="O571" s="38"/>
      <c r="P571" s="38"/>
      <c r="Q571" s="38"/>
      <c r="R571" s="48"/>
      <c r="S571" s="48"/>
      <c r="T571" s="48"/>
      <c r="U571" s="52"/>
      <c r="V571" s="50"/>
      <c r="W571" s="51"/>
      <c r="X571" s="56"/>
    </row>
    <row r="572" spans="1:24">
      <c r="A572" s="38">
        <v>512</v>
      </c>
      <c r="B572" s="38"/>
      <c r="C572" s="38"/>
      <c r="D572" s="38" t="s">
        <v>1795</v>
      </c>
      <c r="E572" s="40" t="s">
        <v>1796</v>
      </c>
      <c r="F572" s="41" t="s">
        <v>1761</v>
      </c>
      <c r="G572" s="42" t="s">
        <v>912</v>
      </c>
      <c r="H572" s="43"/>
      <c r="I572" s="44"/>
      <c r="J572" s="38">
        <f>4.2*1000</f>
        <v>4200</v>
      </c>
      <c r="K572" s="45">
        <v>1.3888888888888889E-3</v>
      </c>
      <c r="L572" s="46" t="s">
        <v>1161</v>
      </c>
      <c r="M572" s="38"/>
      <c r="N572" s="38"/>
      <c r="O572" s="38"/>
      <c r="P572" s="38"/>
      <c r="Q572" s="38"/>
      <c r="R572" s="48"/>
      <c r="S572" s="48"/>
      <c r="T572" s="48"/>
      <c r="U572" s="52"/>
      <c r="V572" s="50"/>
      <c r="W572" s="51"/>
      <c r="X572" s="56"/>
    </row>
    <row r="573" spans="1:24">
      <c r="A573" s="38">
        <v>513</v>
      </c>
      <c r="B573" s="38"/>
      <c r="C573" s="38"/>
      <c r="D573" s="38" t="s">
        <v>1797</v>
      </c>
      <c r="E573" s="40" t="s">
        <v>1798</v>
      </c>
      <c r="F573" s="41" t="s">
        <v>1372</v>
      </c>
      <c r="G573" s="42">
        <v>366</v>
      </c>
      <c r="H573" s="43"/>
      <c r="I573" s="44"/>
      <c r="J573" s="38">
        <f>366</f>
        <v>366</v>
      </c>
      <c r="K573" s="45">
        <v>2.1874999999999998E-3</v>
      </c>
      <c r="L573" s="46" t="s">
        <v>1161</v>
      </c>
      <c r="M573" s="38"/>
      <c r="N573" s="38"/>
      <c r="O573" s="38"/>
      <c r="P573" s="38"/>
      <c r="Q573" s="38"/>
      <c r="R573" s="48"/>
      <c r="S573" s="48"/>
      <c r="T573" s="48"/>
      <c r="U573" s="52"/>
      <c r="V573" s="50"/>
      <c r="W573" s="51"/>
      <c r="X573" s="56"/>
    </row>
    <row r="574" spans="1:24">
      <c r="A574" s="38">
        <v>514</v>
      </c>
      <c r="B574" s="38"/>
      <c r="C574" s="38"/>
      <c r="D574" s="38" t="s">
        <v>1799</v>
      </c>
      <c r="E574" s="40" t="s">
        <v>1800</v>
      </c>
      <c r="F574" s="41" t="s">
        <v>176</v>
      </c>
      <c r="G574" s="42">
        <v>277</v>
      </c>
      <c r="H574" s="43"/>
      <c r="I574" s="44"/>
      <c r="J574" s="38">
        <f>277</f>
        <v>277</v>
      </c>
      <c r="K574" s="45">
        <v>2.4189814814814816E-3</v>
      </c>
      <c r="L574" s="46" t="s">
        <v>1161</v>
      </c>
      <c r="M574" s="38"/>
      <c r="N574" s="38"/>
      <c r="O574" s="38"/>
      <c r="P574" s="38"/>
      <c r="Q574" s="38"/>
      <c r="R574" s="48"/>
      <c r="S574" s="48"/>
      <c r="T574" s="48"/>
      <c r="U574" s="52"/>
      <c r="V574" s="50"/>
      <c r="W574" s="51"/>
      <c r="X574" s="56"/>
    </row>
    <row r="575" spans="1:24">
      <c r="A575" s="38">
        <v>515</v>
      </c>
      <c r="B575" s="38"/>
      <c r="C575" s="38"/>
      <c r="D575" s="38" t="s">
        <v>1801</v>
      </c>
      <c r="E575" s="40" t="s">
        <v>1802</v>
      </c>
      <c r="F575" s="41" t="s">
        <v>850</v>
      </c>
      <c r="G575" s="42">
        <v>667</v>
      </c>
      <c r="H575" s="43"/>
      <c r="I575" s="44"/>
      <c r="J575" s="38">
        <f>667</f>
        <v>667</v>
      </c>
      <c r="K575" s="45">
        <v>1.5277777777777779E-3</v>
      </c>
      <c r="L575" s="46" t="s">
        <v>1161</v>
      </c>
      <c r="M575" s="38"/>
      <c r="N575" s="38"/>
      <c r="O575" s="38"/>
      <c r="P575" s="38"/>
      <c r="Q575" s="38"/>
      <c r="R575" s="48"/>
      <c r="S575" s="48"/>
      <c r="T575" s="48"/>
      <c r="U575" s="52"/>
      <c r="V575" s="50"/>
      <c r="W575" s="51"/>
      <c r="X575" s="56"/>
    </row>
    <row r="576" spans="1:24">
      <c r="A576" s="38">
        <v>516</v>
      </c>
      <c r="B576" s="38"/>
      <c r="C576" s="38"/>
      <c r="D576" s="38" t="s">
        <v>1803</v>
      </c>
      <c r="E576" s="40" t="s">
        <v>1804</v>
      </c>
      <c r="F576" s="41" t="s">
        <v>1805</v>
      </c>
      <c r="G576" s="42">
        <v>434</v>
      </c>
      <c r="H576" s="43"/>
      <c r="I576" s="44"/>
      <c r="J576" s="38">
        <f>434</f>
        <v>434</v>
      </c>
      <c r="K576" s="45">
        <v>1.3425925925925925E-3</v>
      </c>
      <c r="L576" s="46" t="s">
        <v>1161</v>
      </c>
      <c r="M576" s="38"/>
      <c r="N576" s="38"/>
      <c r="O576" s="38"/>
      <c r="P576" s="38"/>
      <c r="Q576" s="38"/>
      <c r="R576" s="48"/>
      <c r="S576" s="48"/>
      <c r="T576" s="48"/>
      <c r="U576" s="52"/>
      <c r="V576" s="50"/>
      <c r="W576" s="51"/>
      <c r="X576" s="56"/>
    </row>
    <row r="577" spans="1:24">
      <c r="A577" s="38">
        <v>517</v>
      </c>
      <c r="B577" s="38"/>
      <c r="C577" s="38"/>
      <c r="D577" s="38" t="s">
        <v>1806</v>
      </c>
      <c r="E577" s="40" t="s">
        <v>1807</v>
      </c>
      <c r="F577" s="41" t="s">
        <v>1521</v>
      </c>
      <c r="G577" s="42">
        <v>556</v>
      </c>
      <c r="H577" s="43"/>
      <c r="I577" s="44"/>
      <c r="J577" s="38">
        <f>556</f>
        <v>556</v>
      </c>
      <c r="K577" s="45">
        <v>2.0370370370370373E-3</v>
      </c>
      <c r="L577" s="46" t="s">
        <v>1161</v>
      </c>
      <c r="M577" s="38"/>
      <c r="N577" s="38"/>
      <c r="O577" s="38"/>
      <c r="P577" s="38"/>
      <c r="Q577" s="38"/>
      <c r="R577" s="48"/>
      <c r="S577" s="48"/>
      <c r="T577" s="48"/>
      <c r="U577" s="52"/>
      <c r="V577" s="50"/>
      <c r="W577" s="51"/>
      <c r="X577" s="56"/>
    </row>
    <row r="578" spans="1:24">
      <c r="A578" s="38">
        <v>518</v>
      </c>
      <c r="B578" s="38"/>
      <c r="C578" s="38"/>
      <c r="D578" s="38" t="s">
        <v>1808</v>
      </c>
      <c r="E578" s="40" t="s">
        <v>1809</v>
      </c>
      <c r="F578" s="41" t="s">
        <v>1810</v>
      </c>
      <c r="G578" s="42">
        <v>449</v>
      </c>
      <c r="H578" s="43"/>
      <c r="I578" s="44"/>
      <c r="J578" s="38">
        <f>449</f>
        <v>449</v>
      </c>
      <c r="K578" s="45">
        <v>3.5648148148148154E-3</v>
      </c>
      <c r="L578" s="46" t="s">
        <v>1161</v>
      </c>
      <c r="M578" s="38"/>
      <c r="N578" s="38"/>
      <c r="O578" s="38"/>
      <c r="P578" s="38"/>
      <c r="Q578" s="38"/>
      <c r="R578" s="48"/>
      <c r="S578" s="48"/>
      <c r="T578" s="48"/>
      <c r="U578" s="52"/>
      <c r="V578" s="50"/>
      <c r="W578" s="51"/>
      <c r="X578" s="56"/>
    </row>
    <row r="579" spans="1:24">
      <c r="A579" s="38">
        <v>519</v>
      </c>
      <c r="B579" s="38"/>
      <c r="C579" s="38"/>
      <c r="D579" s="38" t="s">
        <v>1811</v>
      </c>
      <c r="E579" s="40" t="s">
        <v>1812</v>
      </c>
      <c r="F579" s="41" t="s">
        <v>1813</v>
      </c>
      <c r="G579" s="42">
        <v>813</v>
      </c>
      <c r="H579" s="43"/>
      <c r="I579" s="44"/>
      <c r="J579" s="38">
        <f>813</f>
        <v>813</v>
      </c>
      <c r="K579" s="45">
        <v>3.1365740740740742E-3</v>
      </c>
      <c r="L579" s="46" t="s">
        <v>1161</v>
      </c>
      <c r="M579" s="38"/>
      <c r="N579" s="38"/>
      <c r="O579" s="38"/>
      <c r="P579" s="38"/>
      <c r="Q579" s="38"/>
      <c r="R579" s="48"/>
      <c r="S579" s="48"/>
      <c r="T579" s="48"/>
      <c r="U579" s="52"/>
      <c r="V579" s="50"/>
      <c r="W579" s="51"/>
      <c r="X579" s="56"/>
    </row>
    <row r="580" spans="1:24">
      <c r="A580" s="38">
        <v>520</v>
      </c>
      <c r="B580" s="38"/>
      <c r="C580" s="38"/>
      <c r="D580" s="38" t="s">
        <v>1814</v>
      </c>
      <c r="E580" s="40" t="s">
        <v>1815</v>
      </c>
      <c r="F580" s="41" t="s">
        <v>1816</v>
      </c>
      <c r="G580" s="42" t="s">
        <v>568</v>
      </c>
      <c r="H580" s="43"/>
      <c r="I580" s="44"/>
      <c r="J580" s="38">
        <f>1.4*1000</f>
        <v>1400</v>
      </c>
      <c r="K580" s="45">
        <v>3.4606481481481485E-3</v>
      </c>
      <c r="L580" s="46" t="s">
        <v>1161</v>
      </c>
      <c r="M580" s="38"/>
      <c r="N580" s="38"/>
      <c r="O580" s="38"/>
      <c r="P580" s="38"/>
      <c r="Q580" s="38"/>
      <c r="R580" s="48"/>
      <c r="S580" s="48"/>
      <c r="T580" s="48"/>
      <c r="U580" s="52"/>
      <c r="V580" s="50"/>
      <c r="W580" s="51"/>
      <c r="X580" s="56"/>
    </row>
    <row r="581" spans="1:24">
      <c r="A581" s="38">
        <v>521</v>
      </c>
      <c r="B581" s="38"/>
      <c r="C581" s="38"/>
      <c r="D581" s="38" t="s">
        <v>1817</v>
      </c>
      <c r="E581" s="40" t="s">
        <v>1818</v>
      </c>
      <c r="F581" s="41" t="s">
        <v>1819</v>
      </c>
      <c r="G581" s="42">
        <v>343</v>
      </c>
      <c r="H581" s="43"/>
      <c r="I581" s="44"/>
      <c r="J581" s="38">
        <f>343</f>
        <v>343</v>
      </c>
      <c r="K581" s="45">
        <v>7.175925925925927E-4</v>
      </c>
      <c r="L581" s="46" t="s">
        <v>1161</v>
      </c>
      <c r="M581" s="38"/>
      <c r="N581" s="38"/>
      <c r="O581" s="38"/>
      <c r="P581" s="38"/>
      <c r="Q581" s="38"/>
      <c r="R581" s="48"/>
      <c r="S581" s="48"/>
      <c r="T581" s="48"/>
      <c r="U581" s="52"/>
      <c r="V581" s="50"/>
      <c r="W581" s="51"/>
      <c r="X581" s="56"/>
    </row>
    <row r="582" spans="1:24">
      <c r="A582" s="38">
        <v>522</v>
      </c>
      <c r="B582" s="38"/>
      <c r="C582" s="38"/>
      <c r="D582" s="38" t="s">
        <v>1820</v>
      </c>
      <c r="E582" s="40" t="s">
        <v>1821</v>
      </c>
      <c r="F582" s="41" t="s">
        <v>176</v>
      </c>
      <c r="G582" s="42">
        <v>736</v>
      </c>
      <c r="H582" s="43"/>
      <c r="I582" s="44"/>
      <c r="J582" s="38">
        <f>736</f>
        <v>736</v>
      </c>
      <c r="K582" s="45">
        <v>2.4189814814814816E-3</v>
      </c>
      <c r="L582" s="46" t="s">
        <v>1161</v>
      </c>
      <c r="M582" s="38"/>
      <c r="N582" s="38"/>
      <c r="O582" s="38"/>
      <c r="P582" s="38"/>
      <c r="Q582" s="38"/>
      <c r="R582" s="48"/>
      <c r="S582" s="48"/>
      <c r="T582" s="48"/>
      <c r="U582" s="52"/>
      <c r="V582" s="50"/>
      <c r="W582" s="51"/>
      <c r="X582" s="56"/>
    </row>
    <row r="583" spans="1:24">
      <c r="A583" s="38">
        <v>523</v>
      </c>
      <c r="B583" s="38"/>
      <c r="C583" s="38"/>
      <c r="D583" s="38" t="s">
        <v>1822</v>
      </c>
      <c r="E583" s="40" t="s">
        <v>1823</v>
      </c>
      <c r="F583" s="41" t="s">
        <v>176</v>
      </c>
      <c r="G583" s="42" t="s">
        <v>438</v>
      </c>
      <c r="H583" s="43"/>
      <c r="I583" s="44"/>
      <c r="J583" s="38">
        <f>2.3*1000</f>
        <v>2300</v>
      </c>
      <c r="K583" s="45">
        <v>2.4189814814814816E-3</v>
      </c>
      <c r="L583" s="46" t="s">
        <v>1161</v>
      </c>
      <c r="M583" s="38"/>
      <c r="N583" s="38"/>
      <c r="O583" s="38"/>
      <c r="P583" s="38"/>
      <c r="Q583" s="38"/>
      <c r="R583" s="48"/>
      <c r="S583" s="48"/>
      <c r="T583" s="48"/>
      <c r="U583" s="52"/>
      <c r="V583" s="50"/>
      <c r="W583" s="51"/>
      <c r="X583" s="56"/>
    </row>
    <row r="584" spans="1:24">
      <c r="A584" s="38">
        <v>524</v>
      </c>
      <c r="B584" s="38"/>
      <c r="C584" s="38"/>
      <c r="D584" s="38" t="s">
        <v>1824</v>
      </c>
      <c r="E584" s="40" t="s">
        <v>1825</v>
      </c>
      <c r="F584" s="58" t="s">
        <v>1826</v>
      </c>
      <c r="G584" s="42" t="s">
        <v>1827</v>
      </c>
      <c r="H584" s="43"/>
      <c r="I584" s="44"/>
      <c r="J584" s="38">
        <f>4.8*1000</f>
        <v>4800</v>
      </c>
      <c r="K584" s="45">
        <v>3.1805555555555552E-2</v>
      </c>
      <c r="L584" s="46" t="s">
        <v>1161</v>
      </c>
      <c r="M584" s="38"/>
      <c r="N584" s="38"/>
      <c r="O584" s="38"/>
      <c r="P584" s="38"/>
      <c r="Q584" s="38"/>
      <c r="R584" s="48"/>
      <c r="S584" s="48"/>
      <c r="T584" s="48"/>
      <c r="U584" s="52"/>
      <c r="V584" s="50"/>
      <c r="W584" s="51"/>
      <c r="X584" s="56"/>
    </row>
    <row r="585" spans="1:24">
      <c r="A585" s="38">
        <v>525</v>
      </c>
      <c r="B585" s="38"/>
      <c r="C585" s="38"/>
      <c r="D585" s="38" t="s">
        <v>1828</v>
      </c>
      <c r="E585" s="40" t="s">
        <v>1829</v>
      </c>
      <c r="F585" s="58" t="s">
        <v>1830</v>
      </c>
      <c r="G585" s="42" t="s">
        <v>506</v>
      </c>
      <c r="H585" s="43"/>
      <c r="I585" s="44"/>
      <c r="J585" s="38">
        <f>2*1000</f>
        <v>2000</v>
      </c>
      <c r="K585" s="45">
        <v>1.9733796296296298E-2</v>
      </c>
      <c r="L585" s="46" t="s">
        <v>1161</v>
      </c>
      <c r="M585" s="38"/>
      <c r="N585" s="38"/>
      <c r="O585" s="38"/>
      <c r="P585" s="38"/>
      <c r="Q585" s="38"/>
      <c r="R585" s="48"/>
      <c r="S585" s="48"/>
      <c r="T585" s="48"/>
      <c r="U585" s="52"/>
      <c r="V585" s="50"/>
      <c r="W585" s="51"/>
      <c r="X585" s="56"/>
    </row>
    <row r="586" spans="1:24">
      <c r="A586" s="38">
        <v>526</v>
      </c>
      <c r="B586" s="38"/>
      <c r="C586" s="38"/>
      <c r="D586" s="38" t="s">
        <v>1831</v>
      </c>
      <c r="E586" s="40" t="s">
        <v>1832</v>
      </c>
      <c r="F586" s="41" t="s">
        <v>1833</v>
      </c>
      <c r="G586" s="42" t="s">
        <v>155</v>
      </c>
      <c r="H586" s="43"/>
      <c r="I586" s="44"/>
      <c r="J586" s="38">
        <f>1.9*1000</f>
        <v>1900</v>
      </c>
      <c r="K586" s="45">
        <v>5.162037037037037E-3</v>
      </c>
      <c r="L586" s="46" t="s">
        <v>1161</v>
      </c>
      <c r="M586" s="38"/>
      <c r="N586" s="38"/>
      <c r="O586" s="38"/>
      <c r="P586" s="38"/>
      <c r="Q586" s="38"/>
      <c r="R586" s="48"/>
      <c r="S586" s="48"/>
      <c r="T586" s="48"/>
      <c r="U586" s="52"/>
      <c r="V586" s="50"/>
      <c r="W586" s="51"/>
      <c r="X586" s="56"/>
    </row>
    <row r="587" spans="1:24">
      <c r="A587" s="38">
        <v>527</v>
      </c>
      <c r="B587" s="38"/>
      <c r="C587" s="38"/>
      <c r="D587" s="38" t="s">
        <v>1834</v>
      </c>
      <c r="E587" s="40" t="s">
        <v>1835</v>
      </c>
      <c r="F587" s="58" t="s">
        <v>1836</v>
      </c>
      <c r="G587" s="42" t="s">
        <v>568</v>
      </c>
      <c r="H587" s="43"/>
      <c r="I587" s="44"/>
      <c r="J587" s="38">
        <f>1.4*1000</f>
        <v>1400</v>
      </c>
      <c r="K587" s="45">
        <v>1.7071759259259259E-2</v>
      </c>
      <c r="L587" s="46" t="s">
        <v>1161</v>
      </c>
      <c r="M587" s="38"/>
      <c r="N587" s="38"/>
      <c r="O587" s="38"/>
      <c r="P587" s="38"/>
      <c r="Q587" s="38"/>
      <c r="R587" s="48"/>
      <c r="S587" s="48"/>
      <c r="T587" s="48"/>
      <c r="U587" s="52"/>
      <c r="V587" s="50"/>
      <c r="W587" s="51"/>
      <c r="X587" s="56"/>
    </row>
    <row r="588" spans="1:24">
      <c r="A588" s="38">
        <v>528</v>
      </c>
      <c r="B588" s="38"/>
      <c r="C588" s="38"/>
      <c r="D588" s="38" t="s">
        <v>1837</v>
      </c>
      <c r="E588" s="40" t="s">
        <v>1838</v>
      </c>
      <c r="F588" s="41" t="s">
        <v>1839</v>
      </c>
      <c r="G588" s="42" t="s">
        <v>214</v>
      </c>
      <c r="H588" s="43"/>
      <c r="I588" s="44"/>
      <c r="J588" s="38">
        <f>1*1000</f>
        <v>1000</v>
      </c>
      <c r="K588" s="45">
        <v>1.5960648148148151E-2</v>
      </c>
      <c r="L588" s="46" t="s">
        <v>1161</v>
      </c>
      <c r="M588" s="38"/>
      <c r="N588" s="38"/>
      <c r="O588" s="38"/>
      <c r="P588" s="38"/>
      <c r="Q588" s="38"/>
      <c r="R588" s="48"/>
      <c r="S588" s="48"/>
      <c r="T588" s="48"/>
      <c r="U588" s="52"/>
      <c r="V588" s="50"/>
      <c r="W588" s="51"/>
      <c r="X588" s="56"/>
    </row>
    <row r="589" spans="1:24">
      <c r="A589" s="38">
        <v>529</v>
      </c>
      <c r="B589" s="38"/>
      <c r="C589" s="38"/>
      <c r="D589" s="38" t="s">
        <v>1840</v>
      </c>
      <c r="E589" s="40" t="s">
        <v>1841</v>
      </c>
      <c r="F589" s="58" t="s">
        <v>1842</v>
      </c>
      <c r="G589" s="42" t="s">
        <v>238</v>
      </c>
      <c r="H589" s="43"/>
      <c r="I589" s="44"/>
      <c r="J589" s="38">
        <f>4.9*1000</f>
        <v>4900</v>
      </c>
      <c r="K589" s="45">
        <v>1.8032407407407407E-2</v>
      </c>
      <c r="L589" s="46" t="s">
        <v>1161</v>
      </c>
      <c r="M589" s="38"/>
      <c r="N589" s="38"/>
      <c r="O589" s="38"/>
      <c r="P589" s="38"/>
      <c r="Q589" s="38"/>
      <c r="R589" s="48"/>
      <c r="S589" s="48"/>
      <c r="T589" s="48"/>
      <c r="U589" s="52"/>
      <c r="V589" s="50"/>
      <c r="W589" s="51"/>
      <c r="X589" s="56"/>
    </row>
    <row r="590" spans="1:24">
      <c r="A590" s="38">
        <v>530</v>
      </c>
      <c r="B590" s="38"/>
      <c r="C590" s="38"/>
      <c r="D590" s="38" t="s">
        <v>1843</v>
      </c>
      <c r="E590" s="40" t="s">
        <v>1844</v>
      </c>
      <c r="F590" s="58" t="s">
        <v>531</v>
      </c>
      <c r="G590" s="42" t="s">
        <v>795</v>
      </c>
      <c r="H590" s="43"/>
      <c r="I590" s="44"/>
      <c r="J590" s="38">
        <f>5.2*1000</f>
        <v>5200</v>
      </c>
      <c r="K590" s="45">
        <v>1.8055555555555557E-2</v>
      </c>
      <c r="L590" s="46" t="s">
        <v>1161</v>
      </c>
      <c r="M590" s="38"/>
      <c r="N590" s="38"/>
      <c r="O590" s="38"/>
      <c r="P590" s="38"/>
      <c r="Q590" s="38"/>
      <c r="R590" s="48"/>
      <c r="S590" s="48"/>
      <c r="T590" s="48"/>
      <c r="U590" s="52"/>
      <c r="V590" s="50"/>
      <c r="W590" s="51"/>
      <c r="X590" s="56"/>
    </row>
    <row r="591" spans="1:24">
      <c r="A591" s="38">
        <v>531</v>
      </c>
      <c r="B591" s="38"/>
      <c r="C591" s="38"/>
      <c r="D591" s="38" t="s">
        <v>1845</v>
      </c>
      <c r="E591" s="40" t="s">
        <v>1846</v>
      </c>
      <c r="F591" s="58" t="s">
        <v>1847</v>
      </c>
      <c r="G591" s="42" t="s">
        <v>1390</v>
      </c>
      <c r="H591" s="43"/>
      <c r="I591" s="44"/>
      <c r="J591" s="38">
        <f>9.2*1000</f>
        <v>9200</v>
      </c>
      <c r="K591" s="45">
        <v>1.8171296296296297E-2</v>
      </c>
      <c r="L591" s="46" t="s">
        <v>1161</v>
      </c>
      <c r="M591" s="38"/>
      <c r="N591" s="38"/>
      <c r="O591" s="38"/>
      <c r="P591" s="38"/>
      <c r="Q591" s="38"/>
      <c r="R591" s="48"/>
      <c r="S591" s="48"/>
      <c r="T591" s="48"/>
      <c r="U591" s="52"/>
      <c r="V591" s="50"/>
      <c r="W591" s="51"/>
      <c r="X591" s="56"/>
    </row>
    <row r="592" spans="1:24">
      <c r="A592" s="38">
        <v>532</v>
      </c>
      <c r="B592" s="38"/>
      <c r="C592" s="38"/>
      <c r="D592" s="38" t="s">
        <v>1848</v>
      </c>
      <c r="E592" s="40" t="s">
        <v>1849</v>
      </c>
      <c r="F592" s="58" t="s">
        <v>1850</v>
      </c>
      <c r="G592" s="42" t="s">
        <v>1851</v>
      </c>
      <c r="H592" s="43"/>
      <c r="I592" s="44"/>
      <c r="J592" s="38">
        <f>25*1000</f>
        <v>25000</v>
      </c>
      <c r="K592" s="45">
        <v>2.0787037037037038E-2</v>
      </c>
      <c r="L592" s="46" t="s">
        <v>1161</v>
      </c>
      <c r="M592" s="38"/>
      <c r="N592" s="38"/>
      <c r="O592" s="38"/>
      <c r="P592" s="38"/>
      <c r="Q592" s="38"/>
      <c r="R592" s="48"/>
      <c r="S592" s="48"/>
      <c r="T592" s="48"/>
      <c r="U592" s="52"/>
      <c r="V592" s="50"/>
      <c r="W592" s="51"/>
      <c r="X592" s="56"/>
    </row>
    <row r="593" spans="1:24">
      <c r="A593" s="38">
        <v>533</v>
      </c>
      <c r="B593" s="38"/>
      <c r="C593" s="38"/>
      <c r="D593" s="38" t="s">
        <v>1852</v>
      </c>
      <c r="E593" s="40" t="s">
        <v>1853</v>
      </c>
      <c r="F593" s="41" t="s">
        <v>1854</v>
      </c>
      <c r="G593" s="42" t="s">
        <v>525</v>
      </c>
      <c r="H593" s="43"/>
      <c r="I593" s="44"/>
      <c r="J593" s="38">
        <f>7.4*1000</f>
        <v>7400</v>
      </c>
      <c r="K593" s="45">
        <v>2.3032407407407407E-3</v>
      </c>
      <c r="L593" s="46" t="s">
        <v>1161</v>
      </c>
      <c r="M593" s="38"/>
      <c r="N593" s="38"/>
      <c r="O593" s="38"/>
      <c r="P593" s="38"/>
      <c r="Q593" s="38"/>
      <c r="R593" s="48"/>
      <c r="S593" s="48"/>
      <c r="T593" s="48"/>
      <c r="U593" s="52"/>
      <c r="V593" s="50"/>
      <c r="W593" s="51"/>
      <c r="X593" s="56"/>
    </row>
    <row r="594" spans="1:24">
      <c r="A594" s="38">
        <v>534</v>
      </c>
      <c r="B594" s="38"/>
      <c r="C594" s="38"/>
      <c r="D594" s="38" t="s">
        <v>1855</v>
      </c>
      <c r="E594" s="40" t="s">
        <v>1856</v>
      </c>
      <c r="F594" s="58" t="s">
        <v>1857</v>
      </c>
      <c r="G594" s="42">
        <v>716</v>
      </c>
      <c r="H594" s="43"/>
      <c r="I594" s="44"/>
      <c r="J594" s="38">
        <f>716</f>
        <v>716</v>
      </c>
      <c r="K594" s="45">
        <v>2.0243055555555552E-2</v>
      </c>
      <c r="L594" s="46" t="s">
        <v>1161</v>
      </c>
      <c r="M594" s="38"/>
      <c r="N594" s="38"/>
      <c r="O594" s="38"/>
      <c r="P594" s="38"/>
      <c r="Q594" s="38"/>
      <c r="R594" s="48"/>
      <c r="S594" s="48"/>
      <c r="T594" s="48"/>
      <c r="U594" s="52"/>
      <c r="V594" s="50"/>
      <c r="W594" s="51"/>
      <c r="X594" s="56"/>
    </row>
    <row r="595" spans="1:24">
      <c r="A595" s="38">
        <v>535</v>
      </c>
      <c r="B595" s="38"/>
      <c r="C595" s="38"/>
      <c r="D595" s="38" t="s">
        <v>1858</v>
      </c>
      <c r="E595" s="40" t="s">
        <v>1859</v>
      </c>
      <c r="F595" s="58" t="s">
        <v>1860</v>
      </c>
      <c r="G595" s="42">
        <v>629</v>
      </c>
      <c r="H595" s="43"/>
      <c r="I595" s="44"/>
      <c r="J595" s="38">
        <f>629</f>
        <v>629</v>
      </c>
      <c r="K595" s="45">
        <v>2.0509259259259258E-2</v>
      </c>
      <c r="L595" s="46" t="s">
        <v>1161</v>
      </c>
      <c r="M595" s="38"/>
      <c r="N595" s="38"/>
      <c r="O595" s="38"/>
      <c r="P595" s="38"/>
      <c r="Q595" s="38"/>
      <c r="R595" s="48"/>
      <c r="S595" s="48"/>
      <c r="T595" s="48"/>
      <c r="U595" s="52"/>
      <c r="V595" s="50"/>
      <c r="W595" s="51"/>
      <c r="X595" s="56"/>
    </row>
    <row r="596" spans="1:24">
      <c r="A596" s="38">
        <v>536</v>
      </c>
      <c r="B596" s="38"/>
      <c r="C596" s="38"/>
      <c r="D596" s="38" t="s">
        <v>1861</v>
      </c>
      <c r="E596" s="40" t="s">
        <v>1862</v>
      </c>
      <c r="F596" s="58" t="s">
        <v>1863</v>
      </c>
      <c r="G596" s="42">
        <v>858</v>
      </c>
      <c r="H596" s="43"/>
      <c r="I596" s="44"/>
      <c r="J596" s="38">
        <f>858</f>
        <v>858</v>
      </c>
      <c r="K596" s="45">
        <v>2.2939814814814816E-2</v>
      </c>
      <c r="L596" s="46" t="s">
        <v>1161</v>
      </c>
      <c r="M596" s="38"/>
      <c r="N596" s="38"/>
      <c r="O596" s="38"/>
      <c r="P596" s="38"/>
      <c r="Q596" s="38"/>
      <c r="R596" s="48"/>
      <c r="S596" s="48"/>
      <c r="T596" s="48"/>
      <c r="U596" s="52"/>
      <c r="V596" s="50"/>
      <c r="W596" s="51"/>
      <c r="X596" s="56"/>
    </row>
    <row r="597" spans="1:24">
      <c r="A597" s="38">
        <v>537</v>
      </c>
      <c r="B597" s="38"/>
      <c r="C597" s="38"/>
      <c r="D597" s="38" t="s">
        <v>1864</v>
      </c>
      <c r="E597" s="40" t="s">
        <v>1865</v>
      </c>
      <c r="F597" s="58" t="s">
        <v>1866</v>
      </c>
      <c r="G597" s="42" t="s">
        <v>214</v>
      </c>
      <c r="H597" s="43"/>
      <c r="I597" s="44"/>
      <c r="J597" s="38">
        <f>1*1000</f>
        <v>1000</v>
      </c>
      <c r="K597" s="45">
        <v>2.7986111111111111E-2</v>
      </c>
      <c r="L597" s="46" t="s">
        <v>1161</v>
      </c>
      <c r="M597" s="38"/>
      <c r="N597" s="38"/>
      <c r="O597" s="38"/>
      <c r="P597" s="38"/>
      <c r="Q597" s="38"/>
      <c r="R597" s="48"/>
      <c r="S597" s="48"/>
      <c r="T597" s="48"/>
      <c r="U597" s="52"/>
      <c r="V597" s="50"/>
      <c r="W597" s="51"/>
      <c r="X597" s="56"/>
    </row>
    <row r="598" spans="1:24">
      <c r="A598" s="38">
        <v>538</v>
      </c>
      <c r="B598" s="38"/>
      <c r="C598" s="38"/>
      <c r="D598" s="38" t="s">
        <v>1867</v>
      </c>
      <c r="E598" s="40" t="s">
        <v>1868</v>
      </c>
      <c r="F598" s="41" t="s">
        <v>853</v>
      </c>
      <c r="G598" s="42" t="s">
        <v>597</v>
      </c>
      <c r="H598" s="43"/>
      <c r="I598" s="44"/>
      <c r="J598" s="38">
        <f>2.6*1000</f>
        <v>2600</v>
      </c>
      <c r="K598" s="45">
        <v>1.5011574074074075E-2</v>
      </c>
      <c r="L598" s="46" t="s">
        <v>1161</v>
      </c>
      <c r="M598" s="38"/>
      <c r="N598" s="38"/>
      <c r="O598" s="38"/>
      <c r="P598" s="38"/>
      <c r="Q598" s="38"/>
      <c r="R598" s="48"/>
      <c r="S598" s="48"/>
      <c r="T598" s="48"/>
      <c r="U598" s="52"/>
      <c r="V598" s="50"/>
      <c r="W598" s="51"/>
      <c r="X598" s="56"/>
    </row>
    <row r="599" spans="1:24">
      <c r="A599" s="38">
        <v>539</v>
      </c>
      <c r="B599" s="38"/>
      <c r="C599" s="38"/>
      <c r="D599" s="38" t="s">
        <v>1869</v>
      </c>
      <c r="E599" s="40" t="s">
        <v>1870</v>
      </c>
      <c r="F599" s="58" t="s">
        <v>1871</v>
      </c>
      <c r="G599" s="42" t="s">
        <v>854</v>
      </c>
      <c r="H599" s="43"/>
      <c r="I599" s="44"/>
      <c r="J599" s="38">
        <f>4.6*1000</f>
        <v>4600</v>
      </c>
      <c r="K599" s="45">
        <v>2.1550925925925928E-2</v>
      </c>
      <c r="L599" s="46" t="s">
        <v>1161</v>
      </c>
      <c r="M599" s="38"/>
      <c r="N599" s="38"/>
      <c r="O599" s="38"/>
      <c r="P599" s="38"/>
      <c r="Q599" s="38"/>
      <c r="R599" s="48"/>
      <c r="S599" s="48"/>
      <c r="T599" s="48"/>
      <c r="U599" s="52"/>
      <c r="V599" s="50"/>
      <c r="W599" s="51"/>
      <c r="X599" s="56"/>
    </row>
    <row r="600" spans="1:24">
      <c r="A600" s="38">
        <v>540</v>
      </c>
      <c r="B600" s="38"/>
      <c r="C600" s="38"/>
      <c r="D600" s="38" t="s">
        <v>1872</v>
      </c>
      <c r="E600" s="40" t="s">
        <v>1873</v>
      </c>
      <c r="F600" s="58" t="s">
        <v>1874</v>
      </c>
      <c r="G600" s="42" t="s">
        <v>155</v>
      </c>
      <c r="H600" s="43"/>
      <c r="I600" s="44"/>
      <c r="J600" s="38">
        <f>1.9*1000</f>
        <v>1900</v>
      </c>
      <c r="K600" s="45">
        <v>2.1331018518518517E-2</v>
      </c>
      <c r="L600" s="46" t="s">
        <v>1161</v>
      </c>
      <c r="M600" s="38"/>
      <c r="N600" s="38"/>
      <c r="O600" s="38"/>
      <c r="P600" s="38"/>
      <c r="Q600" s="38"/>
      <c r="R600" s="48"/>
      <c r="S600" s="48"/>
      <c r="T600" s="48"/>
      <c r="U600" s="52"/>
      <c r="V600" s="50"/>
      <c r="W600" s="51"/>
      <c r="X600" s="56"/>
    </row>
    <row r="601" spans="1:24">
      <c r="A601" s="38">
        <v>541</v>
      </c>
      <c r="B601" s="38"/>
      <c r="C601" s="38"/>
      <c r="D601" s="38" t="s">
        <v>1875</v>
      </c>
      <c r="E601" s="40" t="s">
        <v>1876</v>
      </c>
      <c r="F601" s="41" t="s">
        <v>1877</v>
      </c>
      <c r="G601" s="42" t="s">
        <v>691</v>
      </c>
      <c r="H601" s="43"/>
      <c r="I601" s="44"/>
      <c r="J601" s="38">
        <f>5.6*1000</f>
        <v>5600</v>
      </c>
      <c r="K601" s="45">
        <v>8.4490740740740741E-3</v>
      </c>
      <c r="L601" s="46" t="s">
        <v>1161</v>
      </c>
      <c r="M601" s="38"/>
      <c r="N601" s="38"/>
      <c r="O601" s="38"/>
      <c r="P601" s="38"/>
      <c r="Q601" s="38"/>
      <c r="R601" s="48"/>
      <c r="S601" s="48"/>
      <c r="T601" s="48"/>
      <c r="U601" s="52"/>
      <c r="V601" s="50"/>
      <c r="W601" s="51"/>
      <c r="X601" s="56"/>
    </row>
    <row r="602" spans="1:24">
      <c r="A602" s="38">
        <v>542</v>
      </c>
      <c r="B602" s="38"/>
      <c r="C602" s="38"/>
      <c r="D602" s="38" t="s">
        <v>1878</v>
      </c>
      <c r="E602" s="40" t="s">
        <v>1879</v>
      </c>
      <c r="F602" s="58" t="s">
        <v>1880</v>
      </c>
      <c r="G602" s="42">
        <v>984</v>
      </c>
      <c r="H602" s="43"/>
      <c r="I602" s="44"/>
      <c r="J602" s="38">
        <f>984</f>
        <v>984</v>
      </c>
      <c r="K602" s="45">
        <v>3.4768518518518525E-2</v>
      </c>
      <c r="L602" s="46" t="s">
        <v>1161</v>
      </c>
      <c r="M602" s="38"/>
      <c r="N602" s="38"/>
      <c r="O602" s="38"/>
      <c r="P602" s="38"/>
      <c r="Q602" s="38"/>
      <c r="R602" s="48"/>
      <c r="S602" s="48"/>
      <c r="T602" s="48"/>
      <c r="U602" s="52"/>
      <c r="V602" s="50"/>
      <c r="W602" s="51"/>
      <c r="X602" s="56"/>
    </row>
    <row r="603" spans="1:24">
      <c r="A603" s="38">
        <v>543</v>
      </c>
      <c r="B603" s="38"/>
      <c r="C603" s="38"/>
      <c r="D603" s="38" t="s">
        <v>1881</v>
      </c>
      <c r="E603" s="40" t="s">
        <v>1882</v>
      </c>
      <c r="F603" s="41" t="s">
        <v>645</v>
      </c>
      <c r="G603" s="42">
        <v>722</v>
      </c>
      <c r="H603" s="43"/>
      <c r="I603" s="44"/>
      <c r="J603" s="38">
        <f>722</f>
        <v>722</v>
      </c>
      <c r="K603" s="45">
        <v>1.5659722222222224E-2</v>
      </c>
      <c r="L603" s="46" t="s">
        <v>1161</v>
      </c>
      <c r="M603" s="38"/>
      <c r="N603" s="38"/>
      <c r="O603" s="38"/>
      <c r="P603" s="38"/>
      <c r="Q603" s="38"/>
      <c r="R603" s="48"/>
      <c r="S603" s="48"/>
      <c r="T603" s="48"/>
      <c r="U603" s="52"/>
      <c r="V603" s="50"/>
      <c r="W603" s="51"/>
      <c r="X603" s="56"/>
    </row>
    <row r="604" spans="1:24">
      <c r="A604" s="38">
        <v>544</v>
      </c>
      <c r="B604" s="38"/>
      <c r="C604" s="38"/>
      <c r="D604" s="38" t="s">
        <v>1883</v>
      </c>
      <c r="E604" s="40" t="s">
        <v>1884</v>
      </c>
      <c r="F604" s="41" t="s">
        <v>1885</v>
      </c>
      <c r="G604" s="42" t="s">
        <v>238</v>
      </c>
      <c r="H604" s="43"/>
      <c r="I604" s="44"/>
      <c r="J604" s="38">
        <f>4.9*1000</f>
        <v>4900</v>
      </c>
      <c r="K604" s="45">
        <v>1.0231481481481482E-2</v>
      </c>
      <c r="L604" s="46" t="s">
        <v>1161</v>
      </c>
      <c r="M604" s="38"/>
      <c r="N604" s="38"/>
      <c r="O604" s="38"/>
      <c r="P604" s="38"/>
      <c r="Q604" s="38"/>
      <c r="R604" s="48"/>
      <c r="S604" s="48"/>
      <c r="T604" s="48"/>
      <c r="U604" s="52"/>
      <c r="V604" s="50"/>
      <c r="W604" s="51"/>
      <c r="X604" s="56"/>
    </row>
    <row r="605" spans="1:24">
      <c r="A605" s="38">
        <v>545</v>
      </c>
      <c r="B605" s="38"/>
      <c r="C605" s="38"/>
      <c r="D605" s="38" t="s">
        <v>1886</v>
      </c>
      <c r="E605" s="40" t="s">
        <v>1887</v>
      </c>
      <c r="F605" s="41" t="s">
        <v>989</v>
      </c>
      <c r="G605" s="42" t="s">
        <v>214</v>
      </c>
      <c r="H605" s="43"/>
      <c r="I605" s="44"/>
      <c r="J605" s="38">
        <f>1*1000</f>
        <v>1000</v>
      </c>
      <c r="K605" s="45">
        <v>4.2361111111111106E-3</v>
      </c>
      <c r="L605" s="46" t="s">
        <v>1161</v>
      </c>
      <c r="M605" s="38"/>
      <c r="N605" s="38"/>
      <c r="O605" s="38"/>
      <c r="P605" s="38"/>
      <c r="Q605" s="38"/>
      <c r="R605" s="48"/>
      <c r="S605" s="48"/>
      <c r="T605" s="48"/>
      <c r="U605" s="52"/>
      <c r="V605" s="50"/>
      <c r="W605" s="51"/>
      <c r="X605" s="56"/>
    </row>
    <row r="606" spans="1:24">
      <c r="A606" s="38">
        <v>546</v>
      </c>
      <c r="B606" s="38"/>
      <c r="C606" s="38"/>
      <c r="D606" s="38" t="s">
        <v>1888</v>
      </c>
      <c r="E606" s="40" t="s">
        <v>1889</v>
      </c>
      <c r="F606" s="41" t="s">
        <v>1890</v>
      </c>
      <c r="G606" s="42" t="s">
        <v>521</v>
      </c>
      <c r="H606" s="43"/>
      <c r="I606" s="44"/>
      <c r="J606" s="38">
        <f>3.5*1000</f>
        <v>3500</v>
      </c>
      <c r="K606" s="45">
        <v>1.3587962962962963E-2</v>
      </c>
      <c r="L606" s="46" t="s">
        <v>1161</v>
      </c>
      <c r="M606" s="38"/>
      <c r="N606" s="38"/>
      <c r="O606" s="38"/>
      <c r="P606" s="38"/>
      <c r="Q606" s="38"/>
      <c r="R606" s="48"/>
      <c r="S606" s="48"/>
      <c r="T606" s="48"/>
      <c r="U606" s="52"/>
      <c r="V606" s="50"/>
      <c r="W606" s="51"/>
      <c r="X606" s="56"/>
    </row>
    <row r="607" spans="1:24">
      <c r="A607" s="38">
        <v>547</v>
      </c>
      <c r="B607" s="38"/>
      <c r="C607" s="38"/>
      <c r="D607" s="38" t="s">
        <v>1891</v>
      </c>
      <c r="E607" s="40" t="s">
        <v>1892</v>
      </c>
      <c r="F607" s="41" t="s">
        <v>1893</v>
      </c>
      <c r="G607" s="42" t="s">
        <v>155</v>
      </c>
      <c r="H607" s="43"/>
      <c r="I607" s="44"/>
      <c r="J607" s="38">
        <f>1.9*1000</f>
        <v>1900</v>
      </c>
      <c r="K607" s="45">
        <v>5.8796296296296296E-3</v>
      </c>
      <c r="L607" s="46" t="s">
        <v>1161</v>
      </c>
      <c r="M607" s="38"/>
      <c r="N607" s="38"/>
      <c r="O607" s="38"/>
      <c r="P607" s="38"/>
      <c r="Q607" s="38"/>
      <c r="R607" s="48"/>
      <c r="S607" s="48"/>
      <c r="T607" s="48"/>
      <c r="U607" s="52"/>
      <c r="V607" s="50"/>
      <c r="W607" s="51"/>
      <c r="X607" s="56"/>
    </row>
    <row r="608" spans="1:24">
      <c r="A608" s="38">
        <v>548</v>
      </c>
      <c r="B608" s="38"/>
      <c r="C608" s="38"/>
      <c r="D608" s="38" t="s">
        <v>1894</v>
      </c>
      <c r="E608" s="40" t="s">
        <v>1895</v>
      </c>
      <c r="F608" s="41" t="s">
        <v>1896</v>
      </c>
      <c r="G608" s="42" t="s">
        <v>374</v>
      </c>
      <c r="H608" s="43"/>
      <c r="I608" s="44"/>
      <c r="J608" s="38">
        <f>1.3*1000</f>
        <v>1300</v>
      </c>
      <c r="K608" s="45">
        <v>3.9467592592592592E-3</v>
      </c>
      <c r="L608" s="46" t="s">
        <v>1161</v>
      </c>
      <c r="M608" s="38"/>
      <c r="N608" s="38"/>
      <c r="O608" s="38"/>
      <c r="P608" s="38"/>
      <c r="Q608" s="38"/>
      <c r="R608" s="48"/>
      <c r="S608" s="48"/>
      <c r="T608" s="48"/>
      <c r="U608" s="52"/>
      <c r="V608" s="50"/>
      <c r="W608" s="51"/>
      <c r="X608" s="56"/>
    </row>
    <row r="609" spans="1:24">
      <c r="A609" s="38">
        <v>549</v>
      </c>
      <c r="B609" s="38"/>
      <c r="C609" s="38"/>
      <c r="D609" s="38" t="s">
        <v>1897</v>
      </c>
      <c r="E609" s="40" t="s">
        <v>1898</v>
      </c>
      <c r="F609" s="41" t="s">
        <v>965</v>
      </c>
      <c r="G609" s="42" t="s">
        <v>445</v>
      </c>
      <c r="H609" s="43"/>
      <c r="I609" s="44"/>
      <c r="J609" s="38">
        <f>1.2*1000</f>
        <v>1200</v>
      </c>
      <c r="K609" s="45">
        <v>1.5740740740740741E-3</v>
      </c>
      <c r="L609" s="46" t="s">
        <v>1161</v>
      </c>
      <c r="M609" s="38"/>
      <c r="N609" s="38"/>
      <c r="O609" s="38"/>
      <c r="P609" s="38"/>
      <c r="Q609" s="38"/>
      <c r="R609" s="48"/>
      <c r="S609" s="48"/>
      <c r="T609" s="48"/>
      <c r="U609" s="52"/>
      <c r="V609" s="50"/>
      <c r="W609" s="51"/>
      <c r="X609" s="56"/>
    </row>
    <row r="610" spans="1:24">
      <c r="A610" s="38">
        <v>550</v>
      </c>
      <c r="B610" s="38"/>
      <c r="C610" s="38"/>
      <c r="D610" s="38" t="s">
        <v>1899</v>
      </c>
      <c r="E610" s="40" t="s">
        <v>1900</v>
      </c>
      <c r="F610" s="41" t="s">
        <v>1901</v>
      </c>
      <c r="G610" s="42" t="s">
        <v>238</v>
      </c>
      <c r="H610" s="43"/>
      <c r="I610" s="44"/>
      <c r="J610" s="38">
        <f>4.9*1000</f>
        <v>4900</v>
      </c>
      <c r="K610" s="45">
        <v>1.4074074074074074E-2</v>
      </c>
      <c r="L610" s="46" t="s">
        <v>1161</v>
      </c>
      <c r="M610" s="38"/>
      <c r="N610" s="38"/>
      <c r="O610" s="38"/>
      <c r="P610" s="38"/>
      <c r="Q610" s="38"/>
      <c r="R610" s="48"/>
      <c r="S610" s="48"/>
      <c r="T610" s="48"/>
      <c r="U610" s="52"/>
      <c r="V610" s="50"/>
      <c r="W610" s="51"/>
      <c r="X610" s="56"/>
    </row>
    <row r="611" spans="1:24">
      <c r="A611" s="38">
        <v>551</v>
      </c>
      <c r="B611" s="38"/>
      <c r="C611" s="38"/>
      <c r="D611" s="38" t="s">
        <v>1902</v>
      </c>
      <c r="E611" s="40" t="s">
        <v>1903</v>
      </c>
      <c r="F611" s="58" t="s">
        <v>1904</v>
      </c>
      <c r="G611" s="42" t="s">
        <v>1905</v>
      </c>
      <c r="H611" s="43"/>
      <c r="I611" s="44"/>
      <c r="J611" s="38">
        <f>62*1000</f>
        <v>62000</v>
      </c>
      <c r="K611" s="45">
        <v>3.9641203703703706E-2</v>
      </c>
      <c r="L611" s="46" t="s">
        <v>1381</v>
      </c>
      <c r="M611" s="38"/>
      <c r="N611" s="38"/>
      <c r="O611" s="38"/>
      <c r="P611" s="38"/>
      <c r="Q611" s="38"/>
      <c r="R611" s="48"/>
      <c r="S611" s="48"/>
      <c r="T611" s="48"/>
      <c r="U611" s="52"/>
      <c r="V611" s="50"/>
      <c r="W611" s="51"/>
      <c r="X611" s="56"/>
    </row>
    <row r="612" spans="1:24">
      <c r="A612" s="38">
        <v>552</v>
      </c>
      <c r="B612" s="38"/>
      <c r="C612" s="38"/>
      <c r="D612" s="38" t="s">
        <v>1906</v>
      </c>
      <c r="E612" s="40" t="s">
        <v>1907</v>
      </c>
      <c r="F612" s="41" t="s">
        <v>1908</v>
      </c>
      <c r="G612" s="42" t="s">
        <v>96</v>
      </c>
      <c r="H612" s="43"/>
      <c r="I612" s="44"/>
      <c r="J612" s="38">
        <f>7*1000</f>
        <v>7000</v>
      </c>
      <c r="K612" s="45">
        <v>1.9328703703703704E-3</v>
      </c>
      <c r="L612" s="46" t="s">
        <v>1381</v>
      </c>
      <c r="M612" s="38"/>
      <c r="N612" s="38"/>
      <c r="O612" s="38"/>
      <c r="P612" s="38"/>
      <c r="Q612" s="38"/>
      <c r="R612" s="48"/>
      <c r="S612" s="48"/>
      <c r="T612" s="48"/>
      <c r="U612" s="52"/>
      <c r="V612" s="50"/>
      <c r="W612" s="51"/>
      <c r="X612" s="56"/>
    </row>
    <row r="613" spans="1:24">
      <c r="A613" s="38">
        <v>553</v>
      </c>
      <c r="B613" s="38"/>
      <c r="C613" s="38"/>
      <c r="D613" s="38" t="s">
        <v>1909</v>
      </c>
      <c r="E613" s="40" t="s">
        <v>1910</v>
      </c>
      <c r="F613" s="58" t="s">
        <v>1911</v>
      </c>
      <c r="G613" s="42" t="s">
        <v>144</v>
      </c>
      <c r="H613" s="43"/>
      <c r="I613" s="44"/>
      <c r="J613" s="38">
        <f>1.7*1000</f>
        <v>1700</v>
      </c>
      <c r="K613" s="45">
        <v>1.8842592592592591E-2</v>
      </c>
      <c r="L613" s="46" t="s">
        <v>1381</v>
      </c>
      <c r="M613" s="38"/>
      <c r="N613" s="38"/>
      <c r="O613" s="38"/>
      <c r="P613" s="38"/>
      <c r="Q613" s="38"/>
      <c r="R613" s="48"/>
      <c r="S613" s="48"/>
      <c r="T613" s="48"/>
      <c r="U613" s="52"/>
      <c r="V613" s="50"/>
      <c r="W613" s="51"/>
      <c r="X613" s="56"/>
    </row>
    <row r="614" spans="1:24">
      <c r="A614" s="38">
        <v>554</v>
      </c>
      <c r="B614" s="38"/>
      <c r="C614" s="38"/>
      <c r="D614" s="38" t="s">
        <v>1912</v>
      </c>
      <c r="E614" s="40" t="s">
        <v>1913</v>
      </c>
      <c r="F614" s="58" t="s">
        <v>1914</v>
      </c>
      <c r="G614" s="42" t="s">
        <v>597</v>
      </c>
      <c r="H614" s="43"/>
      <c r="I614" s="44"/>
      <c r="J614" s="38">
        <f>2.6*1000</f>
        <v>2600</v>
      </c>
      <c r="K614" s="45">
        <v>2.4108796296296298E-2</v>
      </c>
      <c r="L614" s="46" t="s">
        <v>1381</v>
      </c>
      <c r="M614" s="38"/>
      <c r="N614" s="38"/>
      <c r="O614" s="38"/>
      <c r="P614" s="38"/>
      <c r="Q614" s="38"/>
      <c r="R614" s="48"/>
      <c r="S614" s="48"/>
      <c r="T614" s="48"/>
      <c r="U614" s="52"/>
      <c r="V614" s="50"/>
      <c r="W614" s="51"/>
      <c r="X614" s="56"/>
    </row>
    <row r="615" spans="1:24">
      <c r="A615" s="38">
        <v>555</v>
      </c>
      <c r="B615" s="38"/>
      <c r="C615" s="38"/>
      <c r="D615" s="38" t="s">
        <v>1915</v>
      </c>
      <c r="E615" s="40" t="s">
        <v>1916</v>
      </c>
      <c r="F615" s="41" t="s">
        <v>1917</v>
      </c>
      <c r="G615" s="42">
        <v>868</v>
      </c>
      <c r="H615" s="43"/>
      <c r="I615" s="44"/>
      <c r="J615" s="38">
        <f>868</f>
        <v>868</v>
      </c>
      <c r="K615" s="45">
        <v>1.1423611111111112E-2</v>
      </c>
      <c r="L615" s="46" t="s">
        <v>1381</v>
      </c>
      <c r="M615" s="38"/>
      <c r="N615" s="38"/>
      <c r="O615" s="38"/>
      <c r="P615" s="38"/>
      <c r="Q615" s="38"/>
      <c r="R615" s="48"/>
      <c r="S615" s="48"/>
      <c r="T615" s="48"/>
      <c r="U615" s="52"/>
      <c r="V615" s="50"/>
      <c r="W615" s="51"/>
      <c r="X615" s="56"/>
    </row>
    <row r="616" spans="1:24">
      <c r="A616" s="38">
        <v>556</v>
      </c>
      <c r="B616" s="38"/>
      <c r="C616" s="38"/>
      <c r="D616" s="38" t="s">
        <v>1918</v>
      </c>
      <c r="E616" s="40" t="s">
        <v>1919</v>
      </c>
      <c r="F616" s="61" t="s">
        <v>1920</v>
      </c>
      <c r="G616" s="42" t="s">
        <v>510</v>
      </c>
      <c r="H616" s="43"/>
      <c r="I616" s="44"/>
      <c r="J616" s="38">
        <f>3.7*1000</f>
        <v>3700</v>
      </c>
      <c r="K616" s="45">
        <v>6.7870370370370373E-2</v>
      </c>
      <c r="L616" s="46" t="s">
        <v>1381</v>
      </c>
      <c r="M616" s="38"/>
      <c r="N616" s="38"/>
      <c r="O616" s="38"/>
      <c r="P616" s="38"/>
      <c r="Q616" s="38"/>
      <c r="R616" s="48"/>
      <c r="S616" s="48"/>
      <c r="T616" s="48"/>
      <c r="U616" s="52"/>
      <c r="V616" s="50"/>
      <c r="W616" s="51"/>
      <c r="X616" s="56"/>
    </row>
    <row r="617" spans="1:24">
      <c r="A617" s="38">
        <v>557</v>
      </c>
      <c r="B617" s="38"/>
      <c r="C617" s="38"/>
      <c r="D617" s="38" t="s">
        <v>1921</v>
      </c>
      <c r="E617" s="40" t="s">
        <v>1922</v>
      </c>
      <c r="F617" s="61" t="s">
        <v>1923</v>
      </c>
      <c r="G617" s="42" t="s">
        <v>1540</v>
      </c>
      <c r="H617" s="43"/>
      <c r="I617" s="44"/>
      <c r="J617" s="38">
        <f>6.4*1000</f>
        <v>6400</v>
      </c>
      <c r="K617" s="45">
        <v>4.1689814814814818E-2</v>
      </c>
      <c r="L617" s="46" t="s">
        <v>1381</v>
      </c>
      <c r="M617" s="38"/>
      <c r="N617" s="38"/>
      <c r="O617" s="38"/>
      <c r="P617" s="38"/>
      <c r="Q617" s="38"/>
      <c r="R617" s="48"/>
      <c r="S617" s="48"/>
      <c r="T617" s="48"/>
      <c r="U617" s="52"/>
      <c r="V617" s="50"/>
      <c r="W617" s="51"/>
      <c r="X617" s="56"/>
    </row>
    <row r="618" spans="1:24">
      <c r="A618" s="38">
        <v>558</v>
      </c>
      <c r="B618" s="38"/>
      <c r="C618" s="38"/>
      <c r="D618" s="38" t="s">
        <v>1924</v>
      </c>
      <c r="E618" s="40" t="s">
        <v>1925</v>
      </c>
      <c r="F618" s="41" t="s">
        <v>458</v>
      </c>
      <c r="G618" s="42">
        <v>704</v>
      </c>
      <c r="H618" s="43"/>
      <c r="I618" s="44"/>
      <c r="J618" s="38">
        <f>704</f>
        <v>704</v>
      </c>
      <c r="K618" s="45">
        <v>5.0347222222222225E-3</v>
      </c>
      <c r="L618" s="46" t="s">
        <v>1381</v>
      </c>
      <c r="M618" s="38"/>
      <c r="N618" s="38"/>
      <c r="O618" s="38"/>
      <c r="P618" s="38"/>
      <c r="Q618" s="38"/>
      <c r="R618" s="48"/>
      <c r="S618" s="48"/>
      <c r="T618" s="48"/>
      <c r="U618" s="52"/>
      <c r="V618" s="50"/>
      <c r="W618" s="51"/>
      <c r="X618" s="56"/>
    </row>
    <row r="619" spans="1:24">
      <c r="A619" s="38">
        <v>559</v>
      </c>
      <c r="B619" s="38"/>
      <c r="C619" s="38"/>
      <c r="D619" s="38" t="s">
        <v>1926</v>
      </c>
      <c r="E619" s="40" t="s">
        <v>1927</v>
      </c>
      <c r="F619" s="41" t="s">
        <v>1928</v>
      </c>
      <c r="G619" s="42">
        <v>692</v>
      </c>
      <c r="H619" s="43"/>
      <c r="I619" s="44"/>
      <c r="J619" s="38">
        <f>692</f>
        <v>692</v>
      </c>
      <c r="K619" s="45">
        <v>6.4351851851851861E-3</v>
      </c>
      <c r="L619" s="46" t="s">
        <v>1381</v>
      </c>
      <c r="M619" s="38"/>
      <c r="N619" s="38"/>
      <c r="O619" s="38"/>
      <c r="P619" s="38"/>
      <c r="Q619" s="38"/>
      <c r="R619" s="48"/>
      <c r="S619" s="48"/>
      <c r="T619" s="48"/>
      <c r="U619" s="52"/>
      <c r="V619" s="50"/>
      <c r="W619" s="51"/>
      <c r="X619" s="56"/>
    </row>
    <row r="620" spans="1:24">
      <c r="A620" s="38">
        <v>560</v>
      </c>
      <c r="B620" s="38"/>
      <c r="C620" s="38"/>
      <c r="D620" s="38" t="s">
        <v>1929</v>
      </c>
      <c r="E620" s="40" t="s">
        <v>1930</v>
      </c>
      <c r="F620" s="61" t="s">
        <v>1931</v>
      </c>
      <c r="G620" s="42" t="s">
        <v>210</v>
      </c>
      <c r="H620" s="43"/>
      <c r="I620" s="44"/>
      <c r="J620" s="38">
        <f>3.6*1000</f>
        <v>3600</v>
      </c>
      <c r="K620" s="45">
        <v>4.4004629629629623E-2</v>
      </c>
      <c r="L620" s="46" t="s">
        <v>1381</v>
      </c>
      <c r="M620" s="38"/>
      <c r="N620" s="38"/>
      <c r="O620" s="38"/>
      <c r="P620" s="38"/>
      <c r="Q620" s="38"/>
      <c r="R620" s="48"/>
      <c r="S620" s="48"/>
      <c r="T620" s="48"/>
      <c r="U620" s="52"/>
      <c r="V620" s="50"/>
      <c r="W620" s="51"/>
      <c r="X620" s="56"/>
    </row>
    <row r="621" spans="1:24">
      <c r="A621" s="38">
        <v>561</v>
      </c>
      <c r="B621" s="38"/>
      <c r="C621" s="38"/>
      <c r="D621" s="38" t="s">
        <v>1932</v>
      </c>
      <c r="E621" s="40" t="s">
        <v>1933</v>
      </c>
      <c r="F621" s="41" t="s">
        <v>1934</v>
      </c>
      <c r="G621" s="42" t="s">
        <v>350</v>
      </c>
      <c r="H621" s="43"/>
      <c r="I621" s="44"/>
      <c r="J621" s="38">
        <f>3*1000</f>
        <v>3000</v>
      </c>
      <c r="K621" s="45">
        <v>1.1157407407407408E-2</v>
      </c>
      <c r="L621" s="46" t="s">
        <v>1381</v>
      </c>
      <c r="M621" s="38"/>
      <c r="N621" s="38"/>
      <c r="O621" s="38"/>
      <c r="P621" s="38"/>
      <c r="Q621" s="38"/>
      <c r="R621" s="48"/>
      <c r="S621" s="48"/>
      <c r="T621" s="48"/>
      <c r="U621" s="52"/>
      <c r="V621" s="50"/>
      <c r="W621" s="51"/>
      <c r="X621" s="56"/>
    </row>
    <row r="622" spans="1:24">
      <c r="A622" s="38">
        <v>562</v>
      </c>
      <c r="B622" s="38"/>
      <c r="C622" s="38"/>
      <c r="D622" s="38" t="s">
        <v>1935</v>
      </c>
      <c r="E622" s="40" t="s">
        <v>1936</v>
      </c>
      <c r="F622" s="58" t="s">
        <v>1937</v>
      </c>
      <c r="G622" s="42">
        <v>953</v>
      </c>
      <c r="H622" s="43"/>
      <c r="I622" s="44"/>
      <c r="J622" s="38">
        <f>953</f>
        <v>953</v>
      </c>
      <c r="K622" s="45">
        <v>1.7037037037037038E-2</v>
      </c>
      <c r="L622" s="46" t="s">
        <v>1381</v>
      </c>
      <c r="M622" s="38"/>
      <c r="N622" s="38"/>
      <c r="O622" s="38"/>
      <c r="P622" s="38"/>
      <c r="Q622" s="38"/>
      <c r="R622" s="48"/>
      <c r="S622" s="48"/>
      <c r="T622" s="48"/>
      <c r="U622" s="52"/>
      <c r="V622" s="50"/>
      <c r="W622" s="51"/>
      <c r="X622" s="56"/>
    </row>
    <row r="623" spans="1:24">
      <c r="A623" s="38">
        <v>563</v>
      </c>
      <c r="B623" s="38"/>
      <c r="C623" s="38"/>
      <c r="D623" s="38" t="s">
        <v>1938</v>
      </c>
      <c r="E623" s="40" t="s">
        <v>1939</v>
      </c>
      <c r="F623" s="41" t="s">
        <v>1069</v>
      </c>
      <c r="G623" s="42">
        <v>851</v>
      </c>
      <c r="H623" s="43"/>
      <c r="I623" s="44"/>
      <c r="J623" s="38">
        <f>851</f>
        <v>851</v>
      </c>
      <c r="K623" s="45">
        <v>8.8541666666666664E-3</v>
      </c>
      <c r="L623" s="46" t="s">
        <v>1381</v>
      </c>
      <c r="M623" s="38"/>
      <c r="N623" s="38"/>
      <c r="O623" s="38"/>
      <c r="P623" s="38"/>
      <c r="Q623" s="38"/>
      <c r="R623" s="48"/>
      <c r="S623" s="48"/>
      <c r="T623" s="48"/>
      <c r="U623" s="52"/>
      <c r="V623" s="50"/>
      <c r="W623" s="51"/>
      <c r="X623" s="56"/>
    </row>
    <row r="624" spans="1:24">
      <c r="A624" s="38">
        <v>564</v>
      </c>
      <c r="B624" s="38"/>
      <c r="C624" s="38"/>
      <c r="D624" s="38" t="s">
        <v>1940</v>
      </c>
      <c r="E624" s="40" t="s">
        <v>1941</v>
      </c>
      <c r="F624" s="41" t="s">
        <v>1942</v>
      </c>
      <c r="G624" s="42">
        <v>454</v>
      </c>
      <c r="H624" s="43"/>
      <c r="I624" s="44"/>
      <c r="J624" s="38">
        <f>454</f>
        <v>454</v>
      </c>
      <c r="K624" s="45">
        <v>7.0254629629629634E-3</v>
      </c>
      <c r="L624" s="46" t="s">
        <v>1381</v>
      </c>
      <c r="M624" s="38"/>
      <c r="N624" s="38"/>
      <c r="O624" s="38"/>
      <c r="P624" s="38"/>
      <c r="Q624" s="38"/>
      <c r="R624" s="48"/>
      <c r="S624" s="48"/>
      <c r="T624" s="48"/>
      <c r="U624" s="52"/>
      <c r="V624" s="50"/>
      <c r="W624" s="51"/>
      <c r="X624" s="56"/>
    </row>
    <row r="625" spans="1:24">
      <c r="A625" s="38">
        <v>565</v>
      </c>
      <c r="B625" s="38"/>
      <c r="C625" s="38"/>
      <c r="D625" s="38" t="s">
        <v>1943</v>
      </c>
      <c r="E625" s="40" t="s">
        <v>1944</v>
      </c>
      <c r="F625" s="41" t="s">
        <v>1945</v>
      </c>
      <c r="G625" s="42">
        <v>979</v>
      </c>
      <c r="H625" s="43"/>
      <c r="I625" s="44"/>
      <c r="J625" s="38">
        <f>979</f>
        <v>979</v>
      </c>
      <c r="K625" s="45">
        <v>9.8495370370370369E-3</v>
      </c>
      <c r="L625" s="46" t="s">
        <v>1381</v>
      </c>
      <c r="M625" s="38"/>
      <c r="N625" s="38"/>
      <c r="O625" s="38"/>
      <c r="P625" s="38"/>
      <c r="Q625" s="38"/>
      <c r="R625" s="48"/>
      <c r="S625" s="48"/>
      <c r="T625" s="48"/>
      <c r="U625" s="52"/>
      <c r="V625" s="50"/>
      <c r="W625" s="51"/>
      <c r="X625" s="56"/>
    </row>
    <row r="626" spans="1:24">
      <c r="A626" s="38">
        <v>566</v>
      </c>
      <c r="B626" s="38"/>
      <c r="C626" s="38"/>
      <c r="D626" s="38" t="s">
        <v>1946</v>
      </c>
      <c r="E626" s="40" t="s">
        <v>1947</v>
      </c>
      <c r="F626" s="41" t="s">
        <v>846</v>
      </c>
      <c r="G626" s="42">
        <v>609</v>
      </c>
      <c r="H626" s="43"/>
      <c r="I626" s="44"/>
      <c r="J626" s="38">
        <f>609</f>
        <v>609</v>
      </c>
      <c r="K626" s="45">
        <v>5.7523148148148143E-3</v>
      </c>
      <c r="L626" s="46" t="s">
        <v>1381</v>
      </c>
      <c r="M626" s="38"/>
      <c r="N626" s="38"/>
      <c r="O626" s="38"/>
      <c r="P626" s="38"/>
      <c r="Q626" s="38"/>
      <c r="R626" s="48"/>
      <c r="S626" s="48"/>
      <c r="T626" s="48"/>
      <c r="U626" s="52"/>
      <c r="V626" s="50"/>
      <c r="W626" s="51"/>
      <c r="X626" s="56"/>
    </row>
    <row r="627" spans="1:24">
      <c r="A627" s="38">
        <v>567</v>
      </c>
      <c r="B627" s="38"/>
      <c r="C627" s="38"/>
      <c r="D627" s="38" t="s">
        <v>1948</v>
      </c>
      <c r="E627" s="40" t="s">
        <v>1949</v>
      </c>
      <c r="F627" s="41" t="s">
        <v>1950</v>
      </c>
      <c r="G627" s="42" t="s">
        <v>214</v>
      </c>
      <c r="H627" s="43"/>
      <c r="I627" s="44"/>
      <c r="J627" s="38">
        <f>1*1000</f>
        <v>1000</v>
      </c>
      <c r="K627" s="45">
        <v>3.5069444444444445E-3</v>
      </c>
      <c r="L627" s="46" t="s">
        <v>1381</v>
      </c>
      <c r="M627" s="38"/>
      <c r="N627" s="38"/>
      <c r="O627" s="38"/>
      <c r="P627" s="38"/>
      <c r="Q627" s="38"/>
      <c r="R627" s="48"/>
      <c r="S627" s="48"/>
      <c r="T627" s="48"/>
      <c r="U627" s="52"/>
      <c r="V627" s="50"/>
      <c r="W627" s="51"/>
      <c r="X627" s="56"/>
    </row>
    <row r="628" spans="1:24">
      <c r="A628" s="38">
        <v>568</v>
      </c>
      <c r="B628" s="38"/>
      <c r="C628" s="38"/>
      <c r="D628" s="38" t="s">
        <v>1951</v>
      </c>
      <c r="E628" s="40" t="s">
        <v>1952</v>
      </c>
      <c r="F628" s="61" t="s">
        <v>1953</v>
      </c>
      <c r="G628" s="42" t="s">
        <v>1827</v>
      </c>
      <c r="H628" s="43"/>
      <c r="I628" s="44"/>
      <c r="J628" s="38">
        <f>4.8*1000</f>
        <v>4800</v>
      </c>
      <c r="K628" s="45">
        <v>4.5162037037037035E-2</v>
      </c>
      <c r="L628" s="46" t="s">
        <v>1381</v>
      </c>
      <c r="M628" s="38"/>
      <c r="N628" s="38"/>
      <c r="O628" s="38"/>
      <c r="P628" s="38"/>
      <c r="Q628" s="38"/>
      <c r="R628" s="48"/>
      <c r="S628" s="48"/>
      <c r="T628" s="48"/>
      <c r="U628" s="52"/>
      <c r="V628" s="50"/>
      <c r="W628" s="51"/>
      <c r="X628" s="56"/>
    </row>
    <row r="629" spans="1:24">
      <c r="A629" s="38">
        <v>569</v>
      </c>
      <c r="B629" s="38"/>
      <c r="C629" s="38"/>
      <c r="D629" s="38" t="s">
        <v>1954</v>
      </c>
      <c r="E629" s="40" t="s">
        <v>1955</v>
      </c>
      <c r="F629" s="41" t="s">
        <v>1956</v>
      </c>
      <c r="G629" s="42" t="s">
        <v>1957</v>
      </c>
      <c r="H629" s="43"/>
      <c r="I629" s="44"/>
      <c r="J629" s="38">
        <f>3.4*1000</f>
        <v>3400</v>
      </c>
      <c r="K629" s="45">
        <v>1.5694444444444445E-2</v>
      </c>
      <c r="L629" s="46" t="s">
        <v>1381</v>
      </c>
      <c r="M629" s="38"/>
      <c r="N629" s="38"/>
      <c r="O629" s="38"/>
      <c r="P629" s="38"/>
      <c r="Q629" s="38"/>
      <c r="R629" s="48"/>
      <c r="S629" s="48"/>
      <c r="T629" s="48"/>
      <c r="U629" s="52"/>
      <c r="V629" s="50"/>
      <c r="W629" s="51"/>
      <c r="X629" s="56"/>
    </row>
    <row r="630" spans="1:24">
      <c r="A630" s="38">
        <v>570</v>
      </c>
      <c r="B630" s="38"/>
      <c r="C630" s="38"/>
      <c r="D630" s="38" t="s">
        <v>1958</v>
      </c>
      <c r="E630" s="40" t="s">
        <v>1959</v>
      </c>
      <c r="F630" s="58" t="s">
        <v>1960</v>
      </c>
      <c r="G630" s="42">
        <v>962</v>
      </c>
      <c r="H630" s="43"/>
      <c r="I630" s="44"/>
      <c r="J630" s="38">
        <f>962</f>
        <v>962</v>
      </c>
      <c r="K630" s="45">
        <v>1.6747685185185185E-2</v>
      </c>
      <c r="L630" s="46" t="s">
        <v>1381</v>
      </c>
      <c r="M630" s="38"/>
      <c r="N630" s="38"/>
      <c r="O630" s="38"/>
      <c r="P630" s="38"/>
      <c r="Q630" s="38"/>
      <c r="R630" s="48"/>
      <c r="S630" s="48"/>
      <c r="T630" s="48"/>
      <c r="U630" s="52"/>
      <c r="V630" s="50"/>
      <c r="W630" s="51"/>
      <c r="X630" s="56"/>
    </row>
    <row r="631" spans="1:24">
      <c r="A631" s="38">
        <v>571</v>
      </c>
      <c r="B631" s="38"/>
      <c r="C631" s="38"/>
      <c r="D631" s="38" t="s">
        <v>1961</v>
      </c>
      <c r="E631" s="40" t="s">
        <v>1962</v>
      </c>
      <c r="F631" s="58" t="s">
        <v>1963</v>
      </c>
      <c r="G631" s="42" t="s">
        <v>1312</v>
      </c>
      <c r="H631" s="43"/>
      <c r="I631" s="44"/>
      <c r="J631" s="38">
        <f>2.2*1000</f>
        <v>2200</v>
      </c>
      <c r="K631" s="45">
        <v>3.4351851851851849E-2</v>
      </c>
      <c r="L631" s="46" t="s">
        <v>1381</v>
      </c>
      <c r="M631" s="38"/>
      <c r="N631" s="38"/>
      <c r="O631" s="38"/>
      <c r="P631" s="38"/>
      <c r="Q631" s="38"/>
      <c r="R631" s="48"/>
      <c r="S631" s="48"/>
      <c r="T631" s="48"/>
      <c r="U631" s="52"/>
      <c r="V631" s="50"/>
      <c r="W631" s="51"/>
      <c r="X631" s="56"/>
    </row>
    <row r="632" spans="1:24">
      <c r="A632" s="38">
        <v>572</v>
      </c>
      <c r="B632" s="38"/>
      <c r="C632" s="38"/>
      <c r="D632" s="38" t="s">
        <v>1964</v>
      </c>
      <c r="E632" s="40" t="s">
        <v>1965</v>
      </c>
      <c r="F632" s="41" t="s">
        <v>1966</v>
      </c>
      <c r="G632" s="42">
        <v>641</v>
      </c>
      <c r="H632" s="43"/>
      <c r="I632" s="44"/>
      <c r="J632" s="38">
        <f>641</f>
        <v>641</v>
      </c>
      <c r="K632" s="45">
        <v>6.4699074074074069E-3</v>
      </c>
      <c r="L632" s="46" t="s">
        <v>1381</v>
      </c>
      <c r="M632" s="38"/>
      <c r="N632" s="38"/>
      <c r="O632" s="38"/>
      <c r="P632" s="38"/>
      <c r="Q632" s="38"/>
      <c r="R632" s="48"/>
      <c r="S632" s="48"/>
      <c r="T632" s="48"/>
      <c r="U632" s="52"/>
      <c r="V632" s="50"/>
      <c r="W632" s="51"/>
      <c r="X632" s="56"/>
    </row>
    <row r="633" spans="1:24">
      <c r="A633" s="38">
        <v>573</v>
      </c>
      <c r="B633" s="38"/>
      <c r="C633" s="38"/>
      <c r="D633" s="38" t="s">
        <v>1967</v>
      </c>
      <c r="E633" s="40" t="s">
        <v>1968</v>
      </c>
      <c r="F633" s="41" t="s">
        <v>1318</v>
      </c>
      <c r="G633" s="42" t="s">
        <v>396</v>
      </c>
      <c r="H633" s="43"/>
      <c r="I633" s="44"/>
      <c r="J633" s="38">
        <f>1.1*1000</f>
        <v>1100</v>
      </c>
      <c r="K633" s="45">
        <v>2.5000000000000001E-3</v>
      </c>
      <c r="L633" s="46" t="s">
        <v>1381</v>
      </c>
      <c r="M633" s="38"/>
      <c r="N633" s="38"/>
      <c r="O633" s="38"/>
      <c r="P633" s="38"/>
      <c r="Q633" s="38"/>
      <c r="R633" s="48"/>
      <c r="S633" s="48"/>
      <c r="T633" s="48"/>
      <c r="U633" s="52"/>
      <c r="V633" s="50"/>
      <c r="W633" s="51"/>
      <c r="X633" s="56"/>
    </row>
    <row r="634" spans="1:24">
      <c r="A634" s="38">
        <v>574</v>
      </c>
      <c r="B634" s="38"/>
      <c r="C634" s="38"/>
      <c r="D634" s="38" t="s">
        <v>1969</v>
      </c>
      <c r="E634" s="40" t="s">
        <v>1970</v>
      </c>
      <c r="F634" s="58" t="s">
        <v>1971</v>
      </c>
      <c r="G634" s="42" t="s">
        <v>264</v>
      </c>
      <c r="H634" s="43"/>
      <c r="I634" s="44"/>
      <c r="J634" s="38">
        <f>14*1000</f>
        <v>14000</v>
      </c>
      <c r="K634" s="45">
        <v>2.8460648148148148E-2</v>
      </c>
      <c r="L634" s="46" t="s">
        <v>1972</v>
      </c>
      <c r="M634" s="38"/>
      <c r="N634" s="38"/>
      <c r="O634" s="38"/>
      <c r="P634" s="38"/>
      <c r="Q634" s="38"/>
      <c r="R634" s="48"/>
      <c r="S634" s="48"/>
      <c r="T634" s="48"/>
      <c r="U634" s="52"/>
      <c r="V634" s="50"/>
      <c r="W634" s="51"/>
      <c r="X634" s="56"/>
    </row>
    <row r="635" spans="1:24">
      <c r="A635" s="38">
        <v>575</v>
      </c>
      <c r="B635" s="38"/>
      <c r="C635" s="38"/>
      <c r="D635" s="38" t="s">
        <v>1973</v>
      </c>
      <c r="E635" s="40" t="s">
        <v>1974</v>
      </c>
      <c r="F635" s="41" t="s">
        <v>1975</v>
      </c>
      <c r="G635" s="42" t="s">
        <v>770</v>
      </c>
      <c r="H635" s="43"/>
      <c r="I635" s="44"/>
      <c r="J635" s="38">
        <f>2.7*1000</f>
        <v>2700</v>
      </c>
      <c r="K635" s="45">
        <v>1.3287037037037036E-2</v>
      </c>
      <c r="L635" s="46" t="s">
        <v>1972</v>
      </c>
      <c r="M635" s="38"/>
      <c r="N635" s="38"/>
      <c r="O635" s="38"/>
      <c r="P635" s="38"/>
      <c r="Q635" s="38"/>
      <c r="R635" s="48"/>
      <c r="S635" s="48"/>
      <c r="T635" s="48"/>
      <c r="U635" s="52"/>
      <c r="V635" s="50"/>
      <c r="W635" s="51"/>
      <c r="X635" s="56"/>
    </row>
    <row r="636" spans="1:24">
      <c r="A636" s="38">
        <v>576</v>
      </c>
      <c r="B636" s="38"/>
      <c r="C636" s="38"/>
      <c r="D636" s="38" t="s">
        <v>1976</v>
      </c>
      <c r="E636" s="40" t="s">
        <v>1977</v>
      </c>
      <c r="F636" s="58" t="s">
        <v>1978</v>
      </c>
      <c r="G636" s="42" t="s">
        <v>249</v>
      </c>
      <c r="H636" s="43"/>
      <c r="I636" s="44"/>
      <c r="J636" s="38">
        <f>2.4*1000</f>
        <v>2400</v>
      </c>
      <c r="K636" s="45">
        <v>2.1909722222222223E-2</v>
      </c>
      <c r="L636" s="46" t="s">
        <v>1972</v>
      </c>
      <c r="M636" s="38"/>
      <c r="N636" s="38"/>
      <c r="O636" s="38"/>
      <c r="P636" s="38"/>
      <c r="Q636" s="38"/>
      <c r="R636" s="48"/>
      <c r="S636" s="48"/>
      <c r="T636" s="48"/>
      <c r="U636" s="52"/>
      <c r="V636" s="50"/>
      <c r="W636" s="51"/>
      <c r="X636" s="56"/>
    </row>
    <row r="637" spans="1:24">
      <c r="A637" s="38">
        <v>577</v>
      </c>
      <c r="B637" s="38"/>
      <c r="C637" s="38"/>
      <c r="D637" s="38" t="s">
        <v>1979</v>
      </c>
      <c r="E637" s="40" t="s">
        <v>1980</v>
      </c>
      <c r="F637" s="41" t="s">
        <v>1581</v>
      </c>
      <c r="G637" s="42" t="s">
        <v>374</v>
      </c>
      <c r="H637" s="43"/>
      <c r="I637" s="44"/>
      <c r="J637" s="38">
        <f>1.3*1000</f>
        <v>1300</v>
      </c>
      <c r="K637" s="45">
        <v>2.4537037037037036E-3</v>
      </c>
      <c r="L637" s="46" t="s">
        <v>1972</v>
      </c>
      <c r="M637" s="38"/>
      <c r="N637" s="38"/>
      <c r="O637" s="38"/>
      <c r="P637" s="38"/>
      <c r="Q637" s="38"/>
      <c r="R637" s="48"/>
      <c r="S637" s="48"/>
      <c r="T637" s="48"/>
      <c r="U637" s="52"/>
      <c r="V637" s="50"/>
      <c r="W637" s="51"/>
      <c r="X637" s="56"/>
    </row>
    <row r="638" spans="1:24">
      <c r="A638" s="38">
        <v>578</v>
      </c>
      <c r="B638" s="38"/>
      <c r="C638" s="38"/>
      <c r="D638" s="38" t="s">
        <v>1981</v>
      </c>
      <c r="E638" s="40" t="s">
        <v>1982</v>
      </c>
      <c r="F638" s="58" t="s">
        <v>1866</v>
      </c>
      <c r="G638" s="42" t="s">
        <v>1983</v>
      </c>
      <c r="H638" s="43"/>
      <c r="I638" s="44"/>
      <c r="J638" s="38">
        <f>6.5*1000</f>
        <v>6500</v>
      </c>
      <c r="K638" s="45">
        <v>2.7986111111111111E-2</v>
      </c>
      <c r="L638" s="46" t="s">
        <v>1972</v>
      </c>
      <c r="M638" s="38"/>
      <c r="N638" s="38"/>
      <c r="O638" s="38"/>
      <c r="P638" s="38"/>
      <c r="Q638" s="38"/>
      <c r="R638" s="48"/>
      <c r="S638" s="48"/>
      <c r="T638" s="48"/>
      <c r="U638" s="52"/>
      <c r="V638" s="50"/>
      <c r="W638" s="51"/>
      <c r="X638" s="56"/>
    </row>
    <row r="639" spans="1:24">
      <c r="A639" s="38">
        <v>579</v>
      </c>
      <c r="B639" s="38"/>
      <c r="C639" s="38"/>
      <c r="D639" s="38" t="s">
        <v>1984</v>
      </c>
      <c r="E639" s="40" t="s">
        <v>1985</v>
      </c>
      <c r="F639" s="61" t="s">
        <v>1986</v>
      </c>
      <c r="G639" s="42" t="s">
        <v>486</v>
      </c>
      <c r="H639" s="43"/>
      <c r="I639" s="44"/>
      <c r="J639" s="38">
        <f>7.9*1000</f>
        <v>7900</v>
      </c>
      <c r="K639" s="45">
        <v>4.5439814814814815E-2</v>
      </c>
      <c r="L639" s="46" t="s">
        <v>1972</v>
      </c>
      <c r="M639" s="38"/>
      <c r="N639" s="38"/>
      <c r="O639" s="38"/>
      <c r="P639" s="38"/>
      <c r="Q639" s="38"/>
      <c r="R639" s="48"/>
      <c r="S639" s="48"/>
      <c r="T639" s="48"/>
      <c r="U639" s="52"/>
      <c r="V639" s="50"/>
      <c r="W639" s="51"/>
      <c r="X639" s="56"/>
    </row>
    <row r="640" spans="1:24">
      <c r="A640" s="38">
        <v>580</v>
      </c>
      <c r="B640" s="38"/>
      <c r="C640" s="38"/>
      <c r="D640" s="38" t="s">
        <v>1987</v>
      </c>
      <c r="E640" s="40" t="s">
        <v>1988</v>
      </c>
      <c r="F640" s="41" t="s">
        <v>864</v>
      </c>
      <c r="G640" s="42">
        <v>520</v>
      </c>
      <c r="H640" s="43"/>
      <c r="I640" s="44"/>
      <c r="J640" s="38">
        <f>520</f>
        <v>520</v>
      </c>
      <c r="K640" s="45">
        <v>1.3541666666666667E-3</v>
      </c>
      <c r="L640" s="46" t="s">
        <v>1972</v>
      </c>
      <c r="M640" s="38"/>
      <c r="N640" s="38"/>
      <c r="O640" s="38"/>
      <c r="P640" s="38"/>
      <c r="Q640" s="38"/>
      <c r="R640" s="48"/>
      <c r="S640" s="48"/>
      <c r="T640" s="48"/>
      <c r="U640" s="52"/>
      <c r="V640" s="50"/>
      <c r="W640" s="51"/>
      <c r="X640" s="56"/>
    </row>
    <row r="641" spans="1:24">
      <c r="A641" s="38">
        <v>581</v>
      </c>
      <c r="B641" s="38"/>
      <c r="C641" s="38"/>
      <c r="D641" s="38" t="s">
        <v>1989</v>
      </c>
      <c r="E641" s="40" t="s">
        <v>1990</v>
      </c>
      <c r="F641" s="41" t="s">
        <v>1991</v>
      </c>
      <c r="G641" s="42">
        <v>658</v>
      </c>
      <c r="H641" s="43"/>
      <c r="I641" s="44"/>
      <c r="J641" s="38">
        <f>658</f>
        <v>658</v>
      </c>
      <c r="K641" s="45">
        <v>3.8657407407407408E-3</v>
      </c>
      <c r="L641" s="46" t="s">
        <v>1972</v>
      </c>
      <c r="M641" s="38"/>
      <c r="N641" s="38"/>
      <c r="O641" s="38"/>
      <c r="P641" s="38"/>
      <c r="Q641" s="38"/>
      <c r="R641" s="48"/>
      <c r="S641" s="48"/>
      <c r="T641" s="48"/>
      <c r="U641" s="52"/>
      <c r="V641" s="50"/>
      <c r="W641" s="51"/>
      <c r="X641" s="56"/>
    </row>
    <row r="642" spans="1:24">
      <c r="A642" s="38">
        <v>582</v>
      </c>
      <c r="B642" s="38"/>
      <c r="C642" s="38"/>
      <c r="D642" s="38" t="s">
        <v>1992</v>
      </c>
      <c r="E642" s="40" t="s">
        <v>1993</v>
      </c>
      <c r="F642" s="41" t="s">
        <v>1746</v>
      </c>
      <c r="G642" s="42">
        <v>457</v>
      </c>
      <c r="H642" s="43"/>
      <c r="I642" s="44"/>
      <c r="J642" s="38">
        <f>457</f>
        <v>457</v>
      </c>
      <c r="K642" s="45">
        <v>2.685185185185185E-3</v>
      </c>
      <c r="L642" s="46" t="s">
        <v>1972</v>
      </c>
      <c r="M642" s="38"/>
      <c r="N642" s="38"/>
      <c r="O642" s="38"/>
      <c r="P642" s="38"/>
      <c r="Q642" s="38"/>
      <c r="R642" s="48"/>
      <c r="S642" s="48"/>
      <c r="T642" s="48"/>
      <c r="U642" s="52"/>
      <c r="V642" s="50"/>
      <c r="W642" s="51"/>
      <c r="X642" s="56"/>
    </row>
    <row r="643" spans="1:24">
      <c r="A643" s="38">
        <v>583</v>
      </c>
      <c r="B643" s="38"/>
      <c r="C643" s="38"/>
      <c r="D643" s="38" t="s">
        <v>1994</v>
      </c>
      <c r="E643" s="40" t="s">
        <v>1995</v>
      </c>
      <c r="F643" s="41" t="s">
        <v>757</v>
      </c>
      <c r="G643" s="42">
        <v>689</v>
      </c>
      <c r="H643" s="43"/>
      <c r="I643" s="44"/>
      <c r="J643" s="38">
        <f>689</f>
        <v>689</v>
      </c>
      <c r="K643" s="45">
        <v>1.4583333333333334E-3</v>
      </c>
      <c r="L643" s="46" t="s">
        <v>1972</v>
      </c>
      <c r="M643" s="38"/>
      <c r="N643" s="38"/>
      <c r="O643" s="38"/>
      <c r="P643" s="38"/>
      <c r="Q643" s="38"/>
      <c r="R643" s="48"/>
      <c r="S643" s="48"/>
      <c r="T643" s="48"/>
      <c r="U643" s="52"/>
      <c r="V643" s="50"/>
      <c r="W643" s="51"/>
      <c r="X643" s="56"/>
    </row>
    <row r="644" spans="1:24">
      <c r="A644" s="38">
        <v>584</v>
      </c>
      <c r="B644" s="38"/>
      <c r="C644" s="38"/>
      <c r="D644" s="38" t="s">
        <v>1996</v>
      </c>
      <c r="E644" s="40" t="s">
        <v>1997</v>
      </c>
      <c r="F644" s="41" t="s">
        <v>1004</v>
      </c>
      <c r="G644" s="42">
        <v>422</v>
      </c>
      <c r="H644" s="43"/>
      <c r="I644" s="44"/>
      <c r="J644" s="38">
        <f>422</f>
        <v>422</v>
      </c>
      <c r="K644" s="45">
        <v>2.627314814814815E-3</v>
      </c>
      <c r="L644" s="46" t="s">
        <v>1972</v>
      </c>
      <c r="M644" s="38"/>
      <c r="N644" s="38"/>
      <c r="O644" s="38"/>
      <c r="P644" s="38"/>
      <c r="Q644" s="38"/>
      <c r="R644" s="48"/>
      <c r="S644" s="48"/>
      <c r="T644" s="48"/>
      <c r="U644" s="52"/>
      <c r="V644" s="50"/>
      <c r="W644" s="51"/>
      <c r="X644" s="56"/>
    </row>
    <row r="645" spans="1:24">
      <c r="A645" s="38">
        <v>585</v>
      </c>
      <c r="B645" s="38"/>
      <c r="C645" s="38"/>
      <c r="D645" s="38" t="s">
        <v>1998</v>
      </c>
      <c r="E645" s="40" t="s">
        <v>1999</v>
      </c>
      <c r="F645" s="41" t="s">
        <v>1543</v>
      </c>
      <c r="G645" s="42">
        <v>393</v>
      </c>
      <c r="H645" s="43"/>
      <c r="I645" s="44"/>
      <c r="J645" s="38">
        <f>393</f>
        <v>393</v>
      </c>
      <c r="K645" s="45">
        <v>2.0486111111111113E-3</v>
      </c>
      <c r="L645" s="46" t="s">
        <v>1972</v>
      </c>
      <c r="M645" s="38"/>
      <c r="N645" s="38"/>
      <c r="O645" s="38"/>
      <c r="P645" s="38"/>
      <c r="Q645" s="38"/>
      <c r="R645" s="48"/>
      <c r="S645" s="48"/>
      <c r="T645" s="48"/>
      <c r="U645" s="52"/>
      <c r="V645" s="50"/>
      <c r="W645" s="51"/>
      <c r="X645" s="56"/>
    </row>
    <row r="646" spans="1:24">
      <c r="A646" s="38">
        <v>586</v>
      </c>
      <c r="B646" s="38"/>
      <c r="C646" s="38"/>
      <c r="D646" s="38" t="s">
        <v>2000</v>
      </c>
      <c r="E646" s="40" t="s">
        <v>2001</v>
      </c>
      <c r="F646" s="41" t="s">
        <v>441</v>
      </c>
      <c r="G646" s="42">
        <v>397</v>
      </c>
      <c r="H646" s="43"/>
      <c r="I646" s="44"/>
      <c r="J646" s="38">
        <f>397</f>
        <v>397</v>
      </c>
      <c r="K646" s="45">
        <v>2.0138888888888888E-3</v>
      </c>
      <c r="L646" s="46" t="s">
        <v>1972</v>
      </c>
      <c r="M646" s="38"/>
      <c r="N646" s="38"/>
      <c r="O646" s="38"/>
      <c r="P646" s="38"/>
      <c r="Q646" s="38"/>
      <c r="R646" s="48"/>
      <c r="S646" s="48"/>
      <c r="T646" s="48"/>
      <c r="U646" s="52"/>
      <c r="V646" s="50"/>
      <c r="W646" s="51"/>
      <c r="X646" s="56"/>
    </row>
    <row r="647" spans="1:24">
      <c r="A647" s="38">
        <v>587</v>
      </c>
      <c r="B647" s="38"/>
      <c r="C647" s="38"/>
      <c r="D647" s="38" t="s">
        <v>2002</v>
      </c>
      <c r="E647" s="40" t="s">
        <v>2003</v>
      </c>
      <c r="F647" s="41" t="s">
        <v>1641</v>
      </c>
      <c r="G647" s="42" t="s">
        <v>214</v>
      </c>
      <c r="H647" s="43"/>
      <c r="I647" s="44"/>
      <c r="J647" s="38">
        <f>1*1000</f>
        <v>1000</v>
      </c>
      <c r="K647" s="45">
        <v>1.6666666666666668E-3</v>
      </c>
      <c r="L647" s="46" t="s">
        <v>1972</v>
      </c>
      <c r="M647" s="38"/>
      <c r="N647" s="38"/>
      <c r="O647" s="38"/>
      <c r="P647" s="38"/>
      <c r="Q647" s="38"/>
      <c r="R647" s="48"/>
      <c r="S647" s="48"/>
      <c r="T647" s="48"/>
      <c r="U647" s="52"/>
      <c r="V647" s="50"/>
      <c r="W647" s="51"/>
      <c r="X647" s="56"/>
    </row>
    <row r="648" spans="1:24">
      <c r="A648" s="38">
        <v>588</v>
      </c>
      <c r="B648" s="38"/>
      <c r="C648" s="38"/>
      <c r="D648" s="38" t="s">
        <v>2004</v>
      </c>
      <c r="E648" s="40" t="s">
        <v>2005</v>
      </c>
      <c r="F648" s="41" t="s">
        <v>2006</v>
      </c>
      <c r="G648" s="42">
        <v>506</v>
      </c>
      <c r="H648" s="43"/>
      <c r="I648" s="44"/>
      <c r="J648" s="38">
        <f>506</f>
        <v>506</v>
      </c>
      <c r="K648" s="45">
        <v>2.9166666666666668E-3</v>
      </c>
      <c r="L648" s="46" t="s">
        <v>1972</v>
      </c>
      <c r="M648" s="38"/>
      <c r="N648" s="38"/>
      <c r="O648" s="38"/>
      <c r="P648" s="38"/>
      <c r="Q648" s="38"/>
      <c r="R648" s="48"/>
      <c r="S648" s="48"/>
      <c r="T648" s="48"/>
      <c r="U648" s="52"/>
      <c r="V648" s="50"/>
      <c r="W648" s="51"/>
      <c r="X648" s="56"/>
    </row>
    <row r="649" spans="1:24">
      <c r="A649" s="38">
        <v>589</v>
      </c>
      <c r="B649" s="38"/>
      <c r="C649" s="38"/>
      <c r="D649" s="38" t="s">
        <v>2007</v>
      </c>
      <c r="E649" s="40" t="s">
        <v>2008</v>
      </c>
      <c r="F649" s="61" t="s">
        <v>2009</v>
      </c>
      <c r="G649" s="42" t="s">
        <v>1851</v>
      </c>
      <c r="H649" s="43"/>
      <c r="I649" s="44"/>
      <c r="J649" s="38">
        <f>25*1000</f>
        <v>25000</v>
      </c>
      <c r="K649" s="45">
        <v>6.9039351851851852E-2</v>
      </c>
      <c r="L649" s="46" t="s">
        <v>1972</v>
      </c>
      <c r="M649" s="38"/>
      <c r="N649" s="38"/>
      <c r="O649" s="38"/>
      <c r="P649" s="38"/>
      <c r="Q649" s="38"/>
      <c r="R649" s="48"/>
      <c r="S649" s="48"/>
      <c r="T649" s="48"/>
      <c r="U649" s="52"/>
      <c r="V649" s="50"/>
      <c r="W649" s="51"/>
      <c r="X649" s="56"/>
    </row>
    <row r="650" spans="1:24">
      <c r="A650" s="38">
        <v>590</v>
      </c>
      <c r="B650" s="38"/>
      <c r="C650" s="38"/>
      <c r="D650" s="38" t="s">
        <v>2010</v>
      </c>
      <c r="E650" s="40" t="s">
        <v>2011</v>
      </c>
      <c r="F650" s="41" t="s">
        <v>2012</v>
      </c>
      <c r="G650" s="42">
        <v>922</v>
      </c>
      <c r="H650" s="43"/>
      <c r="I650" s="44"/>
      <c r="J650" s="38">
        <f>922</f>
        <v>922</v>
      </c>
      <c r="K650" s="45">
        <v>3.7962962962962963E-3</v>
      </c>
      <c r="L650" s="46" t="s">
        <v>1972</v>
      </c>
      <c r="M650" s="38"/>
      <c r="N650" s="38"/>
      <c r="O650" s="38"/>
      <c r="P650" s="38"/>
      <c r="Q650" s="38"/>
      <c r="R650" s="48"/>
      <c r="S650" s="48"/>
      <c r="T650" s="48"/>
      <c r="U650" s="52"/>
      <c r="V650" s="50"/>
      <c r="W650" s="51"/>
      <c r="X650" s="56"/>
    </row>
    <row r="651" spans="1:24">
      <c r="A651" s="38">
        <v>591</v>
      </c>
      <c r="B651" s="38"/>
      <c r="C651" s="38"/>
      <c r="D651" s="38" t="s">
        <v>2013</v>
      </c>
      <c r="E651" s="40" t="s">
        <v>2014</v>
      </c>
      <c r="F651" s="41" t="s">
        <v>2015</v>
      </c>
      <c r="G651" s="42">
        <v>931</v>
      </c>
      <c r="H651" s="43"/>
      <c r="I651" s="44"/>
      <c r="J651" s="38">
        <f>931</f>
        <v>931</v>
      </c>
      <c r="K651" s="45">
        <v>3.7152777777777774E-3</v>
      </c>
      <c r="L651" s="46" t="s">
        <v>2016</v>
      </c>
      <c r="M651" s="38"/>
      <c r="N651" s="38"/>
      <c r="O651" s="38"/>
      <c r="P651" s="38"/>
      <c r="Q651" s="38"/>
      <c r="R651" s="48"/>
      <c r="S651" s="48"/>
      <c r="T651" s="48"/>
      <c r="U651" s="52"/>
      <c r="V651" s="50"/>
      <c r="W651" s="51"/>
      <c r="X651" s="56"/>
    </row>
    <row r="652" spans="1:24">
      <c r="A652" s="38">
        <v>592</v>
      </c>
      <c r="B652" s="38"/>
      <c r="C652" s="38"/>
      <c r="D652" s="38" t="s">
        <v>2017</v>
      </c>
      <c r="E652" s="40" t="s">
        <v>2018</v>
      </c>
      <c r="F652" s="41" t="s">
        <v>2019</v>
      </c>
      <c r="G652" s="42">
        <v>799</v>
      </c>
      <c r="H652" s="43"/>
      <c r="I652" s="44"/>
      <c r="J652" s="38">
        <f>799</f>
        <v>799</v>
      </c>
      <c r="K652" s="45">
        <v>2.7777777777777779E-3</v>
      </c>
      <c r="L652" s="46" t="s">
        <v>2016</v>
      </c>
      <c r="M652" s="38"/>
      <c r="N652" s="38"/>
      <c r="O652" s="38"/>
      <c r="P652" s="38"/>
      <c r="Q652" s="38"/>
      <c r="R652" s="48"/>
      <c r="S652" s="48"/>
      <c r="T652" s="48"/>
      <c r="U652" s="52"/>
      <c r="V652" s="50"/>
      <c r="W652" s="51"/>
      <c r="X652" s="56"/>
    </row>
    <row r="653" spans="1:24">
      <c r="A653" s="38">
        <v>593</v>
      </c>
      <c r="B653" s="38"/>
      <c r="C653" s="38"/>
      <c r="D653" s="38" t="s">
        <v>2020</v>
      </c>
      <c r="E653" s="40" t="s">
        <v>2021</v>
      </c>
      <c r="F653" s="41" t="s">
        <v>2022</v>
      </c>
      <c r="G653" s="42">
        <v>783</v>
      </c>
      <c r="H653" s="43"/>
      <c r="I653" s="44"/>
      <c r="J653" s="38">
        <f>783</f>
        <v>783</v>
      </c>
      <c r="K653" s="45">
        <v>3.7268518518518514E-3</v>
      </c>
      <c r="L653" s="46" t="s">
        <v>2016</v>
      </c>
      <c r="M653" s="38"/>
      <c r="N653" s="38"/>
      <c r="O653" s="38"/>
      <c r="P653" s="38"/>
      <c r="Q653" s="38"/>
      <c r="R653" s="48"/>
      <c r="S653" s="48"/>
      <c r="T653" s="48"/>
      <c r="U653" s="52"/>
      <c r="V653" s="50"/>
      <c r="W653" s="51"/>
      <c r="X653" s="56"/>
    </row>
    <row r="654" spans="1:24">
      <c r="A654" s="38">
        <v>594</v>
      </c>
      <c r="B654" s="38"/>
      <c r="C654" s="38"/>
      <c r="D654" s="38" t="s">
        <v>2023</v>
      </c>
      <c r="E654" s="40" t="s">
        <v>2024</v>
      </c>
      <c r="F654" s="41" t="s">
        <v>2025</v>
      </c>
      <c r="G654" s="42" t="s">
        <v>214</v>
      </c>
      <c r="H654" s="43"/>
      <c r="I654" s="44"/>
      <c r="J654" s="38">
        <f>1*1000</f>
        <v>1000</v>
      </c>
      <c r="K654" s="45">
        <v>1.0891203703703703E-2</v>
      </c>
      <c r="L654" s="46" t="s">
        <v>2016</v>
      </c>
      <c r="M654" s="38"/>
      <c r="N654" s="38"/>
      <c r="O654" s="38"/>
      <c r="P654" s="38"/>
      <c r="Q654" s="38"/>
      <c r="R654" s="48"/>
      <c r="S654" s="48"/>
      <c r="T654" s="48"/>
      <c r="U654" s="52"/>
      <c r="V654" s="50"/>
      <c r="W654" s="51"/>
      <c r="X654" s="56"/>
    </row>
    <row r="655" spans="1:24">
      <c r="A655" s="38">
        <v>595</v>
      </c>
      <c r="B655" s="38"/>
      <c r="C655" s="38"/>
      <c r="D655" s="38" t="s">
        <v>2026</v>
      </c>
      <c r="E655" s="40" t="s">
        <v>2027</v>
      </c>
      <c r="F655" s="41" t="s">
        <v>2028</v>
      </c>
      <c r="G655" s="42" t="s">
        <v>1174</v>
      </c>
      <c r="H655" s="43"/>
      <c r="I655" s="44"/>
      <c r="J655" s="38">
        <f>13*1000</f>
        <v>13000</v>
      </c>
      <c r="K655" s="45">
        <v>1.2939814814814814E-2</v>
      </c>
      <c r="L655" s="46" t="s">
        <v>2016</v>
      </c>
      <c r="M655" s="38"/>
      <c r="N655" s="38"/>
      <c r="O655" s="38"/>
      <c r="P655" s="38"/>
      <c r="Q655" s="38"/>
      <c r="R655" s="48"/>
      <c r="S655" s="48"/>
      <c r="T655" s="48"/>
      <c r="U655" s="52"/>
      <c r="V655" s="50"/>
      <c r="W655" s="51"/>
      <c r="X655" s="56"/>
    </row>
    <row r="656" spans="1:24">
      <c r="A656" s="38">
        <v>596</v>
      </c>
      <c r="B656" s="38"/>
      <c r="C656" s="38"/>
      <c r="D656" s="38" t="s">
        <v>2029</v>
      </c>
      <c r="E656" s="40" t="s">
        <v>2030</v>
      </c>
      <c r="F656" s="58" t="s">
        <v>2031</v>
      </c>
      <c r="G656" s="42" t="s">
        <v>1046</v>
      </c>
      <c r="H656" s="43"/>
      <c r="I656" s="44"/>
      <c r="J656" s="38">
        <f>20*1000</f>
        <v>20000</v>
      </c>
      <c r="K656" s="45">
        <v>2.989583333333333E-2</v>
      </c>
      <c r="L656" s="46" t="s">
        <v>2016</v>
      </c>
      <c r="M656" s="38"/>
      <c r="N656" s="38"/>
      <c r="O656" s="38"/>
      <c r="P656" s="38"/>
      <c r="Q656" s="38"/>
      <c r="R656" s="48"/>
      <c r="S656" s="48"/>
      <c r="T656" s="48"/>
      <c r="U656" s="52"/>
      <c r="V656" s="50"/>
      <c r="W656" s="51"/>
      <c r="X656" s="56"/>
    </row>
    <row r="657" spans="1:24">
      <c r="A657" s="38">
        <v>597</v>
      </c>
      <c r="B657" s="38"/>
      <c r="C657" s="38"/>
      <c r="D657" s="38" t="s">
        <v>2032</v>
      </c>
      <c r="E657" s="40" t="s">
        <v>2033</v>
      </c>
      <c r="F657" s="58" t="s">
        <v>2034</v>
      </c>
      <c r="G657" s="42" t="s">
        <v>691</v>
      </c>
      <c r="H657" s="43"/>
      <c r="I657" s="44"/>
      <c r="J657" s="38">
        <f>5.6*1000</f>
        <v>5600</v>
      </c>
      <c r="K657" s="45">
        <v>1.7349537037037038E-2</v>
      </c>
      <c r="L657" s="46" t="s">
        <v>2016</v>
      </c>
      <c r="M657" s="38"/>
      <c r="N657" s="38"/>
      <c r="O657" s="38"/>
      <c r="P657" s="38"/>
      <c r="Q657" s="38"/>
      <c r="R657" s="48"/>
      <c r="S657" s="48"/>
      <c r="T657" s="48"/>
      <c r="U657" s="52"/>
      <c r="V657" s="50"/>
      <c r="W657" s="51"/>
      <c r="X657" s="56"/>
    </row>
    <row r="658" spans="1:24">
      <c r="A658" s="38">
        <v>598</v>
      </c>
      <c r="B658" s="38"/>
      <c r="C658" s="38"/>
      <c r="D658" s="38" t="s">
        <v>2035</v>
      </c>
      <c r="E658" s="40" t="s">
        <v>2036</v>
      </c>
      <c r="F658" s="41" t="s">
        <v>2037</v>
      </c>
      <c r="G658" s="42">
        <v>909</v>
      </c>
      <c r="H658" s="43"/>
      <c r="I658" s="44"/>
      <c r="J658" s="38">
        <f>909</f>
        <v>909</v>
      </c>
      <c r="K658" s="45">
        <v>4.9305555555555552E-3</v>
      </c>
      <c r="L658" s="46" t="s">
        <v>2016</v>
      </c>
      <c r="M658" s="38"/>
      <c r="N658" s="38"/>
      <c r="O658" s="38"/>
      <c r="P658" s="38"/>
      <c r="Q658" s="38"/>
      <c r="R658" s="48"/>
      <c r="S658" s="48"/>
      <c r="T658" s="48"/>
      <c r="U658" s="52"/>
      <c r="V658" s="50"/>
      <c r="W658" s="51"/>
      <c r="X658" s="56"/>
    </row>
    <row r="659" spans="1:24">
      <c r="A659" s="38">
        <v>599</v>
      </c>
      <c r="B659" s="38"/>
      <c r="C659" s="38"/>
      <c r="D659" s="38" t="s">
        <v>2038</v>
      </c>
      <c r="E659" s="40" t="s">
        <v>2039</v>
      </c>
      <c r="F659" s="41" t="s">
        <v>2040</v>
      </c>
      <c r="G659" s="42">
        <v>366</v>
      </c>
      <c r="H659" s="43"/>
      <c r="I659" s="44"/>
      <c r="J659" s="38">
        <f>366</f>
        <v>366</v>
      </c>
      <c r="K659" s="45">
        <v>3.9699074074074072E-3</v>
      </c>
      <c r="L659" s="46" t="s">
        <v>2016</v>
      </c>
      <c r="M659" s="38"/>
      <c r="N659" s="38"/>
      <c r="O659" s="38"/>
      <c r="P659" s="38"/>
      <c r="Q659" s="38"/>
      <c r="R659" s="48"/>
      <c r="S659" s="48"/>
      <c r="T659" s="48"/>
      <c r="U659" s="52"/>
      <c r="V659" s="50"/>
      <c r="W659" s="51"/>
      <c r="X659" s="56"/>
    </row>
    <row r="660" spans="1:24">
      <c r="A660" s="38">
        <v>600</v>
      </c>
      <c r="B660" s="38"/>
      <c r="C660" s="38"/>
      <c r="D660" s="38" t="s">
        <v>2041</v>
      </c>
      <c r="E660" s="40" t="s">
        <v>2042</v>
      </c>
      <c r="F660" s="41" t="s">
        <v>1514</v>
      </c>
      <c r="G660" s="42">
        <v>559</v>
      </c>
      <c r="H660" s="43"/>
      <c r="I660" s="44"/>
      <c r="J660" s="38">
        <f>559</f>
        <v>559</v>
      </c>
      <c r="K660" s="45">
        <v>1.8287037037037037E-3</v>
      </c>
      <c r="L660" s="46" t="s">
        <v>2016</v>
      </c>
      <c r="M660" s="38"/>
      <c r="N660" s="38"/>
      <c r="O660" s="38"/>
      <c r="P660" s="38"/>
      <c r="Q660" s="38"/>
      <c r="R660" s="48"/>
      <c r="S660" s="48"/>
      <c r="T660" s="48"/>
      <c r="U660" s="52"/>
      <c r="V660" s="50"/>
      <c r="W660" s="51"/>
      <c r="X660" s="56"/>
    </row>
    <row r="661" spans="1:24">
      <c r="A661" s="38">
        <v>601</v>
      </c>
      <c r="B661" s="38"/>
      <c r="C661" s="38"/>
      <c r="D661" s="38" t="s">
        <v>2043</v>
      </c>
      <c r="E661" s="40" t="s">
        <v>2044</v>
      </c>
      <c r="F661" s="41" t="s">
        <v>2045</v>
      </c>
      <c r="G661" s="42">
        <v>511</v>
      </c>
      <c r="H661" s="43"/>
      <c r="I661" s="44"/>
      <c r="J661" s="38">
        <f>511</f>
        <v>511</v>
      </c>
      <c r="K661" s="45">
        <v>1.7824074074074072E-3</v>
      </c>
      <c r="L661" s="46" t="s">
        <v>2016</v>
      </c>
      <c r="M661" s="38"/>
      <c r="N661" s="38"/>
      <c r="O661" s="38"/>
      <c r="P661" s="38"/>
      <c r="Q661" s="38"/>
      <c r="R661" s="48"/>
      <c r="S661" s="48"/>
      <c r="T661" s="48"/>
      <c r="U661" s="52"/>
      <c r="V661" s="50"/>
      <c r="W661" s="51"/>
      <c r="X661" s="56"/>
    </row>
    <row r="662" spans="1:24">
      <c r="A662" s="38">
        <v>602</v>
      </c>
      <c r="B662" s="38"/>
      <c r="C662" s="38"/>
      <c r="D662" s="38" t="s">
        <v>2046</v>
      </c>
      <c r="E662" s="40" t="s">
        <v>2047</v>
      </c>
      <c r="F662" s="41" t="s">
        <v>2048</v>
      </c>
      <c r="G662" s="42" t="s">
        <v>214</v>
      </c>
      <c r="H662" s="43"/>
      <c r="I662" s="44"/>
      <c r="J662" s="38">
        <f t="shared" ref="J662:J663" si="28">1*1000</f>
        <v>1000</v>
      </c>
      <c r="K662" s="45">
        <v>5.6481481481481478E-3</v>
      </c>
      <c r="L662" s="46" t="s">
        <v>2016</v>
      </c>
      <c r="M662" s="38"/>
      <c r="N662" s="38"/>
      <c r="O662" s="38"/>
      <c r="P662" s="38"/>
      <c r="Q662" s="38"/>
      <c r="R662" s="48"/>
      <c r="S662" s="48"/>
      <c r="T662" s="48"/>
      <c r="U662" s="52"/>
      <c r="V662" s="50"/>
      <c r="W662" s="51"/>
      <c r="X662" s="56"/>
    </row>
    <row r="663" spans="1:24">
      <c r="A663" s="38">
        <v>603</v>
      </c>
      <c r="B663" s="38"/>
      <c r="C663" s="38"/>
      <c r="D663" s="38" t="s">
        <v>2049</v>
      </c>
      <c r="E663" s="40" t="s">
        <v>2050</v>
      </c>
      <c r="F663" s="41" t="s">
        <v>2051</v>
      </c>
      <c r="G663" s="42" t="s">
        <v>214</v>
      </c>
      <c r="H663" s="43"/>
      <c r="I663" s="44"/>
      <c r="J663" s="38">
        <f t="shared" si="28"/>
        <v>1000</v>
      </c>
      <c r="K663" s="45">
        <v>1.9791666666666668E-3</v>
      </c>
      <c r="L663" s="46" t="s">
        <v>2016</v>
      </c>
      <c r="M663" s="38"/>
      <c r="N663" s="38"/>
      <c r="O663" s="38"/>
      <c r="P663" s="38"/>
      <c r="Q663" s="38"/>
      <c r="R663" s="48"/>
      <c r="S663" s="48"/>
      <c r="T663" s="48"/>
      <c r="U663" s="52"/>
      <c r="V663" s="50"/>
      <c r="W663" s="51"/>
      <c r="X663" s="56"/>
    </row>
    <row r="664" spans="1:24">
      <c r="A664" s="38">
        <v>604</v>
      </c>
      <c r="B664" s="38"/>
      <c r="C664" s="38"/>
      <c r="D664" s="38" t="s">
        <v>2052</v>
      </c>
      <c r="E664" s="40" t="s">
        <v>2053</v>
      </c>
      <c r="F664" s="41" t="s">
        <v>2054</v>
      </c>
      <c r="G664" s="42" t="s">
        <v>144</v>
      </c>
      <c r="H664" s="43"/>
      <c r="I664" s="44"/>
      <c r="J664" s="38">
        <f>1.7*1000</f>
        <v>1700</v>
      </c>
      <c r="K664" s="45">
        <v>3.9351851851851857E-3</v>
      </c>
      <c r="L664" s="46" t="s">
        <v>2016</v>
      </c>
      <c r="M664" s="38"/>
      <c r="N664" s="38"/>
      <c r="O664" s="38"/>
      <c r="P664" s="38"/>
      <c r="Q664" s="38"/>
      <c r="R664" s="48"/>
      <c r="S664" s="48"/>
      <c r="T664" s="48"/>
      <c r="U664" s="52"/>
      <c r="V664" s="50"/>
      <c r="W664" s="51"/>
      <c r="X664" s="56"/>
    </row>
    <row r="665" spans="1:24">
      <c r="A665" s="38">
        <v>605</v>
      </c>
      <c r="B665" s="38"/>
      <c r="C665" s="38"/>
      <c r="D665" s="38" t="s">
        <v>2055</v>
      </c>
      <c r="E665" s="40" t="s">
        <v>2056</v>
      </c>
      <c r="F665" s="41" t="s">
        <v>1277</v>
      </c>
      <c r="G665" s="42">
        <v>429</v>
      </c>
      <c r="H665" s="43"/>
      <c r="I665" s="44"/>
      <c r="J665" s="38">
        <f>429</f>
        <v>429</v>
      </c>
      <c r="K665" s="45">
        <v>1.5972222222222221E-3</v>
      </c>
      <c r="L665" s="46" t="s">
        <v>2016</v>
      </c>
      <c r="M665" s="38"/>
      <c r="N665" s="38"/>
      <c r="O665" s="38"/>
      <c r="P665" s="38"/>
      <c r="Q665" s="38"/>
      <c r="R665" s="48"/>
      <c r="S665" s="48"/>
      <c r="T665" s="48"/>
      <c r="U665" s="52"/>
      <c r="V665" s="50"/>
      <c r="W665" s="51"/>
      <c r="X665" s="56"/>
    </row>
    <row r="666" spans="1:24">
      <c r="A666" s="38">
        <v>606</v>
      </c>
      <c r="B666" s="38"/>
      <c r="C666" s="38"/>
      <c r="D666" s="38" t="s">
        <v>2057</v>
      </c>
      <c r="E666" s="40" t="s">
        <v>2058</v>
      </c>
      <c r="F666" s="41" t="s">
        <v>2051</v>
      </c>
      <c r="G666" s="42" t="s">
        <v>256</v>
      </c>
      <c r="H666" s="43"/>
      <c r="I666" s="44"/>
      <c r="J666" s="38">
        <f>2.1*1000</f>
        <v>2100</v>
      </c>
      <c r="K666" s="45">
        <v>1.9791666666666668E-3</v>
      </c>
      <c r="L666" s="46" t="s">
        <v>2016</v>
      </c>
      <c r="M666" s="38"/>
      <c r="N666" s="38"/>
      <c r="O666" s="38"/>
      <c r="P666" s="38"/>
      <c r="Q666" s="38"/>
      <c r="R666" s="48"/>
      <c r="S666" s="48"/>
      <c r="T666" s="48"/>
      <c r="U666" s="52"/>
      <c r="V666" s="50"/>
      <c r="W666" s="51"/>
      <c r="X666" s="56"/>
    </row>
    <row r="667" spans="1:24">
      <c r="A667" s="38">
        <v>607</v>
      </c>
      <c r="B667" s="38"/>
      <c r="C667" s="38"/>
      <c r="D667" s="38" t="s">
        <v>2059</v>
      </c>
      <c r="E667" s="40" t="s">
        <v>2060</v>
      </c>
      <c r="F667" s="41" t="s">
        <v>1426</v>
      </c>
      <c r="G667" s="42">
        <v>468</v>
      </c>
      <c r="H667" s="43"/>
      <c r="I667" s="44"/>
      <c r="J667" s="38">
        <f>468</f>
        <v>468</v>
      </c>
      <c r="K667" s="45">
        <v>8.7962962962962962E-4</v>
      </c>
      <c r="L667" s="46" t="s">
        <v>2016</v>
      </c>
      <c r="M667" s="38"/>
      <c r="N667" s="38"/>
      <c r="O667" s="38"/>
      <c r="P667" s="38"/>
      <c r="Q667" s="38"/>
      <c r="R667" s="48"/>
      <c r="S667" s="48"/>
      <c r="T667" s="48"/>
      <c r="U667" s="52"/>
      <c r="V667" s="50"/>
      <c r="W667" s="51"/>
      <c r="X667" s="56"/>
    </row>
    <row r="668" spans="1:24">
      <c r="A668" s="38">
        <v>608</v>
      </c>
      <c r="B668" s="38"/>
      <c r="C668" s="38"/>
      <c r="D668" s="38" t="s">
        <v>2061</v>
      </c>
      <c r="E668" s="40" t="s">
        <v>2062</v>
      </c>
      <c r="F668" s="41" t="s">
        <v>2063</v>
      </c>
      <c r="G668" s="42">
        <v>833</v>
      </c>
      <c r="H668" s="43"/>
      <c r="I668" s="44"/>
      <c r="J668" s="38">
        <f>833</f>
        <v>833</v>
      </c>
      <c r="K668" s="45">
        <v>1.9907407407407408E-3</v>
      </c>
      <c r="L668" s="46" t="s">
        <v>2016</v>
      </c>
      <c r="M668" s="38"/>
      <c r="N668" s="38"/>
      <c r="O668" s="38"/>
      <c r="P668" s="38"/>
      <c r="Q668" s="38"/>
      <c r="R668" s="48"/>
      <c r="S668" s="48"/>
      <c r="T668" s="48"/>
      <c r="U668" s="52"/>
      <c r="V668" s="50"/>
      <c r="W668" s="51"/>
      <c r="X668" s="56"/>
    </row>
    <row r="669" spans="1:24">
      <c r="A669" s="38">
        <v>609</v>
      </c>
      <c r="B669" s="38"/>
      <c r="C669" s="38"/>
      <c r="D669" s="38" t="s">
        <v>2064</v>
      </c>
      <c r="E669" s="40" t="s">
        <v>2065</v>
      </c>
      <c r="F669" s="58" t="s">
        <v>2066</v>
      </c>
      <c r="G669" s="42" t="s">
        <v>2067</v>
      </c>
      <c r="H669" s="43"/>
      <c r="I669" s="44"/>
      <c r="J669" s="38">
        <f>32*1000</f>
        <v>32000</v>
      </c>
      <c r="K669" s="45">
        <v>3.8900462962962963E-2</v>
      </c>
      <c r="L669" s="46" t="s">
        <v>2016</v>
      </c>
      <c r="M669" s="38"/>
      <c r="N669" s="38"/>
      <c r="O669" s="38"/>
      <c r="P669" s="38"/>
      <c r="Q669" s="38"/>
      <c r="R669" s="48"/>
      <c r="S669" s="48"/>
      <c r="T669" s="48"/>
      <c r="U669" s="52"/>
      <c r="V669" s="50"/>
      <c r="W669" s="51"/>
      <c r="X669" s="56"/>
    </row>
    <row r="670" spans="1:24">
      <c r="A670" s="38">
        <v>610</v>
      </c>
      <c r="B670" s="38"/>
      <c r="C670" s="38"/>
      <c r="D670" s="38" t="s">
        <v>2068</v>
      </c>
      <c r="E670" s="40" t="s">
        <v>2069</v>
      </c>
      <c r="F670" s="41" t="s">
        <v>1917</v>
      </c>
      <c r="G670" s="42" t="s">
        <v>264</v>
      </c>
      <c r="H670" s="43"/>
      <c r="I670" s="44"/>
      <c r="J670" s="38">
        <f>14*1000</f>
        <v>14000</v>
      </c>
      <c r="K670" s="45">
        <v>1.1423611111111112E-2</v>
      </c>
      <c r="L670" s="46" t="s">
        <v>2016</v>
      </c>
      <c r="M670" s="38"/>
      <c r="N670" s="38"/>
      <c r="O670" s="38"/>
      <c r="P670" s="38"/>
      <c r="Q670" s="38"/>
      <c r="R670" s="48"/>
      <c r="S670" s="48"/>
      <c r="T670" s="48"/>
      <c r="U670" s="52"/>
      <c r="V670" s="50"/>
      <c r="W670" s="51"/>
      <c r="X670" s="56"/>
    </row>
    <row r="671" spans="1:24">
      <c r="A671" s="38">
        <v>611</v>
      </c>
      <c r="B671" s="38"/>
      <c r="C671" s="38"/>
      <c r="D671" s="38" t="s">
        <v>2070</v>
      </c>
      <c r="E671" s="40" t="s">
        <v>2071</v>
      </c>
      <c r="F671" s="41" t="s">
        <v>2048</v>
      </c>
      <c r="G671" s="42">
        <v>617</v>
      </c>
      <c r="H671" s="43"/>
      <c r="I671" s="44"/>
      <c r="J671" s="38">
        <f>617</f>
        <v>617</v>
      </c>
      <c r="K671" s="45">
        <v>5.6481481481481478E-3</v>
      </c>
      <c r="L671" s="46" t="s">
        <v>2016</v>
      </c>
      <c r="M671" s="38"/>
      <c r="N671" s="38"/>
      <c r="O671" s="38"/>
      <c r="P671" s="38"/>
      <c r="Q671" s="38"/>
      <c r="R671" s="48"/>
      <c r="S671" s="48"/>
      <c r="T671" s="48"/>
      <c r="U671" s="52"/>
      <c r="V671" s="50"/>
      <c r="W671" s="51"/>
      <c r="X671" s="56"/>
    </row>
    <row r="672" spans="1:24">
      <c r="A672" s="38">
        <v>612</v>
      </c>
      <c r="B672" s="38"/>
      <c r="C672" s="38"/>
      <c r="D672" s="38" t="s">
        <v>2072</v>
      </c>
      <c r="E672" s="40" t="s">
        <v>2073</v>
      </c>
      <c r="F672" s="61" t="s">
        <v>2074</v>
      </c>
      <c r="G672" s="42" t="s">
        <v>2075</v>
      </c>
      <c r="H672" s="43"/>
      <c r="I672" s="44"/>
      <c r="J672" s="38">
        <f>8.2*1000</f>
        <v>8200</v>
      </c>
      <c r="K672" s="45">
        <v>4.3622685185185188E-2</v>
      </c>
      <c r="L672" s="46" t="s">
        <v>2016</v>
      </c>
      <c r="M672" s="38"/>
      <c r="N672" s="38"/>
      <c r="O672" s="38"/>
      <c r="P672" s="38"/>
      <c r="Q672" s="38"/>
      <c r="R672" s="48"/>
      <c r="S672" s="48"/>
      <c r="T672" s="48"/>
      <c r="U672" s="52"/>
      <c r="V672" s="50"/>
      <c r="W672" s="51"/>
      <c r="X672" s="56"/>
    </row>
    <row r="673" spans="1:24">
      <c r="A673" s="38">
        <v>613</v>
      </c>
      <c r="B673" s="38"/>
      <c r="C673" s="38"/>
      <c r="D673" s="38" t="s">
        <v>2076</v>
      </c>
      <c r="E673" s="40" t="s">
        <v>2077</v>
      </c>
      <c r="F673" s="41" t="s">
        <v>2078</v>
      </c>
      <c r="G673" s="42">
        <v>878</v>
      </c>
      <c r="H673" s="43"/>
      <c r="I673" s="44"/>
      <c r="J673" s="38">
        <f>878</f>
        <v>878</v>
      </c>
      <c r="K673" s="45">
        <v>3.2870370370370367E-3</v>
      </c>
      <c r="L673" s="46" t="s">
        <v>2016</v>
      </c>
      <c r="M673" s="38"/>
      <c r="N673" s="38"/>
      <c r="O673" s="38"/>
      <c r="P673" s="38"/>
      <c r="Q673" s="38"/>
      <c r="R673" s="48"/>
      <c r="S673" s="48"/>
      <c r="T673" s="48"/>
      <c r="U673" s="52"/>
      <c r="V673" s="50"/>
      <c r="W673" s="51"/>
      <c r="X673" s="56"/>
    </row>
    <row r="674" spans="1:24">
      <c r="A674" s="38">
        <v>614</v>
      </c>
      <c r="B674" s="38"/>
      <c r="C674" s="38"/>
      <c r="D674" s="38" t="s">
        <v>2079</v>
      </c>
      <c r="E674" s="40" t="s">
        <v>2080</v>
      </c>
      <c r="F674" s="41" t="s">
        <v>2081</v>
      </c>
      <c r="G674" s="42" t="s">
        <v>770</v>
      </c>
      <c r="H674" s="43"/>
      <c r="I674" s="44"/>
      <c r="J674" s="38">
        <f>2.7*1000</f>
        <v>2700</v>
      </c>
      <c r="K674" s="45">
        <v>3.483796296296296E-3</v>
      </c>
      <c r="L674" s="46" t="s">
        <v>2016</v>
      </c>
      <c r="M674" s="38"/>
      <c r="N674" s="38"/>
      <c r="O674" s="38"/>
      <c r="P674" s="38"/>
      <c r="Q674" s="38"/>
      <c r="R674" s="48"/>
      <c r="S674" s="48"/>
      <c r="T674" s="48"/>
      <c r="U674" s="52"/>
      <c r="V674" s="50"/>
      <c r="W674" s="51"/>
      <c r="X674" s="56"/>
    </row>
    <row r="675" spans="1:24">
      <c r="A675" s="38">
        <v>615</v>
      </c>
      <c r="B675" s="38"/>
      <c r="C675" s="38"/>
      <c r="D675" s="38" t="s">
        <v>2082</v>
      </c>
      <c r="E675" s="40" t="s">
        <v>2083</v>
      </c>
      <c r="F675" s="61" t="s">
        <v>2084</v>
      </c>
      <c r="G675" s="42" t="s">
        <v>1126</v>
      </c>
      <c r="H675" s="43"/>
      <c r="I675" s="44"/>
      <c r="J675" s="38">
        <f>4.3*1000</f>
        <v>4300</v>
      </c>
      <c r="K675" s="45">
        <v>5.004629629629629E-2</v>
      </c>
      <c r="L675" s="46" t="s">
        <v>2016</v>
      </c>
      <c r="M675" s="38"/>
      <c r="N675" s="38"/>
      <c r="O675" s="38"/>
      <c r="P675" s="38"/>
      <c r="Q675" s="38"/>
      <c r="R675" s="48"/>
      <c r="S675" s="48"/>
      <c r="T675" s="48"/>
      <c r="U675" s="52"/>
      <c r="V675" s="50"/>
      <c r="W675" s="51"/>
      <c r="X675" s="56"/>
    </row>
    <row r="676" spans="1:24">
      <c r="A676" s="38">
        <v>616</v>
      </c>
      <c r="B676" s="38"/>
      <c r="C676" s="38"/>
      <c r="D676" s="38" t="s">
        <v>2085</v>
      </c>
      <c r="E676" s="40" t="s">
        <v>2086</v>
      </c>
      <c r="F676" s="58" t="s">
        <v>2087</v>
      </c>
      <c r="G676" s="42" t="s">
        <v>2088</v>
      </c>
      <c r="H676" s="43"/>
      <c r="I676" s="44"/>
      <c r="J676" s="38">
        <f>8.9*1000</f>
        <v>8900</v>
      </c>
      <c r="K676" s="45">
        <v>3.8819444444444441E-2</v>
      </c>
      <c r="L676" s="46" t="s">
        <v>2089</v>
      </c>
      <c r="M676" s="38"/>
      <c r="N676" s="38"/>
      <c r="O676" s="38"/>
      <c r="P676" s="38"/>
      <c r="Q676" s="38"/>
      <c r="R676" s="48"/>
      <c r="S676" s="48"/>
      <c r="T676" s="48"/>
      <c r="U676" s="52"/>
      <c r="V676" s="50"/>
      <c r="W676" s="51"/>
      <c r="X676" s="56"/>
    </row>
    <row r="677" spans="1:24">
      <c r="A677" s="38">
        <v>617</v>
      </c>
      <c r="B677" s="38"/>
      <c r="C677" s="38"/>
      <c r="D677" s="38" t="s">
        <v>2090</v>
      </c>
      <c r="E677" s="40" t="s">
        <v>2091</v>
      </c>
      <c r="F677" s="61" t="s">
        <v>2092</v>
      </c>
      <c r="G677" s="42" t="s">
        <v>2093</v>
      </c>
      <c r="H677" s="43"/>
      <c r="I677" s="44"/>
      <c r="J677" s="38">
        <f>72*1000</f>
        <v>72000</v>
      </c>
      <c r="K677" s="45">
        <v>0.11864583333333334</v>
      </c>
      <c r="L677" s="46" t="s">
        <v>2089</v>
      </c>
      <c r="M677" s="38"/>
      <c r="N677" s="38"/>
      <c r="O677" s="38"/>
      <c r="P677" s="38"/>
      <c r="Q677" s="38"/>
      <c r="R677" s="48"/>
      <c r="S677" s="48"/>
      <c r="T677" s="48"/>
      <c r="U677" s="52"/>
      <c r="V677" s="50"/>
      <c r="W677" s="51"/>
      <c r="X677" s="56"/>
    </row>
    <row r="678" spans="1:24">
      <c r="A678" s="38">
        <v>618</v>
      </c>
      <c r="B678" s="38"/>
      <c r="C678" s="38"/>
      <c r="D678" s="38" t="s">
        <v>2094</v>
      </c>
      <c r="E678" s="40" t="s">
        <v>2095</v>
      </c>
      <c r="F678" s="58" t="s">
        <v>2096</v>
      </c>
      <c r="G678" s="42" t="s">
        <v>825</v>
      </c>
      <c r="H678" s="43"/>
      <c r="I678" s="44"/>
      <c r="J678" s="38">
        <f>12*1000</f>
        <v>12000</v>
      </c>
      <c r="K678" s="45">
        <v>3.2708333333333332E-2</v>
      </c>
      <c r="L678" s="46" t="s">
        <v>2089</v>
      </c>
      <c r="M678" s="38"/>
      <c r="N678" s="38"/>
      <c r="O678" s="38"/>
      <c r="P678" s="38"/>
      <c r="Q678" s="38"/>
      <c r="R678" s="48"/>
      <c r="S678" s="48"/>
      <c r="T678" s="48"/>
      <c r="U678" s="52"/>
      <c r="V678" s="50"/>
      <c r="W678" s="51"/>
      <c r="X678" s="56"/>
    </row>
    <row r="679" spans="1:24">
      <c r="A679" s="38">
        <v>619</v>
      </c>
      <c r="B679" s="38"/>
      <c r="C679" s="38"/>
      <c r="D679" s="38" t="s">
        <v>2097</v>
      </c>
      <c r="E679" s="40" t="s">
        <v>2098</v>
      </c>
      <c r="F679" s="41" t="s">
        <v>2099</v>
      </c>
      <c r="G679" s="42">
        <v>657</v>
      </c>
      <c r="H679" s="43"/>
      <c r="I679" s="44"/>
      <c r="J679" s="38">
        <f>657</f>
        <v>657</v>
      </c>
      <c r="K679" s="45">
        <v>3.7847222222222223E-3</v>
      </c>
      <c r="L679" s="46" t="s">
        <v>2089</v>
      </c>
      <c r="M679" s="38"/>
      <c r="N679" s="38"/>
      <c r="O679" s="38"/>
      <c r="P679" s="38"/>
      <c r="Q679" s="38"/>
      <c r="R679" s="48"/>
      <c r="S679" s="48"/>
      <c r="T679" s="48"/>
      <c r="U679" s="52"/>
      <c r="V679" s="50"/>
      <c r="W679" s="51"/>
      <c r="X679" s="56"/>
    </row>
    <row r="680" spans="1:24">
      <c r="A680" s="38">
        <v>620</v>
      </c>
      <c r="B680" s="38"/>
      <c r="C680" s="38"/>
      <c r="D680" s="38" t="s">
        <v>2100</v>
      </c>
      <c r="E680" s="40" t="s">
        <v>2101</v>
      </c>
      <c r="F680" s="41" t="s">
        <v>2102</v>
      </c>
      <c r="G680" s="42">
        <v>624</v>
      </c>
      <c r="H680" s="43"/>
      <c r="I680" s="44"/>
      <c r="J680" s="38">
        <f>624</f>
        <v>624</v>
      </c>
      <c r="K680" s="45">
        <v>6.2500000000000001E-4</v>
      </c>
      <c r="L680" s="46" t="s">
        <v>2089</v>
      </c>
      <c r="M680" s="38"/>
      <c r="N680" s="38"/>
      <c r="O680" s="38"/>
      <c r="P680" s="38"/>
      <c r="Q680" s="38"/>
      <c r="R680" s="48"/>
      <c r="S680" s="48"/>
      <c r="T680" s="48"/>
      <c r="U680" s="52"/>
      <c r="V680" s="50"/>
      <c r="W680" s="51"/>
      <c r="X680" s="56"/>
    </row>
    <row r="681" spans="1:24">
      <c r="A681" s="38">
        <v>621</v>
      </c>
      <c r="B681" s="38"/>
      <c r="C681" s="38"/>
      <c r="D681" s="38" t="s">
        <v>2103</v>
      </c>
      <c r="E681" s="40" t="s">
        <v>2104</v>
      </c>
      <c r="F681" s="41" t="s">
        <v>231</v>
      </c>
      <c r="G681" s="42">
        <v>461</v>
      </c>
      <c r="H681" s="43"/>
      <c r="I681" s="44"/>
      <c r="J681" s="38">
        <f>461</f>
        <v>461</v>
      </c>
      <c r="K681" s="45">
        <v>1.3078703703703705E-3</v>
      </c>
      <c r="L681" s="46" t="s">
        <v>2089</v>
      </c>
      <c r="M681" s="38"/>
      <c r="N681" s="38"/>
      <c r="O681" s="38"/>
      <c r="P681" s="38"/>
      <c r="Q681" s="38"/>
      <c r="R681" s="48"/>
      <c r="S681" s="48"/>
      <c r="T681" s="48"/>
      <c r="U681" s="52"/>
      <c r="V681" s="50"/>
      <c r="W681" s="51"/>
      <c r="X681" s="56"/>
    </row>
    <row r="682" spans="1:24">
      <c r="A682" s="38">
        <v>622</v>
      </c>
      <c r="B682" s="38"/>
      <c r="C682" s="38"/>
      <c r="D682" s="38" t="s">
        <v>2105</v>
      </c>
      <c r="E682" s="40" t="s">
        <v>2106</v>
      </c>
      <c r="F682" s="41" t="s">
        <v>932</v>
      </c>
      <c r="G682" s="42">
        <v>369</v>
      </c>
      <c r="H682" s="43"/>
      <c r="I682" s="44"/>
      <c r="J682" s="38">
        <f>369</f>
        <v>369</v>
      </c>
      <c r="K682" s="45">
        <v>2.5462962962962961E-3</v>
      </c>
      <c r="L682" s="46" t="s">
        <v>2089</v>
      </c>
      <c r="M682" s="38"/>
      <c r="N682" s="38"/>
      <c r="O682" s="38"/>
      <c r="P682" s="38"/>
      <c r="Q682" s="38"/>
      <c r="R682" s="48"/>
      <c r="S682" s="48"/>
      <c r="T682" s="48"/>
      <c r="U682" s="52"/>
      <c r="V682" s="50"/>
      <c r="W682" s="51"/>
      <c r="X682" s="56"/>
    </row>
    <row r="683" spans="1:24">
      <c r="A683" s="38">
        <v>623</v>
      </c>
      <c r="B683" s="38"/>
      <c r="C683" s="38"/>
      <c r="D683" s="38" t="s">
        <v>2107</v>
      </c>
      <c r="E683" s="40" t="s">
        <v>2108</v>
      </c>
      <c r="F683" s="41" t="s">
        <v>2109</v>
      </c>
      <c r="G683" s="42">
        <v>554</v>
      </c>
      <c r="H683" s="43"/>
      <c r="I683" s="44"/>
      <c r="J683" s="38">
        <f>554</f>
        <v>554</v>
      </c>
      <c r="K683" s="45">
        <v>5.3125000000000004E-3</v>
      </c>
      <c r="L683" s="46" t="s">
        <v>2089</v>
      </c>
      <c r="M683" s="38"/>
      <c r="N683" s="38"/>
      <c r="O683" s="38"/>
      <c r="P683" s="38"/>
      <c r="Q683" s="38"/>
      <c r="R683" s="48"/>
      <c r="S683" s="48"/>
      <c r="T683" s="48"/>
      <c r="U683" s="52"/>
      <c r="V683" s="50"/>
      <c r="W683" s="51"/>
      <c r="X683" s="56"/>
    </row>
    <row r="684" spans="1:24">
      <c r="A684" s="38">
        <v>624</v>
      </c>
      <c r="B684" s="38"/>
      <c r="C684" s="38"/>
      <c r="D684" s="38" t="s">
        <v>2110</v>
      </c>
      <c r="E684" s="40" t="s">
        <v>2111</v>
      </c>
      <c r="F684" s="61" t="s">
        <v>2112</v>
      </c>
      <c r="G684" s="42" t="s">
        <v>226</v>
      </c>
      <c r="H684" s="43"/>
      <c r="I684" s="44"/>
      <c r="J684" s="38">
        <f>8.5*1000</f>
        <v>8500</v>
      </c>
      <c r="K684" s="45">
        <v>5.7048611111111112E-2</v>
      </c>
      <c r="L684" s="46" t="s">
        <v>2089</v>
      </c>
      <c r="M684" s="38"/>
      <c r="N684" s="38"/>
      <c r="O684" s="38"/>
      <c r="P684" s="38"/>
      <c r="Q684" s="38"/>
      <c r="R684" s="48"/>
      <c r="S684" s="48"/>
      <c r="T684" s="48"/>
      <c r="U684" s="52"/>
      <c r="V684" s="50"/>
      <c r="W684" s="51"/>
      <c r="X684" s="56"/>
    </row>
    <row r="685" spans="1:24">
      <c r="A685" s="38">
        <v>625</v>
      </c>
      <c r="B685" s="38"/>
      <c r="C685" s="38"/>
      <c r="D685" s="38" t="s">
        <v>2113</v>
      </c>
      <c r="E685" s="40" t="s">
        <v>2114</v>
      </c>
      <c r="F685" s="41" t="s">
        <v>2115</v>
      </c>
      <c r="G685" s="42">
        <v>686</v>
      </c>
      <c r="H685" s="43"/>
      <c r="I685" s="44"/>
      <c r="J685" s="38">
        <f>686</f>
        <v>686</v>
      </c>
      <c r="K685" s="45">
        <v>8.3333333333333339E-4</v>
      </c>
      <c r="L685" s="46" t="s">
        <v>2089</v>
      </c>
      <c r="M685" s="38"/>
      <c r="N685" s="38"/>
      <c r="O685" s="38"/>
      <c r="P685" s="38"/>
      <c r="Q685" s="38"/>
      <c r="R685" s="48"/>
      <c r="S685" s="48"/>
      <c r="T685" s="48"/>
      <c r="U685" s="52"/>
      <c r="V685" s="50"/>
      <c r="W685" s="51"/>
      <c r="X685" s="56"/>
    </row>
    <row r="686" spans="1:24">
      <c r="A686" s="38">
        <v>626</v>
      </c>
      <c r="B686" s="38"/>
      <c r="C686" s="38"/>
      <c r="D686" s="38" t="s">
        <v>2116</v>
      </c>
      <c r="E686" s="40" t="s">
        <v>2117</v>
      </c>
      <c r="F686" s="61" t="s">
        <v>2118</v>
      </c>
      <c r="G686" s="42" t="s">
        <v>2119</v>
      </c>
      <c r="H686" s="43"/>
      <c r="I686" s="44"/>
      <c r="J686" s="38">
        <f>7.1*1000</f>
        <v>7100</v>
      </c>
      <c r="K686" s="45">
        <v>4.221064814814815E-2</v>
      </c>
      <c r="L686" s="46" t="s">
        <v>2089</v>
      </c>
      <c r="M686" s="38"/>
      <c r="N686" s="38"/>
      <c r="O686" s="38"/>
      <c r="P686" s="38"/>
      <c r="Q686" s="38"/>
      <c r="R686" s="48"/>
      <c r="S686" s="48"/>
      <c r="T686" s="48"/>
      <c r="U686" s="52"/>
      <c r="V686" s="50"/>
      <c r="W686" s="51"/>
      <c r="X686" s="56"/>
    </row>
    <row r="687" spans="1:24">
      <c r="A687" s="38">
        <v>627</v>
      </c>
      <c r="B687" s="38"/>
      <c r="C687" s="38"/>
      <c r="D687" s="38" t="s">
        <v>2120</v>
      </c>
      <c r="E687" s="40" t="s">
        <v>2121</v>
      </c>
      <c r="F687" s="41" t="s">
        <v>2122</v>
      </c>
      <c r="G687" s="42">
        <v>265</v>
      </c>
      <c r="H687" s="43"/>
      <c r="I687" s="44"/>
      <c r="J687" s="38">
        <f>265</f>
        <v>265</v>
      </c>
      <c r="K687" s="45">
        <v>1.2847222222222223E-3</v>
      </c>
      <c r="L687" s="46" t="s">
        <v>2089</v>
      </c>
      <c r="M687" s="38"/>
      <c r="N687" s="38"/>
      <c r="O687" s="38"/>
      <c r="P687" s="38"/>
      <c r="Q687" s="38"/>
      <c r="R687" s="48"/>
      <c r="S687" s="48"/>
      <c r="T687" s="48"/>
      <c r="U687" s="52"/>
      <c r="V687" s="50"/>
      <c r="W687" s="51"/>
      <c r="X687" s="56"/>
    </row>
    <row r="688" spans="1:24">
      <c r="A688" s="38">
        <v>628</v>
      </c>
      <c r="B688" s="38"/>
      <c r="C688" s="38"/>
      <c r="D688" s="38" t="s">
        <v>2123</v>
      </c>
      <c r="E688" s="40" t="s">
        <v>2124</v>
      </c>
      <c r="F688" s="41" t="s">
        <v>2125</v>
      </c>
      <c r="G688" s="42">
        <v>476</v>
      </c>
      <c r="H688" s="43"/>
      <c r="I688" s="44"/>
      <c r="J688" s="38">
        <f>476</f>
        <v>476</v>
      </c>
      <c r="K688" s="45">
        <v>2.1064814814814813E-3</v>
      </c>
      <c r="L688" s="46" t="s">
        <v>2089</v>
      </c>
      <c r="M688" s="38"/>
      <c r="N688" s="38"/>
      <c r="O688" s="38"/>
      <c r="P688" s="38"/>
      <c r="Q688" s="38"/>
      <c r="R688" s="48"/>
      <c r="S688" s="48"/>
      <c r="T688" s="48"/>
      <c r="U688" s="52"/>
      <c r="V688" s="50"/>
      <c r="W688" s="51"/>
      <c r="X688" s="56"/>
    </row>
    <row r="689" spans="1:24">
      <c r="A689" s="38">
        <v>629</v>
      </c>
      <c r="B689" s="38"/>
      <c r="C689" s="38"/>
      <c r="D689" s="38" t="s">
        <v>2126</v>
      </c>
      <c r="E689" s="40" t="s">
        <v>2127</v>
      </c>
      <c r="F689" s="41" t="s">
        <v>1491</v>
      </c>
      <c r="G689" s="42">
        <v>359</v>
      </c>
      <c r="H689" s="43"/>
      <c r="I689" s="44"/>
      <c r="J689" s="38">
        <f>359</f>
        <v>359</v>
      </c>
      <c r="K689" s="45">
        <v>2.5115740740740741E-3</v>
      </c>
      <c r="L689" s="46" t="s">
        <v>2089</v>
      </c>
      <c r="M689" s="38"/>
      <c r="N689" s="38"/>
      <c r="O689" s="38"/>
      <c r="P689" s="38"/>
      <c r="Q689" s="38"/>
      <c r="R689" s="48"/>
      <c r="S689" s="48"/>
      <c r="T689" s="48"/>
      <c r="U689" s="52"/>
      <c r="V689" s="50"/>
      <c r="W689" s="51"/>
      <c r="X689" s="56"/>
    </row>
    <row r="690" spans="1:24">
      <c r="A690" s="38">
        <v>630</v>
      </c>
      <c r="B690" s="38"/>
      <c r="C690" s="38"/>
      <c r="D690" s="38" t="s">
        <v>2128</v>
      </c>
      <c r="E690" s="40" t="s">
        <v>2129</v>
      </c>
      <c r="F690" s="41" t="s">
        <v>879</v>
      </c>
      <c r="G690" s="42">
        <v>522</v>
      </c>
      <c r="H690" s="43"/>
      <c r="I690" s="44"/>
      <c r="J690" s="38">
        <f>522</f>
        <v>522</v>
      </c>
      <c r="K690" s="45">
        <v>1.8750000000000001E-3</v>
      </c>
      <c r="L690" s="46" t="s">
        <v>2089</v>
      </c>
      <c r="M690" s="38"/>
      <c r="N690" s="38"/>
      <c r="O690" s="38"/>
      <c r="P690" s="38"/>
      <c r="Q690" s="38"/>
      <c r="R690" s="48"/>
      <c r="S690" s="48"/>
      <c r="T690" s="48"/>
      <c r="U690" s="52"/>
      <c r="V690" s="50"/>
      <c r="W690" s="51"/>
      <c r="X690" s="56"/>
    </row>
    <row r="691" spans="1:24">
      <c r="A691" s="38">
        <v>631</v>
      </c>
      <c r="B691" s="38"/>
      <c r="C691" s="38"/>
      <c r="D691" s="38" t="s">
        <v>2130</v>
      </c>
      <c r="E691" s="40" t="s">
        <v>2131</v>
      </c>
      <c r="F691" s="41" t="s">
        <v>1354</v>
      </c>
      <c r="G691" s="42">
        <v>403</v>
      </c>
      <c r="H691" s="43"/>
      <c r="I691" s="44"/>
      <c r="J691" s="38">
        <f>403</f>
        <v>403</v>
      </c>
      <c r="K691" s="45">
        <v>1.1805555555555556E-3</v>
      </c>
      <c r="L691" s="46" t="s">
        <v>2089</v>
      </c>
      <c r="M691" s="38"/>
      <c r="N691" s="38"/>
      <c r="O691" s="38"/>
      <c r="P691" s="38"/>
      <c r="Q691" s="38"/>
      <c r="R691" s="48"/>
      <c r="S691" s="48"/>
      <c r="T691" s="48"/>
      <c r="U691" s="52"/>
      <c r="V691" s="50"/>
      <c r="W691" s="51"/>
      <c r="X691" s="56"/>
    </row>
    <row r="692" spans="1:24">
      <c r="A692" s="38">
        <v>632</v>
      </c>
      <c r="B692" s="38"/>
      <c r="C692" s="38"/>
      <c r="D692" s="38" t="s">
        <v>2132</v>
      </c>
      <c r="E692" s="40" t="s">
        <v>2133</v>
      </c>
      <c r="F692" s="41" t="s">
        <v>2134</v>
      </c>
      <c r="G692" s="42">
        <v>499</v>
      </c>
      <c r="H692" s="43"/>
      <c r="I692" s="44"/>
      <c r="J692" s="38">
        <f>499</f>
        <v>499</v>
      </c>
      <c r="K692" s="45">
        <v>1.4004629629629629E-3</v>
      </c>
      <c r="L692" s="46" t="s">
        <v>2089</v>
      </c>
      <c r="M692" s="38"/>
      <c r="N692" s="38"/>
      <c r="O692" s="38"/>
      <c r="P692" s="38"/>
      <c r="Q692" s="38"/>
      <c r="R692" s="48"/>
      <c r="S692" s="48"/>
      <c r="T692" s="48"/>
      <c r="U692" s="52"/>
      <c r="V692" s="50"/>
      <c r="W692" s="51"/>
      <c r="X692" s="56"/>
    </row>
    <row r="693" spans="1:24">
      <c r="A693" s="38">
        <v>633</v>
      </c>
      <c r="B693" s="38"/>
      <c r="C693" s="38"/>
      <c r="D693" s="38" t="s">
        <v>2135</v>
      </c>
      <c r="E693" s="40" t="s">
        <v>2136</v>
      </c>
      <c r="F693" s="41" t="s">
        <v>1641</v>
      </c>
      <c r="G693" s="42">
        <v>390</v>
      </c>
      <c r="H693" s="43"/>
      <c r="I693" s="44"/>
      <c r="J693" s="38">
        <f>390</f>
        <v>390</v>
      </c>
      <c r="K693" s="45">
        <v>1.6666666666666668E-3</v>
      </c>
      <c r="L693" s="46" t="s">
        <v>2089</v>
      </c>
      <c r="M693" s="38"/>
      <c r="N693" s="38"/>
      <c r="O693" s="38"/>
      <c r="P693" s="38"/>
      <c r="Q693" s="38"/>
      <c r="R693" s="48"/>
      <c r="S693" s="48"/>
      <c r="T693" s="48"/>
      <c r="U693" s="52"/>
      <c r="V693" s="50"/>
      <c r="W693" s="51"/>
      <c r="X693" s="56"/>
    </row>
    <row r="694" spans="1:24">
      <c r="A694" s="38">
        <v>634</v>
      </c>
      <c r="B694" s="38"/>
      <c r="C694" s="38"/>
      <c r="D694" s="38" t="s">
        <v>2137</v>
      </c>
      <c r="E694" s="40" t="s">
        <v>2138</v>
      </c>
      <c r="F694" s="41" t="s">
        <v>2139</v>
      </c>
      <c r="G694" s="42">
        <v>275</v>
      </c>
      <c r="H694" s="43"/>
      <c r="I694" s="44"/>
      <c r="J694" s="38">
        <f>275</f>
        <v>275</v>
      </c>
      <c r="K694" s="45">
        <v>1.1458333333333333E-3</v>
      </c>
      <c r="L694" s="46" t="s">
        <v>2089</v>
      </c>
      <c r="M694" s="38"/>
      <c r="N694" s="38"/>
      <c r="O694" s="38"/>
      <c r="P694" s="38"/>
      <c r="Q694" s="38"/>
      <c r="R694" s="48"/>
      <c r="S694" s="48"/>
      <c r="T694" s="48"/>
      <c r="U694" s="52"/>
      <c r="V694" s="50"/>
      <c r="W694" s="51"/>
      <c r="X694" s="56"/>
    </row>
    <row r="695" spans="1:24">
      <c r="A695" s="38">
        <v>635</v>
      </c>
      <c r="B695" s="38"/>
      <c r="C695" s="38"/>
      <c r="D695" s="38" t="s">
        <v>2140</v>
      </c>
      <c r="E695" s="40" t="s">
        <v>2141</v>
      </c>
      <c r="F695" s="41" t="s">
        <v>681</v>
      </c>
      <c r="G695" s="42">
        <v>822</v>
      </c>
      <c r="H695" s="43"/>
      <c r="I695" s="44"/>
      <c r="J695" s="38">
        <f>822</f>
        <v>822</v>
      </c>
      <c r="K695" s="45">
        <v>1.8055555555555557E-3</v>
      </c>
      <c r="L695" s="46" t="s">
        <v>2089</v>
      </c>
      <c r="M695" s="38"/>
      <c r="N695" s="38"/>
      <c r="O695" s="38"/>
      <c r="P695" s="38"/>
      <c r="Q695" s="38"/>
      <c r="R695" s="48"/>
      <c r="S695" s="48"/>
      <c r="T695" s="48"/>
      <c r="U695" s="52"/>
      <c r="V695" s="50"/>
      <c r="W695" s="51"/>
      <c r="X695" s="56"/>
    </row>
    <row r="696" spans="1:24">
      <c r="A696" s="38">
        <v>636</v>
      </c>
      <c r="B696" s="38"/>
      <c r="C696" s="38"/>
      <c r="D696" s="38" t="s">
        <v>2142</v>
      </c>
      <c r="E696" s="40" t="s">
        <v>2143</v>
      </c>
      <c r="F696" s="58" t="s">
        <v>2144</v>
      </c>
      <c r="G696" s="42" t="s">
        <v>1312</v>
      </c>
      <c r="H696" s="43"/>
      <c r="I696" s="44"/>
      <c r="J696" s="38">
        <f>2.2*1000</f>
        <v>2200</v>
      </c>
      <c r="K696" s="45">
        <v>2.255787037037037E-2</v>
      </c>
      <c r="L696" s="46" t="s">
        <v>2089</v>
      </c>
      <c r="M696" s="38"/>
      <c r="N696" s="38"/>
      <c r="O696" s="38"/>
      <c r="P696" s="38"/>
      <c r="Q696" s="38"/>
      <c r="R696" s="48"/>
      <c r="S696" s="48"/>
      <c r="T696" s="48"/>
      <c r="U696" s="52"/>
      <c r="V696" s="50"/>
      <c r="W696" s="51"/>
      <c r="X696" s="56"/>
    </row>
    <row r="697" spans="1:24">
      <c r="A697" s="38">
        <v>637</v>
      </c>
      <c r="B697" s="38"/>
      <c r="C697" s="38"/>
      <c r="D697" s="38" t="s">
        <v>2145</v>
      </c>
      <c r="E697" s="40" t="s">
        <v>2146</v>
      </c>
      <c r="F697" s="41" t="s">
        <v>1621</v>
      </c>
      <c r="G697" s="42" t="s">
        <v>374</v>
      </c>
      <c r="H697" s="43"/>
      <c r="I697" s="44"/>
      <c r="J697" s="38">
        <f>1.3*1000</f>
        <v>1300</v>
      </c>
      <c r="K697" s="45">
        <v>4.2129629629629626E-3</v>
      </c>
      <c r="L697" s="46" t="s">
        <v>2089</v>
      </c>
      <c r="M697" s="38"/>
      <c r="N697" s="38"/>
      <c r="O697" s="38"/>
      <c r="P697" s="38"/>
      <c r="Q697" s="38"/>
      <c r="R697" s="48"/>
      <c r="S697" s="48"/>
      <c r="T697" s="48"/>
      <c r="U697" s="52"/>
      <c r="V697" s="50"/>
      <c r="W697" s="51"/>
      <c r="X697" s="56"/>
    </row>
    <row r="698" spans="1:24">
      <c r="A698" s="38">
        <v>638</v>
      </c>
      <c r="B698" s="38"/>
      <c r="C698" s="38"/>
      <c r="D698" s="38" t="s">
        <v>2147</v>
      </c>
      <c r="E698" s="40" t="s">
        <v>2148</v>
      </c>
      <c r="F698" s="41" t="s">
        <v>1611</v>
      </c>
      <c r="G698" s="42">
        <v>481</v>
      </c>
      <c r="H698" s="43"/>
      <c r="I698" s="44"/>
      <c r="J698" s="38">
        <f>481</f>
        <v>481</v>
      </c>
      <c r="K698" s="45">
        <v>5.2777777777777771E-3</v>
      </c>
      <c r="L698" s="46" t="s">
        <v>2089</v>
      </c>
      <c r="M698" s="38"/>
      <c r="N698" s="38"/>
      <c r="O698" s="38"/>
      <c r="P698" s="38"/>
      <c r="Q698" s="38"/>
      <c r="R698" s="48"/>
      <c r="S698" s="48"/>
      <c r="T698" s="48"/>
      <c r="U698" s="52"/>
      <c r="V698" s="50"/>
      <c r="W698" s="51"/>
      <c r="X698" s="56"/>
    </row>
    <row r="699" spans="1:24">
      <c r="A699" s="38">
        <v>639</v>
      </c>
      <c r="B699" s="38"/>
      <c r="C699" s="38"/>
      <c r="D699" s="38" t="s">
        <v>2149</v>
      </c>
      <c r="E699" s="40" t="s">
        <v>2150</v>
      </c>
      <c r="F699" s="41" t="s">
        <v>2151</v>
      </c>
      <c r="G699" s="42">
        <v>411</v>
      </c>
      <c r="H699" s="43"/>
      <c r="I699" s="44"/>
      <c r="J699" s="38">
        <f>411</f>
        <v>411</v>
      </c>
      <c r="K699" s="45">
        <v>5.3240740740740744E-4</v>
      </c>
      <c r="L699" s="46" t="s">
        <v>2089</v>
      </c>
      <c r="M699" s="38"/>
      <c r="N699" s="38"/>
      <c r="O699" s="38"/>
      <c r="P699" s="38"/>
      <c r="Q699" s="38"/>
      <c r="R699" s="48"/>
      <c r="S699" s="48"/>
      <c r="T699" s="48"/>
      <c r="U699" s="52"/>
      <c r="V699" s="50"/>
      <c r="W699" s="51"/>
      <c r="X699" s="56"/>
    </row>
    <row r="700" spans="1:24">
      <c r="A700" s="38">
        <v>640</v>
      </c>
      <c r="B700" s="38"/>
      <c r="C700" s="38"/>
      <c r="D700" s="38" t="s">
        <v>2152</v>
      </c>
      <c r="E700" s="40" t="s">
        <v>2153</v>
      </c>
      <c r="F700" s="41" t="s">
        <v>219</v>
      </c>
      <c r="G700" s="42">
        <v>301</v>
      </c>
      <c r="H700" s="43"/>
      <c r="I700" s="44"/>
      <c r="J700" s="38">
        <f>301</f>
        <v>301</v>
      </c>
      <c r="K700" s="45">
        <v>1.1226851851851851E-3</v>
      </c>
      <c r="L700" s="46" t="s">
        <v>2089</v>
      </c>
      <c r="M700" s="38"/>
      <c r="N700" s="38"/>
      <c r="O700" s="38"/>
      <c r="P700" s="38"/>
      <c r="Q700" s="38"/>
      <c r="R700" s="48"/>
      <c r="S700" s="48"/>
      <c r="T700" s="48"/>
      <c r="U700" s="52"/>
      <c r="V700" s="50"/>
      <c r="W700" s="51"/>
      <c r="X700" s="56"/>
    </row>
    <row r="701" spans="1:24">
      <c r="A701" s="38">
        <v>641</v>
      </c>
      <c r="B701" s="38"/>
      <c r="C701" s="38"/>
      <c r="D701" s="38" t="s">
        <v>2154</v>
      </c>
      <c r="E701" s="40" t="s">
        <v>2155</v>
      </c>
      <c r="F701" s="41" t="s">
        <v>745</v>
      </c>
      <c r="G701" s="42">
        <v>343</v>
      </c>
      <c r="H701" s="43"/>
      <c r="I701" s="44"/>
      <c r="J701" s="38">
        <f>343</f>
        <v>343</v>
      </c>
      <c r="K701" s="45">
        <v>1.736111111111111E-3</v>
      </c>
      <c r="L701" s="46" t="s">
        <v>2089</v>
      </c>
      <c r="M701" s="38"/>
      <c r="N701" s="38"/>
      <c r="O701" s="38"/>
      <c r="P701" s="38"/>
      <c r="Q701" s="38"/>
      <c r="R701" s="48"/>
      <c r="S701" s="48"/>
      <c r="T701" s="48"/>
      <c r="U701" s="52"/>
      <c r="V701" s="50"/>
      <c r="W701" s="51"/>
      <c r="X701" s="56"/>
    </row>
    <row r="702" spans="1:24">
      <c r="A702" s="38">
        <v>642</v>
      </c>
      <c r="B702" s="38"/>
      <c r="C702" s="38"/>
      <c r="D702" s="38" t="s">
        <v>2156</v>
      </c>
      <c r="E702" s="40" t="s">
        <v>2157</v>
      </c>
      <c r="F702" s="41" t="s">
        <v>1426</v>
      </c>
      <c r="G702" s="42">
        <v>816</v>
      </c>
      <c r="H702" s="43"/>
      <c r="I702" s="44"/>
      <c r="J702" s="38">
        <f>816</f>
        <v>816</v>
      </c>
      <c r="K702" s="45">
        <v>8.7962962962962962E-4</v>
      </c>
      <c r="L702" s="46" t="s">
        <v>2089</v>
      </c>
      <c r="M702" s="38"/>
      <c r="N702" s="38"/>
      <c r="O702" s="38"/>
      <c r="P702" s="38"/>
      <c r="Q702" s="38"/>
      <c r="R702" s="48"/>
      <c r="S702" s="48"/>
      <c r="T702" s="48"/>
      <c r="U702" s="52"/>
      <c r="V702" s="50"/>
      <c r="W702" s="51"/>
      <c r="X702" s="56"/>
    </row>
    <row r="703" spans="1:24">
      <c r="A703" s="38">
        <v>643</v>
      </c>
      <c r="B703" s="38"/>
      <c r="C703" s="38"/>
      <c r="D703" s="38" t="s">
        <v>2158</v>
      </c>
      <c r="E703" s="40" t="s">
        <v>2159</v>
      </c>
      <c r="F703" s="41" t="s">
        <v>127</v>
      </c>
      <c r="G703" s="42">
        <v>443</v>
      </c>
      <c r="H703" s="43"/>
      <c r="I703" s="44"/>
      <c r="J703" s="38">
        <f>443</f>
        <v>443</v>
      </c>
      <c r="K703" s="45">
        <v>2.1643518518518518E-3</v>
      </c>
      <c r="L703" s="46" t="s">
        <v>2089</v>
      </c>
      <c r="M703" s="38"/>
      <c r="N703" s="38"/>
      <c r="O703" s="38"/>
      <c r="P703" s="38"/>
      <c r="Q703" s="38"/>
      <c r="R703" s="48"/>
      <c r="S703" s="48"/>
      <c r="T703" s="48"/>
      <c r="U703" s="52"/>
      <c r="V703" s="50"/>
      <c r="W703" s="51"/>
      <c r="X703" s="56"/>
    </row>
    <row r="704" spans="1:24">
      <c r="A704" s="38">
        <v>644</v>
      </c>
      <c r="B704" s="38"/>
      <c r="C704" s="38"/>
      <c r="D704" s="38" t="s">
        <v>2160</v>
      </c>
      <c r="E704" s="40" t="s">
        <v>2161</v>
      </c>
      <c r="F704" s="41" t="s">
        <v>2162</v>
      </c>
      <c r="G704" s="42">
        <v>467</v>
      </c>
      <c r="H704" s="43"/>
      <c r="I704" s="44"/>
      <c r="J704" s="38">
        <f>467</f>
        <v>467</v>
      </c>
      <c r="K704" s="45">
        <v>1.2268518518518518E-3</v>
      </c>
      <c r="L704" s="46" t="s">
        <v>2089</v>
      </c>
      <c r="M704" s="38"/>
      <c r="N704" s="38"/>
      <c r="O704" s="38"/>
      <c r="P704" s="38"/>
      <c r="Q704" s="38"/>
      <c r="R704" s="48"/>
      <c r="S704" s="48"/>
      <c r="T704" s="48"/>
      <c r="U704" s="52"/>
      <c r="V704" s="50"/>
      <c r="W704" s="51"/>
      <c r="X704" s="56"/>
    </row>
    <row r="705" spans="1:24">
      <c r="A705" s="38">
        <v>645</v>
      </c>
      <c r="B705" s="38"/>
      <c r="C705" s="38"/>
      <c r="D705" s="38" t="s">
        <v>2163</v>
      </c>
      <c r="E705" s="40" t="s">
        <v>2164</v>
      </c>
      <c r="F705" s="41" t="s">
        <v>932</v>
      </c>
      <c r="G705" s="42">
        <v>360</v>
      </c>
      <c r="H705" s="43"/>
      <c r="I705" s="44"/>
      <c r="J705" s="38">
        <f>360</f>
        <v>360</v>
      </c>
      <c r="K705" s="45">
        <v>2.5462962962962961E-3</v>
      </c>
      <c r="L705" s="46" t="s">
        <v>2089</v>
      </c>
      <c r="M705" s="38"/>
      <c r="N705" s="38"/>
      <c r="O705" s="38"/>
      <c r="P705" s="38"/>
      <c r="Q705" s="38"/>
      <c r="R705" s="48"/>
      <c r="S705" s="48"/>
      <c r="T705" s="48"/>
      <c r="U705" s="52"/>
      <c r="V705" s="50"/>
      <c r="W705" s="51"/>
      <c r="X705" s="56"/>
    </row>
    <row r="706" spans="1:24">
      <c r="A706" s="38">
        <v>646</v>
      </c>
      <c r="B706" s="38"/>
      <c r="C706" s="38"/>
      <c r="D706" s="38" t="s">
        <v>2165</v>
      </c>
      <c r="E706" s="40" t="s">
        <v>2166</v>
      </c>
      <c r="F706" s="41" t="s">
        <v>2167</v>
      </c>
      <c r="G706" s="42">
        <v>771</v>
      </c>
      <c r="H706" s="43"/>
      <c r="I706" s="44"/>
      <c r="J706" s="38">
        <f>771</f>
        <v>771</v>
      </c>
      <c r="K706" s="45">
        <v>4.2476851851851851E-3</v>
      </c>
      <c r="L706" s="46" t="s">
        <v>2089</v>
      </c>
      <c r="M706" s="38"/>
      <c r="N706" s="38"/>
      <c r="O706" s="38"/>
      <c r="P706" s="38"/>
      <c r="Q706" s="38"/>
      <c r="R706" s="48"/>
      <c r="S706" s="48"/>
      <c r="T706" s="48"/>
      <c r="U706" s="52"/>
      <c r="V706" s="50"/>
      <c r="W706" s="51"/>
      <c r="X706" s="56"/>
    </row>
    <row r="707" spans="1:24">
      <c r="A707" s="38">
        <v>647</v>
      </c>
      <c r="B707" s="38"/>
      <c r="C707" s="38"/>
      <c r="D707" s="38" t="s">
        <v>2168</v>
      </c>
      <c r="E707" s="40" t="s">
        <v>2169</v>
      </c>
      <c r="F707" s="41" t="s">
        <v>2125</v>
      </c>
      <c r="G707" s="42">
        <v>546</v>
      </c>
      <c r="H707" s="43"/>
      <c r="I707" s="44"/>
      <c r="J707" s="38">
        <f>546</f>
        <v>546</v>
      </c>
      <c r="K707" s="45">
        <v>2.1064814814814813E-3</v>
      </c>
      <c r="L707" s="46" t="s">
        <v>2089</v>
      </c>
      <c r="M707" s="38"/>
      <c r="N707" s="38"/>
      <c r="O707" s="38"/>
      <c r="P707" s="38"/>
      <c r="Q707" s="38"/>
      <c r="R707" s="48"/>
      <c r="S707" s="48"/>
      <c r="T707" s="48"/>
      <c r="U707" s="52"/>
      <c r="V707" s="50"/>
      <c r="W707" s="51"/>
      <c r="X707" s="56"/>
    </row>
    <row r="708" spans="1:24">
      <c r="A708" s="38">
        <v>648</v>
      </c>
      <c r="B708" s="38"/>
      <c r="C708" s="38"/>
      <c r="D708" s="38" t="s">
        <v>2170</v>
      </c>
      <c r="E708" s="40" t="s">
        <v>2171</v>
      </c>
      <c r="F708" s="41" t="s">
        <v>998</v>
      </c>
      <c r="G708" s="42" t="s">
        <v>462</v>
      </c>
      <c r="H708" s="43"/>
      <c r="I708" s="44"/>
      <c r="J708" s="38">
        <f>2.5*1000</f>
        <v>2500</v>
      </c>
      <c r="K708" s="45">
        <v>3.5532407407407405E-3</v>
      </c>
      <c r="L708" s="46" t="s">
        <v>2089</v>
      </c>
      <c r="M708" s="38"/>
      <c r="N708" s="38"/>
      <c r="O708" s="38"/>
      <c r="P708" s="38"/>
      <c r="Q708" s="38"/>
      <c r="R708" s="48"/>
      <c r="S708" s="48"/>
      <c r="T708" s="48"/>
      <c r="U708" s="52"/>
      <c r="V708" s="50"/>
      <c r="W708" s="51"/>
      <c r="X708" s="56"/>
    </row>
    <row r="709" spans="1:24">
      <c r="A709" s="38">
        <v>649</v>
      </c>
      <c r="B709" s="38"/>
      <c r="C709" s="38"/>
      <c r="D709" s="38" t="s">
        <v>2172</v>
      </c>
      <c r="E709" s="40" t="s">
        <v>2173</v>
      </c>
      <c r="F709" s="41" t="s">
        <v>1644</v>
      </c>
      <c r="G709" s="42">
        <v>570</v>
      </c>
      <c r="H709" s="43"/>
      <c r="I709" s="44"/>
      <c r="J709" s="38">
        <f>570</f>
        <v>570</v>
      </c>
      <c r="K709" s="45">
        <v>1.3773148148148147E-3</v>
      </c>
      <c r="L709" s="46" t="s">
        <v>2089</v>
      </c>
      <c r="M709" s="38"/>
      <c r="N709" s="38"/>
      <c r="O709" s="38"/>
      <c r="P709" s="38"/>
      <c r="Q709" s="38"/>
      <c r="R709" s="48"/>
      <c r="S709" s="48"/>
      <c r="T709" s="48"/>
      <c r="U709" s="52"/>
      <c r="V709" s="50"/>
      <c r="W709" s="51"/>
      <c r="X709" s="56"/>
    </row>
    <row r="710" spans="1:24">
      <c r="A710" s="38">
        <v>650</v>
      </c>
      <c r="B710" s="38"/>
      <c r="C710" s="38"/>
      <c r="D710" s="38" t="s">
        <v>2174</v>
      </c>
      <c r="E710" s="40" t="s">
        <v>2175</v>
      </c>
      <c r="F710" s="41" t="s">
        <v>2176</v>
      </c>
      <c r="G710" s="42" t="s">
        <v>597</v>
      </c>
      <c r="H710" s="43"/>
      <c r="I710" s="44"/>
      <c r="J710" s="38">
        <f>2.6*1000</f>
        <v>2600</v>
      </c>
      <c r="K710" s="45">
        <v>1.9212962962962962E-3</v>
      </c>
      <c r="L710" s="46" t="s">
        <v>2089</v>
      </c>
      <c r="M710" s="38"/>
      <c r="N710" s="38"/>
      <c r="O710" s="38"/>
      <c r="P710" s="38"/>
      <c r="Q710" s="38"/>
      <c r="R710" s="48"/>
      <c r="S710" s="48"/>
      <c r="T710" s="48"/>
      <c r="U710" s="52"/>
      <c r="V710" s="50"/>
      <c r="W710" s="51"/>
      <c r="X710" s="56"/>
    </row>
    <row r="711" spans="1:24">
      <c r="A711" s="38">
        <v>651</v>
      </c>
      <c r="B711" s="38"/>
      <c r="C711" s="38"/>
      <c r="D711" s="38" t="s">
        <v>2177</v>
      </c>
      <c r="E711" s="40" t="s">
        <v>2178</v>
      </c>
      <c r="F711" s="41" t="s">
        <v>2179</v>
      </c>
      <c r="G711" s="42">
        <v>173</v>
      </c>
      <c r="H711" s="43"/>
      <c r="I711" s="44"/>
      <c r="J711" s="38">
        <f>173</f>
        <v>173</v>
      </c>
      <c r="K711" s="45">
        <v>8.1018518518518516E-4</v>
      </c>
      <c r="L711" s="46" t="s">
        <v>2089</v>
      </c>
      <c r="M711" s="38"/>
      <c r="N711" s="38"/>
      <c r="O711" s="38"/>
      <c r="P711" s="38"/>
      <c r="Q711" s="38"/>
      <c r="R711" s="48"/>
      <c r="S711" s="48"/>
      <c r="T711" s="48"/>
      <c r="U711" s="52"/>
      <c r="V711" s="50"/>
      <c r="W711" s="51"/>
      <c r="X711" s="56"/>
    </row>
    <row r="712" spans="1:24">
      <c r="A712" s="38">
        <v>652</v>
      </c>
      <c r="B712" s="38"/>
      <c r="C712" s="38"/>
      <c r="D712" s="38" t="s">
        <v>2180</v>
      </c>
      <c r="E712" s="40" t="s">
        <v>2181</v>
      </c>
      <c r="F712" s="41" t="s">
        <v>2182</v>
      </c>
      <c r="G712" s="42">
        <v>789</v>
      </c>
      <c r="H712" s="43"/>
      <c r="I712" s="44"/>
      <c r="J712" s="38">
        <f>789</f>
        <v>789</v>
      </c>
      <c r="K712" s="45">
        <v>4.108796296296297E-3</v>
      </c>
      <c r="L712" s="46" t="s">
        <v>2089</v>
      </c>
      <c r="M712" s="38"/>
      <c r="N712" s="38"/>
      <c r="O712" s="38"/>
      <c r="P712" s="38"/>
      <c r="Q712" s="38"/>
      <c r="R712" s="48"/>
      <c r="S712" s="48"/>
      <c r="T712" s="48"/>
      <c r="U712" s="52"/>
      <c r="V712" s="50"/>
      <c r="W712" s="51"/>
      <c r="X712" s="56"/>
    </row>
    <row r="713" spans="1:24">
      <c r="A713" s="38">
        <v>653</v>
      </c>
      <c r="B713" s="38"/>
      <c r="C713" s="38"/>
      <c r="D713" s="38" t="s">
        <v>2183</v>
      </c>
      <c r="E713" s="40" t="s">
        <v>2184</v>
      </c>
      <c r="F713" s="61" t="s">
        <v>2185</v>
      </c>
      <c r="G713" s="42" t="s">
        <v>270</v>
      </c>
      <c r="H713" s="43"/>
      <c r="I713" s="44"/>
      <c r="J713" s="38">
        <f>15*1000</f>
        <v>15000</v>
      </c>
      <c r="K713" s="45">
        <v>9.2048611111111109E-2</v>
      </c>
      <c r="L713" s="46" t="s">
        <v>2089</v>
      </c>
      <c r="M713" s="38"/>
      <c r="N713" s="38"/>
      <c r="O713" s="38"/>
      <c r="P713" s="38"/>
      <c r="Q713" s="38"/>
      <c r="R713" s="48"/>
      <c r="S713" s="48"/>
      <c r="T713" s="48"/>
      <c r="U713" s="52"/>
      <c r="V713" s="50"/>
      <c r="W713" s="51"/>
      <c r="X713" s="56"/>
    </row>
    <row r="714" spans="1:24">
      <c r="A714" s="38">
        <v>654</v>
      </c>
      <c r="B714" s="38"/>
      <c r="C714" s="38"/>
      <c r="D714" s="38" t="s">
        <v>2186</v>
      </c>
      <c r="E714" s="40" t="s">
        <v>2187</v>
      </c>
      <c r="F714" s="41" t="s">
        <v>1469</v>
      </c>
      <c r="G714" s="42" t="s">
        <v>1005</v>
      </c>
      <c r="H714" s="43"/>
      <c r="I714" s="44"/>
      <c r="J714" s="38">
        <f>1.6*1000</f>
        <v>1600</v>
      </c>
      <c r="K714" s="45">
        <v>1.8171296296296297E-3</v>
      </c>
      <c r="L714" s="46" t="s">
        <v>2089</v>
      </c>
      <c r="M714" s="38"/>
      <c r="N714" s="38"/>
      <c r="O714" s="38"/>
      <c r="P714" s="38"/>
      <c r="Q714" s="38"/>
      <c r="R714" s="48"/>
      <c r="S714" s="48"/>
      <c r="T714" s="48"/>
      <c r="U714" s="52"/>
      <c r="V714" s="50"/>
      <c r="W714" s="51"/>
      <c r="X714" s="56"/>
    </row>
    <row r="715" spans="1:24">
      <c r="A715" s="38">
        <v>655</v>
      </c>
      <c r="B715" s="38"/>
      <c r="C715" s="38"/>
      <c r="D715" s="38" t="s">
        <v>2188</v>
      </c>
      <c r="E715" s="40" t="s">
        <v>2189</v>
      </c>
      <c r="F715" s="41" t="s">
        <v>1606</v>
      </c>
      <c r="G715" s="42" t="s">
        <v>445</v>
      </c>
      <c r="H715" s="43"/>
      <c r="I715" s="44"/>
      <c r="J715" s="38">
        <f>1.2*1000</f>
        <v>1200</v>
      </c>
      <c r="K715" s="45">
        <v>1.2152777777777778E-3</v>
      </c>
      <c r="L715" s="46" t="s">
        <v>2190</v>
      </c>
      <c r="M715" s="38"/>
      <c r="N715" s="38"/>
      <c r="O715" s="38"/>
      <c r="P715" s="38"/>
      <c r="Q715" s="38"/>
      <c r="R715" s="48"/>
      <c r="S715" s="48"/>
      <c r="T715" s="48"/>
      <c r="U715" s="52"/>
      <c r="V715" s="50"/>
      <c r="W715" s="51"/>
      <c r="X715" s="56"/>
    </row>
    <row r="716" spans="1:24">
      <c r="A716" s="38">
        <v>656</v>
      </c>
      <c r="B716" s="38"/>
      <c r="C716" s="38"/>
      <c r="D716" s="38" t="s">
        <v>2191</v>
      </c>
      <c r="E716" s="40" t="s">
        <v>2192</v>
      </c>
      <c r="F716" s="41" t="s">
        <v>2012</v>
      </c>
      <c r="G716" s="42" t="s">
        <v>438</v>
      </c>
      <c r="H716" s="43"/>
      <c r="I716" s="44"/>
      <c r="J716" s="38">
        <f>2.3*1000</f>
        <v>2300</v>
      </c>
      <c r="K716" s="45">
        <v>3.7962962962962963E-3</v>
      </c>
      <c r="L716" s="46" t="s">
        <v>2190</v>
      </c>
      <c r="M716" s="38"/>
      <c r="N716" s="38"/>
      <c r="O716" s="38"/>
      <c r="P716" s="38"/>
      <c r="Q716" s="38"/>
      <c r="R716" s="48"/>
      <c r="S716" s="48"/>
      <c r="T716" s="48"/>
      <c r="U716" s="52"/>
      <c r="V716" s="50"/>
      <c r="W716" s="51"/>
      <c r="X716" s="56"/>
    </row>
    <row r="717" spans="1:24">
      <c r="A717" s="38">
        <v>657</v>
      </c>
      <c r="B717" s="38"/>
      <c r="C717" s="38"/>
      <c r="D717" s="38" t="s">
        <v>2193</v>
      </c>
      <c r="E717" s="40" t="s">
        <v>2194</v>
      </c>
      <c r="F717" s="41" t="s">
        <v>2195</v>
      </c>
      <c r="G717" s="42" t="s">
        <v>597</v>
      </c>
      <c r="H717" s="43"/>
      <c r="I717" s="44"/>
      <c r="J717" s="38">
        <f>2.6*1000</f>
        <v>2600</v>
      </c>
      <c r="K717" s="45">
        <v>1.2916666666666667E-2</v>
      </c>
      <c r="L717" s="46" t="s">
        <v>2190</v>
      </c>
      <c r="M717" s="38"/>
      <c r="N717" s="38"/>
      <c r="O717" s="38"/>
      <c r="P717" s="38"/>
      <c r="Q717" s="38"/>
      <c r="R717" s="48"/>
      <c r="S717" s="48"/>
      <c r="T717" s="48"/>
      <c r="U717" s="52"/>
      <c r="V717" s="50"/>
      <c r="W717" s="51"/>
      <c r="X717" s="56"/>
    </row>
    <row r="718" spans="1:24">
      <c r="A718" s="38">
        <v>658</v>
      </c>
      <c r="B718" s="38"/>
      <c r="C718" s="38"/>
      <c r="D718" s="38" t="s">
        <v>2196</v>
      </c>
      <c r="E718" s="40" t="s">
        <v>2197</v>
      </c>
      <c r="F718" s="41" t="s">
        <v>2198</v>
      </c>
      <c r="G718" s="42" t="s">
        <v>498</v>
      </c>
      <c r="H718" s="43"/>
      <c r="I718" s="44"/>
      <c r="J718" s="38">
        <f>5.8*1000</f>
        <v>5800</v>
      </c>
      <c r="K718" s="45">
        <v>4.0046296296296297E-3</v>
      </c>
      <c r="L718" s="46" t="s">
        <v>2190</v>
      </c>
      <c r="M718" s="38"/>
      <c r="N718" s="38"/>
      <c r="O718" s="38"/>
      <c r="P718" s="38"/>
      <c r="Q718" s="38"/>
      <c r="R718" s="48"/>
      <c r="S718" s="48"/>
      <c r="T718" s="48"/>
      <c r="U718" s="52"/>
      <c r="V718" s="50"/>
      <c r="W718" s="51"/>
      <c r="X718" s="56"/>
    </row>
    <row r="719" spans="1:24">
      <c r="A719" s="38">
        <v>659</v>
      </c>
      <c r="B719" s="38"/>
      <c r="C719" s="38"/>
      <c r="D719" s="38" t="s">
        <v>2199</v>
      </c>
      <c r="E719" s="40" t="s">
        <v>2200</v>
      </c>
      <c r="F719" s="41" t="s">
        <v>1404</v>
      </c>
      <c r="G719" s="42" t="s">
        <v>568</v>
      </c>
      <c r="H719" s="43"/>
      <c r="I719" s="44"/>
      <c r="J719" s="38">
        <f>1.4*1000</f>
        <v>1400</v>
      </c>
      <c r="K719" s="45">
        <v>1.8634259259259261E-3</v>
      </c>
      <c r="L719" s="46" t="s">
        <v>2190</v>
      </c>
      <c r="M719" s="38"/>
      <c r="N719" s="38"/>
      <c r="O719" s="38"/>
      <c r="P719" s="38"/>
      <c r="Q719" s="38"/>
      <c r="R719" s="48"/>
      <c r="S719" s="48"/>
      <c r="T719" s="48"/>
      <c r="U719" s="52"/>
      <c r="V719" s="50"/>
      <c r="W719" s="51"/>
      <c r="X719" s="56"/>
    </row>
    <row r="720" spans="1:24">
      <c r="A720" s="38">
        <v>660</v>
      </c>
      <c r="B720" s="38"/>
      <c r="C720" s="38"/>
      <c r="D720" s="38" t="s">
        <v>2201</v>
      </c>
      <c r="E720" s="40" t="s">
        <v>2202</v>
      </c>
      <c r="F720" s="41" t="s">
        <v>1546</v>
      </c>
      <c r="G720" s="42">
        <v>773</v>
      </c>
      <c r="H720" s="43"/>
      <c r="I720" s="44"/>
      <c r="J720" s="38">
        <f>773</f>
        <v>773</v>
      </c>
      <c r="K720" s="45">
        <v>1.5624999999999999E-3</v>
      </c>
      <c r="L720" s="46" t="s">
        <v>2190</v>
      </c>
      <c r="M720" s="38"/>
      <c r="N720" s="38"/>
      <c r="O720" s="38"/>
      <c r="P720" s="38"/>
      <c r="Q720" s="38"/>
      <c r="R720" s="48"/>
      <c r="S720" s="48"/>
      <c r="T720" s="48"/>
      <c r="U720" s="52"/>
      <c r="V720" s="50"/>
      <c r="W720" s="51"/>
      <c r="X720" s="56"/>
    </row>
    <row r="721" spans="1:24">
      <c r="A721" s="38">
        <v>661</v>
      </c>
      <c r="B721" s="38"/>
      <c r="C721" s="38"/>
      <c r="D721" s="38" t="s">
        <v>2203</v>
      </c>
      <c r="E721" s="40" t="s">
        <v>2204</v>
      </c>
      <c r="F721" s="41" t="s">
        <v>2205</v>
      </c>
      <c r="G721" s="42" t="s">
        <v>214</v>
      </c>
      <c r="H721" s="43"/>
      <c r="I721" s="44"/>
      <c r="J721" s="38">
        <f>1*1000</f>
        <v>1000</v>
      </c>
      <c r="K721" s="45">
        <v>8.0324074074074065E-3</v>
      </c>
      <c r="L721" s="46" t="s">
        <v>2190</v>
      </c>
      <c r="M721" s="38"/>
      <c r="N721" s="38"/>
      <c r="O721" s="38"/>
      <c r="P721" s="38"/>
      <c r="Q721" s="38"/>
      <c r="R721" s="48"/>
      <c r="S721" s="48"/>
      <c r="T721" s="48"/>
      <c r="U721" s="52"/>
      <c r="V721" s="50"/>
      <c r="W721" s="51"/>
      <c r="X721" s="56"/>
    </row>
    <row r="722" spans="1:24">
      <c r="A722" s="38">
        <v>662</v>
      </c>
      <c r="B722" s="38"/>
      <c r="C722" s="38"/>
      <c r="D722" s="38" t="s">
        <v>2206</v>
      </c>
      <c r="E722" s="40" t="s">
        <v>2207</v>
      </c>
      <c r="F722" s="41" t="s">
        <v>1475</v>
      </c>
      <c r="G722" s="42">
        <v>536</v>
      </c>
      <c r="H722" s="43"/>
      <c r="I722" s="44"/>
      <c r="J722" s="38">
        <f>536</f>
        <v>536</v>
      </c>
      <c r="K722" s="45">
        <v>1.0995370370370371E-3</v>
      </c>
      <c r="L722" s="46" t="s">
        <v>2190</v>
      </c>
      <c r="M722" s="38"/>
      <c r="N722" s="38"/>
      <c r="O722" s="38"/>
      <c r="P722" s="38"/>
      <c r="Q722" s="38"/>
      <c r="R722" s="48"/>
      <c r="S722" s="48"/>
      <c r="T722" s="48"/>
      <c r="U722" s="52"/>
      <c r="V722" s="50"/>
      <c r="W722" s="51"/>
      <c r="X722" s="56"/>
    </row>
    <row r="723" spans="1:24">
      <c r="A723" s="38">
        <v>663</v>
      </c>
      <c r="B723" s="38"/>
      <c r="C723" s="38"/>
      <c r="D723" s="38" t="s">
        <v>2208</v>
      </c>
      <c r="E723" s="40" t="s">
        <v>2209</v>
      </c>
      <c r="F723" s="41" t="s">
        <v>2210</v>
      </c>
      <c r="G723" s="42">
        <v>912</v>
      </c>
      <c r="H723" s="43"/>
      <c r="I723" s="44"/>
      <c r="J723" s="38">
        <f>912</f>
        <v>912</v>
      </c>
      <c r="K723" s="45">
        <v>1.9444444444444442E-3</v>
      </c>
      <c r="L723" s="46" t="s">
        <v>2190</v>
      </c>
      <c r="M723" s="38"/>
      <c r="N723" s="38"/>
      <c r="O723" s="38"/>
      <c r="P723" s="38"/>
      <c r="Q723" s="38"/>
      <c r="R723" s="48"/>
      <c r="S723" s="48"/>
      <c r="T723" s="48"/>
      <c r="U723" s="52"/>
      <c r="V723" s="50"/>
      <c r="W723" s="51"/>
      <c r="X723" s="56"/>
    </row>
    <row r="724" spans="1:24">
      <c r="A724" s="38">
        <v>664</v>
      </c>
      <c r="B724" s="38"/>
      <c r="C724" s="38"/>
      <c r="D724" s="38" t="s">
        <v>2211</v>
      </c>
      <c r="E724" s="40" t="s">
        <v>2212</v>
      </c>
      <c r="F724" s="61" t="s">
        <v>2213</v>
      </c>
      <c r="G724" s="42" t="s">
        <v>532</v>
      </c>
      <c r="H724" s="43"/>
      <c r="I724" s="44"/>
      <c r="J724" s="38">
        <f>4.1*1000</f>
        <v>4100</v>
      </c>
      <c r="K724" s="45">
        <v>4.3020833333333335E-2</v>
      </c>
      <c r="L724" s="46" t="s">
        <v>2190</v>
      </c>
      <c r="M724" s="38"/>
      <c r="N724" s="38"/>
      <c r="O724" s="38"/>
      <c r="P724" s="38"/>
      <c r="Q724" s="38"/>
      <c r="R724" s="48"/>
      <c r="S724" s="48"/>
      <c r="T724" s="48"/>
      <c r="U724" s="52"/>
      <c r="V724" s="50"/>
      <c r="W724" s="51"/>
      <c r="X724" s="56"/>
    </row>
    <row r="725" spans="1:24">
      <c r="A725" s="38">
        <v>665</v>
      </c>
      <c r="B725" s="38"/>
      <c r="C725" s="38"/>
      <c r="D725" s="38" t="s">
        <v>2214</v>
      </c>
      <c r="E725" s="40" t="s">
        <v>2215</v>
      </c>
      <c r="F725" s="41" t="s">
        <v>965</v>
      </c>
      <c r="G725" s="42">
        <v>728</v>
      </c>
      <c r="H725" s="43"/>
      <c r="I725" s="44"/>
      <c r="J725" s="38">
        <f>728</f>
        <v>728</v>
      </c>
      <c r="K725" s="45">
        <v>1.5740740740740741E-3</v>
      </c>
      <c r="L725" s="46" t="s">
        <v>2190</v>
      </c>
      <c r="M725" s="38"/>
      <c r="N725" s="38"/>
      <c r="O725" s="38"/>
      <c r="P725" s="38"/>
      <c r="Q725" s="38"/>
      <c r="R725" s="48"/>
      <c r="S725" s="48"/>
      <c r="T725" s="48"/>
      <c r="U725" s="52"/>
      <c r="V725" s="50"/>
      <c r="W725" s="51"/>
      <c r="X725" s="56"/>
    </row>
    <row r="726" spans="1:24">
      <c r="A726" s="38">
        <v>666</v>
      </c>
      <c r="B726" s="38"/>
      <c r="C726" s="38"/>
      <c r="D726" s="38" t="s">
        <v>2216</v>
      </c>
      <c r="E726" s="40" t="s">
        <v>2217</v>
      </c>
      <c r="F726" s="41" t="s">
        <v>2218</v>
      </c>
      <c r="G726" s="42" t="s">
        <v>770</v>
      </c>
      <c r="H726" s="43"/>
      <c r="I726" s="44"/>
      <c r="J726" s="38">
        <f>2.7*1000</f>
        <v>2700</v>
      </c>
      <c r="K726" s="45">
        <v>2.4074074074074076E-3</v>
      </c>
      <c r="L726" s="46" t="s">
        <v>2190</v>
      </c>
      <c r="M726" s="38"/>
      <c r="N726" s="38"/>
      <c r="O726" s="38"/>
      <c r="P726" s="38"/>
      <c r="Q726" s="38"/>
      <c r="R726" s="48"/>
      <c r="S726" s="48"/>
      <c r="T726" s="48"/>
      <c r="U726" s="52"/>
      <c r="V726" s="50"/>
      <c r="W726" s="51"/>
      <c r="X726" s="56"/>
    </row>
    <row r="727" spans="1:24">
      <c r="A727" s="38">
        <v>667</v>
      </c>
      <c r="B727" s="38"/>
      <c r="C727" s="38"/>
      <c r="D727" s="38" t="s">
        <v>2219</v>
      </c>
      <c r="E727" s="40" t="s">
        <v>2220</v>
      </c>
      <c r="F727" s="41" t="s">
        <v>754</v>
      </c>
      <c r="G727" s="42" t="s">
        <v>249</v>
      </c>
      <c r="H727" s="43"/>
      <c r="I727" s="44"/>
      <c r="J727" s="38">
        <f>2.4*1000</f>
        <v>2400</v>
      </c>
      <c r="K727" s="45">
        <v>2.1180555555555553E-3</v>
      </c>
      <c r="L727" s="46" t="s">
        <v>2190</v>
      </c>
      <c r="M727" s="38"/>
      <c r="N727" s="38"/>
      <c r="O727" s="38"/>
      <c r="P727" s="38"/>
      <c r="Q727" s="38"/>
      <c r="R727" s="48"/>
      <c r="S727" s="48"/>
      <c r="T727" s="48"/>
      <c r="U727" s="52"/>
      <c r="V727" s="50"/>
      <c r="W727" s="51"/>
      <c r="X727" s="56"/>
    </row>
    <row r="728" spans="1:24">
      <c r="A728" s="38">
        <v>668</v>
      </c>
      <c r="B728" s="38"/>
      <c r="C728" s="38"/>
      <c r="D728" s="38" t="s">
        <v>2221</v>
      </c>
      <c r="E728" s="40" t="s">
        <v>2222</v>
      </c>
      <c r="F728" s="41" t="s">
        <v>2223</v>
      </c>
      <c r="G728" s="42" t="s">
        <v>919</v>
      </c>
      <c r="H728" s="43"/>
      <c r="I728" s="44"/>
      <c r="J728" s="38">
        <f>2.8*1000</f>
        <v>2800</v>
      </c>
      <c r="K728" s="45">
        <v>6.9444444444444441E-3</v>
      </c>
      <c r="L728" s="46" t="s">
        <v>2190</v>
      </c>
      <c r="M728" s="38"/>
      <c r="N728" s="38"/>
      <c r="O728" s="38"/>
      <c r="P728" s="38"/>
      <c r="Q728" s="38"/>
      <c r="R728" s="48"/>
      <c r="S728" s="48"/>
      <c r="T728" s="48"/>
      <c r="U728" s="52"/>
      <c r="V728" s="50"/>
      <c r="W728" s="51"/>
      <c r="X728" s="56"/>
    </row>
    <row r="729" spans="1:24">
      <c r="A729" s="38">
        <v>669</v>
      </c>
      <c r="B729" s="38"/>
      <c r="C729" s="38"/>
      <c r="D729" s="38" t="s">
        <v>2224</v>
      </c>
      <c r="E729" s="40" t="s">
        <v>2225</v>
      </c>
      <c r="F729" s="61" t="s">
        <v>2226</v>
      </c>
      <c r="G729" s="42" t="s">
        <v>264</v>
      </c>
      <c r="H729" s="43"/>
      <c r="I729" s="44"/>
      <c r="J729" s="38">
        <f>14*1000</f>
        <v>14000</v>
      </c>
      <c r="K729" s="45">
        <v>5.6435185185185179E-2</v>
      </c>
      <c r="L729" s="46" t="s">
        <v>2227</v>
      </c>
      <c r="M729" s="38"/>
      <c r="N729" s="38"/>
      <c r="O729" s="38"/>
      <c r="P729" s="38"/>
      <c r="Q729" s="38"/>
      <c r="R729" s="48"/>
      <c r="S729" s="48"/>
      <c r="T729" s="48"/>
      <c r="U729" s="52"/>
      <c r="V729" s="50"/>
      <c r="W729" s="51"/>
      <c r="X729" s="56"/>
    </row>
    <row r="730" spans="1:24">
      <c r="A730" s="38">
        <v>670</v>
      </c>
      <c r="B730" s="38"/>
      <c r="C730" s="38"/>
      <c r="D730" s="38" t="s">
        <v>2228</v>
      </c>
      <c r="E730" s="40" t="s">
        <v>2229</v>
      </c>
      <c r="F730" s="61" t="s">
        <v>2230</v>
      </c>
      <c r="G730" s="42" t="s">
        <v>270</v>
      </c>
      <c r="H730" s="43"/>
      <c r="I730" s="44"/>
      <c r="J730" s="38">
        <f>15*1000</f>
        <v>15000</v>
      </c>
      <c r="K730" s="45">
        <v>6.3055555555555545E-2</v>
      </c>
      <c r="L730" s="46" t="s">
        <v>2227</v>
      </c>
      <c r="M730" s="38"/>
      <c r="N730" s="38"/>
      <c r="O730" s="38"/>
      <c r="P730" s="38"/>
      <c r="Q730" s="38"/>
      <c r="R730" s="48"/>
      <c r="S730" s="48"/>
      <c r="T730" s="48"/>
      <c r="U730" s="52"/>
      <c r="V730" s="50"/>
      <c r="W730" s="51"/>
      <c r="X730" s="56"/>
    </row>
    <row r="731" spans="1:24">
      <c r="A731" s="38">
        <v>671</v>
      </c>
      <c r="B731" s="38"/>
      <c r="C731" s="38"/>
      <c r="D731" s="38" t="s">
        <v>2231</v>
      </c>
      <c r="E731" s="40" t="s">
        <v>2232</v>
      </c>
      <c r="F731" s="61" t="s">
        <v>2233</v>
      </c>
      <c r="G731" s="42" t="s">
        <v>837</v>
      </c>
      <c r="H731" s="43"/>
      <c r="I731" s="44"/>
      <c r="J731" s="38">
        <f>6.8*1000</f>
        <v>6800</v>
      </c>
      <c r="K731" s="45">
        <v>5.9907407407407409E-2</v>
      </c>
      <c r="L731" s="46" t="s">
        <v>2227</v>
      </c>
      <c r="M731" s="38"/>
      <c r="N731" s="38"/>
      <c r="O731" s="38"/>
      <c r="P731" s="38"/>
      <c r="Q731" s="38"/>
      <c r="R731" s="48"/>
      <c r="S731" s="48"/>
      <c r="T731" s="48"/>
      <c r="U731" s="52"/>
      <c r="V731" s="50"/>
      <c r="W731" s="51"/>
      <c r="X731" s="56"/>
    </row>
    <row r="732" spans="1:24">
      <c r="A732" s="38">
        <v>672</v>
      </c>
      <c r="B732" s="38"/>
      <c r="C732" s="38"/>
      <c r="D732" s="38" t="s">
        <v>2234</v>
      </c>
      <c r="E732" s="40" t="s">
        <v>2235</v>
      </c>
      <c r="F732" s="58" t="s">
        <v>2236</v>
      </c>
      <c r="G732" s="42" t="s">
        <v>1134</v>
      </c>
      <c r="H732" s="43"/>
      <c r="I732" s="44"/>
      <c r="J732" s="38">
        <f>27*1000</f>
        <v>27000</v>
      </c>
      <c r="K732" s="45">
        <v>2.4826388888888887E-2</v>
      </c>
      <c r="L732" s="46" t="s">
        <v>2227</v>
      </c>
      <c r="M732" s="38"/>
      <c r="N732" s="38"/>
      <c r="O732" s="38"/>
      <c r="P732" s="38"/>
      <c r="Q732" s="38"/>
      <c r="R732" s="48"/>
      <c r="S732" s="48"/>
      <c r="T732" s="48"/>
      <c r="U732" s="52"/>
      <c r="V732" s="50"/>
      <c r="W732" s="51"/>
      <c r="X732" s="56"/>
    </row>
    <row r="733" spans="1:24">
      <c r="A733" s="38">
        <v>673</v>
      </c>
      <c r="B733" s="38"/>
      <c r="C733" s="38"/>
      <c r="D733" s="38" t="s">
        <v>2237</v>
      </c>
      <c r="E733" s="40" t="s">
        <v>2238</v>
      </c>
      <c r="F733" s="58" t="s">
        <v>2239</v>
      </c>
      <c r="G733" s="42" t="s">
        <v>135</v>
      </c>
      <c r="H733" s="43"/>
      <c r="I733" s="44"/>
      <c r="J733" s="38">
        <f>10*1000</f>
        <v>10000</v>
      </c>
      <c r="K733" s="45">
        <v>2.8564814814814817E-2</v>
      </c>
      <c r="L733" s="46" t="s">
        <v>2240</v>
      </c>
      <c r="M733" s="38"/>
      <c r="N733" s="38"/>
      <c r="O733" s="38"/>
      <c r="P733" s="38"/>
      <c r="Q733" s="38"/>
      <c r="R733" s="48"/>
      <c r="S733" s="48"/>
      <c r="T733" s="48"/>
      <c r="U733" s="52"/>
      <c r="V733" s="50"/>
      <c r="W733" s="51"/>
      <c r="X733" s="56"/>
    </row>
    <row r="734" spans="1:24">
      <c r="A734" s="38">
        <v>674</v>
      </c>
      <c r="B734" s="38"/>
      <c r="C734" s="38"/>
      <c r="D734" s="38" t="s">
        <v>2241</v>
      </c>
      <c r="E734" s="40" t="s">
        <v>2242</v>
      </c>
      <c r="F734" s="41" t="s">
        <v>2243</v>
      </c>
      <c r="G734" s="42" t="s">
        <v>782</v>
      </c>
      <c r="H734" s="43"/>
      <c r="I734" s="44"/>
      <c r="J734" s="38">
        <f>1.8*1000</f>
        <v>1800</v>
      </c>
      <c r="K734" s="45">
        <v>3.9583333333333337E-3</v>
      </c>
      <c r="L734" s="46" t="s">
        <v>2240</v>
      </c>
      <c r="M734" s="38"/>
      <c r="N734" s="38"/>
      <c r="O734" s="38"/>
      <c r="P734" s="38"/>
      <c r="Q734" s="38"/>
      <c r="R734" s="48"/>
      <c r="S734" s="48"/>
      <c r="T734" s="48"/>
      <c r="U734" s="52"/>
      <c r="V734" s="50"/>
      <c r="W734" s="51"/>
      <c r="X734" s="56"/>
    </row>
    <row r="735" spans="1:24">
      <c r="A735" s="38">
        <v>675</v>
      </c>
      <c r="B735" s="38"/>
      <c r="C735" s="38"/>
      <c r="D735" s="38" t="s">
        <v>2244</v>
      </c>
      <c r="E735" s="40" t="s">
        <v>2245</v>
      </c>
      <c r="F735" s="61" t="s">
        <v>2246</v>
      </c>
      <c r="G735" s="42" t="s">
        <v>438</v>
      </c>
      <c r="H735" s="43"/>
      <c r="I735" s="44"/>
      <c r="J735" s="38">
        <f>2.3*1000</f>
        <v>2300</v>
      </c>
      <c r="K735" s="45">
        <v>6.3078703703703706E-2</v>
      </c>
      <c r="L735" s="46" t="s">
        <v>2240</v>
      </c>
      <c r="M735" s="38"/>
      <c r="N735" s="38"/>
      <c r="O735" s="38"/>
      <c r="P735" s="38"/>
      <c r="Q735" s="38"/>
      <c r="R735" s="48"/>
      <c r="S735" s="48"/>
      <c r="T735" s="48"/>
      <c r="U735" s="52"/>
      <c r="V735" s="50"/>
      <c r="W735" s="51"/>
      <c r="X735" s="56"/>
    </row>
    <row r="736" spans="1:24">
      <c r="A736" s="38">
        <v>676</v>
      </c>
      <c r="B736" s="38"/>
      <c r="C736" s="38"/>
      <c r="D736" s="38" t="s">
        <v>2247</v>
      </c>
      <c r="E736" s="40" t="s">
        <v>2248</v>
      </c>
      <c r="F736" s="61" t="s">
        <v>2249</v>
      </c>
      <c r="G736" s="42" t="s">
        <v>445</v>
      </c>
      <c r="H736" s="43"/>
      <c r="I736" s="44"/>
      <c r="J736" s="38">
        <f>1.2*1000</f>
        <v>1200</v>
      </c>
      <c r="K736" s="45">
        <v>6.5277777777777782E-2</v>
      </c>
      <c r="L736" s="46" t="s">
        <v>2240</v>
      </c>
      <c r="M736" s="38"/>
      <c r="N736" s="38"/>
      <c r="O736" s="38"/>
      <c r="P736" s="38"/>
      <c r="Q736" s="38"/>
      <c r="R736" s="48"/>
      <c r="S736" s="48"/>
      <c r="T736" s="48"/>
      <c r="U736" s="52"/>
      <c r="V736" s="50"/>
      <c r="W736" s="51"/>
      <c r="X736" s="56"/>
    </row>
    <row r="737" spans="1:24">
      <c r="A737" s="38">
        <v>677</v>
      </c>
      <c r="B737" s="38"/>
      <c r="C737" s="38"/>
      <c r="D737" s="38" t="s">
        <v>2250</v>
      </c>
      <c r="E737" s="40" t="s">
        <v>2251</v>
      </c>
      <c r="F737" s="58" t="s">
        <v>2252</v>
      </c>
      <c r="G737" s="42" t="s">
        <v>510</v>
      </c>
      <c r="H737" s="43"/>
      <c r="I737" s="44"/>
      <c r="J737" s="38">
        <f>3.7*1000</f>
        <v>3700</v>
      </c>
      <c r="K737" s="45">
        <v>3.770833333333333E-2</v>
      </c>
      <c r="L737" s="46" t="s">
        <v>2240</v>
      </c>
      <c r="M737" s="38"/>
      <c r="N737" s="38"/>
      <c r="O737" s="38"/>
      <c r="P737" s="38"/>
      <c r="Q737" s="38"/>
      <c r="R737" s="48"/>
      <c r="S737" s="48"/>
      <c r="T737" s="48"/>
      <c r="U737" s="52"/>
      <c r="V737" s="50"/>
      <c r="W737" s="51"/>
      <c r="X737" s="56"/>
    </row>
    <row r="738" spans="1:24">
      <c r="A738" s="38">
        <v>678</v>
      </c>
      <c r="B738" s="38"/>
      <c r="C738" s="38"/>
      <c r="D738" s="38" t="s">
        <v>2253</v>
      </c>
      <c r="E738" s="40" t="s">
        <v>2254</v>
      </c>
      <c r="F738" s="58" t="s">
        <v>2255</v>
      </c>
      <c r="G738" s="42" t="s">
        <v>1157</v>
      </c>
      <c r="H738" s="43"/>
      <c r="I738" s="44"/>
      <c r="J738" s="38">
        <f>6.7*1000</f>
        <v>6700</v>
      </c>
      <c r="K738" s="45">
        <v>2.7349537037037037E-2</v>
      </c>
      <c r="L738" s="46" t="s">
        <v>2240</v>
      </c>
      <c r="M738" s="38"/>
      <c r="N738" s="38"/>
      <c r="O738" s="38"/>
      <c r="P738" s="38"/>
      <c r="Q738" s="38"/>
      <c r="R738" s="48"/>
      <c r="S738" s="48"/>
      <c r="T738" s="48"/>
      <c r="U738" s="52"/>
      <c r="V738" s="50"/>
      <c r="W738" s="51"/>
      <c r="X738" s="56"/>
    </row>
    <row r="739" spans="1:24">
      <c r="A739" s="38">
        <v>679</v>
      </c>
      <c r="B739" s="38"/>
      <c r="C739" s="38"/>
      <c r="D739" s="38" t="s">
        <v>2256</v>
      </c>
      <c r="E739" s="40" t="s">
        <v>2257</v>
      </c>
      <c r="F739" s="58" t="s">
        <v>2258</v>
      </c>
      <c r="G739" s="42" t="s">
        <v>510</v>
      </c>
      <c r="H739" s="43"/>
      <c r="I739" s="44"/>
      <c r="J739" s="38">
        <f>3.7*1000</f>
        <v>3700</v>
      </c>
      <c r="K739" s="45">
        <v>2.8599537037037034E-2</v>
      </c>
      <c r="L739" s="46" t="s">
        <v>2240</v>
      </c>
      <c r="M739" s="38"/>
      <c r="N739" s="38"/>
      <c r="O739" s="38"/>
      <c r="P739" s="38"/>
      <c r="Q739" s="38"/>
      <c r="R739" s="48"/>
      <c r="S739" s="48"/>
      <c r="T739" s="48"/>
      <c r="U739" s="52"/>
      <c r="V739" s="50"/>
      <c r="W739" s="51"/>
      <c r="X739" s="56"/>
    </row>
    <row r="740" spans="1:24">
      <c r="A740" s="38">
        <v>680</v>
      </c>
      <c r="B740" s="38"/>
      <c r="C740" s="38"/>
      <c r="D740" s="38" t="s">
        <v>2259</v>
      </c>
      <c r="E740" s="40" t="s">
        <v>2260</v>
      </c>
      <c r="F740" s="58" t="s">
        <v>2261</v>
      </c>
      <c r="G740" s="42" t="s">
        <v>1983</v>
      </c>
      <c r="H740" s="43"/>
      <c r="I740" s="44"/>
      <c r="J740" s="38">
        <f>6.5*1000</f>
        <v>6500</v>
      </c>
      <c r="K740" s="45">
        <v>2.2685185185185183E-2</v>
      </c>
      <c r="L740" s="46" t="s">
        <v>2240</v>
      </c>
      <c r="M740" s="38"/>
      <c r="N740" s="38"/>
      <c r="O740" s="38"/>
      <c r="P740" s="38"/>
      <c r="Q740" s="38"/>
      <c r="R740" s="48"/>
      <c r="S740" s="48"/>
      <c r="T740" s="48"/>
      <c r="U740" s="52"/>
      <c r="V740" s="50"/>
      <c r="W740" s="51"/>
      <c r="X740" s="56"/>
    </row>
    <row r="741" spans="1:24">
      <c r="A741" s="38">
        <v>681</v>
      </c>
      <c r="B741" s="38"/>
      <c r="C741" s="38"/>
      <c r="D741" s="38" t="s">
        <v>2262</v>
      </c>
      <c r="E741" s="40" t="s">
        <v>2263</v>
      </c>
      <c r="F741" s="58" t="s">
        <v>2264</v>
      </c>
      <c r="G741" s="42" t="s">
        <v>455</v>
      </c>
      <c r="H741" s="43"/>
      <c r="I741" s="44"/>
      <c r="J741" s="38">
        <f>2.9*1000</f>
        <v>2900</v>
      </c>
      <c r="K741" s="45">
        <v>2.8888888888888891E-2</v>
      </c>
      <c r="L741" s="46" t="s">
        <v>2240</v>
      </c>
      <c r="M741" s="38"/>
      <c r="N741" s="38"/>
      <c r="O741" s="38"/>
      <c r="P741" s="38"/>
      <c r="Q741" s="38"/>
      <c r="R741" s="48"/>
      <c r="S741" s="48"/>
      <c r="T741" s="48"/>
      <c r="U741" s="52"/>
      <c r="V741" s="50"/>
      <c r="W741" s="51"/>
      <c r="X741" s="56"/>
    </row>
    <row r="742" spans="1:24">
      <c r="A742" s="38">
        <v>682</v>
      </c>
      <c r="B742" s="38"/>
      <c r="C742" s="38"/>
      <c r="D742" s="38" t="s">
        <v>2265</v>
      </c>
      <c r="E742" s="40" t="s">
        <v>2266</v>
      </c>
      <c r="F742" s="58" t="s">
        <v>2267</v>
      </c>
      <c r="G742" s="42" t="s">
        <v>256</v>
      </c>
      <c r="H742" s="43"/>
      <c r="I742" s="44"/>
      <c r="J742" s="38">
        <f>2.1*1000</f>
        <v>2100</v>
      </c>
      <c r="K742" s="45">
        <v>2.6261574074074076E-2</v>
      </c>
      <c r="L742" s="46" t="s">
        <v>2240</v>
      </c>
      <c r="M742" s="38"/>
      <c r="N742" s="38"/>
      <c r="O742" s="38"/>
      <c r="P742" s="38"/>
      <c r="Q742" s="38"/>
      <c r="R742" s="48"/>
      <c r="S742" s="48"/>
      <c r="T742" s="48"/>
      <c r="U742" s="52"/>
      <c r="V742" s="50"/>
      <c r="W742" s="51"/>
      <c r="X742" s="56"/>
    </row>
    <row r="743" spans="1:24">
      <c r="A743" s="38">
        <v>683</v>
      </c>
      <c r="B743" s="38"/>
      <c r="C743" s="38"/>
      <c r="D743" s="38" t="s">
        <v>2268</v>
      </c>
      <c r="E743" s="40" t="s">
        <v>2269</v>
      </c>
      <c r="F743" s="41" t="s">
        <v>2270</v>
      </c>
      <c r="G743" s="42" t="s">
        <v>350</v>
      </c>
      <c r="H743" s="43"/>
      <c r="I743" s="44"/>
      <c r="J743" s="38">
        <f>3*1000</f>
        <v>3000</v>
      </c>
      <c r="K743" s="45">
        <v>1.5324074074074073E-2</v>
      </c>
      <c r="L743" s="46" t="s">
        <v>2240</v>
      </c>
      <c r="M743" s="38"/>
      <c r="N743" s="38"/>
      <c r="O743" s="38"/>
      <c r="P743" s="38"/>
      <c r="Q743" s="38"/>
      <c r="R743" s="48"/>
      <c r="S743" s="48"/>
      <c r="T743" s="48"/>
      <c r="U743" s="52"/>
      <c r="V743" s="50"/>
      <c r="W743" s="51"/>
      <c r="X743" s="56"/>
    </row>
    <row r="744" spans="1:24">
      <c r="A744" s="38">
        <v>684</v>
      </c>
      <c r="B744" s="38"/>
      <c r="C744" s="38"/>
      <c r="D744" s="38" t="s">
        <v>2271</v>
      </c>
      <c r="E744" s="40" t="s">
        <v>2272</v>
      </c>
      <c r="F744" s="58" t="s">
        <v>2273</v>
      </c>
      <c r="G744" s="42" t="s">
        <v>2274</v>
      </c>
      <c r="H744" s="43"/>
      <c r="I744" s="44"/>
      <c r="J744" s="38">
        <f>5.4*1000</f>
        <v>5400</v>
      </c>
      <c r="K744" s="45">
        <v>1.9583333333333331E-2</v>
      </c>
      <c r="L744" s="46" t="s">
        <v>2240</v>
      </c>
      <c r="M744" s="38"/>
      <c r="N744" s="38"/>
      <c r="O744" s="38"/>
      <c r="P744" s="38"/>
      <c r="Q744" s="38"/>
      <c r="R744" s="48"/>
      <c r="S744" s="48"/>
      <c r="T744" s="48"/>
      <c r="U744" s="52"/>
      <c r="V744" s="50"/>
      <c r="W744" s="51"/>
      <c r="X744" s="56"/>
    </row>
    <row r="745" spans="1:24">
      <c r="A745" s="38">
        <v>685</v>
      </c>
      <c r="B745" s="38"/>
      <c r="C745" s="38"/>
      <c r="D745" s="38" t="s">
        <v>2275</v>
      </c>
      <c r="E745" s="40" t="s">
        <v>2276</v>
      </c>
      <c r="F745" s="41" t="s">
        <v>2277</v>
      </c>
      <c r="G745" s="42" t="s">
        <v>357</v>
      </c>
      <c r="H745" s="43"/>
      <c r="I745" s="44"/>
      <c r="J745" s="38">
        <f>3.3*1000</f>
        <v>3300</v>
      </c>
      <c r="K745" s="45">
        <v>1.6331018518518519E-2</v>
      </c>
      <c r="L745" s="46" t="s">
        <v>2240</v>
      </c>
      <c r="M745" s="38"/>
      <c r="N745" s="38"/>
      <c r="O745" s="38"/>
      <c r="P745" s="38"/>
      <c r="Q745" s="38"/>
      <c r="R745" s="48"/>
      <c r="S745" s="48"/>
      <c r="T745" s="48"/>
      <c r="U745" s="52"/>
      <c r="V745" s="50"/>
      <c r="W745" s="51"/>
      <c r="X745" s="56"/>
    </row>
    <row r="746" spans="1:24">
      <c r="A746" s="38">
        <v>686</v>
      </c>
      <c r="B746" s="38"/>
      <c r="C746" s="38"/>
      <c r="D746" s="38" t="s">
        <v>2278</v>
      </c>
      <c r="E746" s="40" t="s">
        <v>2279</v>
      </c>
      <c r="F746" s="58" t="s">
        <v>2280</v>
      </c>
      <c r="G746" s="42" t="s">
        <v>597</v>
      </c>
      <c r="H746" s="43"/>
      <c r="I746" s="44"/>
      <c r="J746" s="38">
        <f>2.6*1000</f>
        <v>2600</v>
      </c>
      <c r="K746" s="45">
        <v>2.1944444444444447E-2</v>
      </c>
      <c r="L746" s="46" t="s">
        <v>2240</v>
      </c>
      <c r="M746" s="38"/>
      <c r="N746" s="38"/>
      <c r="O746" s="38"/>
      <c r="P746" s="38"/>
      <c r="Q746" s="38"/>
      <c r="R746" s="48"/>
      <c r="S746" s="48"/>
      <c r="T746" s="48"/>
      <c r="U746" s="52"/>
      <c r="V746" s="50"/>
      <c r="W746" s="51"/>
      <c r="X746" s="56"/>
    </row>
    <row r="747" spans="1:24">
      <c r="A747" s="38">
        <v>687</v>
      </c>
      <c r="B747" s="38"/>
      <c r="C747" s="38"/>
      <c r="D747" s="38" t="s">
        <v>2281</v>
      </c>
      <c r="E747" s="40" t="s">
        <v>2282</v>
      </c>
      <c r="F747" s="41" t="s">
        <v>2283</v>
      </c>
      <c r="G747" s="42" t="s">
        <v>498</v>
      </c>
      <c r="H747" s="43"/>
      <c r="I747" s="44"/>
      <c r="J747" s="38">
        <f>5.8*1000</f>
        <v>5800</v>
      </c>
      <c r="K747" s="45">
        <v>6.122685185185185E-3</v>
      </c>
      <c r="L747" s="46" t="s">
        <v>2240</v>
      </c>
      <c r="M747" s="38"/>
      <c r="N747" s="38"/>
      <c r="O747" s="38"/>
      <c r="P747" s="38"/>
      <c r="Q747" s="38"/>
      <c r="R747" s="48"/>
      <c r="S747" s="48"/>
      <c r="T747" s="48"/>
      <c r="U747" s="52"/>
      <c r="V747" s="50"/>
      <c r="W747" s="51"/>
      <c r="X747" s="56"/>
    </row>
    <row r="748" spans="1:24">
      <c r="A748" s="38">
        <v>688</v>
      </c>
      <c r="B748" s="38"/>
      <c r="C748" s="38"/>
      <c r="D748" s="38" t="s">
        <v>2284</v>
      </c>
      <c r="E748" s="40" t="s">
        <v>2285</v>
      </c>
      <c r="F748" s="41" t="s">
        <v>2286</v>
      </c>
      <c r="G748" s="42" t="s">
        <v>825</v>
      </c>
      <c r="H748" s="43"/>
      <c r="I748" s="44"/>
      <c r="J748" s="38">
        <f>12*1000</f>
        <v>12000</v>
      </c>
      <c r="K748" s="45">
        <v>7.905092592592592E-3</v>
      </c>
      <c r="L748" s="46" t="s">
        <v>2240</v>
      </c>
      <c r="M748" s="38"/>
      <c r="N748" s="38"/>
      <c r="O748" s="38"/>
      <c r="P748" s="38"/>
      <c r="Q748" s="38"/>
      <c r="R748" s="48"/>
      <c r="S748" s="48"/>
      <c r="T748" s="48"/>
      <c r="U748" s="52"/>
      <c r="V748" s="50"/>
      <c r="W748" s="51"/>
      <c r="X748" s="56"/>
    </row>
    <row r="749" spans="1:24">
      <c r="A749" s="38">
        <v>689</v>
      </c>
      <c r="B749" s="38"/>
      <c r="C749" s="38"/>
      <c r="D749" s="38" t="s">
        <v>2287</v>
      </c>
      <c r="E749" s="40" t="s">
        <v>2288</v>
      </c>
      <c r="F749" s="41" t="s">
        <v>2289</v>
      </c>
      <c r="G749" s="42" t="s">
        <v>1827</v>
      </c>
      <c r="H749" s="43"/>
      <c r="I749" s="44"/>
      <c r="J749" s="38">
        <f>4.8*1000</f>
        <v>4800</v>
      </c>
      <c r="K749" s="45">
        <v>3.1134259259259257E-3</v>
      </c>
      <c r="L749" s="46" t="s">
        <v>2240</v>
      </c>
      <c r="M749" s="38"/>
      <c r="N749" s="38"/>
      <c r="O749" s="38"/>
      <c r="P749" s="38"/>
      <c r="Q749" s="38"/>
      <c r="R749" s="48"/>
      <c r="S749" s="48"/>
      <c r="T749" s="48"/>
      <c r="U749" s="52"/>
      <c r="V749" s="50"/>
      <c r="W749" s="51"/>
      <c r="X749" s="56"/>
    </row>
    <row r="750" spans="1:24">
      <c r="A750" s="38">
        <v>690</v>
      </c>
      <c r="B750" s="38"/>
      <c r="C750" s="38"/>
      <c r="D750" s="38" t="s">
        <v>2290</v>
      </c>
      <c r="E750" s="40" t="s">
        <v>2291</v>
      </c>
      <c r="F750" s="58" t="s">
        <v>2292</v>
      </c>
      <c r="G750" s="42" t="s">
        <v>2293</v>
      </c>
      <c r="H750" s="43"/>
      <c r="I750" s="44"/>
      <c r="J750" s="38">
        <f>9.1*1000</f>
        <v>9100</v>
      </c>
      <c r="K750" s="45">
        <v>3.2106481481481479E-2</v>
      </c>
      <c r="L750" s="46" t="s">
        <v>2240</v>
      </c>
      <c r="M750" s="38"/>
      <c r="N750" s="38"/>
      <c r="O750" s="38"/>
      <c r="P750" s="38"/>
      <c r="Q750" s="38"/>
      <c r="R750" s="48"/>
      <c r="S750" s="48"/>
      <c r="T750" s="48"/>
      <c r="U750" s="52"/>
      <c r="V750" s="50"/>
      <c r="W750" s="51"/>
      <c r="X750" s="56"/>
    </row>
    <row r="751" spans="1:24">
      <c r="A751" s="38">
        <v>691</v>
      </c>
      <c r="B751" s="38"/>
      <c r="C751" s="38"/>
      <c r="D751" s="38" t="s">
        <v>2294</v>
      </c>
      <c r="E751" s="40" t="s">
        <v>2295</v>
      </c>
      <c r="F751" s="61" t="s">
        <v>2296</v>
      </c>
      <c r="G751" s="42" t="s">
        <v>2297</v>
      </c>
      <c r="H751" s="43"/>
      <c r="I751" s="44"/>
      <c r="J751" s="38">
        <f>24*1000</f>
        <v>24000</v>
      </c>
      <c r="K751" s="45">
        <v>4.4583333333333336E-2</v>
      </c>
      <c r="L751" s="46" t="s">
        <v>2240</v>
      </c>
      <c r="M751" s="38"/>
      <c r="N751" s="38"/>
      <c r="O751" s="38"/>
      <c r="P751" s="38"/>
      <c r="Q751" s="38"/>
      <c r="R751" s="48"/>
      <c r="S751" s="48"/>
      <c r="T751" s="48"/>
      <c r="U751" s="52"/>
      <c r="V751" s="50"/>
      <c r="W751" s="51"/>
      <c r="X751" s="56"/>
    </row>
    <row r="752" spans="1:24">
      <c r="A752" s="38">
        <v>692</v>
      </c>
      <c r="B752" s="38"/>
      <c r="C752" s="38"/>
      <c r="D752" s="38" t="s">
        <v>2298</v>
      </c>
      <c r="E752" s="40" t="s">
        <v>2299</v>
      </c>
      <c r="F752" s="58" t="s">
        <v>2300</v>
      </c>
      <c r="G752" s="42" t="s">
        <v>238</v>
      </c>
      <c r="H752" s="43"/>
      <c r="I752" s="44"/>
      <c r="J752" s="38">
        <f>4.9*1000</f>
        <v>4900</v>
      </c>
      <c r="K752" s="45">
        <v>2.8055555555555556E-2</v>
      </c>
      <c r="L752" s="46" t="s">
        <v>2240</v>
      </c>
      <c r="M752" s="38"/>
      <c r="N752" s="38"/>
      <c r="O752" s="38"/>
      <c r="P752" s="38"/>
      <c r="Q752" s="38"/>
      <c r="R752" s="48"/>
      <c r="S752" s="48"/>
      <c r="T752" s="48"/>
      <c r="U752" s="52"/>
      <c r="V752" s="50"/>
      <c r="W752" s="51"/>
      <c r="X752" s="56"/>
    </row>
    <row r="753" spans="1:24">
      <c r="A753" s="38">
        <v>693</v>
      </c>
      <c r="B753" s="38"/>
      <c r="C753" s="38"/>
      <c r="D753" s="38" t="s">
        <v>2301</v>
      </c>
      <c r="E753" s="40" t="s">
        <v>2302</v>
      </c>
      <c r="F753" s="41" t="s">
        <v>2303</v>
      </c>
      <c r="G753" s="42" t="s">
        <v>2304</v>
      </c>
      <c r="H753" s="43"/>
      <c r="I753" s="44"/>
      <c r="J753" s="38">
        <f>5.3*1000</f>
        <v>5300</v>
      </c>
      <c r="K753" s="45">
        <v>1.4733796296296295E-2</v>
      </c>
      <c r="L753" s="46" t="s">
        <v>2240</v>
      </c>
      <c r="M753" s="38"/>
      <c r="N753" s="38"/>
      <c r="O753" s="38"/>
      <c r="P753" s="38"/>
      <c r="Q753" s="38"/>
      <c r="R753" s="48"/>
      <c r="S753" s="48"/>
      <c r="T753" s="48"/>
      <c r="U753" s="52"/>
      <c r="V753" s="50"/>
      <c r="W753" s="51"/>
      <c r="X753" s="56"/>
    </row>
    <row r="754" spans="1:24">
      <c r="A754" s="38">
        <v>694</v>
      </c>
      <c r="B754" s="38"/>
      <c r="C754" s="38"/>
      <c r="D754" s="38" t="s">
        <v>2305</v>
      </c>
      <c r="E754" s="40" t="s">
        <v>2306</v>
      </c>
      <c r="F754" s="58" t="s">
        <v>2307</v>
      </c>
      <c r="G754" s="42" t="s">
        <v>2308</v>
      </c>
      <c r="H754" s="43"/>
      <c r="I754" s="44"/>
      <c r="J754" s="38">
        <f>18*1000</f>
        <v>18000</v>
      </c>
      <c r="K754" s="45">
        <v>3.3402777777777774E-2</v>
      </c>
      <c r="L754" s="46" t="s">
        <v>2309</v>
      </c>
      <c r="M754" s="38"/>
      <c r="N754" s="38"/>
      <c r="O754" s="38"/>
      <c r="P754" s="38"/>
      <c r="Q754" s="38"/>
      <c r="R754" s="48"/>
      <c r="S754" s="48"/>
      <c r="T754" s="48"/>
      <c r="U754" s="52"/>
      <c r="V754" s="50"/>
      <c r="W754" s="51"/>
      <c r="X754" s="56"/>
    </row>
    <row r="755" spans="1:24">
      <c r="A755" s="38">
        <v>695</v>
      </c>
      <c r="B755" s="38"/>
      <c r="C755" s="38"/>
      <c r="D755" s="38" t="s">
        <v>2310</v>
      </c>
      <c r="E755" s="40" t="s">
        <v>2311</v>
      </c>
      <c r="F755" s="61" t="s">
        <v>2312</v>
      </c>
      <c r="G755" s="42" t="s">
        <v>2293</v>
      </c>
      <c r="H755" s="43"/>
      <c r="I755" s="44"/>
      <c r="J755" s="38">
        <f>9.1*1000</f>
        <v>9100</v>
      </c>
      <c r="K755" s="45">
        <v>4.2349537037037033E-2</v>
      </c>
      <c r="L755" s="46" t="s">
        <v>2309</v>
      </c>
      <c r="M755" s="38"/>
      <c r="N755" s="38"/>
      <c r="O755" s="38"/>
      <c r="P755" s="38"/>
      <c r="Q755" s="38"/>
      <c r="R755" s="48"/>
      <c r="S755" s="48"/>
      <c r="T755" s="48"/>
      <c r="U755" s="52"/>
      <c r="V755" s="50"/>
      <c r="W755" s="51"/>
      <c r="X755" s="56"/>
    </row>
    <row r="756" spans="1:24">
      <c r="A756" s="38">
        <v>696</v>
      </c>
      <c r="B756" s="38"/>
      <c r="C756" s="38"/>
      <c r="D756" s="38" t="s">
        <v>2313</v>
      </c>
      <c r="E756" s="40" t="s">
        <v>2314</v>
      </c>
      <c r="F756" s="58" t="s">
        <v>2315</v>
      </c>
      <c r="G756" s="42" t="s">
        <v>135</v>
      </c>
      <c r="H756" s="43"/>
      <c r="I756" s="44"/>
      <c r="J756" s="38">
        <f>10*1000</f>
        <v>10000</v>
      </c>
      <c r="K756" s="45">
        <v>2.1979166666666664E-2</v>
      </c>
      <c r="L756" s="46" t="s">
        <v>2309</v>
      </c>
      <c r="M756" s="38"/>
      <c r="N756" s="38"/>
      <c r="O756" s="38"/>
      <c r="P756" s="38"/>
      <c r="Q756" s="38"/>
      <c r="R756" s="48"/>
      <c r="S756" s="48"/>
      <c r="T756" s="48"/>
      <c r="U756" s="52"/>
      <c r="V756" s="50"/>
      <c r="W756" s="51"/>
      <c r="X756" s="56"/>
    </row>
    <row r="757" spans="1:24">
      <c r="A757" s="38">
        <v>697</v>
      </c>
      <c r="B757" s="38"/>
      <c r="C757" s="38"/>
      <c r="D757" s="38" t="s">
        <v>2316</v>
      </c>
      <c r="E757" s="40" t="s">
        <v>2317</v>
      </c>
      <c r="F757" s="41" t="s">
        <v>2045</v>
      </c>
      <c r="G757" s="42" t="s">
        <v>510</v>
      </c>
      <c r="H757" s="43"/>
      <c r="I757" s="44"/>
      <c r="J757" s="38">
        <f>3.7*1000</f>
        <v>3700</v>
      </c>
      <c r="K757" s="45">
        <v>1.7824074074074072E-3</v>
      </c>
      <c r="L757" s="46" t="s">
        <v>2309</v>
      </c>
      <c r="M757" s="38"/>
      <c r="N757" s="38"/>
      <c r="O757" s="38"/>
      <c r="P757" s="38"/>
      <c r="Q757" s="38"/>
      <c r="R757" s="48"/>
      <c r="S757" s="48"/>
      <c r="T757" s="48"/>
      <c r="U757" s="52"/>
      <c r="V757" s="50"/>
      <c r="W757" s="51"/>
      <c r="X757" s="56"/>
    </row>
    <row r="758" spans="1:24">
      <c r="A758" s="38">
        <v>698</v>
      </c>
      <c r="B758" s="38"/>
      <c r="C758" s="38"/>
      <c r="D758" s="38" t="s">
        <v>2318</v>
      </c>
      <c r="E758" s="40" t="s">
        <v>2319</v>
      </c>
      <c r="F758" s="58" t="s">
        <v>2320</v>
      </c>
      <c r="G758" s="42" t="s">
        <v>1289</v>
      </c>
      <c r="H758" s="43"/>
      <c r="I758" s="44"/>
      <c r="J758" s="38">
        <f t="shared" ref="J758:J759" si="29">16*1000</f>
        <v>16000</v>
      </c>
      <c r="K758" s="45">
        <v>3.8483796296296294E-2</v>
      </c>
      <c r="L758" s="46" t="s">
        <v>2309</v>
      </c>
      <c r="M758" s="38"/>
      <c r="N758" s="38"/>
      <c r="O758" s="38"/>
      <c r="P758" s="38"/>
      <c r="Q758" s="38"/>
      <c r="R758" s="48"/>
      <c r="S758" s="48"/>
      <c r="T758" s="48"/>
      <c r="U758" s="52"/>
      <c r="V758" s="50"/>
      <c r="W758" s="51"/>
      <c r="X758" s="56"/>
    </row>
    <row r="759" spans="1:24">
      <c r="A759" s="38">
        <v>699</v>
      </c>
      <c r="B759" s="38"/>
      <c r="C759" s="38"/>
      <c r="D759" s="38" t="s">
        <v>2321</v>
      </c>
      <c r="E759" s="40" t="s">
        <v>2322</v>
      </c>
      <c r="F759" s="58" t="s">
        <v>2323</v>
      </c>
      <c r="G759" s="42" t="s">
        <v>1289</v>
      </c>
      <c r="H759" s="43"/>
      <c r="I759" s="44"/>
      <c r="J759" s="38">
        <f t="shared" si="29"/>
        <v>16000</v>
      </c>
      <c r="K759" s="45">
        <v>3.5312500000000004E-2</v>
      </c>
      <c r="L759" s="46" t="s">
        <v>2309</v>
      </c>
      <c r="M759" s="38"/>
      <c r="N759" s="38"/>
      <c r="O759" s="38"/>
      <c r="P759" s="38"/>
      <c r="Q759" s="38"/>
      <c r="R759" s="48"/>
      <c r="S759" s="48"/>
      <c r="T759" s="48"/>
      <c r="U759" s="52"/>
      <c r="V759" s="50"/>
      <c r="W759" s="51"/>
      <c r="X759" s="56"/>
    </row>
    <row r="760" spans="1:24">
      <c r="A760" s="38">
        <v>700</v>
      </c>
      <c r="B760" s="38"/>
      <c r="C760" s="38"/>
      <c r="D760" s="38" t="s">
        <v>2324</v>
      </c>
      <c r="E760" s="40" t="s">
        <v>2325</v>
      </c>
      <c r="F760" s="58" t="s">
        <v>2326</v>
      </c>
      <c r="G760" s="42" t="s">
        <v>825</v>
      </c>
      <c r="H760" s="43"/>
      <c r="I760" s="44"/>
      <c r="J760" s="38">
        <f>12*1000</f>
        <v>12000</v>
      </c>
      <c r="K760" s="45">
        <v>2.7951388888888887E-2</v>
      </c>
      <c r="L760" s="46" t="s">
        <v>2309</v>
      </c>
      <c r="M760" s="38"/>
      <c r="N760" s="38"/>
      <c r="O760" s="38"/>
      <c r="P760" s="38"/>
      <c r="Q760" s="38"/>
      <c r="R760" s="48"/>
      <c r="S760" s="48"/>
      <c r="T760" s="48"/>
      <c r="U760" s="52"/>
      <c r="V760" s="50"/>
      <c r="W760" s="51"/>
      <c r="X760" s="56"/>
    </row>
    <row r="761" spans="1:24">
      <c r="A761" s="38">
        <v>701</v>
      </c>
      <c r="B761" s="38"/>
      <c r="C761" s="38"/>
      <c r="D761" s="38" t="s">
        <v>2327</v>
      </c>
      <c r="E761" s="40" t="s">
        <v>2328</v>
      </c>
      <c r="F761" s="41" t="s">
        <v>2329</v>
      </c>
      <c r="G761" s="42">
        <v>895</v>
      </c>
      <c r="H761" s="43"/>
      <c r="I761" s="44"/>
      <c r="J761" s="38">
        <f>895</f>
        <v>895</v>
      </c>
      <c r="K761" s="45">
        <v>1.5902777777777776E-2</v>
      </c>
      <c r="L761" s="46" t="s">
        <v>2330</v>
      </c>
      <c r="M761" s="38"/>
      <c r="N761" s="38"/>
      <c r="O761" s="38"/>
      <c r="P761" s="38"/>
      <c r="Q761" s="38"/>
      <c r="R761" s="48"/>
      <c r="S761" s="48"/>
      <c r="T761" s="48"/>
      <c r="U761" s="52"/>
      <c r="V761" s="50"/>
      <c r="W761" s="51"/>
      <c r="X761" s="56"/>
    </row>
    <row r="762" spans="1:24">
      <c r="A762" s="38">
        <v>702</v>
      </c>
      <c r="B762" s="38"/>
      <c r="C762" s="38"/>
      <c r="D762" s="38" t="s">
        <v>2331</v>
      </c>
      <c r="E762" s="40" t="s">
        <v>2332</v>
      </c>
      <c r="F762" s="58" t="s">
        <v>2333</v>
      </c>
      <c r="G762" s="42">
        <v>214</v>
      </c>
      <c r="H762" s="43"/>
      <c r="I762" s="44"/>
      <c r="J762" s="38">
        <f>214</f>
        <v>214</v>
      </c>
      <c r="K762" s="45">
        <v>3.0034722222222223E-2</v>
      </c>
      <c r="L762" s="46" t="s">
        <v>2330</v>
      </c>
      <c r="M762" s="38"/>
      <c r="N762" s="38"/>
      <c r="O762" s="38"/>
      <c r="P762" s="38"/>
      <c r="Q762" s="38"/>
      <c r="R762" s="48"/>
      <c r="S762" s="48"/>
      <c r="T762" s="48"/>
      <c r="U762" s="52"/>
      <c r="V762" s="50"/>
      <c r="W762" s="51"/>
      <c r="X762" s="56"/>
    </row>
    <row r="763" spans="1:24">
      <c r="A763" s="38">
        <v>703</v>
      </c>
      <c r="B763" s="38"/>
      <c r="C763" s="38"/>
      <c r="D763" s="38" t="s">
        <v>2334</v>
      </c>
      <c r="E763" s="40" t="s">
        <v>2335</v>
      </c>
      <c r="F763" s="58" t="s">
        <v>715</v>
      </c>
      <c r="G763" s="42" t="s">
        <v>568</v>
      </c>
      <c r="H763" s="43"/>
      <c r="I763" s="44"/>
      <c r="J763" s="38">
        <f>1.4*1000</f>
        <v>1400</v>
      </c>
      <c r="K763" s="45">
        <v>2.5208333333333333E-2</v>
      </c>
      <c r="L763" s="46" t="s">
        <v>2330</v>
      </c>
      <c r="M763" s="38"/>
      <c r="N763" s="38"/>
      <c r="O763" s="38"/>
      <c r="P763" s="38"/>
      <c r="Q763" s="38"/>
      <c r="R763" s="48"/>
      <c r="S763" s="48"/>
      <c r="T763" s="48"/>
      <c r="U763" s="52"/>
      <c r="V763" s="50"/>
      <c r="W763" s="51"/>
      <c r="X763" s="56"/>
    </row>
    <row r="764" spans="1:24">
      <c r="A764" s="38">
        <v>704</v>
      </c>
      <c r="B764" s="38"/>
      <c r="C764" s="38"/>
      <c r="D764" s="38" t="s">
        <v>2336</v>
      </c>
      <c r="E764" s="40" t="s">
        <v>2337</v>
      </c>
      <c r="F764" s="41" t="s">
        <v>2338</v>
      </c>
      <c r="G764" s="42">
        <v>159</v>
      </c>
      <c r="H764" s="43"/>
      <c r="I764" s="44"/>
      <c r="J764" s="38">
        <f>159</f>
        <v>159</v>
      </c>
      <c r="K764" s="45">
        <v>1.3703703703703704E-2</v>
      </c>
      <c r="L764" s="46" t="s">
        <v>2330</v>
      </c>
      <c r="M764" s="38"/>
      <c r="N764" s="38"/>
      <c r="O764" s="38"/>
      <c r="P764" s="38"/>
      <c r="Q764" s="38"/>
      <c r="R764" s="48"/>
      <c r="S764" s="48"/>
      <c r="T764" s="48"/>
      <c r="U764" s="52"/>
      <c r="V764" s="50"/>
      <c r="W764" s="51"/>
      <c r="X764" s="56"/>
    </row>
    <row r="765" spans="1:24">
      <c r="A765" s="38">
        <v>705</v>
      </c>
      <c r="B765" s="38"/>
      <c r="C765" s="38"/>
      <c r="D765" s="38" t="s">
        <v>2339</v>
      </c>
      <c r="E765" s="40" t="s">
        <v>2340</v>
      </c>
      <c r="F765" s="58" t="s">
        <v>2315</v>
      </c>
      <c r="G765" s="42" t="s">
        <v>144</v>
      </c>
      <c r="H765" s="43"/>
      <c r="I765" s="44"/>
      <c r="J765" s="38">
        <f>1.7*1000</f>
        <v>1700</v>
      </c>
      <c r="K765" s="45">
        <v>2.1979166666666664E-2</v>
      </c>
      <c r="L765" s="46" t="s">
        <v>2330</v>
      </c>
      <c r="M765" s="38"/>
      <c r="N765" s="38"/>
      <c r="O765" s="38"/>
      <c r="P765" s="38"/>
      <c r="Q765" s="38"/>
      <c r="R765" s="48"/>
      <c r="S765" s="48"/>
      <c r="T765" s="48"/>
      <c r="U765" s="52"/>
      <c r="V765" s="50"/>
      <c r="W765" s="51"/>
      <c r="X765" s="56"/>
    </row>
    <row r="766" spans="1:24">
      <c r="A766" s="38">
        <v>706</v>
      </c>
      <c r="B766" s="38"/>
      <c r="C766" s="38"/>
      <c r="D766" s="38" t="s">
        <v>2341</v>
      </c>
      <c r="E766" s="40" t="s">
        <v>2342</v>
      </c>
      <c r="F766" s="41" t="s">
        <v>2343</v>
      </c>
      <c r="G766" s="42">
        <v>395</v>
      </c>
      <c r="H766" s="43"/>
      <c r="I766" s="44"/>
      <c r="J766" s="38">
        <f>395</f>
        <v>395</v>
      </c>
      <c r="K766" s="45">
        <v>1.0601851851851854E-2</v>
      </c>
      <c r="L766" s="46" t="s">
        <v>2330</v>
      </c>
      <c r="M766" s="38"/>
      <c r="N766" s="38"/>
      <c r="O766" s="38"/>
      <c r="P766" s="38"/>
      <c r="Q766" s="38"/>
      <c r="R766" s="48"/>
      <c r="S766" s="48"/>
      <c r="T766" s="48"/>
      <c r="U766" s="52"/>
      <c r="V766" s="50"/>
      <c r="W766" s="51"/>
      <c r="X766" s="56"/>
    </row>
    <row r="767" spans="1:24">
      <c r="A767" s="38">
        <v>707</v>
      </c>
      <c r="B767" s="38"/>
      <c r="C767" s="38"/>
      <c r="D767" s="38" t="s">
        <v>2344</v>
      </c>
      <c r="E767" s="40" t="s">
        <v>2345</v>
      </c>
      <c r="F767" s="58" t="s">
        <v>2346</v>
      </c>
      <c r="G767" s="42" t="s">
        <v>912</v>
      </c>
      <c r="H767" s="43"/>
      <c r="I767" s="44"/>
      <c r="J767" s="38">
        <f>4.2*1000</f>
        <v>4200</v>
      </c>
      <c r="K767" s="45">
        <v>2.4050925925925924E-2</v>
      </c>
      <c r="L767" s="46" t="s">
        <v>2330</v>
      </c>
      <c r="M767" s="38"/>
      <c r="N767" s="38"/>
      <c r="O767" s="38"/>
      <c r="P767" s="38"/>
      <c r="Q767" s="38"/>
      <c r="R767" s="48"/>
      <c r="S767" s="48"/>
      <c r="T767" s="48"/>
      <c r="U767" s="52"/>
      <c r="V767" s="50"/>
      <c r="W767" s="51"/>
      <c r="X767" s="56"/>
    </row>
    <row r="768" spans="1:24">
      <c r="A768" s="38">
        <v>708</v>
      </c>
      <c r="B768" s="38"/>
      <c r="C768" s="38"/>
      <c r="D768" s="38" t="s">
        <v>2347</v>
      </c>
      <c r="E768" s="40" t="s">
        <v>2348</v>
      </c>
      <c r="F768" s="41" t="s">
        <v>356</v>
      </c>
      <c r="G768" s="42">
        <v>131</v>
      </c>
      <c r="H768" s="43"/>
      <c r="I768" s="44"/>
      <c r="J768" s="38">
        <f>131</f>
        <v>131</v>
      </c>
      <c r="K768" s="45">
        <v>8.8657407407407417E-3</v>
      </c>
      <c r="L768" s="46" t="s">
        <v>2330</v>
      </c>
      <c r="M768" s="38"/>
      <c r="N768" s="38"/>
      <c r="O768" s="38"/>
      <c r="P768" s="38"/>
      <c r="Q768" s="38"/>
      <c r="R768" s="48"/>
      <c r="S768" s="48"/>
      <c r="T768" s="48"/>
      <c r="U768" s="52"/>
      <c r="V768" s="50"/>
      <c r="W768" s="51"/>
      <c r="X768" s="56"/>
    </row>
    <row r="769" spans="1:24">
      <c r="A769" s="38">
        <v>709</v>
      </c>
      <c r="B769" s="38"/>
      <c r="C769" s="38"/>
      <c r="D769" s="38" t="s">
        <v>2349</v>
      </c>
      <c r="E769" s="40" t="s">
        <v>2350</v>
      </c>
      <c r="F769" s="41" t="s">
        <v>2351</v>
      </c>
      <c r="G769" s="42">
        <v>420</v>
      </c>
      <c r="H769" s="43"/>
      <c r="I769" s="44"/>
      <c r="J769" s="38">
        <f>420</f>
        <v>420</v>
      </c>
      <c r="K769" s="45">
        <v>5.0000000000000001E-3</v>
      </c>
      <c r="L769" s="46" t="s">
        <v>2330</v>
      </c>
      <c r="M769" s="38"/>
      <c r="N769" s="38"/>
      <c r="O769" s="38"/>
      <c r="P769" s="38"/>
      <c r="Q769" s="38"/>
      <c r="R769" s="48"/>
      <c r="S769" s="48"/>
      <c r="T769" s="48"/>
      <c r="U769" s="52"/>
      <c r="V769" s="50"/>
      <c r="W769" s="51"/>
      <c r="X769" s="56"/>
    </row>
    <row r="770" spans="1:24">
      <c r="A770" s="38">
        <v>710</v>
      </c>
      <c r="B770" s="38"/>
      <c r="C770" s="38"/>
      <c r="D770" s="38" t="s">
        <v>2352</v>
      </c>
      <c r="E770" s="40" t="s">
        <v>2353</v>
      </c>
      <c r="F770" s="58" t="s">
        <v>2354</v>
      </c>
      <c r="G770" s="42" t="s">
        <v>214</v>
      </c>
      <c r="H770" s="43"/>
      <c r="I770" s="44"/>
      <c r="J770" s="38">
        <f>1*1000</f>
        <v>1000</v>
      </c>
      <c r="K770" s="45">
        <v>2.0324074074074074E-2</v>
      </c>
      <c r="L770" s="46" t="s">
        <v>2330</v>
      </c>
      <c r="M770" s="38"/>
      <c r="N770" s="38"/>
      <c r="O770" s="38"/>
      <c r="P770" s="38"/>
      <c r="Q770" s="38"/>
      <c r="R770" s="48"/>
      <c r="S770" s="48"/>
      <c r="T770" s="48"/>
      <c r="U770" s="52"/>
      <c r="V770" s="50"/>
      <c r="W770" s="51"/>
      <c r="X770" s="56"/>
    </row>
    <row r="771" spans="1:24">
      <c r="A771" s="38">
        <v>711</v>
      </c>
      <c r="B771" s="38"/>
      <c r="C771" s="38"/>
      <c r="D771" s="38" t="s">
        <v>2355</v>
      </c>
      <c r="E771" s="40" t="s">
        <v>2356</v>
      </c>
      <c r="F771" s="58" t="s">
        <v>2357</v>
      </c>
      <c r="G771" s="42">
        <v>508</v>
      </c>
      <c r="H771" s="43"/>
      <c r="I771" s="44"/>
      <c r="J771" s="38">
        <f>508</f>
        <v>508</v>
      </c>
      <c r="K771" s="45">
        <v>1.9409722222222221E-2</v>
      </c>
      <c r="L771" s="46" t="s">
        <v>2330</v>
      </c>
      <c r="M771" s="38"/>
      <c r="N771" s="38"/>
      <c r="O771" s="38"/>
      <c r="P771" s="38"/>
      <c r="Q771" s="38"/>
      <c r="R771" s="48"/>
      <c r="S771" s="48"/>
      <c r="T771" s="48"/>
      <c r="U771" s="52"/>
      <c r="V771" s="50"/>
      <c r="W771" s="51"/>
      <c r="X771" s="56"/>
    </row>
    <row r="772" spans="1:24">
      <c r="A772" s="38">
        <v>712</v>
      </c>
      <c r="B772" s="38"/>
      <c r="C772" s="38"/>
      <c r="D772" s="38" t="s">
        <v>2358</v>
      </c>
      <c r="E772" s="40" t="s">
        <v>2359</v>
      </c>
      <c r="F772" s="41" t="s">
        <v>2360</v>
      </c>
      <c r="G772" s="42">
        <v>710</v>
      </c>
      <c r="H772" s="43"/>
      <c r="I772" s="44"/>
      <c r="J772" s="38">
        <f>710</f>
        <v>710</v>
      </c>
      <c r="K772" s="45">
        <v>1.2604166666666666E-2</v>
      </c>
      <c r="L772" s="46" t="s">
        <v>2330</v>
      </c>
      <c r="M772" s="38"/>
      <c r="N772" s="38"/>
      <c r="O772" s="38"/>
      <c r="P772" s="38"/>
      <c r="Q772" s="38"/>
      <c r="R772" s="48"/>
      <c r="S772" s="48"/>
      <c r="T772" s="48"/>
      <c r="U772" s="52"/>
      <c r="V772" s="50"/>
      <c r="W772" s="51"/>
      <c r="X772" s="56"/>
    </row>
    <row r="773" spans="1:24">
      <c r="A773" s="38">
        <v>713</v>
      </c>
      <c r="B773" s="38"/>
      <c r="C773" s="38"/>
      <c r="D773" s="38" t="s">
        <v>2361</v>
      </c>
      <c r="E773" s="40" t="s">
        <v>2362</v>
      </c>
      <c r="F773" s="41" t="s">
        <v>2363</v>
      </c>
      <c r="G773" s="42" t="s">
        <v>214</v>
      </c>
      <c r="H773" s="43"/>
      <c r="I773" s="44"/>
      <c r="J773" s="38">
        <f>1*1000</f>
        <v>1000</v>
      </c>
      <c r="K773" s="45">
        <v>1.5243055555555557E-2</v>
      </c>
      <c r="L773" s="46" t="s">
        <v>2330</v>
      </c>
      <c r="M773" s="38"/>
      <c r="N773" s="38"/>
      <c r="O773" s="38"/>
      <c r="P773" s="38"/>
      <c r="Q773" s="38"/>
      <c r="R773" s="48"/>
      <c r="S773" s="48"/>
      <c r="T773" s="48"/>
      <c r="U773" s="52"/>
      <c r="V773" s="50"/>
      <c r="W773" s="51"/>
      <c r="X773" s="56"/>
    </row>
    <row r="774" spans="1:24">
      <c r="A774" s="38">
        <v>714</v>
      </c>
      <c r="B774" s="38"/>
      <c r="C774" s="38"/>
      <c r="D774" s="38" t="s">
        <v>2364</v>
      </c>
      <c r="E774" s="40" t="s">
        <v>2365</v>
      </c>
      <c r="F774" s="58" t="s">
        <v>2366</v>
      </c>
      <c r="G774" s="42">
        <v>878</v>
      </c>
      <c r="H774" s="43"/>
      <c r="I774" s="44"/>
      <c r="J774" s="38">
        <f>878</f>
        <v>878</v>
      </c>
      <c r="K774" s="45">
        <v>1.892361111111111E-2</v>
      </c>
      <c r="L774" s="46" t="s">
        <v>2330</v>
      </c>
      <c r="M774" s="38"/>
      <c r="N774" s="38"/>
      <c r="O774" s="38"/>
      <c r="P774" s="38"/>
      <c r="Q774" s="38"/>
      <c r="R774" s="48"/>
      <c r="S774" s="48"/>
      <c r="T774" s="48"/>
      <c r="U774" s="52"/>
      <c r="V774" s="50"/>
      <c r="W774" s="51"/>
      <c r="X774" s="56"/>
    </row>
    <row r="775" spans="1:24">
      <c r="A775" s="38">
        <v>715</v>
      </c>
      <c r="B775" s="38"/>
      <c r="C775" s="38"/>
      <c r="D775" s="38" t="s">
        <v>2367</v>
      </c>
      <c r="E775" s="40" t="s">
        <v>2368</v>
      </c>
      <c r="F775" s="41" t="s">
        <v>1901</v>
      </c>
      <c r="G775" s="42" t="s">
        <v>396</v>
      </c>
      <c r="H775" s="43"/>
      <c r="I775" s="44"/>
      <c r="J775" s="38">
        <f>1.1*1000</f>
        <v>1100</v>
      </c>
      <c r="K775" s="45">
        <v>1.4074074074074074E-2</v>
      </c>
      <c r="L775" s="46" t="s">
        <v>2330</v>
      </c>
      <c r="M775" s="38"/>
      <c r="N775" s="38"/>
      <c r="O775" s="38"/>
      <c r="P775" s="38"/>
      <c r="Q775" s="38"/>
      <c r="R775" s="48"/>
      <c r="S775" s="48"/>
      <c r="T775" s="48"/>
      <c r="U775" s="52"/>
      <c r="V775" s="50"/>
      <c r="W775" s="51"/>
      <c r="X775" s="56"/>
    </row>
    <row r="776" spans="1:24">
      <c r="A776" s="38">
        <v>716</v>
      </c>
      <c r="B776" s="38"/>
      <c r="C776" s="38"/>
      <c r="D776" s="38" t="s">
        <v>2369</v>
      </c>
      <c r="E776" s="40" t="s">
        <v>2370</v>
      </c>
      <c r="F776" s="58" t="s">
        <v>2371</v>
      </c>
      <c r="G776" s="42">
        <v>347</v>
      </c>
      <c r="H776" s="43"/>
      <c r="I776" s="44"/>
      <c r="J776" s="38">
        <f>347</f>
        <v>347</v>
      </c>
      <c r="K776" s="45">
        <v>1.9259259259259261E-2</v>
      </c>
      <c r="L776" s="46" t="s">
        <v>2330</v>
      </c>
      <c r="M776" s="38"/>
      <c r="N776" s="38"/>
      <c r="O776" s="38"/>
      <c r="P776" s="38"/>
      <c r="Q776" s="38"/>
      <c r="R776" s="48"/>
      <c r="S776" s="48"/>
      <c r="T776" s="48"/>
      <c r="U776" s="52"/>
      <c r="V776" s="50"/>
      <c r="W776" s="51"/>
      <c r="X776" s="56"/>
    </row>
    <row r="777" spans="1:24">
      <c r="A777" s="38">
        <v>717</v>
      </c>
      <c r="B777" s="38"/>
      <c r="C777" s="38"/>
      <c r="D777" s="38" t="s">
        <v>2372</v>
      </c>
      <c r="E777" s="40" t="s">
        <v>2373</v>
      </c>
      <c r="F777" s="41" t="s">
        <v>2374</v>
      </c>
      <c r="G777" s="42">
        <v>465</v>
      </c>
      <c r="H777" s="43"/>
      <c r="I777" s="44"/>
      <c r="J777" s="38">
        <f>465</f>
        <v>465</v>
      </c>
      <c r="K777" s="45">
        <v>1.4363425925925925E-2</v>
      </c>
      <c r="L777" s="46" t="s">
        <v>2330</v>
      </c>
      <c r="M777" s="38"/>
      <c r="N777" s="38"/>
      <c r="O777" s="38"/>
      <c r="P777" s="38"/>
      <c r="Q777" s="38"/>
      <c r="R777" s="48"/>
      <c r="S777" s="48"/>
      <c r="T777" s="48"/>
      <c r="U777" s="52"/>
      <c r="V777" s="50"/>
      <c r="W777" s="51"/>
      <c r="X777" s="56"/>
    </row>
    <row r="778" spans="1:24">
      <c r="A778" s="38">
        <v>718</v>
      </c>
      <c r="B778" s="38"/>
      <c r="C778" s="38"/>
      <c r="D778" s="38" t="s">
        <v>2375</v>
      </c>
      <c r="E778" s="40" t="s">
        <v>2376</v>
      </c>
      <c r="F778" s="41" t="s">
        <v>712</v>
      </c>
      <c r="G778" s="42" t="s">
        <v>396</v>
      </c>
      <c r="H778" s="43"/>
      <c r="I778" s="44"/>
      <c r="J778" s="38">
        <f>1.1*1000</f>
        <v>1100</v>
      </c>
      <c r="K778" s="45">
        <v>3.1249999999999997E-3</v>
      </c>
      <c r="L778" s="46" t="s">
        <v>2330</v>
      </c>
      <c r="M778" s="38"/>
      <c r="N778" s="38"/>
      <c r="O778" s="38"/>
      <c r="P778" s="38"/>
      <c r="Q778" s="38"/>
      <c r="R778" s="48"/>
      <c r="S778" s="48"/>
      <c r="T778" s="48"/>
      <c r="U778" s="52"/>
      <c r="V778" s="50"/>
      <c r="W778" s="51"/>
      <c r="X778" s="56"/>
    </row>
    <row r="779" spans="1:24">
      <c r="A779" s="38">
        <v>719</v>
      </c>
      <c r="B779" s="38"/>
      <c r="C779" s="38"/>
      <c r="D779" s="38" t="s">
        <v>2377</v>
      </c>
      <c r="E779" s="40" t="s">
        <v>2378</v>
      </c>
      <c r="F779" s="41" t="s">
        <v>2379</v>
      </c>
      <c r="G779" s="42">
        <v>690</v>
      </c>
      <c r="H779" s="43"/>
      <c r="I779" s="44"/>
      <c r="J779" s="38">
        <f>690</f>
        <v>690</v>
      </c>
      <c r="K779" s="45">
        <v>5.8217592592592592E-3</v>
      </c>
      <c r="L779" s="46" t="s">
        <v>2330</v>
      </c>
      <c r="M779" s="38"/>
      <c r="N779" s="38"/>
      <c r="O779" s="38"/>
      <c r="P779" s="38"/>
      <c r="Q779" s="38"/>
      <c r="R779" s="48"/>
      <c r="S779" s="48"/>
      <c r="T779" s="48"/>
      <c r="U779" s="52"/>
      <c r="V779" s="50"/>
      <c r="W779" s="51"/>
      <c r="X779" s="56"/>
    </row>
    <row r="780" spans="1:24">
      <c r="A780" s="38">
        <v>720</v>
      </c>
      <c r="B780" s="38"/>
      <c r="C780" s="38"/>
      <c r="D780" s="38" t="s">
        <v>2380</v>
      </c>
      <c r="E780" s="40" t="s">
        <v>2381</v>
      </c>
      <c r="F780" s="58" t="s">
        <v>2382</v>
      </c>
      <c r="G780" s="42">
        <v>734</v>
      </c>
      <c r="H780" s="43"/>
      <c r="I780" s="44"/>
      <c r="J780" s="38">
        <f>734</f>
        <v>734</v>
      </c>
      <c r="K780" s="45">
        <v>2.3784722222222221E-2</v>
      </c>
      <c r="L780" s="46" t="s">
        <v>2330</v>
      </c>
      <c r="M780" s="38"/>
      <c r="N780" s="38"/>
      <c r="O780" s="38"/>
      <c r="P780" s="38"/>
      <c r="Q780" s="38"/>
      <c r="R780" s="48"/>
      <c r="S780" s="48"/>
      <c r="T780" s="48"/>
      <c r="U780" s="52"/>
      <c r="V780" s="50"/>
      <c r="W780" s="51"/>
      <c r="X780" s="56"/>
    </row>
    <row r="781" spans="1:24">
      <c r="A781" s="38">
        <v>721</v>
      </c>
      <c r="B781" s="38"/>
      <c r="C781" s="38"/>
      <c r="D781" s="38" t="s">
        <v>2383</v>
      </c>
      <c r="E781" s="40" t="s">
        <v>2384</v>
      </c>
      <c r="F781" s="58" t="s">
        <v>2385</v>
      </c>
      <c r="G781" s="42" t="s">
        <v>249</v>
      </c>
      <c r="H781" s="43"/>
      <c r="I781" s="44"/>
      <c r="J781" s="38">
        <f>2.4*1000</f>
        <v>2400</v>
      </c>
      <c r="K781" s="45">
        <v>2.5509259259259259E-2</v>
      </c>
      <c r="L781" s="46" t="s">
        <v>2330</v>
      </c>
      <c r="M781" s="38"/>
      <c r="N781" s="38"/>
      <c r="O781" s="38"/>
      <c r="P781" s="38"/>
      <c r="Q781" s="38"/>
      <c r="R781" s="48"/>
      <c r="S781" s="48"/>
      <c r="T781" s="48"/>
      <c r="U781" s="52"/>
      <c r="V781" s="50"/>
      <c r="W781" s="51"/>
      <c r="X781" s="56"/>
    </row>
    <row r="782" spans="1:24">
      <c r="A782" s="38">
        <v>722</v>
      </c>
      <c r="B782" s="38"/>
      <c r="C782" s="38"/>
      <c r="D782" s="38" t="s">
        <v>2386</v>
      </c>
      <c r="E782" s="40" t="s">
        <v>2387</v>
      </c>
      <c r="F782" s="41" t="s">
        <v>2388</v>
      </c>
      <c r="G782" s="42">
        <v>698</v>
      </c>
      <c r="H782" s="43"/>
      <c r="I782" s="44"/>
      <c r="J782" s="38">
        <f>698</f>
        <v>698</v>
      </c>
      <c r="K782" s="45">
        <v>1.6608796296296299E-2</v>
      </c>
      <c r="L782" s="46" t="s">
        <v>2330</v>
      </c>
      <c r="M782" s="38"/>
      <c r="N782" s="38"/>
      <c r="O782" s="38"/>
      <c r="P782" s="38"/>
      <c r="Q782" s="38"/>
      <c r="R782" s="48"/>
      <c r="S782" s="48"/>
      <c r="T782" s="48"/>
      <c r="U782" s="52"/>
      <c r="V782" s="50"/>
      <c r="W782" s="51"/>
      <c r="X782" s="56"/>
    </row>
    <row r="783" spans="1:24">
      <c r="A783" s="38">
        <v>723</v>
      </c>
      <c r="B783" s="38"/>
      <c r="C783" s="38"/>
      <c r="D783" s="38" t="s">
        <v>2389</v>
      </c>
      <c r="E783" s="40" t="s">
        <v>2390</v>
      </c>
      <c r="F783" s="41" t="s">
        <v>2391</v>
      </c>
      <c r="G783" s="42">
        <v>587</v>
      </c>
      <c r="H783" s="43"/>
      <c r="I783" s="44"/>
      <c r="J783" s="38">
        <f>587</f>
        <v>587</v>
      </c>
      <c r="K783" s="45">
        <v>1.3506944444444445E-2</v>
      </c>
      <c r="L783" s="46" t="s">
        <v>2330</v>
      </c>
      <c r="M783" s="38"/>
      <c r="N783" s="38"/>
      <c r="O783" s="38"/>
      <c r="P783" s="38"/>
      <c r="Q783" s="38"/>
      <c r="R783" s="48"/>
      <c r="S783" s="48"/>
      <c r="T783" s="48"/>
      <c r="U783" s="52"/>
      <c r="V783" s="50"/>
      <c r="W783" s="51"/>
      <c r="X783" s="56"/>
    </row>
    <row r="784" spans="1:24">
      <c r="A784" s="38">
        <v>724</v>
      </c>
      <c r="B784" s="38"/>
      <c r="C784" s="38"/>
      <c r="D784" s="38" t="s">
        <v>2392</v>
      </c>
      <c r="E784" s="40" t="s">
        <v>2393</v>
      </c>
      <c r="F784" s="58" t="s">
        <v>2394</v>
      </c>
      <c r="G784" s="42">
        <v>304</v>
      </c>
      <c r="H784" s="43"/>
      <c r="I784" s="44"/>
      <c r="J784" s="38">
        <f>304</f>
        <v>304</v>
      </c>
      <c r="K784" s="45">
        <v>2.2141203703703705E-2</v>
      </c>
      <c r="L784" s="46" t="s">
        <v>2330</v>
      </c>
      <c r="M784" s="38"/>
      <c r="N784" s="38"/>
      <c r="O784" s="38"/>
      <c r="P784" s="38"/>
      <c r="Q784" s="38"/>
      <c r="R784" s="48"/>
      <c r="S784" s="48"/>
      <c r="T784" s="48"/>
      <c r="U784" s="52"/>
      <c r="V784" s="50"/>
      <c r="W784" s="51"/>
      <c r="X784" s="56"/>
    </row>
    <row r="785" spans="1:24">
      <c r="A785" s="38">
        <v>725</v>
      </c>
      <c r="B785" s="38"/>
      <c r="C785" s="38"/>
      <c r="D785" s="38" t="s">
        <v>2395</v>
      </c>
      <c r="E785" s="40" t="s">
        <v>2396</v>
      </c>
      <c r="F785" s="58" t="s">
        <v>2397</v>
      </c>
      <c r="G785" s="42">
        <v>361</v>
      </c>
      <c r="H785" s="43"/>
      <c r="I785" s="44"/>
      <c r="J785" s="38">
        <f>361</f>
        <v>361</v>
      </c>
      <c r="K785" s="45">
        <v>2.568287037037037E-2</v>
      </c>
      <c r="L785" s="46" t="s">
        <v>2330</v>
      </c>
      <c r="M785" s="38"/>
      <c r="N785" s="38"/>
      <c r="O785" s="38"/>
      <c r="P785" s="38"/>
      <c r="Q785" s="38"/>
      <c r="R785" s="48"/>
      <c r="S785" s="48"/>
      <c r="T785" s="48"/>
      <c r="U785" s="52"/>
      <c r="V785" s="50"/>
      <c r="W785" s="51"/>
      <c r="X785" s="56"/>
    </row>
    <row r="786" spans="1:24">
      <c r="A786" s="38">
        <v>726</v>
      </c>
      <c r="B786" s="38"/>
      <c r="C786" s="38"/>
      <c r="D786" s="38" t="s">
        <v>2398</v>
      </c>
      <c r="E786" s="40" t="s">
        <v>2399</v>
      </c>
      <c r="F786" s="58" t="s">
        <v>2400</v>
      </c>
      <c r="G786" s="42" t="s">
        <v>1312</v>
      </c>
      <c r="H786" s="43"/>
      <c r="I786" s="44"/>
      <c r="J786" s="38">
        <f>2.2*1000</f>
        <v>2200</v>
      </c>
      <c r="K786" s="45">
        <v>1.9722222222222221E-2</v>
      </c>
      <c r="L786" s="46" t="s">
        <v>2330</v>
      </c>
      <c r="M786" s="38"/>
      <c r="N786" s="38"/>
      <c r="O786" s="38"/>
      <c r="P786" s="38"/>
      <c r="Q786" s="38"/>
      <c r="R786" s="48"/>
      <c r="S786" s="48"/>
      <c r="T786" s="48"/>
      <c r="U786" s="52"/>
      <c r="V786" s="50"/>
      <c r="W786" s="51"/>
      <c r="X786" s="56"/>
    </row>
    <row r="787" spans="1:24">
      <c r="A787" s="38">
        <v>727</v>
      </c>
      <c r="B787" s="38"/>
      <c r="C787" s="38"/>
      <c r="D787" s="38" t="s">
        <v>2401</v>
      </c>
      <c r="E787" s="40" t="s">
        <v>2402</v>
      </c>
      <c r="F787" s="58" t="s">
        <v>2403</v>
      </c>
      <c r="G787" s="42" t="s">
        <v>1005</v>
      </c>
      <c r="H787" s="43"/>
      <c r="I787" s="44"/>
      <c r="J787" s="38">
        <f>1.6*1000</f>
        <v>1600</v>
      </c>
      <c r="K787" s="45">
        <v>3.3888888888888885E-2</v>
      </c>
      <c r="L787" s="46" t="s">
        <v>2330</v>
      </c>
      <c r="M787" s="38"/>
      <c r="N787" s="38"/>
      <c r="O787" s="38"/>
      <c r="P787" s="38"/>
      <c r="Q787" s="38"/>
      <c r="R787" s="48"/>
      <c r="S787" s="48"/>
      <c r="T787" s="48"/>
      <c r="U787" s="52"/>
      <c r="V787" s="50"/>
      <c r="W787" s="51"/>
      <c r="X787" s="56"/>
    </row>
    <row r="788" spans="1:24">
      <c r="A788" s="38">
        <v>728</v>
      </c>
      <c r="B788" s="38"/>
      <c r="C788" s="38"/>
      <c r="D788" s="38" t="s">
        <v>2404</v>
      </c>
      <c r="E788" s="40" t="s">
        <v>2405</v>
      </c>
      <c r="F788" s="58" t="s">
        <v>2406</v>
      </c>
      <c r="G788" s="42">
        <v>245</v>
      </c>
      <c r="H788" s="43"/>
      <c r="I788" s="44"/>
      <c r="J788" s="38">
        <f>245</f>
        <v>245</v>
      </c>
      <c r="K788" s="45">
        <v>2.344907407407407E-2</v>
      </c>
      <c r="L788" s="46" t="s">
        <v>2330</v>
      </c>
      <c r="M788" s="38"/>
      <c r="N788" s="38"/>
      <c r="O788" s="38"/>
      <c r="P788" s="38"/>
      <c r="Q788" s="38"/>
      <c r="R788" s="48"/>
      <c r="S788" s="48"/>
      <c r="T788" s="48"/>
      <c r="U788" s="52"/>
      <c r="V788" s="50"/>
      <c r="W788" s="51"/>
      <c r="X788" s="56"/>
    </row>
    <row r="789" spans="1:24">
      <c r="A789" s="38">
        <v>729</v>
      </c>
      <c r="B789" s="38"/>
      <c r="C789" s="38"/>
      <c r="D789" s="38" t="s">
        <v>2407</v>
      </c>
      <c r="E789" s="40" t="s">
        <v>2408</v>
      </c>
      <c r="F789" s="58" t="s">
        <v>2409</v>
      </c>
      <c r="G789" s="42">
        <v>479</v>
      </c>
      <c r="H789" s="43"/>
      <c r="I789" s="44"/>
      <c r="J789" s="38">
        <f>479</f>
        <v>479</v>
      </c>
      <c r="K789" s="45">
        <v>2.9953703703703705E-2</v>
      </c>
      <c r="L789" s="46" t="s">
        <v>2330</v>
      </c>
      <c r="M789" s="38"/>
      <c r="N789" s="38"/>
      <c r="O789" s="38"/>
      <c r="P789" s="38"/>
      <c r="Q789" s="38"/>
      <c r="R789" s="48"/>
      <c r="S789" s="48"/>
      <c r="T789" s="48"/>
      <c r="U789" s="52"/>
      <c r="V789" s="50"/>
      <c r="W789" s="51"/>
      <c r="X789" s="56"/>
    </row>
    <row r="790" spans="1:24">
      <c r="A790" s="38">
        <v>730</v>
      </c>
      <c r="B790" s="38"/>
      <c r="C790" s="38"/>
      <c r="D790" s="38" t="s">
        <v>2410</v>
      </c>
      <c r="E790" s="40" t="s">
        <v>2411</v>
      </c>
      <c r="F790" s="41" t="s">
        <v>2412</v>
      </c>
      <c r="G790" s="42">
        <v>217</v>
      </c>
      <c r="H790" s="43"/>
      <c r="I790" s="44"/>
      <c r="J790" s="38">
        <f>217</f>
        <v>217</v>
      </c>
      <c r="K790" s="45">
        <v>1.2881944444444446E-2</v>
      </c>
      <c r="L790" s="46" t="s">
        <v>2330</v>
      </c>
      <c r="M790" s="38"/>
      <c r="N790" s="38"/>
      <c r="O790" s="38"/>
      <c r="P790" s="38"/>
      <c r="Q790" s="38"/>
      <c r="R790" s="48"/>
      <c r="S790" s="48"/>
      <c r="T790" s="48"/>
      <c r="U790" s="52"/>
      <c r="V790" s="50"/>
      <c r="W790" s="51"/>
      <c r="X790" s="56"/>
    </row>
    <row r="791" spans="1:24">
      <c r="A791" s="38">
        <v>731</v>
      </c>
      <c r="B791" s="38"/>
      <c r="C791" s="38"/>
      <c r="D791" s="38" t="s">
        <v>2413</v>
      </c>
      <c r="E791" s="40" t="s">
        <v>2414</v>
      </c>
      <c r="F791" s="58" t="s">
        <v>2415</v>
      </c>
      <c r="G791" s="42" t="s">
        <v>2416</v>
      </c>
      <c r="H791" s="43"/>
      <c r="I791" s="44"/>
      <c r="J791" s="38">
        <f>5.5*1000</f>
        <v>5500</v>
      </c>
      <c r="K791" s="45">
        <v>1.8912037037037036E-2</v>
      </c>
      <c r="L791" s="46" t="s">
        <v>2330</v>
      </c>
      <c r="M791" s="38"/>
      <c r="N791" s="38"/>
      <c r="O791" s="38"/>
      <c r="P791" s="38"/>
      <c r="Q791" s="38"/>
      <c r="R791" s="48"/>
      <c r="S791" s="48"/>
      <c r="T791" s="48"/>
      <c r="U791" s="52"/>
      <c r="V791" s="50"/>
      <c r="W791" s="51"/>
      <c r="X791" s="56"/>
    </row>
    <row r="792" spans="1:24">
      <c r="A792" s="38">
        <v>732</v>
      </c>
      <c r="B792" s="38"/>
      <c r="C792" s="38"/>
      <c r="D792" s="38" t="s">
        <v>2417</v>
      </c>
      <c r="E792" s="40" t="s">
        <v>2418</v>
      </c>
      <c r="F792" s="58" t="s">
        <v>2419</v>
      </c>
      <c r="G792" s="42">
        <v>335</v>
      </c>
      <c r="H792" s="43"/>
      <c r="I792" s="44"/>
      <c r="J792" s="38">
        <f>335</f>
        <v>335</v>
      </c>
      <c r="K792" s="45">
        <v>2.3877314814814813E-2</v>
      </c>
      <c r="L792" s="46" t="s">
        <v>2330</v>
      </c>
      <c r="M792" s="38"/>
      <c r="N792" s="38"/>
      <c r="O792" s="38"/>
      <c r="P792" s="38"/>
      <c r="Q792" s="38"/>
      <c r="R792" s="48"/>
      <c r="S792" s="48"/>
      <c r="T792" s="48"/>
      <c r="U792" s="52"/>
      <c r="V792" s="50"/>
      <c r="W792" s="51"/>
      <c r="X792" s="56"/>
    </row>
    <row r="793" spans="1:24">
      <c r="A793" s="38">
        <v>733</v>
      </c>
      <c r="B793" s="38"/>
      <c r="C793" s="38"/>
      <c r="D793" s="38" t="s">
        <v>2420</v>
      </c>
      <c r="E793" s="40" t="s">
        <v>2421</v>
      </c>
      <c r="F793" s="58" t="s">
        <v>2422</v>
      </c>
      <c r="G793" s="42" t="s">
        <v>351</v>
      </c>
      <c r="H793" s="43"/>
      <c r="I793" s="44"/>
      <c r="J793" s="38">
        <f>4.4*1000</f>
        <v>4400</v>
      </c>
      <c r="K793" s="45">
        <v>1.7638888888888888E-2</v>
      </c>
      <c r="L793" s="46" t="s">
        <v>2330</v>
      </c>
      <c r="M793" s="38"/>
      <c r="N793" s="38"/>
      <c r="O793" s="38"/>
      <c r="P793" s="38"/>
      <c r="Q793" s="38"/>
      <c r="R793" s="48"/>
      <c r="S793" s="48"/>
      <c r="T793" s="48"/>
      <c r="U793" s="52"/>
      <c r="V793" s="50"/>
      <c r="W793" s="51"/>
      <c r="X793" s="56"/>
    </row>
    <row r="794" spans="1:24">
      <c r="A794" s="38">
        <v>734</v>
      </c>
      <c r="B794" s="38"/>
      <c r="C794" s="38"/>
      <c r="D794" s="38" t="s">
        <v>2423</v>
      </c>
      <c r="E794" s="40" t="s">
        <v>2424</v>
      </c>
      <c r="F794" s="41" t="s">
        <v>2425</v>
      </c>
      <c r="G794" s="42" t="s">
        <v>374</v>
      </c>
      <c r="H794" s="43"/>
      <c r="I794" s="44"/>
      <c r="J794" s="38">
        <f>1.3*1000</f>
        <v>1300</v>
      </c>
      <c r="K794" s="45">
        <v>1.2222222222222223E-2</v>
      </c>
      <c r="L794" s="46" t="s">
        <v>2330</v>
      </c>
      <c r="M794" s="38"/>
      <c r="N794" s="38"/>
      <c r="O794" s="38"/>
      <c r="P794" s="38"/>
      <c r="Q794" s="38"/>
      <c r="R794" s="48"/>
      <c r="S794" s="48"/>
      <c r="T794" s="48"/>
      <c r="U794" s="52"/>
      <c r="V794" s="50"/>
      <c r="W794" s="51"/>
      <c r="X794" s="56"/>
    </row>
    <row r="795" spans="1:24">
      <c r="A795" s="38">
        <v>735</v>
      </c>
      <c r="B795" s="38"/>
      <c r="C795" s="38"/>
      <c r="D795" s="38" t="s">
        <v>2426</v>
      </c>
      <c r="E795" s="40" t="s">
        <v>2427</v>
      </c>
      <c r="F795" s="41" t="s">
        <v>667</v>
      </c>
      <c r="G795" s="42">
        <v>684</v>
      </c>
      <c r="H795" s="43"/>
      <c r="I795" s="44"/>
      <c r="J795" s="38">
        <f>684</f>
        <v>684</v>
      </c>
      <c r="K795" s="45">
        <v>3.0092592592592588E-3</v>
      </c>
      <c r="L795" s="46" t="s">
        <v>2330</v>
      </c>
      <c r="M795" s="38"/>
      <c r="N795" s="38"/>
      <c r="O795" s="38"/>
      <c r="P795" s="38"/>
      <c r="Q795" s="38"/>
      <c r="R795" s="48"/>
      <c r="S795" s="48"/>
      <c r="T795" s="48"/>
      <c r="U795" s="52"/>
      <c r="V795" s="50"/>
      <c r="W795" s="51"/>
      <c r="X795" s="56"/>
    </row>
    <row r="796" spans="1:24">
      <c r="A796" s="38">
        <v>736</v>
      </c>
      <c r="B796" s="38"/>
      <c r="C796" s="38"/>
      <c r="D796" s="38" t="s">
        <v>2428</v>
      </c>
      <c r="E796" s="40" t="s">
        <v>2429</v>
      </c>
      <c r="F796" s="41" t="s">
        <v>2430</v>
      </c>
      <c r="G796" s="42">
        <v>570</v>
      </c>
      <c r="H796" s="43"/>
      <c r="I796" s="44"/>
      <c r="J796" s="38">
        <f>570</f>
        <v>570</v>
      </c>
      <c r="K796" s="45">
        <v>5.2893518518518515E-3</v>
      </c>
      <c r="L796" s="46" t="s">
        <v>2330</v>
      </c>
      <c r="M796" s="38"/>
      <c r="N796" s="38"/>
      <c r="O796" s="38"/>
      <c r="P796" s="38"/>
      <c r="Q796" s="38"/>
      <c r="R796" s="48"/>
      <c r="S796" s="48"/>
      <c r="T796" s="48"/>
      <c r="U796" s="52"/>
      <c r="V796" s="50"/>
      <c r="W796" s="51"/>
      <c r="X796" s="56"/>
    </row>
    <row r="797" spans="1:24">
      <c r="A797" s="38">
        <v>737</v>
      </c>
      <c r="B797" s="38"/>
      <c r="C797" s="38"/>
      <c r="D797" s="38" t="s">
        <v>2431</v>
      </c>
      <c r="E797" s="40" t="s">
        <v>2432</v>
      </c>
      <c r="F797" s="41" t="s">
        <v>2433</v>
      </c>
      <c r="G797" s="42">
        <v>431</v>
      </c>
      <c r="H797" s="43"/>
      <c r="I797" s="44"/>
      <c r="J797" s="38">
        <f>431</f>
        <v>431</v>
      </c>
      <c r="K797" s="45">
        <v>5.347222222222222E-3</v>
      </c>
      <c r="L797" s="46" t="s">
        <v>2330</v>
      </c>
      <c r="M797" s="38"/>
      <c r="N797" s="38"/>
      <c r="O797" s="38"/>
      <c r="P797" s="38"/>
      <c r="Q797" s="38"/>
      <c r="R797" s="48"/>
      <c r="S797" s="48"/>
      <c r="T797" s="48"/>
      <c r="U797" s="52"/>
      <c r="V797" s="50"/>
      <c r="W797" s="51"/>
      <c r="X797" s="56"/>
    </row>
    <row r="798" spans="1:24">
      <c r="A798" s="38">
        <v>738</v>
      </c>
      <c r="B798" s="38"/>
      <c r="C798" s="38"/>
      <c r="D798" s="38" t="s">
        <v>2434</v>
      </c>
      <c r="E798" s="40" t="s">
        <v>2435</v>
      </c>
      <c r="F798" s="58" t="s">
        <v>2436</v>
      </c>
      <c r="G798" s="42" t="s">
        <v>374</v>
      </c>
      <c r="H798" s="43"/>
      <c r="I798" s="44"/>
      <c r="J798" s="38">
        <f>1.3*1000</f>
        <v>1300</v>
      </c>
      <c r="K798" s="45">
        <v>2.2812499999999999E-2</v>
      </c>
      <c r="L798" s="46" t="s">
        <v>2330</v>
      </c>
      <c r="M798" s="38"/>
      <c r="N798" s="38"/>
      <c r="O798" s="38"/>
      <c r="P798" s="38"/>
      <c r="Q798" s="38"/>
      <c r="R798" s="48"/>
      <c r="S798" s="48"/>
      <c r="T798" s="48"/>
      <c r="U798" s="52"/>
      <c r="V798" s="50"/>
      <c r="W798" s="51"/>
      <c r="X798" s="56"/>
    </row>
    <row r="799" spans="1:24">
      <c r="A799" s="38">
        <v>739</v>
      </c>
      <c r="B799" s="38"/>
      <c r="C799" s="38"/>
      <c r="D799" s="38" t="s">
        <v>2437</v>
      </c>
      <c r="E799" s="40" t="s">
        <v>2438</v>
      </c>
      <c r="F799" s="58" t="s">
        <v>2439</v>
      </c>
      <c r="G799" s="42" t="s">
        <v>264</v>
      </c>
      <c r="H799" s="43"/>
      <c r="I799" s="44"/>
      <c r="J799" s="38">
        <f>14*1000</f>
        <v>14000</v>
      </c>
      <c r="K799" s="45">
        <v>3.953703703703703E-2</v>
      </c>
      <c r="L799" s="46" t="s">
        <v>2330</v>
      </c>
      <c r="M799" s="38"/>
      <c r="N799" s="38"/>
      <c r="O799" s="38"/>
      <c r="P799" s="38"/>
      <c r="Q799" s="38"/>
      <c r="R799" s="48"/>
      <c r="S799" s="48"/>
      <c r="T799" s="48"/>
      <c r="U799" s="52"/>
      <c r="V799" s="50"/>
      <c r="W799" s="51"/>
      <c r="X799" s="56"/>
    </row>
    <row r="800" spans="1:24">
      <c r="A800" s="38">
        <v>740</v>
      </c>
      <c r="B800" s="38"/>
      <c r="C800" s="38"/>
      <c r="D800" s="38" t="s">
        <v>2440</v>
      </c>
      <c r="E800" s="40" t="s">
        <v>2441</v>
      </c>
      <c r="F800" s="61" t="s">
        <v>2442</v>
      </c>
      <c r="G800" s="42" t="s">
        <v>892</v>
      </c>
      <c r="H800" s="43"/>
      <c r="I800" s="44"/>
      <c r="J800" s="38">
        <f>8.1*1000</f>
        <v>8100</v>
      </c>
      <c r="K800" s="45">
        <v>7.2326388888888885E-2</v>
      </c>
      <c r="L800" s="46" t="s">
        <v>2330</v>
      </c>
      <c r="M800" s="38"/>
      <c r="N800" s="38"/>
      <c r="O800" s="38"/>
      <c r="P800" s="38"/>
      <c r="Q800" s="38"/>
      <c r="R800" s="48"/>
      <c r="S800" s="48"/>
      <c r="T800" s="48"/>
      <c r="U800" s="52"/>
      <c r="V800" s="50"/>
      <c r="W800" s="51"/>
      <c r="X800" s="56"/>
    </row>
    <row r="801" spans="1:24">
      <c r="A801" s="38">
        <v>741</v>
      </c>
      <c r="B801" s="38"/>
      <c r="C801" s="38"/>
      <c r="D801" s="38" t="s">
        <v>2443</v>
      </c>
      <c r="E801" s="40" t="s">
        <v>2441</v>
      </c>
      <c r="F801" s="61" t="s">
        <v>2444</v>
      </c>
      <c r="G801" s="42" t="s">
        <v>861</v>
      </c>
      <c r="H801" s="43"/>
      <c r="I801" s="44"/>
      <c r="J801" s="38">
        <f>9.4*1000</f>
        <v>9400</v>
      </c>
      <c r="K801" s="45">
        <v>7.0520833333333324E-2</v>
      </c>
      <c r="L801" s="46" t="s">
        <v>2330</v>
      </c>
      <c r="M801" s="38"/>
      <c r="N801" s="38"/>
      <c r="O801" s="38"/>
      <c r="P801" s="38"/>
      <c r="Q801" s="38"/>
      <c r="R801" s="48"/>
      <c r="S801" s="48"/>
      <c r="T801" s="48"/>
      <c r="U801" s="52"/>
      <c r="V801" s="50"/>
      <c r="W801" s="51"/>
      <c r="X801" s="56"/>
    </row>
    <row r="802" spans="1:24">
      <c r="A802" s="38">
        <v>742</v>
      </c>
      <c r="B802" s="38"/>
      <c r="C802" s="38"/>
      <c r="D802" s="38" t="s">
        <v>2445</v>
      </c>
      <c r="E802" s="40" t="s">
        <v>2446</v>
      </c>
      <c r="F802" s="61" t="s">
        <v>2447</v>
      </c>
      <c r="G802" s="42" t="s">
        <v>2308</v>
      </c>
      <c r="H802" s="43"/>
      <c r="I802" s="44"/>
      <c r="J802" s="38">
        <f>18*1000</f>
        <v>18000</v>
      </c>
      <c r="K802" s="45">
        <v>4.4467592592592593E-2</v>
      </c>
      <c r="L802" s="46" t="s">
        <v>2330</v>
      </c>
      <c r="M802" s="38"/>
      <c r="N802" s="38"/>
      <c r="O802" s="38"/>
      <c r="P802" s="38"/>
      <c r="Q802" s="38"/>
      <c r="R802" s="48"/>
      <c r="S802" s="48"/>
      <c r="T802" s="48"/>
      <c r="U802" s="52"/>
      <c r="V802" s="50"/>
      <c r="W802" s="51"/>
      <c r="X802" s="56"/>
    </row>
    <row r="803" spans="1:24">
      <c r="A803" s="38">
        <v>743</v>
      </c>
      <c r="B803" s="38"/>
      <c r="C803" s="38"/>
      <c r="D803" s="38" t="s">
        <v>2448</v>
      </c>
      <c r="E803" s="40" t="s">
        <v>2449</v>
      </c>
      <c r="F803" s="61" t="s">
        <v>2450</v>
      </c>
      <c r="G803" s="42" t="s">
        <v>135</v>
      </c>
      <c r="H803" s="43"/>
      <c r="I803" s="44"/>
      <c r="J803" s="38">
        <f>10*1000</f>
        <v>10000</v>
      </c>
      <c r="K803" s="45">
        <v>4.5474537037037042E-2</v>
      </c>
      <c r="L803" s="46" t="s">
        <v>2330</v>
      </c>
      <c r="M803" s="38"/>
      <c r="N803" s="38"/>
      <c r="O803" s="38"/>
      <c r="P803" s="38"/>
      <c r="Q803" s="38"/>
      <c r="R803" s="48"/>
      <c r="S803" s="48"/>
      <c r="T803" s="48"/>
      <c r="U803" s="52"/>
      <c r="V803" s="50"/>
      <c r="W803" s="51"/>
      <c r="X803" s="56"/>
    </row>
    <row r="804" spans="1:24">
      <c r="A804" s="38">
        <v>744</v>
      </c>
      <c r="B804" s="38"/>
      <c r="C804" s="38"/>
      <c r="D804" s="38" t="s">
        <v>2451</v>
      </c>
      <c r="E804" s="40" t="s">
        <v>2452</v>
      </c>
      <c r="F804" s="61" t="s">
        <v>2453</v>
      </c>
      <c r="G804" s="42" t="s">
        <v>2454</v>
      </c>
      <c r="H804" s="43"/>
      <c r="I804" s="44"/>
      <c r="J804" s="38">
        <f>114*1000</f>
        <v>114000</v>
      </c>
      <c r="K804" s="45">
        <v>4.2650462962962959E-2</v>
      </c>
      <c r="L804" s="46" t="s">
        <v>2455</v>
      </c>
      <c r="M804" s="38"/>
      <c r="N804" s="38"/>
      <c r="O804" s="38"/>
      <c r="P804" s="38"/>
      <c r="Q804" s="38"/>
      <c r="R804" s="48"/>
      <c r="S804" s="48"/>
      <c r="T804" s="48"/>
      <c r="U804" s="52"/>
      <c r="V804" s="50"/>
      <c r="W804" s="51"/>
      <c r="X804" s="56"/>
    </row>
    <row r="805" spans="1:24">
      <c r="A805" s="38">
        <v>745</v>
      </c>
      <c r="B805" s="38"/>
      <c r="C805" s="38"/>
      <c r="D805" s="38" t="s">
        <v>2456</v>
      </c>
      <c r="E805" s="40" t="s">
        <v>2457</v>
      </c>
      <c r="F805" s="61" t="s">
        <v>2458</v>
      </c>
      <c r="G805" s="42" t="s">
        <v>1134</v>
      </c>
      <c r="H805" s="43"/>
      <c r="I805" s="44"/>
      <c r="J805" s="38">
        <f>27*1000</f>
        <v>27000</v>
      </c>
      <c r="K805" s="45">
        <v>4.2083333333333334E-2</v>
      </c>
      <c r="L805" s="46" t="s">
        <v>2455</v>
      </c>
      <c r="M805" s="38"/>
      <c r="N805" s="38"/>
      <c r="O805" s="38"/>
      <c r="P805" s="38"/>
      <c r="Q805" s="38"/>
      <c r="R805" s="48"/>
      <c r="S805" s="48"/>
      <c r="T805" s="48"/>
      <c r="U805" s="52"/>
      <c r="V805" s="50"/>
      <c r="W805" s="51"/>
      <c r="X805" s="56"/>
    </row>
    <row r="806" spans="1:24">
      <c r="A806" s="38">
        <v>746</v>
      </c>
      <c r="B806" s="38"/>
      <c r="C806" s="38"/>
      <c r="D806" s="38" t="s">
        <v>2459</v>
      </c>
      <c r="E806" s="40" t="s">
        <v>2460</v>
      </c>
      <c r="F806" s="58" t="s">
        <v>2461</v>
      </c>
      <c r="G806" s="42" t="s">
        <v>2462</v>
      </c>
      <c r="H806" s="43"/>
      <c r="I806" s="44"/>
      <c r="J806" s="38">
        <f>17*1000</f>
        <v>17000</v>
      </c>
      <c r="K806" s="45">
        <v>3.9560185185185184E-2</v>
      </c>
      <c r="L806" s="46" t="s">
        <v>2455</v>
      </c>
      <c r="M806" s="38"/>
      <c r="N806" s="38"/>
      <c r="O806" s="38"/>
      <c r="P806" s="38"/>
      <c r="Q806" s="38"/>
      <c r="R806" s="48"/>
      <c r="S806" s="48"/>
      <c r="T806" s="48"/>
      <c r="U806" s="52"/>
      <c r="V806" s="50"/>
      <c r="W806" s="51"/>
      <c r="X806" s="56"/>
    </row>
    <row r="807" spans="1:24">
      <c r="A807" s="38">
        <v>747</v>
      </c>
      <c r="B807" s="38"/>
      <c r="C807" s="38"/>
      <c r="D807" s="38" t="s">
        <v>2463</v>
      </c>
      <c r="E807" s="40" t="s">
        <v>2464</v>
      </c>
      <c r="F807" s="61" t="s">
        <v>2465</v>
      </c>
      <c r="G807" s="42" t="s">
        <v>2297</v>
      </c>
      <c r="H807" s="43"/>
      <c r="I807" s="44"/>
      <c r="J807" s="38">
        <f>24*1000</f>
        <v>24000</v>
      </c>
      <c r="K807" s="45">
        <v>4.5462962962962962E-2</v>
      </c>
      <c r="L807" s="46" t="s">
        <v>2455</v>
      </c>
      <c r="M807" s="38"/>
      <c r="N807" s="38"/>
      <c r="O807" s="38"/>
      <c r="P807" s="38"/>
      <c r="Q807" s="38"/>
      <c r="R807" s="48"/>
      <c r="S807" s="48"/>
      <c r="T807" s="48"/>
      <c r="U807" s="52"/>
      <c r="V807" s="50"/>
      <c r="W807" s="51"/>
      <c r="X807" s="56"/>
    </row>
    <row r="808" spans="1:24">
      <c r="A808" s="38">
        <v>748</v>
      </c>
      <c r="B808" s="38"/>
      <c r="C808" s="38"/>
      <c r="D808" s="38" t="s">
        <v>2466</v>
      </c>
      <c r="E808" s="40" t="s">
        <v>2467</v>
      </c>
      <c r="F808" s="58" t="s">
        <v>2468</v>
      </c>
      <c r="G808" s="42" t="s">
        <v>575</v>
      </c>
      <c r="H808" s="43"/>
      <c r="I808" s="44"/>
      <c r="J808" s="38">
        <f>22*1000</f>
        <v>22000</v>
      </c>
      <c r="K808" s="45">
        <v>3.2557870370370369E-2</v>
      </c>
      <c r="L808" s="46" t="s">
        <v>2455</v>
      </c>
      <c r="M808" s="38"/>
      <c r="N808" s="38"/>
      <c r="O808" s="38"/>
      <c r="P808" s="38"/>
      <c r="Q808" s="38"/>
      <c r="R808" s="48"/>
      <c r="S808" s="48"/>
      <c r="T808" s="48"/>
      <c r="U808" s="52"/>
      <c r="V808" s="50"/>
      <c r="W808" s="51"/>
      <c r="X808" s="56"/>
    </row>
    <row r="809" spans="1:24">
      <c r="A809" s="38">
        <v>749</v>
      </c>
      <c r="B809" s="38"/>
      <c r="C809" s="38"/>
      <c r="D809" s="38" t="s">
        <v>2469</v>
      </c>
      <c r="E809" s="40" t="s">
        <v>2470</v>
      </c>
      <c r="F809" s="58" t="s">
        <v>2471</v>
      </c>
      <c r="G809" s="42" t="s">
        <v>1134</v>
      </c>
      <c r="H809" s="43"/>
      <c r="I809" s="44"/>
      <c r="J809" s="38">
        <f>27*1000</f>
        <v>27000</v>
      </c>
      <c r="K809" s="45">
        <v>3.3379629629629634E-2</v>
      </c>
      <c r="L809" s="46" t="s">
        <v>2472</v>
      </c>
      <c r="M809" s="38"/>
      <c r="N809" s="38"/>
      <c r="O809" s="38"/>
      <c r="P809" s="38"/>
      <c r="Q809" s="38"/>
      <c r="R809" s="48"/>
      <c r="S809" s="48"/>
      <c r="T809" s="48"/>
      <c r="U809" s="52"/>
      <c r="V809" s="50"/>
      <c r="W809" s="51"/>
      <c r="X809" s="56"/>
    </row>
    <row r="810" spans="1:24">
      <c r="A810" s="38">
        <v>750</v>
      </c>
      <c r="B810" s="38"/>
      <c r="C810" s="38"/>
      <c r="D810" s="38" t="s">
        <v>2473</v>
      </c>
      <c r="E810" s="40" t="s">
        <v>2474</v>
      </c>
      <c r="F810" s="61" t="s">
        <v>2475</v>
      </c>
      <c r="G810" s="42" t="s">
        <v>264</v>
      </c>
      <c r="H810" s="43"/>
      <c r="I810" s="44"/>
      <c r="J810" s="38">
        <f>14*1000</f>
        <v>14000</v>
      </c>
      <c r="K810" s="45">
        <v>4.2465277777777775E-2</v>
      </c>
      <c r="L810" s="46" t="s">
        <v>2472</v>
      </c>
      <c r="M810" s="38"/>
      <c r="N810" s="38"/>
      <c r="O810" s="38"/>
      <c r="P810" s="38"/>
      <c r="Q810" s="38"/>
      <c r="R810" s="48"/>
      <c r="S810" s="48"/>
      <c r="T810" s="48"/>
      <c r="U810" s="52"/>
      <c r="V810" s="50"/>
      <c r="W810" s="51"/>
      <c r="X810" s="56"/>
    </row>
    <row r="811" spans="1:24">
      <c r="A811" s="38">
        <v>751</v>
      </c>
      <c r="B811" s="38"/>
      <c r="C811" s="38"/>
      <c r="D811" s="38" t="s">
        <v>2476</v>
      </c>
      <c r="E811" s="40" t="s">
        <v>2477</v>
      </c>
      <c r="F811" s="61" t="s">
        <v>2478</v>
      </c>
      <c r="G811" s="42" t="s">
        <v>1157</v>
      </c>
      <c r="H811" s="43"/>
      <c r="I811" s="44"/>
      <c r="J811" s="38">
        <f>6.7*1000</f>
        <v>6700</v>
      </c>
      <c r="K811" s="45">
        <v>8.1655092592592585E-2</v>
      </c>
      <c r="L811" s="46" t="s">
        <v>2472</v>
      </c>
      <c r="M811" s="38"/>
      <c r="N811" s="38"/>
      <c r="O811" s="38"/>
      <c r="P811" s="38"/>
      <c r="Q811" s="38"/>
      <c r="R811" s="48"/>
      <c r="S811" s="48"/>
      <c r="T811" s="48"/>
      <c r="U811" s="52"/>
      <c r="V811" s="50"/>
      <c r="W811" s="51"/>
      <c r="X811" s="56"/>
    </row>
    <row r="812" spans="1:24">
      <c r="A812" s="38">
        <v>752</v>
      </c>
      <c r="B812" s="38"/>
      <c r="C812" s="38"/>
      <c r="D812" s="38" t="s">
        <v>2479</v>
      </c>
      <c r="E812" s="40" t="s">
        <v>2480</v>
      </c>
      <c r="F812" s="58" t="s">
        <v>2481</v>
      </c>
      <c r="G812" s="42" t="s">
        <v>2482</v>
      </c>
      <c r="H812" s="43"/>
      <c r="I812" s="44"/>
      <c r="J812" s="38">
        <f>39*1000</f>
        <v>39000</v>
      </c>
      <c r="K812" s="45">
        <v>2.6944444444444441E-2</v>
      </c>
      <c r="L812" s="46" t="s">
        <v>2472</v>
      </c>
      <c r="M812" s="38"/>
      <c r="N812" s="38"/>
      <c r="O812" s="38"/>
      <c r="P812" s="38"/>
      <c r="Q812" s="38"/>
      <c r="R812" s="48"/>
      <c r="S812" s="48"/>
      <c r="T812" s="48"/>
      <c r="U812" s="52"/>
      <c r="V812" s="50"/>
      <c r="W812" s="51"/>
      <c r="X812" s="56"/>
    </row>
    <row r="813" spans="1:24">
      <c r="A813" s="38">
        <v>753</v>
      </c>
      <c r="B813" s="38"/>
      <c r="C813" s="38"/>
      <c r="D813" s="38" t="s">
        <v>2483</v>
      </c>
      <c r="E813" s="40" t="s">
        <v>2484</v>
      </c>
      <c r="F813" s="61" t="s">
        <v>2485</v>
      </c>
      <c r="G813" s="42" t="s">
        <v>135</v>
      </c>
      <c r="H813" s="43"/>
      <c r="I813" s="44"/>
      <c r="J813" s="38">
        <f>10*1000</f>
        <v>10000</v>
      </c>
      <c r="K813" s="45">
        <v>4.3171296296296298E-2</v>
      </c>
      <c r="L813" s="46" t="s">
        <v>2472</v>
      </c>
      <c r="M813" s="38"/>
      <c r="N813" s="38"/>
      <c r="O813" s="38"/>
      <c r="P813" s="38"/>
      <c r="Q813" s="38"/>
      <c r="R813" s="48"/>
      <c r="S813" s="48"/>
      <c r="T813" s="48"/>
      <c r="U813" s="52"/>
      <c r="V813" s="50"/>
      <c r="W813" s="51"/>
      <c r="X813" s="56"/>
    </row>
    <row r="814" spans="1:24">
      <c r="A814" s="38">
        <v>754</v>
      </c>
      <c r="B814" s="38"/>
      <c r="C814" s="38"/>
      <c r="D814" s="38" t="s">
        <v>2486</v>
      </c>
      <c r="E814" s="40" t="s">
        <v>2487</v>
      </c>
      <c r="F814" s="61" t="s">
        <v>2488</v>
      </c>
      <c r="G814" s="42" t="s">
        <v>575</v>
      </c>
      <c r="H814" s="43"/>
      <c r="I814" s="44"/>
      <c r="J814" s="38">
        <f>22*1000</f>
        <v>22000</v>
      </c>
      <c r="K814" s="45">
        <v>5.1331018518518519E-2</v>
      </c>
      <c r="L814" s="46" t="s">
        <v>2489</v>
      </c>
      <c r="M814" s="38"/>
      <c r="N814" s="38"/>
      <c r="O814" s="38"/>
      <c r="P814" s="38"/>
      <c r="Q814" s="38"/>
      <c r="R814" s="48"/>
      <c r="S814" s="48"/>
      <c r="T814" s="48"/>
      <c r="U814" s="52"/>
      <c r="V814" s="50"/>
      <c r="W814" s="51"/>
      <c r="X814" s="56"/>
    </row>
    <row r="815" spans="1:24">
      <c r="A815" s="38">
        <v>755</v>
      </c>
      <c r="B815" s="38"/>
      <c r="C815" s="38"/>
      <c r="D815" s="38" t="s">
        <v>2490</v>
      </c>
      <c r="E815" s="40" t="s">
        <v>2491</v>
      </c>
      <c r="F815" s="61" t="s">
        <v>2492</v>
      </c>
      <c r="G815" s="42" t="s">
        <v>825</v>
      </c>
      <c r="H815" s="43"/>
      <c r="I815" s="44"/>
      <c r="J815" s="38">
        <f>12*1000</f>
        <v>12000</v>
      </c>
      <c r="K815" s="45">
        <v>6.8020833333333336E-2</v>
      </c>
      <c r="L815" s="46" t="s">
        <v>2493</v>
      </c>
      <c r="M815" s="38"/>
      <c r="N815" s="38"/>
      <c r="O815" s="38"/>
      <c r="P815" s="38"/>
      <c r="Q815" s="38"/>
      <c r="R815" s="48"/>
      <c r="S815" s="48"/>
      <c r="T815" s="48"/>
      <c r="U815" s="52"/>
      <c r="V815" s="50"/>
      <c r="W815" s="51"/>
      <c r="X815" s="56"/>
    </row>
    <row r="816" spans="1:24">
      <c r="A816" s="38">
        <v>756</v>
      </c>
      <c r="B816" s="38"/>
      <c r="C816" s="38"/>
      <c r="D816" s="38" t="s">
        <v>2494</v>
      </c>
      <c r="E816" s="40" t="s">
        <v>2495</v>
      </c>
      <c r="F816" s="58" t="s">
        <v>2403</v>
      </c>
      <c r="G816" s="42" t="s">
        <v>2462</v>
      </c>
      <c r="H816" s="43"/>
      <c r="I816" s="44"/>
      <c r="J816" s="38">
        <f>17*1000</f>
        <v>17000</v>
      </c>
      <c r="K816" s="45">
        <v>3.3888888888888885E-2</v>
      </c>
      <c r="L816" s="46" t="s">
        <v>2496</v>
      </c>
      <c r="M816" s="38"/>
      <c r="N816" s="38"/>
      <c r="O816" s="38"/>
      <c r="P816" s="38"/>
      <c r="Q816" s="38"/>
      <c r="R816" s="48"/>
      <c r="S816" s="48"/>
      <c r="T816" s="48"/>
      <c r="U816" s="52"/>
      <c r="V816" s="50"/>
      <c r="W816" s="51"/>
      <c r="X816" s="56"/>
    </row>
    <row r="817" spans="1:24">
      <c r="A817" s="38">
        <v>757</v>
      </c>
      <c r="B817" s="38"/>
      <c r="C817" s="38"/>
      <c r="D817" s="38" t="s">
        <v>2497</v>
      </c>
      <c r="E817" s="40" t="s">
        <v>2498</v>
      </c>
      <c r="F817" s="61" t="s">
        <v>2499</v>
      </c>
      <c r="G817" s="42" t="s">
        <v>1488</v>
      </c>
      <c r="H817" s="43"/>
      <c r="I817" s="44"/>
      <c r="J817" s="38">
        <f>9.5*1000</f>
        <v>9500</v>
      </c>
      <c r="K817" s="45">
        <v>5.0972222222222224E-2</v>
      </c>
      <c r="L817" s="42" t="s">
        <v>2500</v>
      </c>
      <c r="M817" s="38"/>
      <c r="N817" s="38"/>
      <c r="O817" s="38"/>
      <c r="P817" s="38"/>
      <c r="Q817" s="38"/>
      <c r="R817" s="48"/>
      <c r="S817" s="48"/>
      <c r="T817" s="48"/>
      <c r="U817" s="52"/>
      <c r="V817" s="50"/>
      <c r="W817" s="51"/>
      <c r="X817" s="56"/>
    </row>
    <row r="818" spans="1:24">
      <c r="A818" s="38"/>
      <c r="B818" s="38"/>
      <c r="D818" s="38"/>
      <c r="E818" s="43"/>
      <c r="F818" s="38"/>
      <c r="G818" s="46"/>
      <c r="H818" s="38"/>
      <c r="I818" s="57"/>
      <c r="J818" s="38"/>
      <c r="K818" s="38"/>
      <c r="L818" s="46"/>
      <c r="M818" s="56"/>
      <c r="N818" s="56"/>
      <c r="O818" s="56"/>
      <c r="P818" s="56"/>
      <c r="Q818" s="56"/>
      <c r="R818" s="62"/>
      <c r="S818" s="62"/>
      <c r="X818" s="56"/>
    </row>
    <row r="819" spans="1:24">
      <c r="A819" s="38"/>
      <c r="B819" s="38"/>
      <c r="D819" s="38"/>
      <c r="E819" s="43"/>
      <c r="F819" s="38"/>
      <c r="G819" s="46"/>
      <c r="H819" s="38"/>
      <c r="I819" s="57"/>
      <c r="J819" s="38"/>
      <c r="K819" s="38"/>
      <c r="L819" s="46"/>
      <c r="M819" s="56"/>
      <c r="N819" s="56"/>
      <c r="O819" s="56"/>
      <c r="P819" s="56"/>
      <c r="Q819" s="56"/>
      <c r="R819" s="62"/>
      <c r="S819" s="62"/>
      <c r="X819" s="56"/>
    </row>
    <row r="820" spans="1:24">
      <c r="A820" s="38"/>
      <c r="B820" s="38"/>
      <c r="D820" s="38"/>
      <c r="E820" s="43"/>
      <c r="F820" s="38"/>
      <c r="G820" s="46"/>
      <c r="H820" s="38"/>
      <c r="I820" s="57"/>
      <c r="J820" s="38"/>
      <c r="K820" s="38"/>
      <c r="L820" s="46"/>
      <c r="M820" s="56"/>
      <c r="N820" s="56"/>
      <c r="O820" s="56"/>
      <c r="P820" s="56"/>
      <c r="Q820" s="56"/>
      <c r="R820" s="62"/>
      <c r="S820" s="62"/>
      <c r="X820" s="56"/>
    </row>
    <row r="821" spans="1:24">
      <c r="A821" s="38"/>
      <c r="B821" s="38"/>
      <c r="D821" s="38"/>
      <c r="E821" s="43"/>
      <c r="F821" s="38"/>
      <c r="G821" s="46"/>
      <c r="H821" s="38"/>
      <c r="I821" s="57"/>
      <c r="J821" s="38"/>
      <c r="K821" s="38"/>
      <c r="L821" s="46"/>
      <c r="M821" s="56"/>
      <c r="N821" s="56"/>
      <c r="O821" s="56"/>
      <c r="P821" s="56"/>
      <c r="Q821" s="56"/>
      <c r="R821" s="62"/>
      <c r="S821" s="62"/>
      <c r="X821" s="56"/>
    </row>
    <row r="822" spans="1:24">
      <c r="A822" s="38"/>
      <c r="B822" s="38"/>
      <c r="D822" s="38"/>
      <c r="E822" s="43"/>
      <c r="F822" s="38"/>
      <c r="G822" s="46"/>
      <c r="H822" s="38"/>
      <c r="I822" s="57"/>
      <c r="J822" s="38"/>
      <c r="K822" s="38"/>
      <c r="L822" s="46"/>
      <c r="M822" s="56"/>
      <c r="N822" s="56"/>
      <c r="O822" s="56"/>
      <c r="P822" s="56"/>
      <c r="Q822" s="56"/>
      <c r="R822" s="62"/>
      <c r="S822" s="62"/>
      <c r="X822" s="56"/>
    </row>
    <row r="823" spans="1:24">
      <c r="A823" s="38"/>
      <c r="B823" s="38"/>
      <c r="D823" s="38"/>
      <c r="E823" s="43"/>
      <c r="F823" s="38"/>
      <c r="G823" s="46"/>
      <c r="H823" s="38"/>
      <c r="I823" s="57"/>
      <c r="J823" s="38"/>
      <c r="K823" s="38"/>
      <c r="L823" s="46"/>
      <c r="M823" s="56"/>
      <c r="N823" s="56"/>
      <c r="O823" s="56"/>
      <c r="P823" s="56"/>
      <c r="Q823" s="56"/>
      <c r="R823" s="62"/>
      <c r="S823" s="62"/>
      <c r="X823" s="56"/>
    </row>
    <row r="824" spans="1:24">
      <c r="A824" s="38"/>
      <c r="B824" s="38"/>
      <c r="D824" s="38"/>
      <c r="E824" s="43"/>
      <c r="F824" s="38"/>
      <c r="G824" s="46"/>
      <c r="H824" s="38"/>
      <c r="I824" s="57"/>
      <c r="J824" s="38"/>
      <c r="K824" s="38"/>
      <c r="L824" s="46"/>
      <c r="M824" s="56"/>
      <c r="N824" s="56"/>
      <c r="O824" s="56"/>
      <c r="P824" s="56"/>
      <c r="Q824" s="56"/>
      <c r="R824" s="62"/>
      <c r="S824" s="62"/>
      <c r="X824" s="56"/>
    </row>
    <row r="825" spans="1:24">
      <c r="A825" s="38"/>
      <c r="B825" s="38"/>
      <c r="D825" s="38"/>
      <c r="E825" s="43"/>
      <c r="F825" s="38"/>
      <c r="G825" s="46"/>
      <c r="H825" s="38"/>
      <c r="I825" s="57"/>
      <c r="J825" s="38"/>
      <c r="K825" s="38"/>
      <c r="L825" s="46"/>
      <c r="M825" s="56"/>
      <c r="N825" s="56"/>
      <c r="O825" s="56"/>
      <c r="P825" s="56"/>
      <c r="Q825" s="56"/>
      <c r="R825" s="62"/>
      <c r="S825" s="62"/>
      <c r="X825" s="56"/>
    </row>
    <row r="826" spans="1:24">
      <c r="A826" s="38"/>
      <c r="B826" s="38"/>
      <c r="D826" s="38"/>
      <c r="E826" s="43"/>
      <c r="F826" s="38"/>
      <c r="G826" s="46"/>
      <c r="H826" s="38"/>
      <c r="I826" s="57"/>
      <c r="J826" s="38"/>
      <c r="K826" s="38"/>
      <c r="L826" s="46"/>
      <c r="M826" s="56"/>
      <c r="N826" s="56"/>
      <c r="O826" s="56"/>
      <c r="P826" s="56"/>
      <c r="Q826" s="56"/>
      <c r="R826" s="62"/>
      <c r="S826" s="62"/>
      <c r="X826" s="56"/>
    </row>
    <row r="827" spans="1:24">
      <c r="A827" s="38"/>
      <c r="B827" s="38"/>
      <c r="D827" s="38"/>
      <c r="E827" s="43"/>
      <c r="F827" s="38"/>
      <c r="G827" s="46"/>
      <c r="H827" s="38"/>
      <c r="I827" s="57"/>
      <c r="J827" s="38"/>
      <c r="K827" s="38"/>
      <c r="L827" s="46"/>
      <c r="M827" s="56"/>
      <c r="N827" s="56"/>
      <c r="O827" s="56"/>
      <c r="P827" s="56"/>
      <c r="Q827" s="56"/>
      <c r="R827" s="62"/>
      <c r="S827" s="62"/>
      <c r="X827" s="56"/>
    </row>
    <row r="828" spans="1:24">
      <c r="A828" s="38"/>
      <c r="B828" s="38"/>
      <c r="D828" s="38"/>
      <c r="E828" s="43"/>
      <c r="F828" s="38"/>
      <c r="G828" s="46"/>
      <c r="H828" s="38"/>
      <c r="I828" s="57"/>
      <c r="J828" s="38"/>
      <c r="K828" s="38"/>
      <c r="L828" s="46"/>
      <c r="M828" s="56"/>
      <c r="N828" s="56"/>
      <c r="O828" s="56"/>
      <c r="P828" s="56"/>
      <c r="Q828" s="56"/>
      <c r="R828" s="62"/>
      <c r="S828" s="62"/>
      <c r="X828" s="56"/>
    </row>
    <row r="829" spans="1:24">
      <c r="A829" s="38"/>
      <c r="B829" s="38"/>
      <c r="D829" s="38"/>
      <c r="E829" s="43"/>
      <c r="F829" s="38"/>
      <c r="G829" s="46"/>
      <c r="H829" s="38"/>
      <c r="I829" s="57"/>
      <c r="J829" s="38"/>
      <c r="K829" s="38"/>
      <c r="L829" s="46"/>
      <c r="M829" s="56"/>
      <c r="N829" s="56"/>
      <c r="O829" s="56"/>
      <c r="P829" s="56"/>
      <c r="Q829" s="56"/>
      <c r="R829" s="62"/>
      <c r="S829" s="62"/>
      <c r="X829" s="56"/>
    </row>
    <row r="830" spans="1:24">
      <c r="A830" s="38"/>
      <c r="B830" s="38"/>
      <c r="D830" s="38"/>
      <c r="E830" s="43"/>
      <c r="F830" s="38"/>
      <c r="G830" s="46"/>
      <c r="H830" s="38"/>
      <c r="I830" s="57"/>
      <c r="J830" s="38"/>
      <c r="K830" s="38"/>
      <c r="L830" s="46"/>
      <c r="M830" s="56"/>
      <c r="N830" s="56"/>
      <c r="O830" s="56"/>
      <c r="P830" s="56"/>
      <c r="Q830" s="56"/>
      <c r="R830" s="62"/>
      <c r="S830" s="62"/>
      <c r="X830" s="56"/>
    </row>
    <row r="831" spans="1:24">
      <c r="A831" s="38"/>
      <c r="B831" s="38"/>
      <c r="D831" s="38"/>
      <c r="E831" s="43"/>
      <c r="F831" s="38"/>
      <c r="G831" s="46"/>
      <c r="H831" s="38"/>
      <c r="I831" s="57"/>
      <c r="J831" s="38"/>
      <c r="K831" s="38"/>
      <c r="L831" s="46"/>
      <c r="M831" s="56"/>
      <c r="N831" s="56"/>
      <c r="O831" s="56"/>
      <c r="P831" s="56"/>
      <c r="Q831" s="56"/>
      <c r="R831" s="62"/>
      <c r="S831" s="62"/>
      <c r="X831" s="56"/>
    </row>
    <row r="832" spans="1:24">
      <c r="A832" s="38"/>
      <c r="B832" s="38"/>
      <c r="D832" s="38"/>
      <c r="E832" s="43"/>
      <c r="F832" s="38"/>
      <c r="G832" s="46"/>
      <c r="H832" s="38"/>
      <c r="I832" s="57"/>
      <c r="J832" s="38"/>
      <c r="K832" s="38"/>
      <c r="L832" s="46"/>
      <c r="M832" s="56"/>
      <c r="N832" s="56"/>
      <c r="O832" s="56"/>
      <c r="P832" s="56"/>
      <c r="Q832" s="56"/>
      <c r="R832" s="62"/>
      <c r="S832" s="62"/>
      <c r="X832" s="56"/>
    </row>
    <row r="833" spans="1:24">
      <c r="A833" s="38"/>
      <c r="B833" s="38"/>
      <c r="D833" s="38"/>
      <c r="E833" s="43"/>
      <c r="F833" s="38"/>
      <c r="G833" s="46"/>
      <c r="H833" s="38"/>
      <c r="I833" s="57"/>
      <c r="J833" s="38"/>
      <c r="K833" s="38"/>
      <c r="L833" s="46"/>
      <c r="M833" s="56"/>
      <c r="N833" s="56"/>
      <c r="O833" s="56"/>
      <c r="P833" s="56"/>
      <c r="Q833" s="56"/>
      <c r="R833" s="62"/>
      <c r="S833" s="62"/>
      <c r="X833" s="56"/>
    </row>
    <row r="834" spans="1:24">
      <c r="A834" s="38"/>
      <c r="B834" s="38"/>
      <c r="D834" s="38"/>
      <c r="E834" s="43"/>
      <c r="F834" s="38"/>
      <c r="G834" s="46"/>
      <c r="H834" s="38"/>
      <c r="I834" s="57"/>
      <c r="J834" s="38"/>
      <c r="K834" s="38"/>
      <c r="L834" s="46"/>
      <c r="M834" s="56"/>
      <c r="N834" s="56"/>
      <c r="O834" s="56"/>
      <c r="P834" s="56"/>
      <c r="Q834" s="56"/>
      <c r="R834" s="62"/>
      <c r="S834" s="62"/>
      <c r="X834" s="56"/>
    </row>
    <row r="835" spans="1:24">
      <c r="A835" s="38"/>
      <c r="B835" s="38"/>
      <c r="D835" s="38"/>
      <c r="E835" s="43"/>
      <c r="F835" s="38"/>
      <c r="G835" s="46"/>
      <c r="H835" s="38"/>
      <c r="I835" s="57"/>
      <c r="J835" s="38"/>
      <c r="K835" s="38"/>
      <c r="L835" s="46"/>
      <c r="M835" s="56"/>
      <c r="N835" s="56"/>
      <c r="O835" s="56"/>
      <c r="P835" s="56"/>
      <c r="Q835" s="56"/>
      <c r="R835" s="62"/>
      <c r="S835" s="62"/>
      <c r="X835" s="56"/>
    </row>
    <row r="836" spans="1:24">
      <c r="A836" s="38"/>
      <c r="B836" s="38"/>
      <c r="D836" s="38"/>
      <c r="E836" s="38"/>
      <c r="F836" s="38"/>
      <c r="G836" s="46"/>
      <c r="H836" s="38"/>
      <c r="I836" s="57"/>
      <c r="J836" s="38"/>
      <c r="K836" s="38"/>
      <c r="L836" s="46"/>
      <c r="M836" s="56"/>
      <c r="N836" s="56"/>
      <c r="O836" s="56"/>
      <c r="P836" s="56"/>
      <c r="Q836" s="56"/>
      <c r="R836" s="62"/>
      <c r="S836" s="62"/>
      <c r="X836" s="56"/>
    </row>
    <row r="837" spans="1:24">
      <c r="A837" s="38"/>
      <c r="B837" s="38"/>
      <c r="D837" s="38"/>
      <c r="E837" s="38"/>
      <c r="F837" s="38"/>
      <c r="G837" s="46"/>
      <c r="H837" s="38"/>
      <c r="I837" s="57"/>
      <c r="J837" s="38"/>
      <c r="K837" s="38"/>
      <c r="L837" s="46"/>
      <c r="M837" s="56"/>
      <c r="N837" s="56"/>
      <c r="O837" s="56"/>
      <c r="P837" s="56"/>
      <c r="Q837" s="56"/>
      <c r="R837" s="62"/>
      <c r="S837" s="62"/>
      <c r="X837" s="56"/>
    </row>
    <row r="838" spans="1:24">
      <c r="A838" s="38"/>
      <c r="B838" s="38"/>
      <c r="D838" s="38"/>
      <c r="E838" s="38"/>
      <c r="F838" s="38"/>
      <c r="G838" s="46"/>
      <c r="H838" s="38"/>
      <c r="I838" s="57"/>
      <c r="J838" s="38"/>
      <c r="K838" s="38"/>
      <c r="L838" s="46"/>
      <c r="M838" s="56"/>
      <c r="N838" s="56"/>
      <c r="O838" s="56"/>
      <c r="P838" s="56"/>
      <c r="Q838" s="56"/>
      <c r="R838" s="62"/>
      <c r="S838" s="62"/>
      <c r="X838" s="56"/>
    </row>
    <row r="839" spans="1:24">
      <c r="A839" s="38"/>
      <c r="B839" s="38"/>
      <c r="D839" s="38"/>
      <c r="E839" s="38"/>
      <c r="F839" s="38"/>
      <c r="G839" s="46"/>
      <c r="H839" s="38"/>
      <c r="I839" s="57"/>
      <c r="J839" s="38"/>
      <c r="K839" s="38"/>
      <c r="L839" s="46"/>
      <c r="M839" s="56"/>
      <c r="N839" s="56"/>
      <c r="O839" s="56"/>
      <c r="P839" s="56"/>
      <c r="Q839" s="56"/>
      <c r="R839" s="62"/>
      <c r="S839" s="62"/>
      <c r="X839" s="56"/>
    </row>
    <row r="840" spans="1:24">
      <c r="A840" s="38"/>
      <c r="B840" s="38"/>
      <c r="D840" s="38"/>
      <c r="E840" s="38"/>
      <c r="F840" s="38"/>
      <c r="G840" s="46"/>
      <c r="H840" s="38"/>
      <c r="I840" s="57"/>
      <c r="J840" s="38"/>
      <c r="K840" s="38"/>
      <c r="L840" s="46"/>
      <c r="M840" s="56"/>
      <c r="N840" s="56"/>
      <c r="O840" s="56"/>
      <c r="P840" s="56"/>
      <c r="Q840" s="56"/>
      <c r="R840" s="62"/>
      <c r="S840" s="62"/>
      <c r="X840" s="56"/>
    </row>
    <row r="841" spans="1:24">
      <c r="A841" s="38"/>
      <c r="B841" s="38"/>
      <c r="D841" s="38"/>
      <c r="E841" s="38"/>
      <c r="F841" s="38"/>
      <c r="G841" s="46"/>
      <c r="H841" s="38"/>
      <c r="I841" s="57"/>
      <c r="J841" s="38"/>
      <c r="K841" s="38"/>
      <c r="L841" s="46"/>
      <c r="M841" s="56"/>
      <c r="N841" s="56"/>
      <c r="O841" s="56"/>
      <c r="P841" s="56"/>
      <c r="Q841" s="56"/>
      <c r="R841" s="62"/>
      <c r="S841" s="62"/>
      <c r="X841" s="56"/>
    </row>
    <row r="842" spans="1:24">
      <c r="A842" s="38"/>
      <c r="B842" s="38"/>
      <c r="D842" s="38"/>
      <c r="E842" s="38"/>
      <c r="F842" s="38"/>
      <c r="G842" s="46"/>
      <c r="H842" s="38"/>
      <c r="I842" s="57"/>
      <c r="J842" s="38"/>
      <c r="K842" s="38"/>
      <c r="L842" s="46"/>
      <c r="M842" s="56"/>
      <c r="N842" s="56"/>
      <c r="O842" s="56"/>
      <c r="P842" s="56"/>
      <c r="Q842" s="56"/>
      <c r="R842" s="62"/>
      <c r="S842" s="62"/>
      <c r="X842" s="56"/>
    </row>
    <row r="843" spans="1:24">
      <c r="A843" s="38"/>
      <c r="B843" s="38"/>
      <c r="D843" s="38"/>
      <c r="E843" s="38"/>
      <c r="F843" s="38"/>
      <c r="G843" s="46"/>
      <c r="H843" s="38"/>
      <c r="I843" s="57"/>
      <c r="J843" s="38"/>
      <c r="K843" s="38"/>
      <c r="L843" s="46"/>
      <c r="M843" s="56"/>
      <c r="N843" s="56"/>
      <c r="O843" s="56"/>
      <c r="P843" s="56"/>
      <c r="Q843" s="56"/>
      <c r="R843" s="62"/>
      <c r="S843" s="62"/>
      <c r="X843" s="56"/>
    </row>
    <row r="844" spans="1:24">
      <c r="A844" s="38"/>
      <c r="B844" s="38"/>
      <c r="D844" s="38"/>
      <c r="E844" s="38"/>
      <c r="F844" s="38"/>
      <c r="G844" s="46"/>
      <c r="H844" s="38"/>
      <c r="I844" s="57"/>
      <c r="J844" s="38"/>
      <c r="K844" s="38"/>
      <c r="L844" s="46"/>
      <c r="M844" s="56"/>
      <c r="N844" s="56"/>
      <c r="O844" s="56"/>
      <c r="P844" s="56"/>
      <c r="Q844" s="56"/>
      <c r="R844" s="62"/>
      <c r="S844" s="62"/>
      <c r="X844" s="56"/>
    </row>
    <row r="845" spans="1:24">
      <c r="A845" s="38"/>
      <c r="B845" s="38"/>
      <c r="D845" s="38"/>
      <c r="E845" s="38"/>
      <c r="F845" s="38"/>
      <c r="G845" s="46"/>
      <c r="H845" s="38"/>
      <c r="I845" s="57"/>
      <c r="J845" s="38"/>
      <c r="K845" s="38"/>
      <c r="L845" s="46"/>
      <c r="M845" s="56"/>
      <c r="N845" s="56"/>
      <c r="O845" s="56"/>
      <c r="P845" s="56"/>
      <c r="Q845" s="56"/>
      <c r="R845" s="62"/>
      <c r="S845" s="62"/>
      <c r="X845" s="56"/>
    </row>
    <row r="846" spans="1:24">
      <c r="A846" s="38"/>
      <c r="B846" s="38"/>
      <c r="D846" s="38"/>
      <c r="E846" s="38"/>
      <c r="F846" s="38"/>
      <c r="G846" s="46"/>
      <c r="H846" s="38"/>
      <c r="I846" s="57"/>
      <c r="J846" s="38"/>
      <c r="K846" s="38"/>
      <c r="L846" s="46"/>
      <c r="M846" s="56"/>
      <c r="N846" s="56"/>
      <c r="O846" s="56"/>
      <c r="P846" s="56"/>
      <c r="Q846" s="56"/>
      <c r="R846" s="62"/>
      <c r="S846" s="62"/>
      <c r="X846" s="56"/>
    </row>
    <row r="847" spans="1:24">
      <c r="A847" s="38"/>
      <c r="B847" s="38"/>
      <c r="D847" s="38"/>
      <c r="E847" s="38"/>
      <c r="F847" s="38"/>
      <c r="G847" s="46"/>
      <c r="H847" s="38"/>
      <c r="I847" s="57"/>
      <c r="J847" s="38"/>
      <c r="K847" s="38"/>
      <c r="L847" s="46"/>
      <c r="M847" s="56"/>
      <c r="N847" s="56"/>
      <c r="O847" s="56"/>
      <c r="P847" s="56"/>
      <c r="Q847" s="56"/>
      <c r="R847" s="62"/>
      <c r="S847" s="62"/>
      <c r="X847" s="56"/>
    </row>
    <row r="848" spans="1:24">
      <c r="A848" s="38"/>
      <c r="B848" s="38"/>
      <c r="D848" s="38"/>
      <c r="E848" s="38"/>
      <c r="F848" s="38"/>
      <c r="G848" s="46"/>
      <c r="H848" s="38"/>
      <c r="I848" s="57"/>
      <c r="J848" s="38"/>
      <c r="K848" s="38"/>
      <c r="L848" s="46"/>
      <c r="M848" s="56"/>
      <c r="N848" s="56"/>
      <c r="O848" s="56"/>
      <c r="P848" s="56"/>
      <c r="Q848" s="56"/>
      <c r="R848" s="62"/>
      <c r="S848" s="62"/>
      <c r="X848" s="56"/>
    </row>
    <row r="849" spans="1:24">
      <c r="A849" s="38"/>
      <c r="B849" s="38"/>
      <c r="D849" s="38"/>
      <c r="E849" s="38"/>
      <c r="F849" s="38"/>
      <c r="G849" s="46"/>
      <c r="H849" s="38"/>
      <c r="I849" s="57"/>
      <c r="J849" s="38"/>
      <c r="K849" s="38"/>
      <c r="L849" s="46"/>
      <c r="M849" s="56"/>
      <c r="N849" s="56"/>
      <c r="O849" s="56"/>
      <c r="P849" s="56"/>
      <c r="Q849" s="56"/>
      <c r="R849" s="62"/>
      <c r="S849" s="62"/>
      <c r="X849" s="56"/>
    </row>
    <row r="850" spans="1:24">
      <c r="A850" s="38"/>
      <c r="B850" s="38"/>
      <c r="D850" s="38"/>
      <c r="E850" s="38"/>
      <c r="F850" s="38"/>
      <c r="G850" s="46"/>
      <c r="H850" s="38"/>
      <c r="I850" s="57"/>
      <c r="J850" s="38"/>
      <c r="K850" s="38"/>
      <c r="L850" s="46"/>
      <c r="M850" s="56"/>
      <c r="N850" s="56"/>
      <c r="O850" s="56"/>
      <c r="P850" s="56"/>
      <c r="Q850" s="56"/>
      <c r="R850" s="62"/>
      <c r="S850" s="62"/>
      <c r="X850" s="56"/>
    </row>
    <row r="851" spans="1:24">
      <c r="A851" s="38"/>
      <c r="B851" s="38"/>
      <c r="D851" s="38"/>
      <c r="E851" s="38"/>
      <c r="F851" s="38"/>
      <c r="G851" s="46"/>
      <c r="H851" s="38"/>
      <c r="I851" s="57"/>
      <c r="J851" s="38"/>
      <c r="K851" s="38"/>
      <c r="L851" s="46"/>
      <c r="M851" s="56"/>
      <c r="N851" s="56"/>
      <c r="O851" s="56"/>
      <c r="P851" s="56"/>
      <c r="Q851" s="56"/>
      <c r="R851" s="62"/>
      <c r="S851" s="62"/>
      <c r="X851" s="56"/>
    </row>
    <row r="852" spans="1:24">
      <c r="A852" s="38"/>
      <c r="B852" s="38"/>
      <c r="D852" s="38"/>
      <c r="E852" s="38"/>
      <c r="F852" s="38"/>
      <c r="G852" s="46"/>
      <c r="H852" s="38"/>
      <c r="I852" s="57"/>
      <c r="J852" s="38"/>
      <c r="K852" s="38"/>
      <c r="L852" s="46"/>
      <c r="M852" s="56"/>
      <c r="N852" s="56"/>
      <c r="O852" s="56"/>
      <c r="P852" s="56"/>
      <c r="Q852" s="56"/>
      <c r="R852" s="62"/>
      <c r="S852" s="62"/>
      <c r="X852" s="56"/>
    </row>
    <row r="853" spans="1:24">
      <c r="A853" s="38"/>
      <c r="B853" s="38"/>
      <c r="D853" s="38"/>
      <c r="E853" s="38"/>
      <c r="F853" s="38"/>
      <c r="G853" s="46"/>
      <c r="H853" s="38"/>
      <c r="I853" s="57"/>
      <c r="J853" s="38"/>
      <c r="K853" s="38"/>
      <c r="L853" s="46"/>
      <c r="M853" s="56"/>
      <c r="N853" s="56"/>
      <c r="O853" s="56"/>
      <c r="P853" s="56"/>
      <c r="Q853" s="56"/>
      <c r="R853" s="62"/>
      <c r="S853" s="62"/>
      <c r="X853" s="56"/>
    </row>
    <row r="854" spans="1:24">
      <c r="A854" s="38"/>
      <c r="B854" s="38"/>
      <c r="D854" s="38"/>
      <c r="E854" s="38"/>
      <c r="F854" s="38"/>
      <c r="G854" s="46"/>
      <c r="H854" s="38"/>
      <c r="I854" s="57"/>
      <c r="J854" s="38"/>
      <c r="K854" s="38"/>
      <c r="L854" s="46"/>
      <c r="M854" s="56"/>
      <c r="N854" s="56"/>
      <c r="O854" s="56"/>
      <c r="P854" s="56"/>
      <c r="Q854" s="56"/>
      <c r="R854" s="62"/>
      <c r="S854" s="62"/>
      <c r="X854" s="56"/>
    </row>
    <row r="855" spans="1:24">
      <c r="A855" s="38"/>
      <c r="B855" s="38"/>
      <c r="D855" s="38"/>
      <c r="E855" s="38"/>
      <c r="F855" s="38"/>
      <c r="G855" s="46"/>
      <c r="H855" s="38"/>
      <c r="I855" s="57"/>
      <c r="J855" s="38"/>
      <c r="K855" s="38"/>
      <c r="L855" s="46"/>
      <c r="M855" s="56"/>
      <c r="N855" s="56"/>
      <c r="O855" s="56"/>
      <c r="P855" s="56"/>
      <c r="Q855" s="56"/>
      <c r="R855" s="62"/>
      <c r="S855" s="62"/>
      <c r="X855" s="56"/>
    </row>
    <row r="856" spans="1:24">
      <c r="A856" s="38"/>
      <c r="B856" s="38"/>
      <c r="D856" s="38"/>
      <c r="E856" s="38"/>
      <c r="F856" s="38"/>
      <c r="G856" s="46"/>
      <c r="H856" s="38"/>
      <c r="I856" s="57"/>
      <c r="J856" s="38"/>
      <c r="K856" s="38"/>
      <c r="L856" s="46"/>
      <c r="M856" s="56"/>
      <c r="N856" s="56"/>
      <c r="O856" s="56"/>
      <c r="P856" s="56"/>
      <c r="Q856" s="56"/>
      <c r="R856" s="62"/>
      <c r="S856" s="62"/>
      <c r="X856" s="56"/>
    </row>
    <row r="857" spans="1:24">
      <c r="A857" s="38"/>
      <c r="B857" s="38"/>
      <c r="D857" s="38"/>
      <c r="E857" s="38"/>
      <c r="F857" s="38"/>
      <c r="G857" s="46"/>
      <c r="H857" s="38"/>
      <c r="I857" s="57"/>
      <c r="J857" s="38"/>
      <c r="K857" s="38"/>
      <c r="L857" s="46"/>
      <c r="M857" s="56"/>
      <c r="N857" s="56"/>
      <c r="O857" s="56"/>
      <c r="P857" s="56"/>
      <c r="Q857" s="56"/>
      <c r="R857" s="62"/>
      <c r="S857" s="62"/>
      <c r="X857" s="56"/>
    </row>
    <row r="858" spans="1:24">
      <c r="A858" s="38"/>
      <c r="B858" s="38"/>
      <c r="D858" s="38"/>
      <c r="E858" s="38"/>
      <c r="F858" s="38"/>
      <c r="G858" s="46"/>
      <c r="H858" s="38"/>
      <c r="I858" s="57"/>
      <c r="J858" s="38"/>
      <c r="K858" s="38"/>
      <c r="L858" s="46"/>
      <c r="M858" s="56"/>
      <c r="N858" s="56"/>
      <c r="O858" s="56"/>
      <c r="P858" s="56"/>
      <c r="Q858" s="56"/>
      <c r="R858" s="62"/>
      <c r="S858" s="62"/>
      <c r="X858" s="56"/>
    </row>
    <row r="859" spans="1:24">
      <c r="A859" s="38"/>
      <c r="B859" s="38"/>
      <c r="D859" s="38"/>
      <c r="E859" s="38"/>
      <c r="F859" s="38"/>
      <c r="G859" s="46"/>
      <c r="H859" s="38"/>
      <c r="I859" s="57"/>
      <c r="J859" s="38"/>
      <c r="K859" s="38"/>
      <c r="L859" s="46"/>
      <c r="M859" s="56"/>
      <c r="N859" s="56"/>
      <c r="O859" s="56"/>
      <c r="P859" s="56"/>
      <c r="Q859" s="56"/>
      <c r="R859" s="62"/>
      <c r="S859" s="62"/>
      <c r="X859" s="56"/>
    </row>
    <row r="860" spans="1:24">
      <c r="A860" s="38"/>
      <c r="B860" s="38"/>
      <c r="D860" s="38"/>
      <c r="E860" s="38"/>
      <c r="F860" s="38"/>
      <c r="G860" s="46"/>
      <c r="H860" s="38"/>
      <c r="I860" s="57"/>
      <c r="J860" s="38"/>
      <c r="K860" s="38"/>
      <c r="L860" s="46"/>
      <c r="M860" s="56"/>
      <c r="N860" s="56"/>
      <c r="O860" s="56"/>
      <c r="P860" s="56"/>
      <c r="Q860" s="56"/>
      <c r="R860" s="62"/>
      <c r="S860" s="62"/>
      <c r="X860" s="56"/>
    </row>
    <row r="861" spans="1:24">
      <c r="A861" s="38"/>
      <c r="B861" s="38"/>
      <c r="D861" s="38"/>
      <c r="E861" s="38"/>
      <c r="F861" s="38"/>
      <c r="G861" s="46"/>
      <c r="H861" s="38"/>
      <c r="I861" s="57"/>
      <c r="J861" s="38"/>
      <c r="K861" s="38"/>
      <c r="L861" s="46"/>
      <c r="M861" s="56"/>
      <c r="N861" s="56"/>
      <c r="O861" s="56"/>
      <c r="P861" s="56"/>
      <c r="Q861" s="56"/>
      <c r="R861" s="62"/>
      <c r="S861" s="62"/>
      <c r="X861" s="56"/>
    </row>
    <row r="862" spans="1:24">
      <c r="A862" s="38"/>
      <c r="B862" s="38"/>
      <c r="D862" s="38"/>
      <c r="E862" s="38"/>
      <c r="F862" s="38"/>
      <c r="G862" s="46"/>
      <c r="H862" s="38"/>
      <c r="I862" s="57"/>
      <c r="J862" s="38"/>
      <c r="K862" s="38"/>
      <c r="L862" s="46"/>
      <c r="M862" s="56"/>
      <c r="N862" s="56"/>
      <c r="O862" s="56"/>
      <c r="P862" s="56"/>
      <c r="Q862" s="56"/>
      <c r="R862" s="62"/>
      <c r="S862" s="62"/>
      <c r="X862" s="56"/>
    </row>
    <row r="863" spans="1:24">
      <c r="A863" s="38"/>
      <c r="B863" s="38"/>
      <c r="D863" s="38"/>
      <c r="E863" s="38"/>
      <c r="F863" s="38"/>
      <c r="G863" s="46"/>
      <c r="H863" s="38"/>
      <c r="I863" s="57"/>
      <c r="J863" s="38"/>
      <c r="K863" s="38"/>
      <c r="L863" s="46"/>
      <c r="M863" s="56"/>
      <c r="N863" s="56"/>
      <c r="O863" s="56"/>
      <c r="P863" s="56"/>
      <c r="Q863" s="56"/>
      <c r="R863" s="62"/>
      <c r="S863" s="62"/>
      <c r="X863" s="56"/>
    </row>
    <row r="864" spans="1:24">
      <c r="A864" s="38"/>
      <c r="B864" s="38"/>
      <c r="D864" s="38"/>
      <c r="E864" s="38"/>
      <c r="F864" s="38"/>
      <c r="G864" s="46"/>
      <c r="H864" s="38"/>
      <c r="I864" s="57"/>
      <c r="J864" s="38"/>
      <c r="K864" s="38"/>
      <c r="L864" s="46"/>
      <c r="M864" s="56"/>
      <c r="N864" s="56"/>
      <c r="O864" s="56"/>
      <c r="P864" s="56"/>
      <c r="Q864" s="56"/>
      <c r="R864" s="62"/>
      <c r="S864" s="62"/>
      <c r="X864" s="56"/>
    </row>
    <row r="865" spans="1:24">
      <c r="A865" s="38"/>
      <c r="B865" s="38"/>
      <c r="D865" s="38"/>
      <c r="E865" s="38"/>
      <c r="F865" s="38"/>
      <c r="G865" s="46"/>
      <c r="H865" s="38"/>
      <c r="I865" s="57"/>
      <c r="J865" s="38"/>
      <c r="K865" s="38"/>
      <c r="L865" s="46"/>
      <c r="M865" s="56"/>
      <c r="N865" s="56"/>
      <c r="O865" s="56"/>
      <c r="P865" s="56"/>
      <c r="Q865" s="56"/>
      <c r="R865" s="62"/>
      <c r="S865" s="62"/>
      <c r="X865" s="56"/>
    </row>
    <row r="866" spans="1:24">
      <c r="A866" s="38"/>
      <c r="B866" s="38"/>
      <c r="D866" s="38"/>
      <c r="E866" s="38"/>
      <c r="F866" s="38"/>
      <c r="G866" s="46"/>
      <c r="H866" s="38"/>
      <c r="I866" s="57"/>
      <c r="J866" s="38"/>
      <c r="K866" s="38"/>
      <c r="L866" s="46"/>
      <c r="M866" s="56"/>
      <c r="N866" s="56"/>
      <c r="O866" s="56"/>
      <c r="P866" s="56"/>
      <c r="Q866" s="56"/>
      <c r="R866" s="62"/>
      <c r="S866" s="62"/>
      <c r="X866" s="56"/>
    </row>
    <row r="867" spans="1:24">
      <c r="A867" s="38"/>
      <c r="B867" s="38"/>
      <c r="D867" s="38"/>
      <c r="E867" s="38"/>
      <c r="F867" s="38"/>
      <c r="G867" s="46"/>
      <c r="H867" s="38"/>
      <c r="I867" s="57"/>
      <c r="J867" s="38"/>
      <c r="K867" s="38"/>
      <c r="L867" s="46"/>
      <c r="M867" s="56"/>
      <c r="N867" s="56"/>
      <c r="O867" s="56"/>
      <c r="P867" s="56"/>
      <c r="Q867" s="56"/>
      <c r="R867" s="62"/>
      <c r="S867" s="62"/>
      <c r="X867" s="56"/>
    </row>
    <row r="868" spans="1:24">
      <c r="A868" s="38"/>
      <c r="B868" s="38"/>
      <c r="D868" s="38"/>
      <c r="E868" s="38"/>
      <c r="F868" s="38"/>
      <c r="G868" s="46"/>
      <c r="H868" s="38"/>
      <c r="I868" s="57"/>
      <c r="J868" s="38"/>
      <c r="K868" s="38"/>
      <c r="L868" s="46"/>
      <c r="M868" s="56"/>
      <c r="N868" s="56"/>
      <c r="O868" s="56"/>
      <c r="P868" s="56"/>
      <c r="Q868" s="56"/>
      <c r="R868" s="62"/>
      <c r="S868" s="62"/>
      <c r="X868" s="56"/>
    </row>
    <row r="869" spans="1:24">
      <c r="A869" s="38"/>
      <c r="B869" s="38"/>
      <c r="D869" s="38"/>
      <c r="E869" s="38"/>
      <c r="F869" s="38"/>
      <c r="G869" s="46"/>
      <c r="H869" s="38"/>
      <c r="I869" s="57"/>
      <c r="J869" s="38"/>
      <c r="K869" s="38"/>
      <c r="L869" s="46"/>
      <c r="M869" s="56"/>
      <c r="N869" s="56"/>
      <c r="O869" s="56"/>
      <c r="P869" s="56"/>
      <c r="Q869" s="56"/>
      <c r="R869" s="62"/>
      <c r="S869" s="62"/>
      <c r="X869" s="56"/>
    </row>
    <row r="870" spans="1:24">
      <c r="A870" s="38"/>
      <c r="B870" s="38"/>
      <c r="D870" s="38"/>
      <c r="E870" s="38"/>
      <c r="F870" s="38"/>
      <c r="G870" s="46"/>
      <c r="H870" s="38"/>
      <c r="I870" s="57"/>
      <c r="J870" s="38"/>
      <c r="K870" s="38"/>
      <c r="L870" s="46"/>
      <c r="M870" s="56"/>
      <c r="N870" s="56"/>
      <c r="O870" s="56"/>
      <c r="P870" s="56"/>
      <c r="Q870" s="56"/>
      <c r="R870" s="62"/>
      <c r="S870" s="62"/>
      <c r="X870" s="56"/>
    </row>
    <row r="871" spans="1:24">
      <c r="A871" s="38"/>
      <c r="B871" s="38"/>
      <c r="D871" s="38"/>
      <c r="E871" s="38"/>
      <c r="F871" s="38"/>
      <c r="G871" s="46"/>
      <c r="H871" s="38"/>
      <c r="I871" s="57"/>
      <c r="J871" s="38"/>
      <c r="K871" s="38"/>
      <c r="L871" s="46"/>
      <c r="M871" s="56"/>
      <c r="N871" s="56"/>
      <c r="O871" s="56"/>
      <c r="P871" s="56"/>
      <c r="Q871" s="56"/>
      <c r="R871" s="62"/>
      <c r="S871" s="62"/>
      <c r="X871" s="56"/>
    </row>
    <row r="872" spans="1:24">
      <c r="A872" s="38"/>
      <c r="B872" s="38"/>
      <c r="D872" s="38"/>
      <c r="E872" s="38"/>
      <c r="F872" s="38"/>
      <c r="G872" s="46"/>
      <c r="H872" s="38"/>
      <c r="I872" s="57"/>
      <c r="J872" s="38"/>
      <c r="K872" s="38"/>
      <c r="L872" s="46"/>
      <c r="M872" s="56"/>
      <c r="N872" s="56"/>
      <c r="O872" s="56"/>
      <c r="P872" s="56"/>
      <c r="Q872" s="56"/>
      <c r="R872" s="62"/>
      <c r="S872" s="62"/>
      <c r="X872" s="56"/>
    </row>
    <row r="873" spans="1:24">
      <c r="A873" s="38"/>
      <c r="B873" s="38"/>
      <c r="D873" s="38"/>
      <c r="E873" s="38"/>
      <c r="F873" s="38"/>
      <c r="G873" s="46"/>
      <c r="H873" s="38"/>
      <c r="I873" s="57"/>
      <c r="J873" s="38"/>
      <c r="K873" s="38"/>
      <c r="L873" s="46"/>
      <c r="M873" s="56"/>
      <c r="N873" s="56"/>
      <c r="O873" s="56"/>
      <c r="P873" s="56"/>
      <c r="Q873" s="56"/>
      <c r="R873" s="62"/>
      <c r="S873" s="62"/>
      <c r="X873" s="56"/>
    </row>
    <row r="874" spans="1:24">
      <c r="A874" s="38"/>
      <c r="B874" s="38"/>
      <c r="D874" s="38"/>
      <c r="E874" s="38"/>
      <c r="F874" s="38"/>
      <c r="G874" s="46"/>
      <c r="H874" s="38"/>
      <c r="I874" s="57"/>
      <c r="J874" s="38"/>
      <c r="K874" s="38"/>
      <c r="L874" s="46"/>
      <c r="M874" s="56"/>
      <c r="N874" s="56"/>
      <c r="O874" s="56"/>
      <c r="P874" s="56"/>
      <c r="Q874" s="56"/>
      <c r="R874" s="62"/>
      <c r="S874" s="62"/>
      <c r="X874" s="56"/>
    </row>
    <row r="875" spans="1:24">
      <c r="A875" s="38"/>
      <c r="B875" s="38"/>
      <c r="D875" s="38"/>
      <c r="E875" s="38"/>
      <c r="F875" s="38"/>
      <c r="G875" s="46"/>
      <c r="H875" s="38"/>
      <c r="I875" s="57"/>
      <c r="J875" s="38"/>
      <c r="K875" s="38"/>
      <c r="L875" s="46"/>
      <c r="M875" s="56"/>
      <c r="N875" s="56"/>
      <c r="O875" s="56"/>
      <c r="P875" s="56"/>
      <c r="Q875" s="56"/>
      <c r="R875" s="62"/>
      <c r="S875" s="62"/>
      <c r="X875" s="56"/>
    </row>
    <row r="876" spans="1:24">
      <c r="A876" s="38"/>
      <c r="B876" s="38"/>
      <c r="D876" s="38"/>
      <c r="E876" s="38"/>
      <c r="F876" s="38"/>
      <c r="G876" s="46"/>
      <c r="H876" s="38"/>
      <c r="I876" s="57"/>
      <c r="J876" s="38"/>
      <c r="K876" s="38"/>
      <c r="L876" s="46"/>
      <c r="M876" s="56"/>
      <c r="N876" s="56"/>
      <c r="O876" s="56"/>
      <c r="P876" s="56"/>
      <c r="Q876" s="56"/>
      <c r="R876" s="62"/>
      <c r="S876" s="62"/>
      <c r="X876" s="56"/>
    </row>
    <row r="877" spans="1:24">
      <c r="A877" s="38"/>
      <c r="B877" s="38"/>
      <c r="D877" s="38"/>
      <c r="E877" s="38"/>
      <c r="F877" s="38"/>
      <c r="G877" s="46"/>
      <c r="H877" s="38"/>
      <c r="I877" s="57"/>
      <c r="J877" s="38"/>
      <c r="K877" s="38"/>
      <c r="L877" s="46"/>
      <c r="M877" s="56"/>
      <c r="N877" s="56"/>
      <c r="O877" s="56"/>
      <c r="P877" s="56"/>
      <c r="Q877" s="56"/>
      <c r="R877" s="62"/>
      <c r="S877" s="62"/>
      <c r="X877" s="56"/>
    </row>
    <row r="878" spans="1:24">
      <c r="A878" s="38"/>
      <c r="B878" s="38"/>
      <c r="D878" s="38"/>
      <c r="E878" s="38"/>
      <c r="F878" s="38"/>
      <c r="G878" s="46"/>
      <c r="H878" s="38"/>
      <c r="I878" s="57"/>
      <c r="J878" s="38"/>
      <c r="K878" s="38"/>
      <c r="L878" s="46"/>
      <c r="M878" s="56"/>
      <c r="N878" s="56"/>
      <c r="O878" s="56"/>
      <c r="P878" s="56"/>
      <c r="Q878" s="56"/>
      <c r="R878" s="62"/>
      <c r="S878" s="62"/>
      <c r="X878" s="56"/>
    </row>
    <row r="879" spans="1:24">
      <c r="A879" s="38"/>
      <c r="B879" s="38"/>
      <c r="D879" s="38"/>
      <c r="E879" s="38"/>
      <c r="F879" s="38"/>
      <c r="G879" s="46"/>
      <c r="H879" s="38"/>
      <c r="I879" s="57"/>
      <c r="J879" s="38"/>
      <c r="K879" s="38"/>
      <c r="L879" s="46"/>
      <c r="M879" s="56"/>
      <c r="N879" s="56"/>
      <c r="O879" s="56"/>
      <c r="P879" s="56"/>
      <c r="Q879" s="56"/>
      <c r="R879" s="62"/>
      <c r="S879" s="62"/>
      <c r="X879" s="56"/>
    </row>
    <row r="880" spans="1:24">
      <c r="A880" s="38"/>
      <c r="B880" s="38"/>
      <c r="D880" s="38"/>
      <c r="E880" s="38"/>
      <c r="F880" s="38"/>
      <c r="G880" s="46"/>
      <c r="H880" s="38"/>
      <c r="I880" s="57"/>
      <c r="J880" s="38"/>
      <c r="K880" s="38"/>
      <c r="L880" s="46"/>
      <c r="M880" s="56"/>
      <c r="N880" s="56"/>
      <c r="O880" s="56"/>
      <c r="P880" s="56"/>
      <c r="Q880" s="56"/>
      <c r="R880" s="62"/>
      <c r="S880" s="62"/>
      <c r="X880" s="56"/>
    </row>
    <row r="881" spans="1:24">
      <c r="A881" s="38"/>
      <c r="B881" s="38"/>
      <c r="D881" s="38"/>
      <c r="E881" s="38"/>
      <c r="F881" s="38"/>
      <c r="G881" s="46"/>
      <c r="H881" s="38"/>
      <c r="I881" s="57"/>
      <c r="J881" s="38"/>
      <c r="K881" s="38"/>
      <c r="L881" s="46"/>
      <c r="M881" s="56"/>
      <c r="N881" s="56"/>
      <c r="O881" s="56"/>
      <c r="P881" s="56"/>
      <c r="Q881" s="56"/>
      <c r="R881" s="62"/>
      <c r="S881" s="62"/>
      <c r="X881" s="56"/>
    </row>
    <row r="882" spans="1:24">
      <c r="A882" s="38"/>
      <c r="B882" s="38"/>
      <c r="D882" s="38"/>
      <c r="E882" s="38"/>
      <c r="F882" s="38"/>
      <c r="G882" s="46"/>
      <c r="H882" s="38"/>
      <c r="I882" s="57"/>
      <c r="J882" s="38"/>
      <c r="K882" s="38"/>
      <c r="L882" s="46"/>
      <c r="M882" s="56"/>
      <c r="N882" s="56"/>
      <c r="O882" s="56"/>
      <c r="P882" s="56"/>
      <c r="Q882" s="56"/>
      <c r="R882" s="62"/>
      <c r="S882" s="62"/>
      <c r="X882" s="56"/>
    </row>
    <row r="883" spans="1:24">
      <c r="A883" s="38"/>
      <c r="B883" s="38"/>
      <c r="D883" s="38"/>
      <c r="E883" s="38"/>
      <c r="F883" s="38"/>
      <c r="G883" s="46"/>
      <c r="H883" s="38"/>
      <c r="I883" s="57"/>
      <c r="J883" s="38"/>
      <c r="K883" s="38"/>
      <c r="L883" s="46"/>
      <c r="M883" s="56"/>
      <c r="N883" s="56"/>
      <c r="O883" s="56"/>
      <c r="P883" s="56"/>
      <c r="Q883" s="56"/>
      <c r="R883" s="62"/>
      <c r="S883" s="62"/>
      <c r="X883" s="56"/>
    </row>
    <row r="884" spans="1:24">
      <c r="A884" s="38"/>
      <c r="B884" s="38"/>
      <c r="D884" s="38"/>
      <c r="E884" s="38"/>
      <c r="F884" s="38"/>
      <c r="G884" s="46"/>
      <c r="H884" s="38"/>
      <c r="I884" s="57"/>
      <c r="J884" s="38"/>
      <c r="K884" s="38"/>
      <c r="L884" s="46"/>
      <c r="M884" s="56"/>
      <c r="N884" s="56"/>
      <c r="O884" s="56"/>
      <c r="P884" s="56"/>
      <c r="Q884" s="56"/>
      <c r="R884" s="62"/>
      <c r="S884" s="62"/>
      <c r="X884" s="56"/>
    </row>
    <row r="885" spans="1:24">
      <c r="A885" s="38"/>
      <c r="B885" s="38"/>
      <c r="D885" s="38"/>
      <c r="E885" s="38"/>
      <c r="F885" s="38"/>
      <c r="G885" s="46"/>
      <c r="H885" s="38"/>
      <c r="I885" s="57"/>
      <c r="J885" s="38"/>
      <c r="K885" s="38"/>
      <c r="L885" s="46"/>
      <c r="M885" s="56"/>
      <c r="N885" s="56"/>
      <c r="O885" s="56"/>
      <c r="P885" s="56"/>
      <c r="Q885" s="56"/>
      <c r="R885" s="62"/>
      <c r="S885" s="62"/>
      <c r="X885" s="56"/>
    </row>
    <row r="886" spans="1:24">
      <c r="A886" s="38"/>
      <c r="B886" s="38"/>
      <c r="D886" s="38"/>
      <c r="E886" s="38"/>
      <c r="F886" s="38"/>
      <c r="G886" s="46"/>
      <c r="H886" s="38"/>
      <c r="I886" s="57"/>
      <c r="J886" s="38"/>
      <c r="K886" s="38"/>
      <c r="L886" s="46"/>
      <c r="M886" s="56"/>
      <c r="N886" s="56"/>
      <c r="O886" s="56"/>
      <c r="P886" s="56"/>
      <c r="Q886" s="56"/>
      <c r="R886" s="62"/>
      <c r="S886" s="62"/>
      <c r="X886" s="56"/>
    </row>
    <row r="887" spans="1:24">
      <c r="A887" s="38"/>
      <c r="B887" s="38"/>
      <c r="D887" s="38"/>
      <c r="E887" s="38"/>
      <c r="F887" s="38"/>
      <c r="G887" s="46"/>
      <c r="H887" s="38"/>
      <c r="I887" s="57"/>
      <c r="J887" s="38"/>
      <c r="K887" s="38"/>
      <c r="L887" s="46"/>
      <c r="M887" s="56"/>
      <c r="N887" s="56"/>
      <c r="O887" s="56"/>
      <c r="P887" s="56"/>
      <c r="Q887" s="56"/>
      <c r="R887" s="62"/>
      <c r="S887" s="62"/>
      <c r="X887" s="56"/>
    </row>
    <row r="888" spans="1:24">
      <c r="A888" s="38"/>
      <c r="B888" s="38"/>
      <c r="D888" s="38"/>
      <c r="E888" s="38"/>
      <c r="F888" s="38"/>
      <c r="G888" s="46"/>
      <c r="H888" s="38"/>
      <c r="I888" s="57"/>
      <c r="J888" s="38"/>
      <c r="K888" s="38"/>
      <c r="L888" s="46"/>
      <c r="M888" s="56"/>
      <c r="N888" s="56"/>
      <c r="O888" s="56"/>
      <c r="P888" s="56"/>
      <c r="Q888" s="56"/>
      <c r="R888" s="62"/>
      <c r="S888" s="62"/>
      <c r="X888" s="56"/>
    </row>
    <row r="889" spans="1:24">
      <c r="A889" s="38"/>
      <c r="B889" s="38"/>
      <c r="D889" s="38"/>
      <c r="E889" s="38"/>
      <c r="F889" s="38"/>
      <c r="G889" s="46"/>
      <c r="H889" s="38"/>
      <c r="I889" s="57"/>
      <c r="J889" s="38"/>
      <c r="K889" s="38"/>
      <c r="L889" s="46"/>
      <c r="M889" s="56"/>
      <c r="N889" s="56"/>
      <c r="O889" s="56"/>
      <c r="P889" s="56"/>
      <c r="Q889" s="56"/>
      <c r="R889" s="62"/>
      <c r="S889" s="62"/>
      <c r="X889" s="56"/>
    </row>
    <row r="890" spans="1:24">
      <c r="A890" s="38"/>
      <c r="B890" s="38"/>
      <c r="D890" s="38"/>
      <c r="E890" s="38"/>
      <c r="F890" s="38"/>
      <c r="G890" s="46"/>
      <c r="H890" s="38"/>
      <c r="I890" s="57"/>
      <c r="J890" s="38"/>
      <c r="K890" s="38"/>
      <c r="L890" s="46"/>
      <c r="M890" s="56"/>
      <c r="N890" s="56"/>
      <c r="O890" s="56"/>
      <c r="P890" s="56"/>
      <c r="Q890" s="56"/>
      <c r="R890" s="62"/>
      <c r="S890" s="62"/>
      <c r="X890" s="56"/>
    </row>
    <row r="891" spans="1:24">
      <c r="A891" s="38"/>
      <c r="B891" s="38"/>
      <c r="D891" s="38"/>
      <c r="E891" s="38"/>
      <c r="F891" s="38"/>
      <c r="G891" s="46"/>
      <c r="H891" s="38"/>
      <c r="I891" s="57"/>
      <c r="J891" s="38"/>
      <c r="K891" s="38"/>
      <c r="L891" s="46"/>
      <c r="M891" s="56"/>
      <c r="N891" s="56"/>
      <c r="O891" s="56"/>
      <c r="P891" s="56"/>
      <c r="Q891" s="56"/>
      <c r="R891" s="62"/>
      <c r="S891" s="62"/>
      <c r="X891" s="56"/>
    </row>
    <row r="892" spans="1:24">
      <c r="A892" s="38"/>
      <c r="B892" s="38"/>
      <c r="D892" s="38"/>
      <c r="E892" s="38"/>
      <c r="F892" s="38"/>
      <c r="G892" s="46"/>
      <c r="H892" s="38"/>
      <c r="I892" s="57"/>
      <c r="J892" s="38"/>
      <c r="K892" s="38"/>
      <c r="L892" s="46"/>
      <c r="M892" s="56"/>
      <c r="N892" s="56"/>
      <c r="O892" s="56"/>
      <c r="P892" s="56"/>
      <c r="Q892" s="56"/>
      <c r="R892" s="62"/>
      <c r="S892" s="62"/>
      <c r="X892" s="56"/>
    </row>
    <row r="893" spans="1:24">
      <c r="A893" s="38"/>
      <c r="B893" s="38"/>
      <c r="D893" s="38"/>
      <c r="E893" s="38"/>
      <c r="F893" s="38"/>
      <c r="G893" s="46"/>
      <c r="H893" s="38"/>
      <c r="I893" s="57"/>
      <c r="J893" s="38"/>
      <c r="K893" s="38"/>
      <c r="L893" s="46"/>
      <c r="M893" s="56"/>
      <c r="N893" s="56"/>
      <c r="O893" s="56"/>
      <c r="P893" s="56"/>
      <c r="Q893" s="56"/>
      <c r="R893" s="62"/>
      <c r="S893" s="62"/>
      <c r="X893" s="56"/>
    </row>
    <row r="894" spans="1:24">
      <c r="A894" s="38"/>
      <c r="B894" s="38"/>
      <c r="D894" s="38"/>
      <c r="E894" s="38"/>
      <c r="F894" s="38"/>
      <c r="G894" s="46"/>
      <c r="H894" s="38"/>
      <c r="I894" s="57"/>
      <c r="J894" s="38"/>
      <c r="K894" s="38"/>
      <c r="L894" s="46"/>
      <c r="M894" s="56"/>
      <c r="N894" s="56"/>
      <c r="O894" s="56"/>
      <c r="P894" s="56"/>
      <c r="Q894" s="56"/>
      <c r="R894" s="62"/>
      <c r="S894" s="62"/>
      <c r="X894" s="56"/>
    </row>
    <row r="895" spans="1:24">
      <c r="A895" s="38"/>
      <c r="B895" s="38"/>
      <c r="D895" s="38"/>
      <c r="E895" s="38"/>
      <c r="F895" s="38"/>
      <c r="G895" s="46"/>
      <c r="H895" s="38"/>
      <c r="I895" s="57"/>
      <c r="J895" s="38"/>
      <c r="K895" s="38"/>
      <c r="L895" s="46"/>
      <c r="M895" s="56"/>
      <c r="N895" s="56"/>
      <c r="O895" s="56"/>
      <c r="P895" s="56"/>
      <c r="Q895" s="56"/>
      <c r="R895" s="62"/>
      <c r="S895" s="62"/>
      <c r="X895" s="56"/>
    </row>
    <row r="896" spans="1:24">
      <c r="A896" s="38"/>
      <c r="B896" s="38"/>
      <c r="D896" s="38"/>
      <c r="E896" s="38"/>
      <c r="F896" s="38"/>
      <c r="G896" s="46"/>
      <c r="H896" s="38"/>
      <c r="I896" s="57"/>
      <c r="J896" s="38"/>
      <c r="K896" s="38"/>
      <c r="L896" s="46"/>
      <c r="M896" s="56"/>
      <c r="N896" s="56"/>
      <c r="O896" s="56"/>
      <c r="P896" s="56"/>
      <c r="Q896" s="56"/>
      <c r="R896" s="62"/>
      <c r="S896" s="62"/>
      <c r="X896" s="56"/>
    </row>
    <row r="897" spans="1:24">
      <c r="A897" s="38"/>
      <c r="B897" s="38"/>
      <c r="D897" s="38"/>
      <c r="E897" s="38"/>
      <c r="F897" s="38"/>
      <c r="G897" s="46"/>
      <c r="H897" s="38"/>
      <c r="I897" s="57"/>
      <c r="J897" s="38"/>
      <c r="K897" s="38"/>
      <c r="L897" s="46"/>
      <c r="M897" s="56"/>
      <c r="N897" s="56"/>
      <c r="O897" s="56"/>
      <c r="P897" s="56"/>
      <c r="Q897" s="56"/>
      <c r="R897" s="62"/>
      <c r="S897" s="62"/>
      <c r="X897" s="56"/>
    </row>
    <row r="898" spans="1:24">
      <c r="A898" s="38"/>
      <c r="B898" s="38"/>
      <c r="D898" s="38"/>
      <c r="E898" s="38"/>
      <c r="F898" s="38"/>
      <c r="G898" s="46"/>
      <c r="H898" s="38"/>
      <c r="I898" s="57"/>
      <c r="J898" s="38"/>
      <c r="K898" s="38"/>
      <c r="L898" s="46"/>
      <c r="M898" s="56"/>
      <c r="N898" s="56"/>
      <c r="O898" s="56"/>
      <c r="P898" s="56"/>
      <c r="Q898" s="56"/>
      <c r="R898" s="62"/>
      <c r="S898" s="62"/>
      <c r="X898" s="56"/>
    </row>
    <row r="899" spans="1:24">
      <c r="A899" s="38"/>
      <c r="B899" s="38"/>
      <c r="D899" s="38"/>
      <c r="E899" s="38"/>
      <c r="F899" s="38"/>
      <c r="G899" s="46"/>
      <c r="H899" s="38"/>
      <c r="I899" s="57"/>
      <c r="J899" s="38"/>
      <c r="K899" s="38"/>
      <c r="L899" s="46"/>
      <c r="M899" s="56"/>
      <c r="N899" s="56"/>
      <c r="O899" s="56"/>
      <c r="P899" s="56"/>
      <c r="Q899" s="56"/>
      <c r="R899" s="62"/>
      <c r="S899" s="62"/>
      <c r="X899" s="56"/>
    </row>
    <row r="900" spans="1:24">
      <c r="A900" s="38"/>
      <c r="B900" s="38"/>
      <c r="D900" s="38"/>
      <c r="E900" s="38"/>
      <c r="F900" s="38"/>
      <c r="G900" s="46"/>
      <c r="H900" s="38"/>
      <c r="I900" s="57"/>
      <c r="J900" s="38"/>
      <c r="K900" s="38"/>
      <c r="L900" s="46"/>
      <c r="M900" s="56"/>
      <c r="N900" s="56"/>
      <c r="O900" s="56"/>
      <c r="P900" s="56"/>
      <c r="Q900" s="56"/>
      <c r="R900" s="62"/>
      <c r="S900" s="62"/>
      <c r="X900" s="56"/>
    </row>
    <row r="901" spans="1:24">
      <c r="A901" s="38"/>
      <c r="B901" s="38"/>
      <c r="D901" s="38"/>
      <c r="E901" s="38"/>
      <c r="F901" s="38"/>
      <c r="G901" s="46"/>
      <c r="H901" s="38"/>
      <c r="I901" s="57"/>
      <c r="J901" s="38"/>
      <c r="K901" s="38"/>
      <c r="L901" s="46"/>
      <c r="M901" s="56"/>
      <c r="N901" s="56"/>
      <c r="O901" s="56"/>
      <c r="P901" s="56"/>
      <c r="Q901" s="56"/>
      <c r="R901" s="62"/>
      <c r="S901" s="62"/>
      <c r="X901" s="56"/>
    </row>
    <row r="902" spans="1:24">
      <c r="A902" s="38"/>
      <c r="B902" s="38"/>
      <c r="D902" s="38"/>
      <c r="E902" s="38"/>
      <c r="F902" s="38"/>
      <c r="G902" s="46"/>
      <c r="H902" s="38"/>
      <c r="I902" s="57"/>
      <c r="J902" s="38"/>
      <c r="K902" s="38"/>
      <c r="L902" s="46"/>
      <c r="M902" s="56"/>
      <c r="N902" s="56"/>
      <c r="O902" s="56"/>
      <c r="P902" s="56"/>
      <c r="Q902" s="56"/>
      <c r="R902" s="62"/>
      <c r="S902" s="62"/>
      <c r="X902" s="56"/>
    </row>
    <row r="903" spans="1:24">
      <c r="A903" s="38"/>
      <c r="B903" s="38"/>
      <c r="D903" s="38"/>
      <c r="E903" s="38"/>
      <c r="F903" s="38"/>
      <c r="G903" s="46"/>
      <c r="H903" s="38"/>
      <c r="I903" s="57"/>
      <c r="J903" s="38"/>
      <c r="K903" s="38"/>
      <c r="L903" s="46"/>
      <c r="M903" s="56"/>
      <c r="N903" s="56"/>
      <c r="O903" s="56"/>
      <c r="P903" s="56"/>
      <c r="Q903" s="56"/>
      <c r="R903" s="62"/>
      <c r="S903" s="62"/>
      <c r="X903" s="56"/>
    </row>
    <row r="904" spans="1:24">
      <c r="A904" s="38"/>
      <c r="B904" s="38"/>
      <c r="D904" s="38"/>
      <c r="E904" s="38"/>
      <c r="F904" s="38"/>
      <c r="G904" s="46"/>
      <c r="H904" s="38"/>
      <c r="I904" s="57"/>
      <c r="J904" s="38"/>
      <c r="K904" s="38"/>
      <c r="L904" s="46"/>
      <c r="M904" s="56"/>
      <c r="N904" s="56"/>
      <c r="O904" s="56"/>
      <c r="P904" s="56"/>
      <c r="Q904" s="56"/>
      <c r="R904" s="62"/>
      <c r="S904" s="62"/>
      <c r="X904" s="56"/>
    </row>
    <row r="905" spans="1:24">
      <c r="A905" s="38"/>
      <c r="B905" s="38"/>
      <c r="D905" s="38"/>
      <c r="E905" s="38"/>
      <c r="F905" s="38"/>
      <c r="G905" s="46"/>
      <c r="H905" s="38"/>
      <c r="I905" s="57"/>
      <c r="J905" s="38"/>
      <c r="K905" s="38"/>
      <c r="L905" s="46"/>
      <c r="M905" s="56"/>
      <c r="N905" s="56"/>
      <c r="O905" s="56"/>
      <c r="P905" s="56"/>
      <c r="Q905" s="56"/>
      <c r="R905" s="62"/>
      <c r="S905" s="62"/>
      <c r="X905" s="56"/>
    </row>
    <row r="906" spans="1:24">
      <c r="A906" s="38"/>
      <c r="B906" s="38"/>
      <c r="D906" s="38"/>
      <c r="E906" s="38"/>
      <c r="F906" s="38"/>
      <c r="G906" s="46"/>
      <c r="H906" s="38"/>
      <c r="I906" s="57"/>
      <c r="J906" s="38"/>
      <c r="K906" s="38"/>
      <c r="L906" s="46"/>
      <c r="M906" s="56"/>
      <c r="N906" s="56"/>
      <c r="O906" s="56"/>
      <c r="P906" s="56"/>
      <c r="Q906" s="56"/>
      <c r="R906" s="62"/>
      <c r="S906" s="62"/>
      <c r="X906" s="56"/>
    </row>
    <row r="907" spans="1:24">
      <c r="A907" s="38"/>
      <c r="B907" s="38"/>
      <c r="D907" s="38"/>
      <c r="E907" s="38"/>
      <c r="F907" s="38"/>
      <c r="G907" s="46"/>
      <c r="H907" s="38"/>
      <c r="I907" s="57"/>
      <c r="J907" s="38"/>
      <c r="K907" s="38"/>
      <c r="L907" s="46"/>
      <c r="M907" s="56"/>
      <c r="N907" s="56"/>
      <c r="O907" s="56"/>
      <c r="P907" s="56"/>
      <c r="Q907" s="56"/>
      <c r="R907" s="62"/>
      <c r="S907" s="62"/>
      <c r="X907" s="56"/>
    </row>
    <row r="908" spans="1:24">
      <c r="A908" s="38"/>
      <c r="B908" s="38"/>
      <c r="D908" s="38"/>
      <c r="E908" s="38"/>
      <c r="F908" s="38"/>
      <c r="G908" s="46"/>
      <c r="H908" s="38"/>
      <c r="I908" s="57"/>
      <c r="J908" s="38"/>
      <c r="K908" s="38"/>
      <c r="L908" s="46"/>
      <c r="M908" s="56"/>
      <c r="N908" s="56"/>
      <c r="O908" s="56"/>
      <c r="P908" s="56"/>
      <c r="Q908" s="56"/>
      <c r="R908" s="62"/>
      <c r="S908" s="62"/>
      <c r="X908" s="56"/>
    </row>
    <row r="909" spans="1:24">
      <c r="A909" s="38"/>
      <c r="B909" s="38"/>
      <c r="D909" s="38"/>
      <c r="E909" s="38"/>
      <c r="F909" s="38"/>
      <c r="G909" s="46"/>
      <c r="H909" s="38"/>
      <c r="I909" s="57"/>
      <c r="J909" s="38"/>
      <c r="K909" s="38"/>
      <c r="L909" s="46"/>
      <c r="M909" s="56"/>
      <c r="N909" s="56"/>
      <c r="O909" s="56"/>
      <c r="P909" s="56"/>
      <c r="Q909" s="56"/>
      <c r="R909" s="62"/>
      <c r="S909" s="62"/>
      <c r="X909" s="56"/>
    </row>
    <row r="910" spans="1:24">
      <c r="A910" s="38"/>
      <c r="B910" s="38"/>
      <c r="D910" s="38"/>
      <c r="E910" s="38"/>
      <c r="F910" s="38"/>
      <c r="G910" s="46"/>
      <c r="H910" s="38"/>
      <c r="I910" s="57"/>
      <c r="J910" s="38"/>
      <c r="K910" s="38"/>
      <c r="L910" s="46"/>
      <c r="M910" s="56"/>
      <c r="N910" s="56"/>
      <c r="O910" s="56"/>
      <c r="P910" s="56"/>
      <c r="Q910" s="56"/>
      <c r="R910" s="62"/>
      <c r="S910" s="62"/>
      <c r="X910" s="56"/>
    </row>
    <row r="911" spans="1:24">
      <c r="A911" s="38"/>
      <c r="B911" s="38"/>
      <c r="D911" s="38"/>
      <c r="E911" s="38"/>
      <c r="F911" s="38"/>
      <c r="G911" s="46"/>
      <c r="H911" s="38"/>
      <c r="I911" s="57"/>
      <c r="J911" s="38"/>
      <c r="K911" s="38"/>
      <c r="L911" s="46"/>
      <c r="M911" s="56"/>
      <c r="N911" s="56"/>
      <c r="O911" s="56"/>
      <c r="P911" s="56"/>
      <c r="Q911" s="56"/>
      <c r="R911" s="62"/>
      <c r="S911" s="62"/>
      <c r="X911" s="56"/>
    </row>
    <row r="912" spans="1:24">
      <c r="A912" s="38"/>
      <c r="B912" s="38"/>
      <c r="D912" s="38"/>
      <c r="E912" s="38"/>
      <c r="F912" s="38"/>
      <c r="G912" s="46"/>
      <c r="H912" s="38"/>
      <c r="I912" s="57"/>
      <c r="J912" s="38"/>
      <c r="K912" s="38"/>
      <c r="L912" s="46"/>
      <c r="M912" s="56"/>
      <c r="N912" s="56"/>
      <c r="O912" s="56"/>
      <c r="P912" s="56"/>
      <c r="Q912" s="56"/>
      <c r="R912" s="62"/>
      <c r="S912" s="62"/>
      <c r="X912" s="56"/>
    </row>
    <row r="913" spans="1:24">
      <c r="A913" s="38"/>
      <c r="B913" s="38"/>
      <c r="D913" s="38"/>
      <c r="E913" s="38"/>
      <c r="F913" s="38"/>
      <c r="G913" s="46"/>
      <c r="H913" s="38"/>
      <c r="I913" s="57"/>
      <c r="J913" s="38"/>
      <c r="K913" s="38"/>
      <c r="L913" s="46"/>
      <c r="M913" s="56"/>
      <c r="N913" s="56"/>
      <c r="O913" s="56"/>
      <c r="P913" s="56"/>
      <c r="Q913" s="56"/>
      <c r="R913" s="62"/>
      <c r="S913" s="62"/>
      <c r="X913" s="56"/>
    </row>
    <row r="914" spans="1:24">
      <c r="A914" s="38"/>
      <c r="B914" s="38"/>
      <c r="D914" s="38"/>
      <c r="E914" s="38"/>
      <c r="F914" s="38"/>
      <c r="G914" s="46"/>
      <c r="H914" s="38"/>
      <c r="I914" s="57"/>
      <c r="J914" s="38"/>
      <c r="K914" s="38"/>
      <c r="L914" s="46"/>
      <c r="M914" s="56"/>
      <c r="N914" s="56"/>
      <c r="O914" s="56"/>
      <c r="P914" s="56"/>
      <c r="Q914" s="56"/>
      <c r="R914" s="62"/>
      <c r="S914" s="62"/>
      <c r="X914" s="56"/>
    </row>
    <row r="915" spans="1:24">
      <c r="A915" s="38"/>
      <c r="B915" s="38"/>
      <c r="D915" s="38"/>
      <c r="E915" s="38"/>
      <c r="F915" s="38"/>
      <c r="G915" s="46"/>
      <c r="H915" s="38"/>
      <c r="I915" s="57"/>
      <c r="J915" s="38"/>
      <c r="K915" s="38"/>
      <c r="L915" s="46"/>
      <c r="M915" s="56"/>
      <c r="N915" s="56"/>
      <c r="O915" s="56"/>
      <c r="P915" s="56"/>
      <c r="Q915" s="56"/>
      <c r="R915" s="62"/>
      <c r="S915" s="62"/>
      <c r="X915" s="56"/>
    </row>
    <row r="916" spans="1:24">
      <c r="A916" s="38"/>
      <c r="B916" s="38"/>
      <c r="D916" s="38"/>
      <c r="E916" s="38"/>
      <c r="F916" s="38"/>
      <c r="G916" s="46"/>
      <c r="H916" s="38"/>
      <c r="I916" s="57"/>
      <c r="J916" s="38"/>
      <c r="K916" s="38"/>
      <c r="L916" s="46"/>
      <c r="M916" s="56"/>
      <c r="N916" s="56"/>
      <c r="O916" s="56"/>
      <c r="P916" s="56"/>
      <c r="Q916" s="56"/>
      <c r="R916" s="62"/>
      <c r="S916" s="62"/>
      <c r="X916" s="56"/>
    </row>
    <row r="917" spans="1:24">
      <c r="A917" s="38"/>
      <c r="B917" s="38"/>
      <c r="D917" s="38"/>
      <c r="E917" s="38"/>
      <c r="F917" s="38"/>
      <c r="G917" s="46"/>
      <c r="H917" s="38"/>
      <c r="I917" s="57"/>
      <c r="J917" s="38"/>
      <c r="K917" s="38"/>
      <c r="L917" s="46"/>
      <c r="M917" s="56"/>
      <c r="N917" s="56"/>
      <c r="O917" s="56"/>
      <c r="P917" s="56"/>
      <c r="Q917" s="56"/>
      <c r="R917" s="62"/>
      <c r="S917" s="62"/>
      <c r="X917" s="56"/>
    </row>
    <row r="918" spans="1:24">
      <c r="A918" s="38"/>
      <c r="B918" s="38"/>
      <c r="D918" s="38"/>
      <c r="E918" s="38"/>
      <c r="F918" s="38"/>
      <c r="G918" s="46"/>
      <c r="H918" s="38"/>
      <c r="I918" s="57"/>
      <c r="J918" s="38"/>
      <c r="K918" s="38"/>
      <c r="L918" s="46"/>
      <c r="M918" s="56"/>
      <c r="N918" s="56"/>
      <c r="O918" s="56"/>
      <c r="P918" s="56"/>
      <c r="Q918" s="56"/>
      <c r="R918" s="62"/>
      <c r="S918" s="62"/>
      <c r="X918" s="56"/>
    </row>
    <row r="919" spans="1:24">
      <c r="A919" s="38"/>
      <c r="B919" s="38"/>
      <c r="D919" s="38"/>
      <c r="E919" s="38"/>
      <c r="F919" s="38"/>
      <c r="G919" s="46"/>
      <c r="H919" s="38"/>
      <c r="I919" s="57"/>
      <c r="J919" s="38"/>
      <c r="K919" s="38"/>
      <c r="L919" s="46"/>
      <c r="M919" s="56"/>
      <c r="N919" s="56"/>
      <c r="O919" s="56"/>
      <c r="P919" s="56"/>
      <c r="Q919" s="56"/>
      <c r="R919" s="62"/>
      <c r="S919" s="62"/>
      <c r="X919" s="56"/>
    </row>
    <row r="920" spans="1:24">
      <c r="A920" s="38"/>
      <c r="B920" s="38"/>
      <c r="D920" s="38"/>
      <c r="E920" s="38"/>
      <c r="F920" s="38"/>
      <c r="G920" s="46"/>
      <c r="H920" s="38"/>
      <c r="I920" s="57"/>
      <c r="J920" s="38"/>
      <c r="K920" s="38"/>
      <c r="L920" s="46"/>
      <c r="M920" s="56"/>
      <c r="N920" s="56"/>
      <c r="O920" s="56"/>
      <c r="P920" s="56"/>
      <c r="Q920" s="56"/>
      <c r="R920" s="62"/>
      <c r="S920" s="62"/>
      <c r="X920" s="56"/>
    </row>
    <row r="921" spans="1:24">
      <c r="A921" s="38"/>
      <c r="B921" s="38"/>
      <c r="D921" s="38"/>
      <c r="E921" s="38"/>
      <c r="F921" s="38"/>
      <c r="G921" s="46"/>
      <c r="H921" s="38"/>
      <c r="I921" s="57"/>
      <c r="J921" s="38"/>
      <c r="K921" s="38"/>
      <c r="L921" s="46"/>
      <c r="M921" s="56"/>
      <c r="N921" s="56"/>
      <c r="O921" s="56"/>
      <c r="P921" s="56"/>
      <c r="Q921" s="56"/>
      <c r="R921" s="62"/>
      <c r="S921" s="62"/>
      <c r="X921" s="56"/>
    </row>
    <row r="922" spans="1:24">
      <c r="A922" s="38"/>
      <c r="B922" s="38"/>
      <c r="D922" s="38"/>
      <c r="E922" s="38"/>
      <c r="F922" s="38"/>
      <c r="G922" s="46"/>
      <c r="H922" s="38"/>
      <c r="I922" s="57"/>
      <c r="J922" s="38"/>
      <c r="K922" s="38"/>
      <c r="L922" s="46"/>
      <c r="M922" s="56"/>
      <c r="N922" s="56"/>
      <c r="O922" s="56"/>
      <c r="P922" s="56"/>
      <c r="Q922" s="56"/>
      <c r="R922" s="62"/>
      <c r="S922" s="62"/>
      <c r="X922" s="56"/>
    </row>
    <row r="923" spans="1:24">
      <c r="A923" s="38"/>
      <c r="B923" s="38"/>
      <c r="D923" s="38"/>
      <c r="E923" s="38"/>
      <c r="F923" s="38"/>
      <c r="G923" s="46"/>
      <c r="H923" s="38"/>
      <c r="I923" s="57"/>
      <c r="J923" s="38"/>
      <c r="K923" s="38"/>
      <c r="L923" s="46"/>
      <c r="M923" s="56"/>
      <c r="N923" s="56"/>
      <c r="O923" s="56"/>
      <c r="P923" s="56"/>
      <c r="Q923" s="56"/>
      <c r="R923" s="62"/>
      <c r="S923" s="62"/>
      <c r="X923" s="56"/>
    </row>
    <row r="924" spans="1:24">
      <c r="A924" s="38"/>
      <c r="B924" s="38"/>
      <c r="D924" s="38"/>
      <c r="E924" s="38"/>
      <c r="F924" s="38"/>
      <c r="G924" s="46"/>
      <c r="H924" s="38"/>
      <c r="I924" s="57"/>
      <c r="J924" s="38"/>
      <c r="K924" s="38"/>
      <c r="L924" s="46"/>
      <c r="M924" s="56"/>
      <c r="N924" s="56"/>
      <c r="O924" s="56"/>
      <c r="P924" s="56"/>
      <c r="Q924" s="56"/>
      <c r="R924" s="62"/>
      <c r="S924" s="62"/>
      <c r="X924" s="56"/>
    </row>
    <row r="925" spans="1:24">
      <c r="A925" s="38"/>
      <c r="B925" s="38"/>
      <c r="D925" s="38"/>
      <c r="E925" s="38"/>
      <c r="F925" s="38"/>
      <c r="G925" s="46"/>
      <c r="H925" s="38"/>
      <c r="I925" s="57"/>
      <c r="J925" s="38"/>
      <c r="K925" s="38"/>
      <c r="L925" s="46"/>
      <c r="M925" s="56"/>
      <c r="N925" s="56"/>
      <c r="O925" s="56"/>
      <c r="P925" s="56"/>
      <c r="Q925" s="56"/>
      <c r="R925" s="62"/>
      <c r="S925" s="62"/>
      <c r="X925" s="56"/>
    </row>
    <row r="926" spans="1:24">
      <c r="A926" s="38"/>
      <c r="B926" s="38"/>
      <c r="D926" s="38"/>
      <c r="E926" s="38"/>
      <c r="F926" s="38"/>
      <c r="G926" s="46"/>
      <c r="H926" s="38"/>
      <c r="I926" s="57"/>
      <c r="J926" s="38"/>
      <c r="K926" s="38"/>
      <c r="L926" s="46"/>
      <c r="M926" s="56"/>
      <c r="N926" s="56"/>
      <c r="O926" s="56"/>
      <c r="P926" s="56"/>
      <c r="Q926" s="56"/>
      <c r="R926" s="62"/>
      <c r="S926" s="62"/>
      <c r="X926" s="56"/>
    </row>
    <row r="927" spans="1:24">
      <c r="A927" s="38"/>
      <c r="B927" s="38"/>
      <c r="D927" s="38"/>
      <c r="E927" s="38"/>
      <c r="F927" s="38"/>
      <c r="G927" s="46"/>
      <c r="H927" s="38"/>
      <c r="I927" s="57"/>
      <c r="J927" s="38"/>
      <c r="K927" s="38"/>
      <c r="L927" s="46"/>
      <c r="M927" s="56"/>
      <c r="N927" s="56"/>
      <c r="O927" s="56"/>
      <c r="P927" s="56"/>
      <c r="Q927" s="56"/>
      <c r="R927" s="62"/>
      <c r="S927" s="62"/>
      <c r="X927" s="56"/>
    </row>
    <row r="928" spans="1:24">
      <c r="A928" s="38"/>
      <c r="B928" s="38"/>
      <c r="D928" s="38"/>
      <c r="E928" s="38"/>
      <c r="F928" s="38"/>
      <c r="G928" s="46"/>
      <c r="H928" s="38"/>
      <c r="I928" s="57"/>
      <c r="J928" s="38"/>
      <c r="K928" s="38"/>
      <c r="L928" s="46"/>
      <c r="M928" s="56"/>
      <c r="N928" s="56"/>
      <c r="O928" s="56"/>
      <c r="P928" s="56"/>
      <c r="Q928" s="56"/>
      <c r="R928" s="62"/>
      <c r="S928" s="62"/>
      <c r="X928" s="56"/>
    </row>
    <row r="929" spans="1:24">
      <c r="A929" s="38"/>
      <c r="B929" s="38"/>
      <c r="D929" s="38"/>
      <c r="E929" s="38"/>
      <c r="F929" s="38"/>
      <c r="G929" s="46"/>
      <c r="H929" s="38"/>
      <c r="I929" s="57"/>
      <c r="J929" s="38"/>
      <c r="K929" s="38"/>
      <c r="L929" s="46"/>
      <c r="M929" s="56"/>
      <c r="N929" s="56"/>
      <c r="O929" s="56"/>
      <c r="P929" s="56"/>
      <c r="Q929" s="56"/>
      <c r="R929" s="62"/>
      <c r="S929" s="62"/>
      <c r="X929" s="56"/>
    </row>
    <row r="930" spans="1:24">
      <c r="A930" s="38"/>
      <c r="B930" s="38"/>
      <c r="D930" s="38"/>
      <c r="E930" s="38"/>
      <c r="F930" s="38"/>
      <c r="G930" s="46"/>
      <c r="H930" s="38"/>
      <c r="I930" s="57"/>
      <c r="J930" s="38"/>
      <c r="K930" s="38"/>
      <c r="L930" s="46"/>
      <c r="M930" s="56"/>
      <c r="N930" s="56"/>
      <c r="O930" s="56"/>
      <c r="P930" s="56"/>
      <c r="Q930" s="56"/>
      <c r="R930" s="62"/>
      <c r="S930" s="62"/>
      <c r="X930" s="56"/>
    </row>
    <row r="931" spans="1:24">
      <c r="A931" s="38"/>
      <c r="B931" s="38"/>
      <c r="D931" s="38"/>
      <c r="E931" s="38"/>
      <c r="F931" s="38"/>
      <c r="G931" s="46"/>
      <c r="H931" s="38"/>
      <c r="I931" s="57"/>
      <c r="J931" s="38"/>
      <c r="K931" s="38"/>
      <c r="L931" s="46"/>
      <c r="M931" s="56"/>
      <c r="N931" s="56"/>
      <c r="O931" s="56"/>
      <c r="P931" s="56"/>
      <c r="Q931" s="56"/>
      <c r="R931" s="62"/>
      <c r="S931" s="62"/>
      <c r="X931" s="56"/>
    </row>
    <row r="932" spans="1:24">
      <c r="A932" s="38"/>
      <c r="B932" s="38"/>
      <c r="D932" s="38"/>
      <c r="E932" s="38"/>
      <c r="F932" s="38"/>
      <c r="G932" s="46"/>
      <c r="H932" s="38"/>
      <c r="I932" s="57"/>
      <c r="J932" s="38"/>
      <c r="K932" s="38"/>
      <c r="L932" s="46"/>
      <c r="M932" s="56"/>
      <c r="N932" s="56"/>
      <c r="O932" s="56"/>
      <c r="P932" s="56"/>
      <c r="Q932" s="56"/>
      <c r="R932" s="62"/>
      <c r="S932" s="62"/>
      <c r="X932" s="56"/>
    </row>
    <row r="933" spans="1:24">
      <c r="A933" s="38"/>
      <c r="B933" s="38"/>
      <c r="D933" s="38"/>
      <c r="E933" s="38"/>
      <c r="F933" s="38"/>
      <c r="G933" s="46"/>
      <c r="H933" s="38"/>
      <c r="I933" s="57"/>
      <c r="J933" s="38"/>
      <c r="K933" s="38"/>
      <c r="L933" s="46"/>
      <c r="M933" s="56"/>
      <c r="N933" s="56"/>
      <c r="O933" s="56"/>
      <c r="P933" s="56"/>
      <c r="Q933" s="56"/>
      <c r="R933" s="62"/>
      <c r="S933" s="62"/>
      <c r="X933" s="56"/>
    </row>
    <row r="934" spans="1:24">
      <c r="A934" s="38"/>
      <c r="B934" s="38"/>
      <c r="D934" s="38"/>
      <c r="E934" s="38"/>
      <c r="F934" s="38"/>
      <c r="G934" s="46"/>
      <c r="H934" s="38"/>
      <c r="I934" s="57"/>
      <c r="J934" s="38"/>
      <c r="K934" s="38"/>
      <c r="L934" s="46"/>
      <c r="M934" s="56"/>
      <c r="N934" s="56"/>
      <c r="O934" s="56"/>
      <c r="P934" s="56"/>
      <c r="Q934" s="56"/>
      <c r="R934" s="62"/>
      <c r="S934" s="62"/>
      <c r="X934" s="56"/>
    </row>
    <row r="935" spans="1:24">
      <c r="A935" s="38"/>
      <c r="B935" s="38"/>
      <c r="D935" s="38"/>
      <c r="E935" s="38"/>
      <c r="F935" s="38"/>
      <c r="G935" s="46"/>
      <c r="H935" s="38"/>
      <c r="I935" s="57"/>
      <c r="J935" s="38"/>
      <c r="K935" s="38"/>
      <c r="L935" s="46"/>
      <c r="M935" s="56"/>
      <c r="N935" s="56"/>
      <c r="O935" s="56"/>
      <c r="P935" s="56"/>
      <c r="Q935" s="56"/>
      <c r="R935" s="62"/>
      <c r="S935" s="62"/>
      <c r="X935" s="56"/>
    </row>
    <row r="936" spans="1:24">
      <c r="A936" s="38"/>
      <c r="B936" s="38"/>
      <c r="D936" s="38"/>
      <c r="E936" s="38"/>
      <c r="F936" s="38"/>
      <c r="G936" s="46"/>
      <c r="H936" s="38"/>
      <c r="I936" s="57"/>
      <c r="J936" s="38"/>
      <c r="K936" s="38"/>
      <c r="L936" s="46"/>
      <c r="M936" s="56"/>
      <c r="N936" s="56"/>
      <c r="O936" s="56"/>
      <c r="P936" s="56"/>
      <c r="Q936" s="56"/>
      <c r="R936" s="62"/>
      <c r="S936" s="62"/>
      <c r="X936" s="56"/>
    </row>
    <row r="937" spans="1:24">
      <c r="A937" s="38"/>
      <c r="B937" s="38"/>
      <c r="D937" s="38"/>
      <c r="E937" s="38"/>
      <c r="F937" s="38"/>
      <c r="G937" s="46"/>
      <c r="H937" s="38"/>
      <c r="I937" s="57"/>
      <c r="J937" s="38"/>
      <c r="K937" s="38"/>
      <c r="L937" s="46"/>
      <c r="M937" s="56"/>
      <c r="N937" s="56"/>
      <c r="O937" s="56"/>
      <c r="P937" s="56"/>
      <c r="Q937" s="56"/>
      <c r="R937" s="62"/>
      <c r="S937" s="62"/>
      <c r="X937" s="56"/>
    </row>
    <row r="938" spans="1:24">
      <c r="A938" s="38"/>
      <c r="B938" s="38"/>
      <c r="D938" s="38"/>
      <c r="E938" s="38"/>
      <c r="F938" s="38"/>
      <c r="G938" s="46"/>
      <c r="H938" s="38"/>
      <c r="I938" s="57"/>
      <c r="J938" s="38"/>
      <c r="K938" s="38"/>
      <c r="L938" s="46"/>
      <c r="M938" s="56"/>
      <c r="N938" s="56"/>
      <c r="O938" s="56"/>
      <c r="P938" s="56"/>
      <c r="Q938" s="56"/>
      <c r="R938" s="62"/>
      <c r="S938" s="62"/>
      <c r="X938" s="56"/>
    </row>
    <row r="939" spans="1:24">
      <c r="A939" s="38"/>
      <c r="B939" s="38"/>
      <c r="D939" s="38"/>
      <c r="E939" s="38"/>
      <c r="F939" s="38"/>
      <c r="G939" s="46"/>
      <c r="H939" s="38"/>
      <c r="I939" s="57"/>
      <c r="J939" s="38"/>
      <c r="K939" s="38"/>
      <c r="L939" s="46"/>
      <c r="M939" s="56"/>
      <c r="N939" s="56"/>
      <c r="O939" s="56"/>
      <c r="P939" s="56"/>
      <c r="Q939" s="56"/>
      <c r="R939" s="62"/>
      <c r="S939" s="62"/>
      <c r="X939" s="56"/>
    </row>
    <row r="940" spans="1:24">
      <c r="A940" s="38"/>
      <c r="B940" s="38"/>
      <c r="D940" s="38"/>
      <c r="E940" s="38"/>
      <c r="F940" s="38"/>
      <c r="G940" s="46"/>
      <c r="H940" s="38"/>
      <c r="I940" s="57"/>
      <c r="J940" s="38"/>
      <c r="K940" s="38"/>
      <c r="L940" s="46"/>
      <c r="M940" s="56"/>
      <c r="N940" s="56"/>
      <c r="O940" s="56"/>
      <c r="P940" s="56"/>
      <c r="Q940" s="56"/>
      <c r="R940" s="62"/>
      <c r="S940" s="62"/>
      <c r="X940" s="56"/>
    </row>
    <row r="941" spans="1:24">
      <c r="A941" s="38"/>
      <c r="B941" s="38"/>
      <c r="D941" s="38"/>
      <c r="E941" s="38"/>
      <c r="F941" s="38"/>
      <c r="G941" s="46"/>
      <c r="H941" s="38"/>
      <c r="I941" s="57"/>
      <c r="J941" s="38"/>
      <c r="K941" s="38"/>
      <c r="L941" s="46"/>
      <c r="M941" s="56"/>
      <c r="N941" s="56"/>
      <c r="O941" s="56"/>
      <c r="P941" s="56"/>
      <c r="Q941" s="56"/>
      <c r="R941" s="62"/>
      <c r="S941" s="62"/>
      <c r="X941" s="56"/>
    </row>
    <row r="942" spans="1:24">
      <c r="A942" s="38"/>
      <c r="B942" s="38"/>
      <c r="D942" s="38"/>
      <c r="E942" s="38"/>
      <c r="F942" s="38"/>
      <c r="G942" s="46"/>
      <c r="H942" s="38"/>
      <c r="I942" s="57"/>
      <c r="J942" s="38"/>
      <c r="K942" s="38"/>
      <c r="L942" s="46"/>
      <c r="M942" s="56"/>
      <c r="N942" s="56"/>
      <c r="O942" s="56"/>
      <c r="P942" s="56"/>
      <c r="Q942" s="56"/>
      <c r="R942" s="62"/>
      <c r="S942" s="62"/>
      <c r="X942" s="56"/>
    </row>
    <row r="943" spans="1:24">
      <c r="A943" s="38"/>
      <c r="B943" s="38"/>
      <c r="D943" s="38"/>
      <c r="E943" s="38"/>
      <c r="F943" s="38"/>
      <c r="G943" s="46"/>
      <c r="H943" s="38"/>
      <c r="I943" s="57"/>
      <c r="J943" s="38"/>
      <c r="K943" s="38"/>
      <c r="L943" s="46"/>
      <c r="M943" s="56"/>
      <c r="N943" s="56"/>
      <c r="O943" s="56"/>
      <c r="P943" s="56"/>
      <c r="Q943" s="56"/>
      <c r="R943" s="62"/>
      <c r="S943" s="62"/>
      <c r="X943" s="56"/>
    </row>
    <row r="944" spans="1:24">
      <c r="A944" s="38"/>
      <c r="B944" s="38"/>
      <c r="D944" s="38"/>
      <c r="E944" s="38"/>
      <c r="F944" s="38"/>
      <c r="G944" s="46"/>
      <c r="H944" s="38"/>
      <c r="I944" s="57"/>
      <c r="J944" s="38"/>
      <c r="K944" s="38"/>
      <c r="L944" s="46"/>
      <c r="M944" s="56"/>
      <c r="N944" s="56"/>
      <c r="O944" s="56"/>
      <c r="P944" s="56"/>
      <c r="Q944" s="56"/>
      <c r="R944" s="62"/>
      <c r="S944" s="62"/>
      <c r="X944" s="56"/>
    </row>
    <row r="945" spans="1:24">
      <c r="A945" s="38"/>
      <c r="B945" s="38"/>
      <c r="D945" s="38"/>
      <c r="E945" s="38"/>
      <c r="F945" s="38"/>
      <c r="G945" s="46"/>
      <c r="H945" s="38"/>
      <c r="I945" s="57"/>
      <c r="J945" s="38"/>
      <c r="K945" s="38"/>
      <c r="L945" s="46"/>
      <c r="M945" s="56"/>
      <c r="N945" s="56"/>
      <c r="O945" s="56"/>
      <c r="P945" s="56"/>
      <c r="Q945" s="56"/>
      <c r="R945" s="62"/>
      <c r="S945" s="62"/>
      <c r="X945" s="56"/>
    </row>
    <row r="946" spans="1:24">
      <c r="A946" s="38"/>
      <c r="B946" s="38"/>
      <c r="D946" s="38"/>
      <c r="E946" s="38"/>
      <c r="F946" s="38"/>
      <c r="G946" s="46"/>
      <c r="H946" s="38"/>
      <c r="I946" s="57"/>
      <c r="J946" s="38"/>
      <c r="K946" s="38"/>
      <c r="L946" s="46"/>
      <c r="M946" s="56"/>
      <c r="N946" s="56"/>
      <c r="O946" s="56"/>
      <c r="P946" s="56"/>
      <c r="Q946" s="56"/>
      <c r="R946" s="62"/>
      <c r="S946" s="62"/>
      <c r="X946" s="56"/>
    </row>
    <row r="947" spans="1:24">
      <c r="A947" s="38"/>
      <c r="B947" s="38"/>
      <c r="D947" s="38"/>
      <c r="E947" s="38"/>
      <c r="F947" s="38"/>
      <c r="G947" s="46"/>
      <c r="H947" s="38"/>
      <c r="I947" s="57"/>
      <c r="J947" s="38"/>
      <c r="K947" s="38"/>
      <c r="L947" s="46"/>
      <c r="M947" s="56"/>
      <c r="N947" s="56"/>
      <c r="O947" s="56"/>
      <c r="P947" s="56"/>
      <c r="Q947" s="56"/>
      <c r="R947" s="62"/>
      <c r="S947" s="62"/>
      <c r="X947" s="56"/>
    </row>
    <row r="948" spans="1:24">
      <c r="A948" s="38"/>
      <c r="B948" s="38"/>
      <c r="D948" s="38"/>
      <c r="E948" s="38"/>
      <c r="F948" s="38"/>
      <c r="G948" s="46"/>
      <c r="H948" s="38"/>
      <c r="I948" s="57"/>
      <c r="J948" s="38"/>
      <c r="K948" s="38"/>
      <c r="L948" s="46"/>
      <c r="M948" s="56"/>
      <c r="N948" s="56"/>
      <c r="O948" s="56"/>
      <c r="P948" s="56"/>
      <c r="Q948" s="56"/>
      <c r="R948" s="62"/>
      <c r="S948" s="62"/>
      <c r="X948" s="56"/>
    </row>
    <row r="949" spans="1:24">
      <c r="A949" s="38"/>
      <c r="B949" s="38"/>
      <c r="D949" s="38"/>
      <c r="E949" s="38"/>
      <c r="F949" s="38"/>
      <c r="G949" s="46"/>
      <c r="H949" s="38"/>
      <c r="I949" s="57"/>
      <c r="J949" s="38"/>
      <c r="K949" s="38"/>
      <c r="L949" s="46"/>
      <c r="M949" s="56"/>
      <c r="N949" s="56"/>
      <c r="O949" s="56"/>
      <c r="P949" s="56"/>
      <c r="Q949" s="56"/>
      <c r="R949" s="62"/>
      <c r="S949" s="62"/>
      <c r="X949" s="56"/>
    </row>
    <row r="950" spans="1:24">
      <c r="A950" s="38"/>
      <c r="B950" s="38"/>
      <c r="D950" s="38"/>
      <c r="E950" s="38"/>
      <c r="F950" s="38"/>
      <c r="G950" s="46"/>
      <c r="H950" s="38"/>
      <c r="I950" s="57"/>
      <c r="J950" s="38"/>
      <c r="K950" s="38"/>
      <c r="L950" s="46"/>
      <c r="M950" s="56"/>
      <c r="N950" s="56"/>
      <c r="O950" s="56"/>
      <c r="P950" s="56"/>
      <c r="Q950" s="56"/>
      <c r="R950" s="62"/>
      <c r="S950" s="62"/>
      <c r="X950" s="56"/>
    </row>
    <row r="951" spans="1:24">
      <c r="A951" s="38"/>
      <c r="B951" s="38"/>
      <c r="D951" s="38"/>
      <c r="E951" s="38"/>
      <c r="F951" s="38"/>
      <c r="G951" s="46"/>
      <c r="H951" s="38"/>
      <c r="I951" s="57"/>
      <c r="J951" s="38"/>
      <c r="K951" s="38"/>
      <c r="L951" s="46"/>
      <c r="M951" s="56"/>
      <c r="N951" s="56"/>
      <c r="O951" s="56"/>
      <c r="P951" s="56"/>
      <c r="Q951" s="56"/>
      <c r="R951" s="62"/>
      <c r="S951" s="62"/>
      <c r="X951" s="56"/>
    </row>
    <row r="952" spans="1:24">
      <c r="A952" s="38"/>
      <c r="B952" s="38"/>
      <c r="D952" s="38"/>
      <c r="E952" s="38"/>
      <c r="F952" s="38"/>
      <c r="G952" s="46"/>
      <c r="H952" s="38"/>
      <c r="I952" s="57"/>
      <c r="J952" s="38"/>
      <c r="K952" s="38"/>
      <c r="L952" s="46"/>
      <c r="M952" s="56"/>
      <c r="N952" s="56"/>
      <c r="O952" s="56"/>
      <c r="P952" s="56"/>
      <c r="Q952" s="56"/>
      <c r="R952" s="62"/>
      <c r="S952" s="62"/>
      <c r="X952" s="56"/>
    </row>
    <row r="953" spans="1:24">
      <c r="A953" s="38"/>
      <c r="B953" s="38"/>
      <c r="D953" s="38"/>
      <c r="E953" s="38"/>
      <c r="F953" s="38"/>
      <c r="G953" s="46"/>
      <c r="H953" s="38"/>
      <c r="I953" s="57"/>
      <c r="J953" s="38"/>
      <c r="K953" s="38"/>
      <c r="L953" s="46"/>
      <c r="M953" s="56"/>
      <c r="N953" s="56"/>
      <c r="O953" s="56"/>
      <c r="P953" s="56"/>
      <c r="Q953" s="56"/>
      <c r="R953" s="62"/>
      <c r="S953" s="62"/>
      <c r="X953" s="56"/>
    </row>
    <row r="954" spans="1:24">
      <c r="A954" s="38"/>
      <c r="B954" s="38"/>
      <c r="D954" s="38"/>
      <c r="E954" s="38"/>
      <c r="F954" s="38"/>
      <c r="G954" s="46"/>
      <c r="H954" s="38"/>
      <c r="I954" s="57"/>
      <c r="J954" s="38"/>
      <c r="K954" s="38"/>
      <c r="L954" s="46"/>
      <c r="M954" s="56"/>
      <c r="N954" s="56"/>
      <c r="O954" s="56"/>
      <c r="P954" s="56"/>
      <c r="Q954" s="56"/>
      <c r="R954" s="62"/>
      <c r="S954" s="62"/>
      <c r="X954" s="56"/>
    </row>
    <row r="955" spans="1:24">
      <c r="A955" s="38"/>
      <c r="B955" s="38"/>
      <c r="D955" s="38"/>
      <c r="E955" s="38"/>
      <c r="F955" s="38"/>
      <c r="G955" s="46"/>
      <c r="H955" s="38"/>
      <c r="I955" s="57"/>
      <c r="J955" s="38"/>
      <c r="K955" s="38"/>
      <c r="L955" s="46"/>
      <c r="M955" s="56"/>
      <c r="N955" s="56"/>
      <c r="O955" s="56"/>
      <c r="P955" s="56"/>
      <c r="Q955" s="56"/>
      <c r="R955" s="62"/>
      <c r="S955" s="62"/>
      <c r="X955" s="56"/>
    </row>
    <row r="956" spans="1:24">
      <c r="A956" s="38"/>
      <c r="B956" s="38"/>
      <c r="D956" s="38"/>
      <c r="E956" s="38"/>
      <c r="F956" s="38"/>
      <c r="G956" s="46"/>
      <c r="H956" s="38"/>
      <c r="I956" s="57"/>
      <c r="J956" s="38"/>
      <c r="K956" s="38"/>
      <c r="L956" s="46"/>
      <c r="M956" s="56"/>
      <c r="N956" s="56"/>
      <c r="O956" s="56"/>
      <c r="P956" s="56"/>
      <c r="Q956" s="56"/>
      <c r="R956" s="62"/>
      <c r="S956" s="62"/>
      <c r="X956" s="56"/>
    </row>
    <row r="957" spans="1:24">
      <c r="A957" s="38"/>
      <c r="B957" s="38"/>
      <c r="D957" s="38"/>
      <c r="E957" s="38"/>
      <c r="F957" s="38"/>
      <c r="G957" s="46"/>
      <c r="H957" s="38"/>
      <c r="I957" s="57"/>
      <c r="J957" s="38"/>
      <c r="K957" s="38"/>
      <c r="L957" s="46"/>
      <c r="M957" s="56"/>
      <c r="N957" s="56"/>
      <c r="O957" s="56"/>
      <c r="P957" s="56"/>
      <c r="Q957" s="56"/>
      <c r="R957" s="62"/>
      <c r="S957" s="62"/>
      <c r="X957" s="56"/>
    </row>
    <row r="958" spans="1:24">
      <c r="A958" s="38"/>
      <c r="B958" s="38"/>
      <c r="D958" s="38"/>
      <c r="E958" s="38"/>
      <c r="F958" s="38"/>
      <c r="G958" s="46"/>
      <c r="H958" s="38"/>
      <c r="I958" s="57"/>
      <c r="J958" s="38"/>
      <c r="K958" s="38"/>
      <c r="L958" s="46"/>
      <c r="M958" s="56"/>
      <c r="N958" s="56"/>
      <c r="O958" s="56"/>
      <c r="P958" s="56"/>
      <c r="Q958" s="56"/>
      <c r="R958" s="62"/>
      <c r="S958" s="62"/>
      <c r="X958" s="56"/>
    </row>
    <row r="959" spans="1:24">
      <c r="A959" s="38"/>
      <c r="B959" s="38"/>
      <c r="D959" s="38"/>
      <c r="E959" s="38"/>
      <c r="F959" s="38"/>
      <c r="G959" s="46"/>
      <c r="H959" s="38"/>
      <c r="I959" s="57"/>
      <c r="J959" s="38"/>
      <c r="K959" s="38"/>
      <c r="L959" s="46"/>
      <c r="M959" s="56"/>
      <c r="N959" s="56"/>
      <c r="O959" s="56"/>
      <c r="P959" s="56"/>
      <c r="Q959" s="56"/>
      <c r="R959" s="62"/>
      <c r="S959" s="62"/>
      <c r="X959" s="56"/>
    </row>
    <row r="960" spans="1:24">
      <c r="A960" s="38"/>
      <c r="B960" s="38"/>
      <c r="D960" s="38"/>
      <c r="E960" s="38"/>
      <c r="F960" s="38"/>
      <c r="G960" s="46"/>
      <c r="H960" s="38"/>
      <c r="I960" s="57"/>
      <c r="J960" s="38"/>
      <c r="K960" s="38"/>
      <c r="L960" s="46"/>
      <c r="M960" s="56"/>
      <c r="N960" s="56"/>
      <c r="O960" s="56"/>
      <c r="P960" s="56"/>
      <c r="Q960" s="56"/>
      <c r="R960" s="62"/>
      <c r="S960" s="62"/>
      <c r="X960" s="56"/>
    </row>
    <row r="961" spans="1:24">
      <c r="A961" s="38"/>
      <c r="B961" s="38"/>
      <c r="D961" s="38"/>
      <c r="E961" s="38"/>
      <c r="F961" s="38"/>
      <c r="G961" s="46"/>
      <c r="H961" s="38"/>
      <c r="I961" s="57"/>
      <c r="J961" s="38"/>
      <c r="K961" s="38"/>
      <c r="L961" s="46"/>
      <c r="M961" s="56"/>
      <c r="N961" s="56"/>
      <c r="O961" s="56"/>
      <c r="P961" s="56"/>
      <c r="Q961" s="56"/>
      <c r="R961" s="62"/>
      <c r="S961" s="62"/>
      <c r="X961" s="56"/>
    </row>
    <row r="962" spans="1:24">
      <c r="A962" s="38"/>
      <c r="B962" s="38"/>
      <c r="D962" s="38"/>
      <c r="E962" s="38"/>
      <c r="F962" s="38"/>
      <c r="G962" s="46"/>
      <c r="H962" s="38"/>
      <c r="I962" s="57"/>
      <c r="J962" s="38"/>
      <c r="K962" s="38"/>
      <c r="L962" s="46"/>
      <c r="M962" s="56"/>
      <c r="N962" s="56"/>
      <c r="O962" s="56"/>
      <c r="P962" s="56"/>
      <c r="Q962" s="56"/>
      <c r="R962" s="62"/>
      <c r="S962" s="62"/>
      <c r="X962" s="56"/>
    </row>
    <row r="963" spans="1:24">
      <c r="A963" s="38"/>
      <c r="B963" s="38"/>
      <c r="D963" s="38"/>
      <c r="E963" s="38"/>
      <c r="F963" s="38"/>
      <c r="G963" s="46"/>
      <c r="H963" s="38"/>
      <c r="I963" s="57"/>
      <c r="J963" s="38"/>
      <c r="K963" s="38"/>
      <c r="L963" s="46"/>
      <c r="M963" s="56"/>
      <c r="N963" s="56"/>
      <c r="O963" s="56"/>
      <c r="P963" s="56"/>
      <c r="Q963" s="56"/>
      <c r="R963" s="62"/>
      <c r="S963" s="62"/>
      <c r="X963" s="56"/>
    </row>
    <row r="964" spans="1:24">
      <c r="A964" s="38"/>
      <c r="B964" s="38"/>
      <c r="D964" s="38"/>
      <c r="E964" s="38"/>
      <c r="F964" s="38"/>
      <c r="G964" s="46"/>
      <c r="H964" s="38"/>
      <c r="I964" s="57"/>
      <c r="J964" s="38"/>
      <c r="K964" s="38"/>
      <c r="L964" s="46"/>
      <c r="M964" s="56"/>
      <c r="N964" s="56"/>
      <c r="O964" s="56"/>
      <c r="P964" s="56"/>
      <c r="Q964" s="56"/>
      <c r="R964" s="62"/>
      <c r="S964" s="62"/>
      <c r="X964" s="56"/>
    </row>
    <row r="965" spans="1:24">
      <c r="A965" s="38"/>
      <c r="B965" s="38"/>
      <c r="D965" s="38"/>
      <c r="E965" s="38"/>
      <c r="F965" s="38"/>
      <c r="G965" s="46"/>
      <c r="H965" s="38"/>
      <c r="I965" s="57"/>
      <c r="J965" s="38"/>
      <c r="K965" s="38"/>
      <c r="L965" s="46"/>
      <c r="M965" s="56"/>
      <c r="N965" s="56"/>
      <c r="O965" s="56"/>
      <c r="P965" s="56"/>
      <c r="Q965" s="56"/>
      <c r="R965" s="62"/>
      <c r="S965" s="62"/>
      <c r="X965" s="56"/>
    </row>
    <row r="966" spans="1:24">
      <c r="A966" s="38"/>
      <c r="B966" s="38"/>
      <c r="D966" s="38"/>
      <c r="E966" s="38"/>
      <c r="F966" s="38"/>
      <c r="G966" s="46"/>
      <c r="H966" s="38"/>
      <c r="I966" s="57"/>
      <c r="J966" s="38"/>
      <c r="K966" s="38"/>
      <c r="L966" s="46"/>
      <c r="M966" s="56"/>
      <c r="N966" s="56"/>
      <c r="O966" s="56"/>
      <c r="P966" s="56"/>
      <c r="Q966" s="56"/>
      <c r="R966" s="62"/>
      <c r="S966" s="62"/>
      <c r="X966" s="56"/>
    </row>
    <row r="967" spans="1:24">
      <c r="A967" s="38"/>
      <c r="B967" s="38"/>
      <c r="D967" s="38"/>
      <c r="E967" s="38"/>
      <c r="F967" s="38"/>
      <c r="G967" s="46"/>
      <c r="H967" s="38"/>
      <c r="I967" s="57"/>
      <c r="J967" s="38"/>
      <c r="K967" s="38"/>
      <c r="L967" s="46"/>
      <c r="M967" s="56"/>
      <c r="N967" s="56"/>
      <c r="O967" s="56"/>
      <c r="P967" s="56"/>
      <c r="Q967" s="56"/>
      <c r="R967" s="62"/>
      <c r="S967" s="62"/>
      <c r="X967" s="56"/>
    </row>
    <row r="968" spans="1:24">
      <c r="A968" s="38"/>
      <c r="B968" s="38"/>
      <c r="D968" s="38"/>
      <c r="E968" s="38"/>
      <c r="F968" s="38"/>
      <c r="G968" s="46"/>
      <c r="H968" s="38"/>
      <c r="I968" s="57"/>
      <c r="J968" s="38"/>
      <c r="K968" s="38"/>
      <c r="L968" s="46"/>
      <c r="M968" s="56"/>
      <c r="N968" s="56"/>
      <c r="O968" s="56"/>
      <c r="P968" s="56"/>
      <c r="Q968" s="56"/>
      <c r="R968" s="62"/>
      <c r="S968" s="62"/>
      <c r="X968" s="56"/>
    </row>
    <row r="969" spans="1:24">
      <c r="A969" s="38"/>
      <c r="B969" s="38"/>
      <c r="D969" s="38"/>
      <c r="E969" s="38"/>
      <c r="F969" s="38"/>
      <c r="G969" s="46"/>
      <c r="H969" s="38"/>
      <c r="I969" s="57"/>
      <c r="J969" s="38"/>
      <c r="K969" s="38"/>
      <c r="L969" s="46"/>
      <c r="M969" s="56"/>
      <c r="N969" s="56"/>
      <c r="O969" s="56"/>
      <c r="P969" s="56"/>
      <c r="Q969" s="56"/>
      <c r="R969" s="62"/>
      <c r="S969" s="62"/>
      <c r="X969" s="56"/>
    </row>
    <row r="970" spans="1:24">
      <c r="A970" s="38"/>
      <c r="B970" s="38"/>
      <c r="D970" s="38"/>
      <c r="E970" s="38"/>
      <c r="F970" s="38"/>
      <c r="G970" s="46"/>
      <c r="H970" s="38"/>
      <c r="I970" s="57"/>
      <c r="J970" s="38"/>
      <c r="K970" s="38"/>
      <c r="L970" s="46"/>
      <c r="M970" s="56"/>
      <c r="N970" s="56"/>
      <c r="O970" s="56"/>
      <c r="P970" s="56"/>
      <c r="Q970" s="56"/>
      <c r="R970" s="62"/>
      <c r="S970" s="62"/>
      <c r="X970" s="56"/>
    </row>
    <row r="971" spans="1:24">
      <c r="A971" s="38"/>
      <c r="B971" s="38"/>
      <c r="D971" s="38"/>
      <c r="E971" s="38"/>
      <c r="F971" s="38"/>
      <c r="G971" s="46"/>
      <c r="H971" s="38"/>
      <c r="I971" s="57"/>
      <c r="J971" s="38"/>
      <c r="K971" s="38"/>
      <c r="L971" s="46"/>
      <c r="M971" s="56"/>
      <c r="N971" s="56"/>
      <c r="O971" s="56"/>
      <c r="P971" s="56"/>
      <c r="Q971" s="56"/>
      <c r="R971" s="62"/>
      <c r="S971" s="62"/>
      <c r="X971" s="56"/>
    </row>
    <row r="972" spans="1:24">
      <c r="A972" s="38"/>
      <c r="B972" s="38"/>
      <c r="D972" s="38"/>
      <c r="E972" s="38"/>
      <c r="F972" s="38"/>
      <c r="G972" s="46"/>
      <c r="H972" s="38"/>
      <c r="I972" s="57"/>
      <c r="J972" s="38"/>
      <c r="K972" s="38"/>
      <c r="L972" s="46"/>
      <c r="M972" s="56"/>
      <c r="N972" s="56"/>
      <c r="O972" s="56"/>
      <c r="P972" s="56"/>
      <c r="Q972" s="56"/>
      <c r="R972" s="62"/>
      <c r="S972" s="62"/>
      <c r="X972" s="56"/>
    </row>
    <row r="973" spans="1:24">
      <c r="A973" s="38"/>
      <c r="B973" s="38"/>
      <c r="D973" s="38"/>
      <c r="E973" s="38"/>
      <c r="F973" s="38"/>
      <c r="G973" s="46"/>
      <c r="H973" s="38"/>
      <c r="I973" s="57"/>
      <c r="J973" s="38"/>
      <c r="K973" s="38"/>
      <c r="L973" s="46"/>
      <c r="M973" s="56"/>
      <c r="N973" s="56"/>
      <c r="O973" s="56"/>
      <c r="P973" s="56"/>
      <c r="Q973" s="56"/>
      <c r="R973" s="62"/>
      <c r="S973" s="62"/>
      <c r="X973" s="56"/>
    </row>
    <row r="974" spans="1:24">
      <c r="A974" s="38"/>
      <c r="B974" s="38"/>
      <c r="D974" s="38"/>
      <c r="E974" s="38"/>
      <c r="F974" s="38"/>
      <c r="G974" s="46"/>
      <c r="H974" s="38"/>
      <c r="I974" s="57"/>
      <c r="J974" s="38"/>
      <c r="K974" s="38"/>
      <c r="L974" s="46"/>
      <c r="M974" s="56"/>
      <c r="N974" s="56"/>
      <c r="O974" s="56"/>
      <c r="P974" s="56"/>
      <c r="Q974" s="56"/>
      <c r="R974" s="62"/>
      <c r="S974" s="62"/>
      <c r="X974" s="56"/>
    </row>
    <row r="975" spans="1:24">
      <c r="A975" s="38"/>
      <c r="B975" s="38"/>
      <c r="D975" s="38"/>
      <c r="E975" s="38"/>
      <c r="F975" s="38"/>
      <c r="G975" s="46"/>
      <c r="H975" s="38"/>
      <c r="I975" s="57"/>
      <c r="J975" s="38"/>
      <c r="K975" s="38"/>
      <c r="L975" s="46"/>
      <c r="M975" s="56"/>
      <c r="N975" s="56"/>
      <c r="O975" s="56"/>
      <c r="P975" s="56"/>
      <c r="Q975" s="56"/>
      <c r="R975" s="62"/>
      <c r="S975" s="62"/>
      <c r="X975" s="56"/>
    </row>
    <row r="976" spans="1:24">
      <c r="A976" s="38"/>
      <c r="B976" s="38"/>
      <c r="D976" s="38"/>
      <c r="E976" s="38"/>
      <c r="F976" s="38"/>
      <c r="G976" s="46"/>
      <c r="H976" s="38"/>
      <c r="I976" s="57"/>
      <c r="J976" s="38"/>
      <c r="K976" s="38"/>
      <c r="L976" s="46"/>
      <c r="M976" s="56"/>
      <c r="N976" s="56"/>
      <c r="O976" s="56"/>
      <c r="P976" s="56"/>
      <c r="Q976" s="56"/>
      <c r="R976" s="62"/>
      <c r="S976" s="62"/>
      <c r="X976" s="56"/>
    </row>
    <row r="977" spans="1:24">
      <c r="A977" s="38"/>
      <c r="B977" s="38"/>
      <c r="D977" s="38"/>
      <c r="E977" s="38"/>
      <c r="F977" s="38"/>
      <c r="G977" s="46"/>
      <c r="H977" s="38"/>
      <c r="I977" s="57"/>
      <c r="J977" s="38"/>
      <c r="K977" s="38"/>
      <c r="L977" s="46"/>
      <c r="M977" s="56"/>
      <c r="N977" s="56"/>
      <c r="O977" s="56"/>
      <c r="P977" s="56"/>
      <c r="Q977" s="56"/>
      <c r="R977" s="62"/>
      <c r="S977" s="62"/>
      <c r="X977" s="56"/>
    </row>
    <row r="978" spans="1:24">
      <c r="A978" s="38"/>
      <c r="B978" s="38"/>
      <c r="D978" s="38"/>
      <c r="E978" s="38"/>
      <c r="F978" s="38"/>
      <c r="G978" s="46"/>
      <c r="H978" s="38"/>
      <c r="I978" s="57"/>
      <c r="J978" s="38"/>
      <c r="K978" s="38"/>
      <c r="L978" s="46"/>
      <c r="M978" s="56"/>
      <c r="N978" s="56"/>
      <c r="O978" s="56"/>
      <c r="P978" s="56"/>
      <c r="Q978" s="56"/>
      <c r="R978" s="62"/>
      <c r="S978" s="62"/>
      <c r="X978" s="56"/>
    </row>
    <row r="979" spans="1:24">
      <c r="A979" s="38"/>
      <c r="B979" s="38"/>
      <c r="D979" s="38"/>
      <c r="E979" s="38"/>
      <c r="F979" s="38"/>
      <c r="G979" s="46"/>
      <c r="H979" s="38"/>
      <c r="I979" s="57"/>
      <c r="J979" s="38"/>
      <c r="K979" s="38"/>
      <c r="L979" s="46"/>
      <c r="M979" s="56"/>
      <c r="N979" s="56"/>
      <c r="O979" s="56"/>
      <c r="P979" s="56"/>
      <c r="Q979" s="56"/>
      <c r="R979" s="62"/>
      <c r="S979" s="62"/>
      <c r="X979" s="56"/>
    </row>
    <row r="980" spans="1:24">
      <c r="A980" s="38"/>
      <c r="B980" s="38"/>
      <c r="D980" s="38"/>
      <c r="E980" s="38"/>
      <c r="F980" s="38"/>
      <c r="G980" s="46"/>
      <c r="H980" s="38"/>
      <c r="I980" s="57"/>
      <c r="J980" s="38"/>
      <c r="K980" s="38"/>
      <c r="L980" s="46"/>
      <c r="M980" s="56"/>
      <c r="N980" s="56"/>
      <c r="O980" s="56"/>
      <c r="P980" s="56"/>
      <c r="Q980" s="56"/>
      <c r="R980" s="62"/>
      <c r="S980" s="62"/>
      <c r="X980" s="56"/>
    </row>
    <row r="981" spans="1:24">
      <c r="A981" s="38"/>
      <c r="B981" s="38"/>
      <c r="D981" s="38"/>
      <c r="E981" s="38"/>
      <c r="F981" s="38"/>
      <c r="G981" s="46"/>
      <c r="H981" s="38"/>
      <c r="I981" s="57"/>
      <c r="J981" s="38"/>
      <c r="K981" s="38"/>
      <c r="L981" s="46"/>
      <c r="M981" s="56"/>
      <c r="N981" s="56"/>
      <c r="O981" s="56"/>
      <c r="P981" s="56"/>
      <c r="Q981" s="56"/>
      <c r="R981" s="62"/>
      <c r="S981" s="62"/>
      <c r="X981" s="56"/>
    </row>
    <row r="982" spans="1:24">
      <c r="A982" s="38"/>
      <c r="B982" s="38"/>
      <c r="D982" s="38"/>
      <c r="E982" s="38"/>
      <c r="F982" s="38"/>
      <c r="G982" s="46"/>
      <c r="H982" s="38"/>
      <c r="I982" s="57"/>
      <c r="J982" s="38"/>
      <c r="K982" s="38"/>
      <c r="L982" s="46"/>
      <c r="M982" s="56"/>
      <c r="N982" s="56"/>
      <c r="O982" s="56"/>
      <c r="P982" s="56"/>
      <c r="Q982" s="56"/>
      <c r="R982" s="62"/>
      <c r="S982" s="62"/>
      <c r="X982" s="56"/>
    </row>
    <row r="983" spans="1:24">
      <c r="A983" s="38"/>
      <c r="B983" s="38"/>
      <c r="D983" s="38"/>
      <c r="E983" s="38"/>
      <c r="F983" s="38"/>
      <c r="G983" s="46"/>
      <c r="H983" s="38"/>
      <c r="I983" s="57"/>
      <c r="J983" s="38"/>
      <c r="K983" s="38"/>
      <c r="L983" s="46"/>
      <c r="M983" s="56"/>
      <c r="N983" s="56"/>
      <c r="O983" s="56"/>
      <c r="P983" s="56"/>
      <c r="Q983" s="56"/>
      <c r="R983" s="62"/>
      <c r="S983" s="62"/>
      <c r="X983" s="56"/>
    </row>
    <row r="984" spans="1:24">
      <c r="A984" s="38"/>
      <c r="B984" s="38"/>
      <c r="D984" s="38"/>
      <c r="E984" s="38"/>
      <c r="F984" s="38"/>
      <c r="G984" s="46"/>
      <c r="H984" s="38"/>
      <c r="I984" s="57"/>
      <c r="J984" s="38"/>
      <c r="K984" s="38"/>
      <c r="L984" s="46"/>
      <c r="M984" s="56"/>
      <c r="N984" s="56"/>
      <c r="O984" s="56"/>
      <c r="P984" s="56"/>
      <c r="Q984" s="56"/>
      <c r="R984" s="62"/>
      <c r="S984" s="62"/>
      <c r="X984" s="56"/>
    </row>
    <row r="985" spans="1:24">
      <c r="A985" s="38"/>
      <c r="B985" s="38"/>
      <c r="D985" s="38"/>
      <c r="E985" s="38"/>
      <c r="F985" s="38"/>
      <c r="G985" s="46"/>
      <c r="H985" s="38"/>
      <c r="I985" s="57"/>
      <c r="J985" s="38"/>
      <c r="K985" s="38"/>
      <c r="L985" s="46"/>
      <c r="M985" s="56"/>
      <c r="N985" s="56"/>
      <c r="O985" s="56"/>
      <c r="P985" s="56"/>
      <c r="Q985" s="56"/>
      <c r="R985" s="62"/>
      <c r="S985" s="62"/>
      <c r="X985" s="56"/>
    </row>
    <row r="986" spans="1:24">
      <c r="A986" s="38"/>
      <c r="B986" s="38"/>
      <c r="D986" s="38"/>
      <c r="E986" s="38"/>
      <c r="F986" s="38"/>
      <c r="G986" s="46"/>
      <c r="H986" s="38"/>
      <c r="I986" s="57"/>
      <c r="J986" s="38"/>
      <c r="K986" s="38"/>
      <c r="L986" s="46"/>
      <c r="M986" s="56"/>
      <c r="N986" s="56"/>
      <c r="O986" s="56"/>
      <c r="P986" s="56"/>
      <c r="Q986" s="56"/>
      <c r="R986" s="62"/>
      <c r="S986" s="62"/>
      <c r="X986" s="56"/>
    </row>
    <row r="987" spans="1:24">
      <c r="A987" s="38"/>
      <c r="B987" s="38"/>
      <c r="D987" s="38"/>
      <c r="E987" s="38"/>
      <c r="F987" s="38"/>
      <c r="G987" s="46"/>
      <c r="H987" s="38"/>
      <c r="I987" s="57"/>
      <c r="J987" s="38"/>
      <c r="K987" s="38"/>
      <c r="L987" s="46"/>
      <c r="M987" s="56"/>
      <c r="N987" s="56"/>
      <c r="O987" s="56"/>
      <c r="P987" s="56"/>
      <c r="Q987" s="56"/>
      <c r="R987" s="62"/>
      <c r="S987" s="62"/>
      <c r="X987" s="56"/>
    </row>
    <row r="988" spans="1:24">
      <c r="A988" s="38"/>
      <c r="B988" s="38"/>
      <c r="D988" s="38"/>
      <c r="E988" s="38"/>
      <c r="F988" s="38"/>
      <c r="G988" s="46"/>
      <c r="H988" s="38"/>
      <c r="I988" s="57"/>
      <c r="J988" s="38"/>
      <c r="K988" s="38"/>
      <c r="L988" s="46"/>
      <c r="M988" s="56"/>
      <c r="N988" s="56"/>
      <c r="O988" s="56"/>
      <c r="P988" s="56"/>
      <c r="Q988" s="56"/>
      <c r="R988" s="62"/>
      <c r="S988" s="62"/>
      <c r="X988" s="56"/>
    </row>
    <row r="989" spans="1:24">
      <c r="A989" s="38"/>
      <c r="B989" s="38"/>
      <c r="D989" s="38"/>
      <c r="E989" s="38"/>
      <c r="F989" s="38"/>
      <c r="G989" s="46"/>
      <c r="H989" s="38"/>
      <c r="I989" s="57"/>
      <c r="J989" s="38"/>
      <c r="K989" s="38"/>
      <c r="L989" s="46"/>
      <c r="M989" s="56"/>
      <c r="N989" s="56"/>
      <c r="O989" s="56"/>
      <c r="P989" s="56"/>
      <c r="Q989" s="56"/>
      <c r="R989" s="62"/>
      <c r="S989" s="62"/>
      <c r="X989" s="56"/>
    </row>
    <row r="990" spans="1:24">
      <c r="A990" s="38"/>
      <c r="B990" s="38"/>
      <c r="D990" s="38"/>
      <c r="E990" s="38"/>
      <c r="F990" s="38"/>
      <c r="G990" s="46"/>
      <c r="H990" s="38"/>
      <c r="I990" s="57"/>
      <c r="J990" s="38"/>
      <c r="K990" s="38"/>
      <c r="L990" s="46"/>
      <c r="M990" s="56"/>
      <c r="N990" s="56"/>
      <c r="O990" s="56"/>
      <c r="P990" s="56"/>
      <c r="Q990" s="56"/>
      <c r="R990" s="62"/>
      <c r="S990" s="62"/>
      <c r="X990" s="56"/>
    </row>
    <row r="991" spans="1:24">
      <c r="A991" s="38"/>
      <c r="B991" s="38"/>
      <c r="D991" s="38"/>
      <c r="E991" s="38"/>
      <c r="F991" s="38"/>
      <c r="G991" s="46"/>
      <c r="H991" s="38"/>
      <c r="I991" s="57"/>
      <c r="J991" s="38"/>
      <c r="K991" s="38"/>
      <c r="L991" s="46"/>
      <c r="M991" s="56"/>
      <c r="N991" s="56"/>
      <c r="O991" s="56"/>
      <c r="P991" s="56"/>
      <c r="Q991" s="56"/>
      <c r="R991" s="62"/>
      <c r="S991" s="62"/>
      <c r="X991" s="56"/>
    </row>
    <row r="992" spans="1:24">
      <c r="A992" s="38"/>
      <c r="B992" s="38"/>
      <c r="D992" s="38"/>
      <c r="E992" s="38"/>
      <c r="F992" s="38"/>
      <c r="G992" s="46"/>
      <c r="H992" s="38"/>
      <c r="I992" s="57"/>
      <c r="J992" s="38"/>
      <c r="K992" s="38"/>
      <c r="L992" s="46"/>
      <c r="M992" s="56"/>
      <c r="N992" s="56"/>
      <c r="O992" s="56"/>
      <c r="P992" s="56"/>
      <c r="Q992" s="56"/>
      <c r="R992" s="62"/>
      <c r="S992" s="62"/>
      <c r="X992" s="56"/>
    </row>
    <row r="993" spans="1:24">
      <c r="A993" s="38"/>
      <c r="B993" s="38"/>
      <c r="D993" s="38"/>
      <c r="E993" s="38"/>
      <c r="F993" s="38"/>
      <c r="G993" s="46"/>
      <c r="H993" s="38"/>
      <c r="I993" s="57"/>
      <c r="J993" s="38"/>
      <c r="K993" s="38"/>
      <c r="L993" s="46"/>
      <c r="M993" s="56"/>
      <c r="N993" s="56"/>
      <c r="O993" s="56"/>
      <c r="P993" s="56"/>
      <c r="Q993" s="56"/>
      <c r="R993" s="62"/>
      <c r="S993" s="62"/>
      <c r="X993" s="56"/>
    </row>
    <row r="994" spans="1:24">
      <c r="A994" s="38"/>
      <c r="B994" s="38"/>
      <c r="D994" s="38"/>
      <c r="E994" s="38"/>
      <c r="F994" s="38"/>
      <c r="G994" s="46"/>
      <c r="H994" s="38"/>
      <c r="I994" s="57"/>
      <c r="J994" s="38"/>
      <c r="K994" s="38"/>
      <c r="L994" s="46"/>
      <c r="M994" s="56"/>
      <c r="N994" s="56"/>
      <c r="O994" s="56"/>
      <c r="P994" s="56"/>
      <c r="Q994" s="56"/>
      <c r="R994" s="62"/>
      <c r="S994" s="62"/>
      <c r="X994" s="56"/>
    </row>
    <row r="995" spans="1:24">
      <c r="A995" s="38"/>
      <c r="B995" s="38"/>
      <c r="D995" s="38"/>
      <c r="E995" s="38"/>
      <c r="F995" s="38"/>
      <c r="G995" s="46"/>
      <c r="H995" s="38"/>
      <c r="I995" s="57"/>
      <c r="J995" s="38"/>
      <c r="K995" s="38"/>
      <c r="L995" s="46"/>
      <c r="M995" s="56"/>
      <c r="N995" s="56"/>
      <c r="O995" s="56"/>
      <c r="P995" s="56"/>
      <c r="Q995" s="56"/>
      <c r="R995" s="62"/>
      <c r="S995" s="62"/>
      <c r="X995" s="56"/>
    </row>
    <row r="996" spans="1:24">
      <c r="A996" s="38"/>
      <c r="B996" s="38"/>
      <c r="D996" s="38"/>
      <c r="E996" s="38"/>
      <c r="F996" s="38"/>
      <c r="G996" s="46"/>
      <c r="H996" s="38"/>
      <c r="I996" s="57"/>
      <c r="J996" s="38"/>
      <c r="K996" s="38"/>
      <c r="L996" s="46"/>
      <c r="M996" s="56"/>
      <c r="N996" s="56"/>
      <c r="O996" s="56"/>
      <c r="P996" s="56"/>
      <c r="Q996" s="56"/>
      <c r="R996" s="62"/>
      <c r="S996" s="62"/>
      <c r="X996" s="56"/>
    </row>
    <row r="997" spans="1:24">
      <c r="A997" s="38"/>
      <c r="B997" s="38"/>
      <c r="D997" s="38"/>
      <c r="E997" s="38"/>
      <c r="F997" s="38"/>
      <c r="G997" s="46"/>
      <c r="H997" s="38"/>
      <c r="I997" s="57"/>
      <c r="J997" s="38"/>
      <c r="K997" s="38"/>
      <c r="L997" s="46"/>
      <c r="M997" s="56"/>
      <c r="N997" s="56"/>
      <c r="O997" s="56"/>
      <c r="P997" s="56"/>
      <c r="Q997" s="56"/>
      <c r="R997" s="62"/>
      <c r="S997" s="62"/>
      <c r="X997" s="56"/>
    </row>
    <row r="998" spans="1:24">
      <c r="A998" s="38"/>
      <c r="B998" s="38"/>
      <c r="D998" s="38"/>
      <c r="E998" s="38"/>
      <c r="F998" s="38"/>
      <c r="G998" s="46"/>
      <c r="H998" s="38"/>
      <c r="I998" s="57"/>
      <c r="J998" s="38"/>
      <c r="K998" s="38"/>
      <c r="L998" s="46"/>
      <c r="M998" s="56"/>
      <c r="N998" s="56"/>
      <c r="O998" s="56"/>
      <c r="P998" s="56"/>
      <c r="Q998" s="56"/>
      <c r="R998" s="62"/>
      <c r="S998" s="62"/>
      <c r="X998" s="56"/>
    </row>
    <row r="999" spans="1:24">
      <c r="A999" s="38"/>
      <c r="B999" s="38"/>
      <c r="D999" s="38"/>
      <c r="E999" s="38"/>
      <c r="F999" s="38"/>
      <c r="G999" s="46"/>
      <c r="H999" s="38"/>
      <c r="I999" s="57"/>
      <c r="J999" s="38"/>
      <c r="K999" s="38"/>
      <c r="L999" s="46"/>
      <c r="M999" s="56"/>
      <c r="N999" s="56"/>
      <c r="O999" s="56"/>
      <c r="P999" s="56"/>
      <c r="Q999" s="56"/>
      <c r="R999" s="62"/>
      <c r="S999" s="62"/>
      <c r="X999" s="56"/>
    </row>
    <row r="1000" spans="1:24">
      <c r="A1000" s="38"/>
      <c r="B1000" s="38"/>
      <c r="D1000" s="38"/>
      <c r="E1000" s="38"/>
      <c r="F1000" s="38"/>
      <c r="G1000" s="46"/>
      <c r="H1000" s="38"/>
      <c r="I1000" s="57"/>
      <c r="J1000" s="38"/>
      <c r="K1000" s="38"/>
      <c r="L1000" s="46"/>
      <c r="M1000" s="56"/>
      <c r="N1000" s="56"/>
      <c r="O1000" s="56"/>
      <c r="P1000" s="56"/>
      <c r="Q1000" s="56"/>
      <c r="R1000" s="62"/>
      <c r="S1000" s="62"/>
      <c r="X1000" s="56"/>
    </row>
  </sheetData>
  <dataValidations count="1">
    <dataValidation type="list" allowBlank="1" showInputMessage="1" showErrorMessage="1" sqref="U2:U817" xr:uid="{F06EFFED-F1F0-42B2-98C9-9BC0D6A2E2C7}">
      <formula1>"Yes, No"</formula1>
    </dataValidation>
  </dataValidations>
  <hyperlinks>
    <hyperlink ref="E2" r:id="rId1" xr:uid="{00000000-0004-0000-0400-000000000000}"/>
    <hyperlink ref="F2" r:id="rId2" xr:uid="{00000000-0004-0000-0400-000001000000}"/>
    <hyperlink ref="E3" r:id="rId3" xr:uid="{00000000-0004-0000-0400-000002000000}"/>
    <hyperlink ref="F3" r:id="rId4" xr:uid="{00000000-0004-0000-0400-000003000000}"/>
    <hyperlink ref="E4" r:id="rId5" xr:uid="{00000000-0004-0000-0400-000004000000}"/>
    <hyperlink ref="F4" r:id="rId6" xr:uid="{00000000-0004-0000-0400-000005000000}"/>
    <hyperlink ref="E5" r:id="rId7" xr:uid="{00000000-0004-0000-0400-000006000000}"/>
    <hyperlink ref="F5" r:id="rId8" xr:uid="{00000000-0004-0000-0400-000007000000}"/>
    <hyperlink ref="E6" r:id="rId9" xr:uid="{00000000-0004-0000-0400-000008000000}"/>
    <hyperlink ref="F6" r:id="rId10" xr:uid="{00000000-0004-0000-0400-000009000000}"/>
    <hyperlink ref="E7" r:id="rId11" xr:uid="{00000000-0004-0000-0400-00000A000000}"/>
    <hyperlink ref="F7" r:id="rId12" xr:uid="{00000000-0004-0000-0400-00000B000000}"/>
    <hyperlink ref="E8" r:id="rId13" xr:uid="{00000000-0004-0000-0400-00000C000000}"/>
    <hyperlink ref="F8" r:id="rId14" xr:uid="{00000000-0004-0000-0400-00000D000000}"/>
    <hyperlink ref="E9" r:id="rId15" xr:uid="{00000000-0004-0000-0400-00000E000000}"/>
    <hyperlink ref="F9" r:id="rId16" xr:uid="{00000000-0004-0000-0400-00000F000000}"/>
    <hyperlink ref="E11" r:id="rId17" xr:uid="{00000000-0004-0000-0400-000010000000}"/>
    <hyperlink ref="F11" r:id="rId18" xr:uid="{00000000-0004-0000-0400-000011000000}"/>
    <hyperlink ref="E12" r:id="rId19" xr:uid="{00000000-0004-0000-0400-000012000000}"/>
    <hyperlink ref="F12" r:id="rId20" xr:uid="{00000000-0004-0000-0400-000013000000}"/>
    <hyperlink ref="E14" r:id="rId21" xr:uid="{00000000-0004-0000-0400-000014000000}"/>
    <hyperlink ref="F14" r:id="rId22" xr:uid="{00000000-0004-0000-0400-000015000000}"/>
    <hyperlink ref="E15" r:id="rId23" xr:uid="{00000000-0004-0000-0400-000016000000}"/>
    <hyperlink ref="F15" r:id="rId24" xr:uid="{00000000-0004-0000-0400-000017000000}"/>
    <hyperlink ref="E16" r:id="rId25" xr:uid="{00000000-0004-0000-0400-000018000000}"/>
    <hyperlink ref="F16" r:id="rId26" xr:uid="{00000000-0004-0000-0400-000019000000}"/>
    <hyperlink ref="E17" r:id="rId27" xr:uid="{00000000-0004-0000-0400-00001A000000}"/>
    <hyperlink ref="F17" r:id="rId28" xr:uid="{00000000-0004-0000-0400-00001B000000}"/>
    <hyperlink ref="E18" r:id="rId29" xr:uid="{00000000-0004-0000-0400-00001C000000}"/>
    <hyperlink ref="F18" r:id="rId30" xr:uid="{00000000-0004-0000-0400-00001D000000}"/>
    <hyperlink ref="E19" r:id="rId31" xr:uid="{00000000-0004-0000-0400-00001E000000}"/>
    <hyperlink ref="F19" r:id="rId32" xr:uid="{00000000-0004-0000-0400-00001F000000}"/>
    <hyperlink ref="E20" r:id="rId33" xr:uid="{00000000-0004-0000-0400-000020000000}"/>
    <hyperlink ref="F20" r:id="rId34" xr:uid="{00000000-0004-0000-0400-000021000000}"/>
    <hyperlink ref="E21" r:id="rId35" xr:uid="{00000000-0004-0000-0400-000022000000}"/>
    <hyperlink ref="F21" r:id="rId36" xr:uid="{00000000-0004-0000-0400-000023000000}"/>
    <hyperlink ref="E22" r:id="rId37" xr:uid="{00000000-0004-0000-0400-000024000000}"/>
    <hyperlink ref="F22" r:id="rId38" xr:uid="{00000000-0004-0000-0400-000025000000}"/>
    <hyperlink ref="E23" r:id="rId39" xr:uid="{00000000-0004-0000-0400-000026000000}"/>
    <hyperlink ref="F23" r:id="rId40" xr:uid="{00000000-0004-0000-0400-000027000000}"/>
    <hyperlink ref="E27" r:id="rId41" xr:uid="{00000000-0004-0000-0400-000028000000}"/>
    <hyperlink ref="F27" r:id="rId42" xr:uid="{00000000-0004-0000-0400-000029000000}"/>
    <hyperlink ref="E28" r:id="rId43" xr:uid="{00000000-0004-0000-0400-00002A000000}"/>
    <hyperlink ref="F28" r:id="rId44" xr:uid="{00000000-0004-0000-0400-00002B000000}"/>
    <hyperlink ref="E35" r:id="rId45" xr:uid="{00000000-0004-0000-0400-00002C000000}"/>
    <hyperlink ref="F35" r:id="rId46" xr:uid="{00000000-0004-0000-0400-00002D000000}"/>
    <hyperlink ref="E39" r:id="rId47" xr:uid="{00000000-0004-0000-0400-00002E000000}"/>
    <hyperlink ref="F39" r:id="rId48" xr:uid="{00000000-0004-0000-0400-00002F000000}"/>
    <hyperlink ref="E40" r:id="rId49" xr:uid="{00000000-0004-0000-0400-000030000000}"/>
    <hyperlink ref="F40" r:id="rId50" xr:uid="{00000000-0004-0000-0400-000031000000}"/>
    <hyperlink ref="E41" r:id="rId51" xr:uid="{00000000-0004-0000-0400-000032000000}"/>
    <hyperlink ref="F41" r:id="rId52" xr:uid="{00000000-0004-0000-0400-000033000000}"/>
    <hyperlink ref="E46" r:id="rId53" xr:uid="{00000000-0004-0000-0400-000034000000}"/>
    <hyperlink ref="F46" r:id="rId54" xr:uid="{00000000-0004-0000-0400-000035000000}"/>
    <hyperlink ref="E47" r:id="rId55" xr:uid="{00000000-0004-0000-0400-000036000000}"/>
    <hyperlink ref="F47" r:id="rId56" xr:uid="{00000000-0004-0000-0400-000037000000}"/>
    <hyperlink ref="E52" r:id="rId57" xr:uid="{00000000-0004-0000-0400-000038000000}"/>
    <hyperlink ref="F52" r:id="rId58" xr:uid="{00000000-0004-0000-0400-000039000000}"/>
    <hyperlink ref="E58" r:id="rId59" xr:uid="{00000000-0004-0000-0400-00003A000000}"/>
    <hyperlink ref="F58" r:id="rId60" xr:uid="{00000000-0004-0000-0400-00003B000000}"/>
    <hyperlink ref="E59" r:id="rId61" xr:uid="{00000000-0004-0000-0400-00003C000000}"/>
    <hyperlink ref="F59" r:id="rId62" xr:uid="{00000000-0004-0000-0400-00003D000000}"/>
    <hyperlink ref="E60" r:id="rId63" xr:uid="{00000000-0004-0000-0400-00003E000000}"/>
    <hyperlink ref="F60" r:id="rId64" xr:uid="{00000000-0004-0000-0400-00003F000000}"/>
    <hyperlink ref="E61" r:id="rId65" xr:uid="{00000000-0004-0000-0400-000040000000}"/>
    <hyperlink ref="F61" r:id="rId66" xr:uid="{00000000-0004-0000-0400-000041000000}"/>
    <hyperlink ref="E62" r:id="rId67" xr:uid="{00000000-0004-0000-0400-000042000000}"/>
    <hyperlink ref="F62" r:id="rId68" xr:uid="{00000000-0004-0000-0400-000043000000}"/>
    <hyperlink ref="E63" r:id="rId69" xr:uid="{00000000-0004-0000-0400-000044000000}"/>
    <hyperlink ref="F63" r:id="rId70" xr:uid="{00000000-0004-0000-0400-000045000000}"/>
    <hyperlink ref="E64" r:id="rId71" xr:uid="{00000000-0004-0000-0400-000046000000}"/>
    <hyperlink ref="F64" r:id="rId72" xr:uid="{00000000-0004-0000-0400-000047000000}"/>
    <hyperlink ref="E65" r:id="rId73" xr:uid="{00000000-0004-0000-0400-000048000000}"/>
    <hyperlink ref="F65" r:id="rId74" xr:uid="{00000000-0004-0000-0400-000049000000}"/>
    <hyperlink ref="E66" r:id="rId75" xr:uid="{00000000-0004-0000-0400-00004A000000}"/>
    <hyperlink ref="F66" r:id="rId76" xr:uid="{00000000-0004-0000-0400-00004B000000}"/>
    <hyperlink ref="E67" r:id="rId77" xr:uid="{00000000-0004-0000-0400-00004C000000}"/>
    <hyperlink ref="F67" r:id="rId78" xr:uid="{00000000-0004-0000-0400-00004D000000}"/>
    <hyperlink ref="E68" r:id="rId79" xr:uid="{00000000-0004-0000-0400-00004E000000}"/>
    <hyperlink ref="F68" r:id="rId80" xr:uid="{00000000-0004-0000-0400-00004F000000}"/>
    <hyperlink ref="E69" r:id="rId81" xr:uid="{00000000-0004-0000-0400-000050000000}"/>
    <hyperlink ref="F69" r:id="rId82" xr:uid="{00000000-0004-0000-0400-000051000000}"/>
    <hyperlink ref="E70" r:id="rId83" xr:uid="{00000000-0004-0000-0400-000052000000}"/>
    <hyperlink ref="F70" r:id="rId84" xr:uid="{00000000-0004-0000-0400-000053000000}"/>
    <hyperlink ref="E71" r:id="rId85" xr:uid="{00000000-0004-0000-0400-000054000000}"/>
    <hyperlink ref="F71" r:id="rId86" xr:uid="{00000000-0004-0000-0400-000055000000}"/>
    <hyperlink ref="E72" r:id="rId87" xr:uid="{00000000-0004-0000-0400-000056000000}"/>
    <hyperlink ref="F72" r:id="rId88" xr:uid="{00000000-0004-0000-0400-000057000000}"/>
    <hyperlink ref="E73" r:id="rId89" xr:uid="{00000000-0004-0000-0400-000058000000}"/>
    <hyperlink ref="F73" r:id="rId90" xr:uid="{00000000-0004-0000-0400-000059000000}"/>
    <hyperlink ref="E74" r:id="rId91" xr:uid="{00000000-0004-0000-0400-00005A000000}"/>
    <hyperlink ref="F74" r:id="rId92" xr:uid="{00000000-0004-0000-0400-00005B000000}"/>
    <hyperlink ref="E75" r:id="rId93" xr:uid="{00000000-0004-0000-0400-00005C000000}"/>
    <hyperlink ref="F75" r:id="rId94" xr:uid="{00000000-0004-0000-0400-00005D000000}"/>
    <hyperlink ref="E76" r:id="rId95" xr:uid="{00000000-0004-0000-0400-00005E000000}"/>
    <hyperlink ref="F76" r:id="rId96" xr:uid="{00000000-0004-0000-0400-00005F000000}"/>
    <hyperlink ref="E77" r:id="rId97" xr:uid="{00000000-0004-0000-0400-000060000000}"/>
    <hyperlink ref="F77" r:id="rId98" xr:uid="{00000000-0004-0000-0400-000061000000}"/>
    <hyperlink ref="E78" r:id="rId99" xr:uid="{00000000-0004-0000-0400-000062000000}"/>
    <hyperlink ref="F78" r:id="rId100" xr:uid="{00000000-0004-0000-0400-000063000000}"/>
    <hyperlink ref="E79" r:id="rId101" xr:uid="{00000000-0004-0000-0400-000064000000}"/>
    <hyperlink ref="F79" r:id="rId102" xr:uid="{00000000-0004-0000-0400-000065000000}"/>
    <hyperlink ref="E80" r:id="rId103" xr:uid="{00000000-0004-0000-0400-000066000000}"/>
    <hyperlink ref="F80" r:id="rId104" xr:uid="{00000000-0004-0000-0400-000067000000}"/>
    <hyperlink ref="E81" r:id="rId105" xr:uid="{00000000-0004-0000-0400-000068000000}"/>
    <hyperlink ref="F81" r:id="rId106" xr:uid="{00000000-0004-0000-0400-000069000000}"/>
    <hyperlink ref="E82" r:id="rId107" xr:uid="{00000000-0004-0000-0400-00006A000000}"/>
    <hyperlink ref="F82" r:id="rId108" xr:uid="{00000000-0004-0000-0400-00006B000000}"/>
    <hyperlink ref="E83" r:id="rId109" xr:uid="{00000000-0004-0000-0400-00006C000000}"/>
    <hyperlink ref="F83" r:id="rId110" xr:uid="{00000000-0004-0000-0400-00006D000000}"/>
    <hyperlink ref="E84" r:id="rId111" xr:uid="{00000000-0004-0000-0400-00006E000000}"/>
    <hyperlink ref="F84" r:id="rId112" xr:uid="{00000000-0004-0000-0400-00006F000000}"/>
    <hyperlink ref="E85" r:id="rId113" xr:uid="{00000000-0004-0000-0400-000070000000}"/>
    <hyperlink ref="F85" r:id="rId114" xr:uid="{00000000-0004-0000-0400-000071000000}"/>
    <hyperlink ref="E86" r:id="rId115" xr:uid="{00000000-0004-0000-0400-000072000000}"/>
    <hyperlink ref="F86" r:id="rId116" xr:uid="{00000000-0004-0000-0400-000073000000}"/>
    <hyperlink ref="E87" r:id="rId117" xr:uid="{00000000-0004-0000-0400-000074000000}"/>
    <hyperlink ref="F87" r:id="rId118" xr:uid="{00000000-0004-0000-0400-000075000000}"/>
    <hyperlink ref="E102" r:id="rId119" xr:uid="{00000000-0004-0000-0400-000076000000}"/>
    <hyperlink ref="F102" r:id="rId120" xr:uid="{00000000-0004-0000-0400-000077000000}"/>
    <hyperlink ref="E103" r:id="rId121" xr:uid="{00000000-0004-0000-0400-000078000000}"/>
    <hyperlink ref="F103" r:id="rId122" xr:uid="{00000000-0004-0000-0400-000079000000}"/>
    <hyperlink ref="E104" r:id="rId123" xr:uid="{00000000-0004-0000-0400-00007A000000}"/>
    <hyperlink ref="F104" r:id="rId124" xr:uid="{00000000-0004-0000-0400-00007B000000}"/>
    <hyperlink ref="E112" r:id="rId125" xr:uid="{00000000-0004-0000-0400-00007C000000}"/>
    <hyperlink ref="F112" r:id="rId126" xr:uid="{00000000-0004-0000-0400-00007D000000}"/>
    <hyperlink ref="E113" r:id="rId127" xr:uid="{00000000-0004-0000-0400-00007E000000}"/>
    <hyperlink ref="F113" r:id="rId128" xr:uid="{00000000-0004-0000-0400-00007F000000}"/>
    <hyperlink ref="E114" r:id="rId129" xr:uid="{00000000-0004-0000-0400-000080000000}"/>
    <hyperlink ref="F114" r:id="rId130" xr:uid="{00000000-0004-0000-0400-000081000000}"/>
    <hyperlink ref="E115" r:id="rId131" xr:uid="{00000000-0004-0000-0400-000082000000}"/>
    <hyperlink ref="F115" r:id="rId132" xr:uid="{00000000-0004-0000-0400-000083000000}"/>
    <hyperlink ref="E116" r:id="rId133" xr:uid="{00000000-0004-0000-0400-000084000000}"/>
    <hyperlink ref="F116" r:id="rId134" xr:uid="{00000000-0004-0000-0400-000085000000}"/>
    <hyperlink ref="E117" r:id="rId135" xr:uid="{00000000-0004-0000-0400-000086000000}"/>
    <hyperlink ref="F117" r:id="rId136" xr:uid="{00000000-0004-0000-0400-000087000000}"/>
    <hyperlink ref="E118" r:id="rId137" xr:uid="{00000000-0004-0000-0400-000088000000}"/>
    <hyperlink ref="F118" r:id="rId138" xr:uid="{00000000-0004-0000-0400-000089000000}"/>
    <hyperlink ref="E119" r:id="rId139" xr:uid="{00000000-0004-0000-0400-00008A000000}"/>
    <hyperlink ref="F119" r:id="rId140" xr:uid="{00000000-0004-0000-0400-00008B000000}"/>
    <hyperlink ref="E120" r:id="rId141" xr:uid="{00000000-0004-0000-0400-00008C000000}"/>
    <hyperlink ref="F120" r:id="rId142" xr:uid="{00000000-0004-0000-0400-00008D000000}"/>
    <hyperlink ref="E121" r:id="rId143" xr:uid="{00000000-0004-0000-0400-00008E000000}"/>
    <hyperlink ref="F121" r:id="rId144" xr:uid="{00000000-0004-0000-0400-00008F000000}"/>
    <hyperlink ref="E122" r:id="rId145" xr:uid="{00000000-0004-0000-0400-000090000000}"/>
    <hyperlink ref="F122" r:id="rId146" xr:uid="{00000000-0004-0000-0400-000091000000}"/>
    <hyperlink ref="E123" r:id="rId147" xr:uid="{00000000-0004-0000-0400-000092000000}"/>
    <hyperlink ref="F123" r:id="rId148" xr:uid="{00000000-0004-0000-0400-000093000000}"/>
    <hyperlink ref="E135" r:id="rId149" xr:uid="{00000000-0004-0000-0400-000094000000}"/>
    <hyperlink ref="F135" r:id="rId150" xr:uid="{00000000-0004-0000-0400-000095000000}"/>
    <hyperlink ref="E136" r:id="rId151" xr:uid="{00000000-0004-0000-0400-000096000000}"/>
    <hyperlink ref="F136" r:id="rId152" xr:uid="{00000000-0004-0000-0400-000097000000}"/>
    <hyperlink ref="E137" r:id="rId153" xr:uid="{00000000-0004-0000-0400-000098000000}"/>
    <hyperlink ref="F137" r:id="rId154" xr:uid="{00000000-0004-0000-0400-000099000000}"/>
    <hyperlink ref="E138" r:id="rId155" xr:uid="{00000000-0004-0000-0400-00009A000000}"/>
    <hyperlink ref="F138" r:id="rId156" xr:uid="{00000000-0004-0000-0400-00009B000000}"/>
    <hyperlink ref="E139" r:id="rId157" xr:uid="{00000000-0004-0000-0400-00009C000000}"/>
    <hyperlink ref="F139" r:id="rId158" xr:uid="{00000000-0004-0000-0400-00009D000000}"/>
    <hyperlink ref="E140" r:id="rId159" xr:uid="{00000000-0004-0000-0400-00009E000000}"/>
    <hyperlink ref="F140" r:id="rId160" xr:uid="{00000000-0004-0000-0400-00009F000000}"/>
    <hyperlink ref="E141" r:id="rId161" xr:uid="{00000000-0004-0000-0400-0000A0000000}"/>
    <hyperlink ref="F141" r:id="rId162" xr:uid="{00000000-0004-0000-0400-0000A1000000}"/>
    <hyperlink ref="E142" r:id="rId163" xr:uid="{00000000-0004-0000-0400-0000A2000000}"/>
    <hyperlink ref="F142" r:id="rId164" xr:uid="{00000000-0004-0000-0400-0000A3000000}"/>
    <hyperlink ref="E143" r:id="rId165" xr:uid="{00000000-0004-0000-0400-0000A4000000}"/>
    <hyperlink ref="F143" r:id="rId166" xr:uid="{00000000-0004-0000-0400-0000A5000000}"/>
    <hyperlink ref="E144" r:id="rId167" xr:uid="{00000000-0004-0000-0400-0000A6000000}"/>
    <hyperlink ref="F144" r:id="rId168" xr:uid="{00000000-0004-0000-0400-0000A7000000}"/>
    <hyperlink ref="E145" r:id="rId169" xr:uid="{00000000-0004-0000-0400-0000A8000000}"/>
    <hyperlink ref="F145" r:id="rId170" xr:uid="{00000000-0004-0000-0400-0000A9000000}"/>
    <hyperlink ref="E146" r:id="rId171" xr:uid="{00000000-0004-0000-0400-0000AA000000}"/>
    <hyperlink ref="F146" r:id="rId172" xr:uid="{00000000-0004-0000-0400-0000AB000000}"/>
    <hyperlink ref="E147" r:id="rId173" xr:uid="{00000000-0004-0000-0400-0000AC000000}"/>
    <hyperlink ref="F147" r:id="rId174" xr:uid="{00000000-0004-0000-0400-0000AD000000}"/>
    <hyperlink ref="E148" r:id="rId175" xr:uid="{00000000-0004-0000-0400-0000AE000000}"/>
    <hyperlink ref="F148" r:id="rId176" xr:uid="{00000000-0004-0000-0400-0000AF000000}"/>
    <hyperlink ref="E149" r:id="rId177" xr:uid="{00000000-0004-0000-0400-0000B0000000}"/>
    <hyperlink ref="F149" r:id="rId178" xr:uid="{00000000-0004-0000-0400-0000B1000000}"/>
    <hyperlink ref="E150" r:id="rId179" xr:uid="{00000000-0004-0000-0400-0000B2000000}"/>
    <hyperlink ref="F150" r:id="rId180" xr:uid="{00000000-0004-0000-0400-0000B3000000}"/>
    <hyperlink ref="E151" r:id="rId181" xr:uid="{00000000-0004-0000-0400-0000B4000000}"/>
    <hyperlink ref="F151" r:id="rId182" xr:uid="{00000000-0004-0000-0400-0000B5000000}"/>
    <hyperlink ref="E152" r:id="rId183" xr:uid="{00000000-0004-0000-0400-0000B6000000}"/>
    <hyperlink ref="F152" r:id="rId184" xr:uid="{00000000-0004-0000-0400-0000B7000000}"/>
    <hyperlink ref="E153" r:id="rId185" xr:uid="{00000000-0004-0000-0400-0000B8000000}"/>
    <hyperlink ref="F153" r:id="rId186" xr:uid="{00000000-0004-0000-0400-0000B9000000}"/>
    <hyperlink ref="E154" r:id="rId187" xr:uid="{00000000-0004-0000-0400-0000BA000000}"/>
    <hyperlink ref="F154" r:id="rId188" xr:uid="{00000000-0004-0000-0400-0000BB000000}"/>
    <hyperlink ref="E155" r:id="rId189" xr:uid="{00000000-0004-0000-0400-0000BC000000}"/>
    <hyperlink ref="F155" r:id="rId190" xr:uid="{00000000-0004-0000-0400-0000BD000000}"/>
    <hyperlink ref="E156" r:id="rId191" xr:uid="{00000000-0004-0000-0400-0000BE000000}"/>
    <hyperlink ref="F156" r:id="rId192" xr:uid="{00000000-0004-0000-0400-0000BF000000}"/>
    <hyperlink ref="E157" r:id="rId193" xr:uid="{00000000-0004-0000-0400-0000C0000000}"/>
    <hyperlink ref="F157" r:id="rId194" xr:uid="{00000000-0004-0000-0400-0000C1000000}"/>
    <hyperlink ref="E158" r:id="rId195" xr:uid="{00000000-0004-0000-0400-0000C2000000}"/>
    <hyperlink ref="F158" r:id="rId196" xr:uid="{00000000-0004-0000-0400-0000C3000000}"/>
    <hyperlink ref="E159" r:id="rId197" xr:uid="{00000000-0004-0000-0400-0000C4000000}"/>
    <hyperlink ref="F159" r:id="rId198" xr:uid="{00000000-0004-0000-0400-0000C5000000}"/>
    <hyperlink ref="E160" r:id="rId199" xr:uid="{00000000-0004-0000-0400-0000C6000000}"/>
    <hyperlink ref="F160" r:id="rId200" xr:uid="{00000000-0004-0000-0400-0000C7000000}"/>
    <hyperlink ref="E161" r:id="rId201" xr:uid="{00000000-0004-0000-0400-0000C8000000}"/>
    <hyperlink ref="F161" r:id="rId202" xr:uid="{00000000-0004-0000-0400-0000C9000000}"/>
    <hyperlink ref="E162" r:id="rId203" xr:uid="{00000000-0004-0000-0400-0000CA000000}"/>
    <hyperlink ref="F162" r:id="rId204" xr:uid="{00000000-0004-0000-0400-0000CB000000}"/>
    <hyperlink ref="E163" r:id="rId205" xr:uid="{00000000-0004-0000-0400-0000CC000000}"/>
    <hyperlink ref="F163" r:id="rId206" xr:uid="{00000000-0004-0000-0400-0000CD000000}"/>
    <hyperlink ref="E164" r:id="rId207" xr:uid="{00000000-0004-0000-0400-0000CE000000}"/>
    <hyperlink ref="F164" r:id="rId208" xr:uid="{00000000-0004-0000-0400-0000CF000000}"/>
    <hyperlink ref="E165" r:id="rId209" xr:uid="{00000000-0004-0000-0400-0000D0000000}"/>
    <hyperlink ref="F165" r:id="rId210" xr:uid="{00000000-0004-0000-0400-0000D1000000}"/>
    <hyperlink ref="E166" r:id="rId211" xr:uid="{00000000-0004-0000-0400-0000D2000000}"/>
    <hyperlink ref="F166" r:id="rId212" xr:uid="{00000000-0004-0000-0400-0000D3000000}"/>
    <hyperlink ref="E167" r:id="rId213" xr:uid="{00000000-0004-0000-0400-0000D4000000}"/>
    <hyperlink ref="F167" r:id="rId214" xr:uid="{00000000-0004-0000-0400-0000D5000000}"/>
    <hyperlink ref="E168" r:id="rId215" xr:uid="{00000000-0004-0000-0400-0000D6000000}"/>
    <hyperlink ref="F168" r:id="rId216" xr:uid="{00000000-0004-0000-0400-0000D7000000}"/>
    <hyperlink ref="E169" r:id="rId217" xr:uid="{00000000-0004-0000-0400-0000D8000000}"/>
    <hyperlink ref="F169" r:id="rId218" xr:uid="{00000000-0004-0000-0400-0000D9000000}"/>
    <hyperlink ref="E170" r:id="rId219" xr:uid="{00000000-0004-0000-0400-0000DA000000}"/>
    <hyperlink ref="F170" r:id="rId220" xr:uid="{00000000-0004-0000-0400-0000DB000000}"/>
    <hyperlink ref="E171" r:id="rId221" xr:uid="{00000000-0004-0000-0400-0000DC000000}"/>
    <hyperlink ref="F171" r:id="rId222" xr:uid="{00000000-0004-0000-0400-0000DD000000}"/>
    <hyperlink ref="E172" r:id="rId223" xr:uid="{00000000-0004-0000-0400-0000DE000000}"/>
    <hyperlink ref="F172" r:id="rId224" xr:uid="{00000000-0004-0000-0400-0000DF000000}"/>
    <hyperlink ref="E173" r:id="rId225" xr:uid="{00000000-0004-0000-0400-0000E0000000}"/>
    <hyperlink ref="F173" r:id="rId226" xr:uid="{00000000-0004-0000-0400-0000E1000000}"/>
    <hyperlink ref="E174" r:id="rId227" xr:uid="{00000000-0004-0000-0400-0000E2000000}"/>
    <hyperlink ref="F174" r:id="rId228" xr:uid="{00000000-0004-0000-0400-0000E3000000}"/>
    <hyperlink ref="E175" r:id="rId229" xr:uid="{00000000-0004-0000-0400-0000E4000000}"/>
    <hyperlink ref="F175" r:id="rId230" xr:uid="{00000000-0004-0000-0400-0000E5000000}"/>
    <hyperlink ref="E176" r:id="rId231" xr:uid="{00000000-0004-0000-0400-0000E6000000}"/>
    <hyperlink ref="F176" r:id="rId232" xr:uid="{00000000-0004-0000-0400-0000E7000000}"/>
    <hyperlink ref="E177" r:id="rId233" xr:uid="{00000000-0004-0000-0400-0000E8000000}"/>
    <hyperlink ref="F177" r:id="rId234" xr:uid="{00000000-0004-0000-0400-0000E9000000}"/>
    <hyperlink ref="E178" r:id="rId235" xr:uid="{00000000-0004-0000-0400-0000EA000000}"/>
    <hyperlink ref="F178" r:id="rId236" xr:uid="{00000000-0004-0000-0400-0000EB000000}"/>
    <hyperlink ref="E179" r:id="rId237" xr:uid="{00000000-0004-0000-0400-0000EC000000}"/>
    <hyperlink ref="F179" r:id="rId238" xr:uid="{00000000-0004-0000-0400-0000ED000000}"/>
    <hyperlink ref="E180" r:id="rId239" xr:uid="{00000000-0004-0000-0400-0000EE000000}"/>
    <hyperlink ref="F180" r:id="rId240" xr:uid="{00000000-0004-0000-0400-0000EF000000}"/>
    <hyperlink ref="E181" r:id="rId241" xr:uid="{00000000-0004-0000-0400-0000F0000000}"/>
    <hyperlink ref="F181" r:id="rId242" xr:uid="{00000000-0004-0000-0400-0000F1000000}"/>
    <hyperlink ref="E182" r:id="rId243" xr:uid="{00000000-0004-0000-0400-0000F2000000}"/>
    <hyperlink ref="F182" r:id="rId244" xr:uid="{00000000-0004-0000-0400-0000F3000000}"/>
    <hyperlink ref="E183" r:id="rId245" xr:uid="{00000000-0004-0000-0400-0000F4000000}"/>
    <hyperlink ref="F183" r:id="rId246" xr:uid="{00000000-0004-0000-0400-0000F5000000}"/>
    <hyperlink ref="E184" r:id="rId247" xr:uid="{00000000-0004-0000-0400-0000F6000000}"/>
    <hyperlink ref="F184" r:id="rId248" xr:uid="{00000000-0004-0000-0400-0000F7000000}"/>
    <hyperlink ref="E185" r:id="rId249" xr:uid="{00000000-0004-0000-0400-0000F8000000}"/>
    <hyperlink ref="F185" r:id="rId250" xr:uid="{00000000-0004-0000-0400-0000F9000000}"/>
    <hyperlink ref="E186" r:id="rId251" xr:uid="{00000000-0004-0000-0400-0000FA000000}"/>
    <hyperlink ref="F186" r:id="rId252" xr:uid="{00000000-0004-0000-0400-0000FB000000}"/>
    <hyperlink ref="E187" r:id="rId253" xr:uid="{00000000-0004-0000-0400-0000FC000000}"/>
    <hyperlink ref="F187" r:id="rId254" xr:uid="{00000000-0004-0000-0400-0000FD000000}"/>
    <hyperlink ref="E188" r:id="rId255" xr:uid="{00000000-0004-0000-0400-0000FE000000}"/>
    <hyperlink ref="F188" r:id="rId256" xr:uid="{00000000-0004-0000-0400-0000FF000000}"/>
    <hyperlink ref="E189" r:id="rId257" xr:uid="{00000000-0004-0000-0400-000000010000}"/>
    <hyperlink ref="F189" r:id="rId258" xr:uid="{00000000-0004-0000-0400-000001010000}"/>
    <hyperlink ref="E190" r:id="rId259" xr:uid="{00000000-0004-0000-0400-000002010000}"/>
    <hyperlink ref="F190" r:id="rId260" xr:uid="{00000000-0004-0000-0400-000003010000}"/>
    <hyperlink ref="E191" r:id="rId261" xr:uid="{00000000-0004-0000-0400-000004010000}"/>
    <hyperlink ref="F191" r:id="rId262" xr:uid="{00000000-0004-0000-0400-000005010000}"/>
    <hyperlink ref="E192" r:id="rId263" xr:uid="{00000000-0004-0000-0400-000006010000}"/>
    <hyperlink ref="F192" r:id="rId264" xr:uid="{00000000-0004-0000-0400-000007010000}"/>
    <hyperlink ref="E193" r:id="rId265" xr:uid="{00000000-0004-0000-0400-000008010000}"/>
    <hyperlink ref="F193" r:id="rId266" xr:uid="{00000000-0004-0000-0400-000009010000}"/>
    <hyperlink ref="E194" r:id="rId267" xr:uid="{00000000-0004-0000-0400-00000A010000}"/>
    <hyperlink ref="F194" r:id="rId268" xr:uid="{00000000-0004-0000-0400-00000B010000}"/>
    <hyperlink ref="E195" r:id="rId269" xr:uid="{00000000-0004-0000-0400-00000C010000}"/>
    <hyperlink ref="F195" r:id="rId270" xr:uid="{00000000-0004-0000-0400-00000D010000}"/>
    <hyperlink ref="E196" r:id="rId271" xr:uid="{00000000-0004-0000-0400-00000E010000}"/>
    <hyperlink ref="F196" r:id="rId272" xr:uid="{00000000-0004-0000-0400-00000F010000}"/>
    <hyperlink ref="E197" r:id="rId273" xr:uid="{00000000-0004-0000-0400-000010010000}"/>
    <hyperlink ref="F197" r:id="rId274" xr:uid="{00000000-0004-0000-0400-000011010000}"/>
    <hyperlink ref="E198" r:id="rId275" xr:uid="{00000000-0004-0000-0400-000012010000}"/>
    <hyperlink ref="F198" r:id="rId276" xr:uid="{00000000-0004-0000-0400-000013010000}"/>
    <hyperlink ref="E199" r:id="rId277" xr:uid="{00000000-0004-0000-0400-000014010000}"/>
    <hyperlink ref="F199" r:id="rId278" xr:uid="{00000000-0004-0000-0400-000015010000}"/>
    <hyperlink ref="E200" r:id="rId279" xr:uid="{00000000-0004-0000-0400-000016010000}"/>
    <hyperlink ref="F200" r:id="rId280" xr:uid="{00000000-0004-0000-0400-000017010000}"/>
    <hyperlink ref="E201" r:id="rId281" xr:uid="{00000000-0004-0000-0400-000018010000}"/>
    <hyperlink ref="F201" r:id="rId282" xr:uid="{00000000-0004-0000-0400-000019010000}"/>
    <hyperlink ref="E202" r:id="rId283" xr:uid="{00000000-0004-0000-0400-00001A010000}"/>
    <hyperlink ref="F202" r:id="rId284" xr:uid="{00000000-0004-0000-0400-00001B010000}"/>
    <hyperlink ref="E203" r:id="rId285" xr:uid="{00000000-0004-0000-0400-00001C010000}"/>
    <hyperlink ref="F203" r:id="rId286" xr:uid="{00000000-0004-0000-0400-00001D010000}"/>
    <hyperlink ref="E204" r:id="rId287" xr:uid="{00000000-0004-0000-0400-00001E010000}"/>
    <hyperlink ref="F204" r:id="rId288" xr:uid="{00000000-0004-0000-0400-00001F010000}"/>
    <hyperlink ref="E205" r:id="rId289" xr:uid="{00000000-0004-0000-0400-000020010000}"/>
    <hyperlink ref="F205" r:id="rId290" xr:uid="{00000000-0004-0000-0400-000021010000}"/>
    <hyperlink ref="E206" r:id="rId291" xr:uid="{00000000-0004-0000-0400-000022010000}"/>
    <hyperlink ref="F206" r:id="rId292" xr:uid="{00000000-0004-0000-0400-000023010000}"/>
    <hyperlink ref="E207" r:id="rId293" xr:uid="{00000000-0004-0000-0400-000024010000}"/>
    <hyperlink ref="F207" r:id="rId294" xr:uid="{00000000-0004-0000-0400-000025010000}"/>
    <hyperlink ref="E208" r:id="rId295" xr:uid="{00000000-0004-0000-0400-000026010000}"/>
    <hyperlink ref="F208" r:id="rId296" xr:uid="{00000000-0004-0000-0400-000027010000}"/>
    <hyperlink ref="E209" r:id="rId297" xr:uid="{00000000-0004-0000-0400-000028010000}"/>
    <hyperlink ref="F209" r:id="rId298" xr:uid="{00000000-0004-0000-0400-000029010000}"/>
    <hyperlink ref="E210" r:id="rId299" xr:uid="{00000000-0004-0000-0400-00002A010000}"/>
    <hyperlink ref="F210" r:id="rId300" xr:uid="{00000000-0004-0000-0400-00002B010000}"/>
    <hyperlink ref="E211" r:id="rId301" xr:uid="{00000000-0004-0000-0400-00002C010000}"/>
    <hyperlink ref="F211" r:id="rId302" xr:uid="{00000000-0004-0000-0400-00002D010000}"/>
    <hyperlink ref="E212" r:id="rId303" xr:uid="{00000000-0004-0000-0400-00002E010000}"/>
    <hyperlink ref="F212" r:id="rId304" xr:uid="{00000000-0004-0000-0400-00002F010000}"/>
    <hyperlink ref="E213" r:id="rId305" xr:uid="{00000000-0004-0000-0400-000030010000}"/>
    <hyperlink ref="F213" r:id="rId306" xr:uid="{00000000-0004-0000-0400-000031010000}"/>
    <hyperlink ref="E214" r:id="rId307" xr:uid="{00000000-0004-0000-0400-000032010000}"/>
    <hyperlink ref="F214" r:id="rId308" xr:uid="{00000000-0004-0000-0400-000033010000}"/>
    <hyperlink ref="E215" r:id="rId309" xr:uid="{00000000-0004-0000-0400-000034010000}"/>
    <hyperlink ref="F215" r:id="rId310" xr:uid="{00000000-0004-0000-0400-000035010000}"/>
    <hyperlink ref="E216" r:id="rId311" xr:uid="{00000000-0004-0000-0400-000036010000}"/>
    <hyperlink ref="F216" r:id="rId312" xr:uid="{00000000-0004-0000-0400-000037010000}"/>
    <hyperlink ref="E217" r:id="rId313" xr:uid="{00000000-0004-0000-0400-000038010000}"/>
    <hyperlink ref="F217" r:id="rId314" xr:uid="{00000000-0004-0000-0400-000039010000}"/>
    <hyperlink ref="E218" r:id="rId315" xr:uid="{00000000-0004-0000-0400-00003A010000}"/>
    <hyperlink ref="F218" r:id="rId316" xr:uid="{00000000-0004-0000-0400-00003B010000}"/>
    <hyperlink ref="E219" r:id="rId317" xr:uid="{00000000-0004-0000-0400-00003C010000}"/>
    <hyperlink ref="F219" r:id="rId318" xr:uid="{00000000-0004-0000-0400-00003D010000}"/>
    <hyperlink ref="E220" r:id="rId319" xr:uid="{00000000-0004-0000-0400-00003E010000}"/>
    <hyperlink ref="F220" r:id="rId320" xr:uid="{00000000-0004-0000-0400-00003F010000}"/>
    <hyperlink ref="E221" r:id="rId321" xr:uid="{00000000-0004-0000-0400-000040010000}"/>
    <hyperlink ref="F221" r:id="rId322" xr:uid="{00000000-0004-0000-0400-000041010000}"/>
    <hyperlink ref="E222" r:id="rId323" xr:uid="{00000000-0004-0000-0400-000042010000}"/>
    <hyperlink ref="F222" r:id="rId324" xr:uid="{00000000-0004-0000-0400-000043010000}"/>
    <hyperlink ref="E223" r:id="rId325" xr:uid="{00000000-0004-0000-0400-000044010000}"/>
    <hyperlink ref="F223" r:id="rId326" xr:uid="{00000000-0004-0000-0400-000045010000}"/>
    <hyperlink ref="E224" r:id="rId327" xr:uid="{00000000-0004-0000-0400-000046010000}"/>
    <hyperlink ref="F224" r:id="rId328" xr:uid="{00000000-0004-0000-0400-000047010000}"/>
    <hyperlink ref="E225" r:id="rId329" xr:uid="{00000000-0004-0000-0400-000048010000}"/>
    <hyperlink ref="F225" r:id="rId330" xr:uid="{00000000-0004-0000-0400-000049010000}"/>
    <hyperlink ref="E226" r:id="rId331" xr:uid="{00000000-0004-0000-0400-00004A010000}"/>
    <hyperlink ref="F226" r:id="rId332" xr:uid="{00000000-0004-0000-0400-00004B010000}"/>
    <hyperlink ref="E227" r:id="rId333" xr:uid="{00000000-0004-0000-0400-00004C010000}"/>
    <hyperlink ref="F227" r:id="rId334" xr:uid="{00000000-0004-0000-0400-00004D010000}"/>
    <hyperlink ref="E228" r:id="rId335" xr:uid="{00000000-0004-0000-0400-00004E010000}"/>
    <hyperlink ref="F228" r:id="rId336" xr:uid="{00000000-0004-0000-0400-00004F010000}"/>
    <hyperlink ref="E229" r:id="rId337" xr:uid="{00000000-0004-0000-0400-000050010000}"/>
    <hyperlink ref="F229" r:id="rId338" xr:uid="{00000000-0004-0000-0400-000051010000}"/>
    <hyperlink ref="E230" r:id="rId339" xr:uid="{00000000-0004-0000-0400-000052010000}"/>
    <hyperlink ref="F230" r:id="rId340" xr:uid="{00000000-0004-0000-0400-000053010000}"/>
    <hyperlink ref="E231" r:id="rId341" xr:uid="{00000000-0004-0000-0400-000054010000}"/>
    <hyperlink ref="F231" r:id="rId342" xr:uid="{00000000-0004-0000-0400-000055010000}"/>
    <hyperlink ref="E232" r:id="rId343" xr:uid="{00000000-0004-0000-0400-000056010000}"/>
    <hyperlink ref="F232" r:id="rId344" xr:uid="{00000000-0004-0000-0400-000057010000}"/>
    <hyperlink ref="E233" r:id="rId345" xr:uid="{00000000-0004-0000-0400-000058010000}"/>
    <hyperlink ref="F233" r:id="rId346" xr:uid="{00000000-0004-0000-0400-000059010000}"/>
    <hyperlink ref="E234" r:id="rId347" xr:uid="{00000000-0004-0000-0400-00005A010000}"/>
    <hyperlink ref="F234" r:id="rId348" xr:uid="{00000000-0004-0000-0400-00005B010000}"/>
    <hyperlink ref="E235" r:id="rId349" xr:uid="{00000000-0004-0000-0400-00005C010000}"/>
    <hyperlink ref="F235" r:id="rId350" xr:uid="{00000000-0004-0000-0400-00005D010000}"/>
    <hyperlink ref="E236" r:id="rId351" xr:uid="{00000000-0004-0000-0400-00005E010000}"/>
    <hyperlink ref="F236" r:id="rId352" xr:uid="{00000000-0004-0000-0400-00005F010000}"/>
    <hyperlink ref="E237" r:id="rId353" xr:uid="{00000000-0004-0000-0400-000060010000}"/>
    <hyperlink ref="F237" r:id="rId354" xr:uid="{00000000-0004-0000-0400-000061010000}"/>
    <hyperlink ref="E238" r:id="rId355" xr:uid="{00000000-0004-0000-0400-000062010000}"/>
    <hyperlink ref="F238" r:id="rId356" xr:uid="{00000000-0004-0000-0400-000063010000}"/>
    <hyperlink ref="E239" r:id="rId357" xr:uid="{00000000-0004-0000-0400-000064010000}"/>
    <hyperlink ref="F239" r:id="rId358" xr:uid="{00000000-0004-0000-0400-000065010000}"/>
    <hyperlink ref="E240" r:id="rId359" xr:uid="{00000000-0004-0000-0400-000066010000}"/>
    <hyperlink ref="F240" r:id="rId360" xr:uid="{00000000-0004-0000-0400-000067010000}"/>
    <hyperlink ref="E241" r:id="rId361" xr:uid="{00000000-0004-0000-0400-000068010000}"/>
    <hyperlink ref="F241" r:id="rId362" xr:uid="{00000000-0004-0000-0400-000069010000}"/>
    <hyperlink ref="E242" r:id="rId363" xr:uid="{00000000-0004-0000-0400-00006A010000}"/>
    <hyperlink ref="F242" r:id="rId364" xr:uid="{00000000-0004-0000-0400-00006B010000}"/>
    <hyperlink ref="E243" r:id="rId365" xr:uid="{00000000-0004-0000-0400-00006C010000}"/>
    <hyperlink ref="F243" r:id="rId366" xr:uid="{00000000-0004-0000-0400-00006D010000}"/>
    <hyperlink ref="E244" r:id="rId367" xr:uid="{00000000-0004-0000-0400-00006E010000}"/>
    <hyperlink ref="F244" r:id="rId368" xr:uid="{00000000-0004-0000-0400-00006F010000}"/>
    <hyperlink ref="E245" r:id="rId369" xr:uid="{00000000-0004-0000-0400-000070010000}"/>
    <hyperlink ref="F245" r:id="rId370" xr:uid="{00000000-0004-0000-0400-000071010000}"/>
    <hyperlink ref="E246" r:id="rId371" xr:uid="{00000000-0004-0000-0400-000072010000}"/>
    <hyperlink ref="F246" r:id="rId372" xr:uid="{00000000-0004-0000-0400-000073010000}"/>
    <hyperlink ref="E247" r:id="rId373" xr:uid="{00000000-0004-0000-0400-000074010000}"/>
    <hyperlink ref="F247" r:id="rId374" xr:uid="{00000000-0004-0000-0400-000075010000}"/>
    <hyperlink ref="E248" r:id="rId375" xr:uid="{00000000-0004-0000-0400-000076010000}"/>
    <hyperlink ref="F248" r:id="rId376" xr:uid="{00000000-0004-0000-0400-000077010000}"/>
    <hyperlink ref="E249" r:id="rId377" xr:uid="{00000000-0004-0000-0400-000078010000}"/>
    <hyperlink ref="F249" r:id="rId378" xr:uid="{00000000-0004-0000-0400-000079010000}"/>
    <hyperlink ref="E250" r:id="rId379" xr:uid="{00000000-0004-0000-0400-00007A010000}"/>
    <hyperlink ref="F250" r:id="rId380" xr:uid="{00000000-0004-0000-0400-00007B010000}"/>
    <hyperlink ref="E251" r:id="rId381" xr:uid="{00000000-0004-0000-0400-00007C010000}"/>
    <hyperlink ref="F251" r:id="rId382" xr:uid="{00000000-0004-0000-0400-00007D010000}"/>
    <hyperlink ref="E252" r:id="rId383" xr:uid="{00000000-0004-0000-0400-00007E010000}"/>
    <hyperlink ref="F252" r:id="rId384" xr:uid="{00000000-0004-0000-0400-00007F010000}"/>
    <hyperlink ref="E253" r:id="rId385" xr:uid="{00000000-0004-0000-0400-000080010000}"/>
    <hyperlink ref="F253" r:id="rId386" xr:uid="{00000000-0004-0000-0400-000081010000}"/>
    <hyperlink ref="E254" r:id="rId387" xr:uid="{00000000-0004-0000-0400-000082010000}"/>
    <hyperlink ref="F254" r:id="rId388" xr:uid="{00000000-0004-0000-0400-000083010000}"/>
    <hyperlink ref="E255" r:id="rId389" xr:uid="{00000000-0004-0000-0400-000084010000}"/>
    <hyperlink ref="F255" r:id="rId390" xr:uid="{00000000-0004-0000-0400-000085010000}"/>
    <hyperlink ref="E256" r:id="rId391" xr:uid="{00000000-0004-0000-0400-000086010000}"/>
    <hyperlink ref="F256" r:id="rId392" xr:uid="{00000000-0004-0000-0400-000087010000}"/>
    <hyperlink ref="E257" r:id="rId393" xr:uid="{00000000-0004-0000-0400-000088010000}"/>
    <hyperlink ref="F257" r:id="rId394" xr:uid="{00000000-0004-0000-0400-000089010000}"/>
    <hyperlink ref="E258" r:id="rId395" xr:uid="{00000000-0004-0000-0400-00008A010000}"/>
    <hyperlink ref="F258" r:id="rId396" xr:uid="{00000000-0004-0000-0400-00008B010000}"/>
    <hyperlink ref="E259" r:id="rId397" xr:uid="{00000000-0004-0000-0400-00008C010000}"/>
    <hyperlink ref="F259" r:id="rId398" xr:uid="{00000000-0004-0000-0400-00008D010000}"/>
    <hyperlink ref="E260" r:id="rId399" xr:uid="{00000000-0004-0000-0400-00008E010000}"/>
    <hyperlink ref="F260" r:id="rId400" xr:uid="{00000000-0004-0000-0400-00008F010000}"/>
    <hyperlink ref="E261" r:id="rId401" xr:uid="{00000000-0004-0000-0400-000090010000}"/>
    <hyperlink ref="F261" r:id="rId402" xr:uid="{00000000-0004-0000-0400-000091010000}"/>
    <hyperlink ref="E262" r:id="rId403" xr:uid="{00000000-0004-0000-0400-000092010000}"/>
    <hyperlink ref="F262" r:id="rId404" xr:uid="{00000000-0004-0000-0400-000093010000}"/>
    <hyperlink ref="E263" r:id="rId405" xr:uid="{00000000-0004-0000-0400-000094010000}"/>
    <hyperlink ref="F263" r:id="rId406" xr:uid="{00000000-0004-0000-0400-000095010000}"/>
    <hyperlink ref="E264" r:id="rId407" xr:uid="{00000000-0004-0000-0400-000096010000}"/>
    <hyperlink ref="F264" r:id="rId408" xr:uid="{00000000-0004-0000-0400-000097010000}"/>
    <hyperlink ref="E265" r:id="rId409" xr:uid="{00000000-0004-0000-0400-000098010000}"/>
    <hyperlink ref="F265" r:id="rId410" xr:uid="{00000000-0004-0000-0400-000099010000}"/>
    <hyperlink ref="E266" r:id="rId411" xr:uid="{00000000-0004-0000-0400-00009A010000}"/>
    <hyperlink ref="F266" r:id="rId412" xr:uid="{00000000-0004-0000-0400-00009B010000}"/>
    <hyperlink ref="E267" r:id="rId413" xr:uid="{00000000-0004-0000-0400-00009C010000}"/>
    <hyperlink ref="F267" r:id="rId414" xr:uid="{00000000-0004-0000-0400-00009D010000}"/>
    <hyperlink ref="E268" r:id="rId415" xr:uid="{00000000-0004-0000-0400-00009E010000}"/>
    <hyperlink ref="F268" r:id="rId416" xr:uid="{00000000-0004-0000-0400-00009F010000}"/>
    <hyperlink ref="E269" r:id="rId417" xr:uid="{00000000-0004-0000-0400-0000A0010000}"/>
    <hyperlink ref="F269" r:id="rId418" xr:uid="{00000000-0004-0000-0400-0000A1010000}"/>
    <hyperlink ref="E270" r:id="rId419" xr:uid="{00000000-0004-0000-0400-0000A2010000}"/>
    <hyperlink ref="F270" r:id="rId420" xr:uid="{00000000-0004-0000-0400-0000A3010000}"/>
    <hyperlink ref="E271" r:id="rId421" xr:uid="{00000000-0004-0000-0400-0000A4010000}"/>
    <hyperlink ref="F271" r:id="rId422" xr:uid="{00000000-0004-0000-0400-0000A5010000}"/>
    <hyperlink ref="E272" r:id="rId423" xr:uid="{00000000-0004-0000-0400-0000A6010000}"/>
    <hyperlink ref="F272" r:id="rId424" xr:uid="{00000000-0004-0000-0400-0000A7010000}"/>
    <hyperlink ref="E273" r:id="rId425" xr:uid="{00000000-0004-0000-0400-0000A8010000}"/>
    <hyperlink ref="F273" r:id="rId426" xr:uid="{00000000-0004-0000-0400-0000A9010000}"/>
    <hyperlink ref="E274" r:id="rId427" xr:uid="{00000000-0004-0000-0400-0000AA010000}"/>
    <hyperlink ref="F274" r:id="rId428" xr:uid="{00000000-0004-0000-0400-0000AB010000}"/>
    <hyperlink ref="E275" r:id="rId429" xr:uid="{00000000-0004-0000-0400-0000AC010000}"/>
    <hyperlink ref="F275" r:id="rId430" xr:uid="{00000000-0004-0000-0400-0000AD010000}"/>
    <hyperlink ref="E276" r:id="rId431" xr:uid="{00000000-0004-0000-0400-0000AE010000}"/>
    <hyperlink ref="F276" r:id="rId432" xr:uid="{00000000-0004-0000-0400-0000AF010000}"/>
    <hyperlink ref="E277" r:id="rId433" xr:uid="{00000000-0004-0000-0400-0000B0010000}"/>
    <hyperlink ref="F277" r:id="rId434" xr:uid="{00000000-0004-0000-0400-0000B1010000}"/>
    <hyperlink ref="E278" r:id="rId435" xr:uid="{00000000-0004-0000-0400-0000B2010000}"/>
    <hyperlink ref="F278" r:id="rId436" xr:uid="{00000000-0004-0000-0400-0000B3010000}"/>
    <hyperlink ref="E279" r:id="rId437" xr:uid="{00000000-0004-0000-0400-0000B4010000}"/>
    <hyperlink ref="F279" r:id="rId438" xr:uid="{00000000-0004-0000-0400-0000B5010000}"/>
    <hyperlink ref="E280" r:id="rId439" xr:uid="{00000000-0004-0000-0400-0000B6010000}"/>
    <hyperlink ref="F280" r:id="rId440" xr:uid="{00000000-0004-0000-0400-0000B7010000}"/>
    <hyperlink ref="E281" r:id="rId441" xr:uid="{00000000-0004-0000-0400-0000B8010000}"/>
    <hyperlink ref="F281" r:id="rId442" xr:uid="{00000000-0004-0000-0400-0000B9010000}"/>
    <hyperlink ref="E282" r:id="rId443" xr:uid="{00000000-0004-0000-0400-0000BA010000}"/>
    <hyperlink ref="F282" r:id="rId444" xr:uid="{00000000-0004-0000-0400-0000BB010000}"/>
    <hyperlink ref="E283" r:id="rId445" xr:uid="{00000000-0004-0000-0400-0000BC010000}"/>
    <hyperlink ref="F283" r:id="rId446" xr:uid="{00000000-0004-0000-0400-0000BD010000}"/>
    <hyperlink ref="E284" r:id="rId447" xr:uid="{00000000-0004-0000-0400-0000BE010000}"/>
    <hyperlink ref="F284" r:id="rId448" xr:uid="{00000000-0004-0000-0400-0000BF010000}"/>
    <hyperlink ref="E285" r:id="rId449" xr:uid="{00000000-0004-0000-0400-0000C0010000}"/>
    <hyperlink ref="F285" r:id="rId450" xr:uid="{00000000-0004-0000-0400-0000C1010000}"/>
    <hyperlink ref="E286" r:id="rId451" xr:uid="{00000000-0004-0000-0400-0000C2010000}"/>
    <hyperlink ref="F286" r:id="rId452" xr:uid="{00000000-0004-0000-0400-0000C3010000}"/>
    <hyperlink ref="E287" r:id="rId453" xr:uid="{00000000-0004-0000-0400-0000C4010000}"/>
    <hyperlink ref="F287" r:id="rId454" xr:uid="{00000000-0004-0000-0400-0000C5010000}"/>
    <hyperlink ref="E288" r:id="rId455" xr:uid="{00000000-0004-0000-0400-0000C6010000}"/>
    <hyperlink ref="F288" r:id="rId456" xr:uid="{00000000-0004-0000-0400-0000C7010000}"/>
    <hyperlink ref="E289" r:id="rId457" xr:uid="{00000000-0004-0000-0400-0000C8010000}"/>
    <hyperlink ref="F289" r:id="rId458" xr:uid="{00000000-0004-0000-0400-0000C9010000}"/>
    <hyperlink ref="E290" r:id="rId459" xr:uid="{00000000-0004-0000-0400-0000CA010000}"/>
    <hyperlink ref="F290" r:id="rId460" xr:uid="{00000000-0004-0000-0400-0000CB010000}"/>
    <hyperlink ref="E291" r:id="rId461" xr:uid="{00000000-0004-0000-0400-0000CC010000}"/>
    <hyperlink ref="F291" r:id="rId462" xr:uid="{00000000-0004-0000-0400-0000CD010000}"/>
    <hyperlink ref="E292" r:id="rId463" xr:uid="{00000000-0004-0000-0400-0000CE010000}"/>
    <hyperlink ref="F292" r:id="rId464" xr:uid="{00000000-0004-0000-0400-0000CF010000}"/>
    <hyperlink ref="E293" r:id="rId465" xr:uid="{00000000-0004-0000-0400-0000D0010000}"/>
    <hyperlink ref="F293" r:id="rId466" xr:uid="{00000000-0004-0000-0400-0000D1010000}"/>
    <hyperlink ref="E294" r:id="rId467" xr:uid="{00000000-0004-0000-0400-0000D2010000}"/>
    <hyperlink ref="F294" r:id="rId468" xr:uid="{00000000-0004-0000-0400-0000D3010000}"/>
    <hyperlink ref="E295" r:id="rId469" xr:uid="{00000000-0004-0000-0400-0000D4010000}"/>
    <hyperlink ref="F295" r:id="rId470" xr:uid="{00000000-0004-0000-0400-0000D5010000}"/>
    <hyperlink ref="E296" r:id="rId471" xr:uid="{00000000-0004-0000-0400-0000D6010000}"/>
    <hyperlink ref="F296" r:id="rId472" xr:uid="{00000000-0004-0000-0400-0000D7010000}"/>
    <hyperlink ref="E297" r:id="rId473" xr:uid="{00000000-0004-0000-0400-0000D8010000}"/>
    <hyperlink ref="F297" r:id="rId474" xr:uid="{00000000-0004-0000-0400-0000D9010000}"/>
    <hyperlink ref="E298" r:id="rId475" xr:uid="{00000000-0004-0000-0400-0000DA010000}"/>
    <hyperlink ref="F298" r:id="rId476" xr:uid="{00000000-0004-0000-0400-0000DB010000}"/>
    <hyperlink ref="E299" r:id="rId477" xr:uid="{00000000-0004-0000-0400-0000DC010000}"/>
    <hyperlink ref="F299" r:id="rId478" xr:uid="{00000000-0004-0000-0400-0000DD010000}"/>
    <hyperlink ref="E300" r:id="rId479" xr:uid="{00000000-0004-0000-0400-0000DE010000}"/>
    <hyperlink ref="F300" r:id="rId480" xr:uid="{00000000-0004-0000-0400-0000DF010000}"/>
    <hyperlink ref="E301" r:id="rId481" xr:uid="{00000000-0004-0000-0400-0000E0010000}"/>
    <hyperlink ref="F301" r:id="rId482" xr:uid="{00000000-0004-0000-0400-0000E1010000}"/>
    <hyperlink ref="E302" r:id="rId483" xr:uid="{00000000-0004-0000-0400-0000E2010000}"/>
    <hyperlink ref="F302" r:id="rId484" xr:uid="{00000000-0004-0000-0400-0000E3010000}"/>
    <hyperlink ref="E303" r:id="rId485" xr:uid="{00000000-0004-0000-0400-0000E4010000}"/>
    <hyperlink ref="F303" r:id="rId486" xr:uid="{00000000-0004-0000-0400-0000E5010000}"/>
    <hyperlink ref="E304" r:id="rId487" xr:uid="{00000000-0004-0000-0400-0000E6010000}"/>
    <hyperlink ref="F304" r:id="rId488" xr:uid="{00000000-0004-0000-0400-0000E7010000}"/>
    <hyperlink ref="E305" r:id="rId489" xr:uid="{00000000-0004-0000-0400-0000E8010000}"/>
    <hyperlink ref="F305" r:id="rId490" xr:uid="{00000000-0004-0000-0400-0000E9010000}"/>
    <hyperlink ref="E306" r:id="rId491" xr:uid="{00000000-0004-0000-0400-0000EA010000}"/>
    <hyperlink ref="F306" r:id="rId492" xr:uid="{00000000-0004-0000-0400-0000EB010000}"/>
    <hyperlink ref="E307" r:id="rId493" xr:uid="{00000000-0004-0000-0400-0000EC010000}"/>
    <hyperlink ref="F307" r:id="rId494" xr:uid="{00000000-0004-0000-0400-0000ED010000}"/>
    <hyperlink ref="E308" r:id="rId495" xr:uid="{00000000-0004-0000-0400-0000EE010000}"/>
    <hyperlink ref="F308" r:id="rId496" xr:uid="{00000000-0004-0000-0400-0000EF010000}"/>
    <hyperlink ref="E309" r:id="rId497" xr:uid="{00000000-0004-0000-0400-0000F0010000}"/>
    <hyperlink ref="F309" r:id="rId498" xr:uid="{00000000-0004-0000-0400-0000F1010000}"/>
    <hyperlink ref="E310" r:id="rId499" xr:uid="{00000000-0004-0000-0400-0000F2010000}"/>
    <hyperlink ref="F310" r:id="rId500" xr:uid="{00000000-0004-0000-0400-0000F3010000}"/>
    <hyperlink ref="E311" r:id="rId501" xr:uid="{00000000-0004-0000-0400-0000F4010000}"/>
    <hyperlink ref="F311" r:id="rId502" xr:uid="{00000000-0004-0000-0400-0000F5010000}"/>
    <hyperlink ref="E312" r:id="rId503" xr:uid="{00000000-0004-0000-0400-0000F6010000}"/>
    <hyperlink ref="F312" r:id="rId504" xr:uid="{00000000-0004-0000-0400-0000F7010000}"/>
    <hyperlink ref="E313" r:id="rId505" xr:uid="{00000000-0004-0000-0400-0000F8010000}"/>
    <hyperlink ref="F313" r:id="rId506" xr:uid="{00000000-0004-0000-0400-0000F9010000}"/>
    <hyperlink ref="E314" r:id="rId507" xr:uid="{00000000-0004-0000-0400-0000FA010000}"/>
    <hyperlink ref="F314" r:id="rId508" xr:uid="{00000000-0004-0000-0400-0000FB010000}"/>
    <hyperlink ref="E315" r:id="rId509" xr:uid="{00000000-0004-0000-0400-0000FC010000}"/>
    <hyperlink ref="F315" r:id="rId510" xr:uid="{00000000-0004-0000-0400-0000FD010000}"/>
    <hyperlink ref="E316" r:id="rId511" xr:uid="{00000000-0004-0000-0400-0000FE010000}"/>
    <hyperlink ref="F316" r:id="rId512" xr:uid="{00000000-0004-0000-0400-0000FF010000}"/>
    <hyperlink ref="E317" r:id="rId513" xr:uid="{00000000-0004-0000-0400-000000020000}"/>
    <hyperlink ref="F317" r:id="rId514" xr:uid="{00000000-0004-0000-0400-000001020000}"/>
    <hyperlink ref="E318" r:id="rId515" xr:uid="{00000000-0004-0000-0400-000002020000}"/>
    <hyperlink ref="F318" r:id="rId516" xr:uid="{00000000-0004-0000-0400-000003020000}"/>
    <hyperlink ref="E319" r:id="rId517" xr:uid="{00000000-0004-0000-0400-000004020000}"/>
    <hyperlink ref="F319" r:id="rId518" xr:uid="{00000000-0004-0000-0400-000005020000}"/>
    <hyperlink ref="E320" r:id="rId519" xr:uid="{00000000-0004-0000-0400-000006020000}"/>
    <hyperlink ref="F320" r:id="rId520" xr:uid="{00000000-0004-0000-0400-000007020000}"/>
    <hyperlink ref="E321" r:id="rId521" xr:uid="{00000000-0004-0000-0400-000008020000}"/>
    <hyperlink ref="F321" r:id="rId522" xr:uid="{00000000-0004-0000-0400-000009020000}"/>
    <hyperlink ref="E322" r:id="rId523" xr:uid="{00000000-0004-0000-0400-00000A020000}"/>
    <hyperlink ref="F322" r:id="rId524" xr:uid="{00000000-0004-0000-0400-00000B020000}"/>
    <hyperlink ref="E323" r:id="rId525" xr:uid="{00000000-0004-0000-0400-00000C020000}"/>
    <hyperlink ref="F323" r:id="rId526" xr:uid="{00000000-0004-0000-0400-00000D020000}"/>
    <hyperlink ref="E324" r:id="rId527" xr:uid="{00000000-0004-0000-0400-00000E020000}"/>
    <hyperlink ref="F324" r:id="rId528" xr:uid="{00000000-0004-0000-0400-00000F020000}"/>
    <hyperlink ref="E325" r:id="rId529" xr:uid="{00000000-0004-0000-0400-000010020000}"/>
    <hyperlink ref="F325" r:id="rId530" xr:uid="{00000000-0004-0000-0400-000011020000}"/>
    <hyperlink ref="E326" r:id="rId531" xr:uid="{00000000-0004-0000-0400-000012020000}"/>
    <hyperlink ref="F326" r:id="rId532" xr:uid="{00000000-0004-0000-0400-000013020000}"/>
    <hyperlink ref="E327" r:id="rId533" xr:uid="{00000000-0004-0000-0400-000014020000}"/>
    <hyperlink ref="F327" r:id="rId534" xr:uid="{00000000-0004-0000-0400-000015020000}"/>
    <hyperlink ref="E328" r:id="rId535" xr:uid="{00000000-0004-0000-0400-000016020000}"/>
    <hyperlink ref="F328" r:id="rId536" xr:uid="{00000000-0004-0000-0400-000017020000}"/>
    <hyperlink ref="E329" r:id="rId537" xr:uid="{00000000-0004-0000-0400-000018020000}"/>
    <hyperlink ref="F329" r:id="rId538" xr:uid="{00000000-0004-0000-0400-000019020000}"/>
    <hyperlink ref="E330" r:id="rId539" xr:uid="{00000000-0004-0000-0400-00001A020000}"/>
    <hyperlink ref="F330" r:id="rId540" xr:uid="{00000000-0004-0000-0400-00001B020000}"/>
    <hyperlink ref="E331" r:id="rId541" xr:uid="{00000000-0004-0000-0400-00001C020000}"/>
    <hyperlink ref="F331" r:id="rId542" xr:uid="{00000000-0004-0000-0400-00001D020000}"/>
    <hyperlink ref="E332" r:id="rId543" xr:uid="{00000000-0004-0000-0400-00001E020000}"/>
    <hyperlink ref="F332" r:id="rId544" xr:uid="{00000000-0004-0000-0400-00001F020000}"/>
    <hyperlink ref="E333" r:id="rId545" xr:uid="{00000000-0004-0000-0400-000020020000}"/>
    <hyperlink ref="F333" r:id="rId546" xr:uid="{00000000-0004-0000-0400-000021020000}"/>
    <hyperlink ref="E334" r:id="rId547" xr:uid="{00000000-0004-0000-0400-000022020000}"/>
    <hyperlink ref="F334" r:id="rId548" xr:uid="{00000000-0004-0000-0400-000023020000}"/>
    <hyperlink ref="E335" r:id="rId549" xr:uid="{00000000-0004-0000-0400-000024020000}"/>
    <hyperlink ref="F335" r:id="rId550" xr:uid="{00000000-0004-0000-0400-000025020000}"/>
    <hyperlink ref="E336" r:id="rId551" xr:uid="{00000000-0004-0000-0400-000026020000}"/>
    <hyperlink ref="F336" r:id="rId552" xr:uid="{00000000-0004-0000-0400-000027020000}"/>
    <hyperlink ref="E337" r:id="rId553" xr:uid="{00000000-0004-0000-0400-000028020000}"/>
    <hyperlink ref="F337" r:id="rId554" xr:uid="{00000000-0004-0000-0400-000029020000}"/>
    <hyperlink ref="E338" r:id="rId555" xr:uid="{00000000-0004-0000-0400-00002A020000}"/>
    <hyperlink ref="F338" r:id="rId556" xr:uid="{00000000-0004-0000-0400-00002B020000}"/>
    <hyperlink ref="E339" r:id="rId557" xr:uid="{00000000-0004-0000-0400-00002C020000}"/>
    <hyperlink ref="F339" r:id="rId558" xr:uid="{00000000-0004-0000-0400-00002D020000}"/>
    <hyperlink ref="E340" r:id="rId559" xr:uid="{00000000-0004-0000-0400-00002E020000}"/>
    <hyperlink ref="F340" r:id="rId560" xr:uid="{00000000-0004-0000-0400-00002F020000}"/>
    <hyperlink ref="E341" r:id="rId561" xr:uid="{00000000-0004-0000-0400-000030020000}"/>
    <hyperlink ref="F341" r:id="rId562" xr:uid="{00000000-0004-0000-0400-000031020000}"/>
    <hyperlink ref="E342" r:id="rId563" xr:uid="{00000000-0004-0000-0400-000032020000}"/>
    <hyperlink ref="F342" r:id="rId564" xr:uid="{00000000-0004-0000-0400-000033020000}"/>
    <hyperlink ref="E343" r:id="rId565" xr:uid="{00000000-0004-0000-0400-000034020000}"/>
    <hyperlink ref="F343" r:id="rId566" xr:uid="{00000000-0004-0000-0400-000035020000}"/>
    <hyperlink ref="E344" r:id="rId567" xr:uid="{00000000-0004-0000-0400-000036020000}"/>
    <hyperlink ref="F344" r:id="rId568" xr:uid="{00000000-0004-0000-0400-000037020000}"/>
    <hyperlink ref="E345" r:id="rId569" xr:uid="{00000000-0004-0000-0400-000038020000}"/>
    <hyperlink ref="F345" r:id="rId570" xr:uid="{00000000-0004-0000-0400-000039020000}"/>
    <hyperlink ref="E346" r:id="rId571" xr:uid="{00000000-0004-0000-0400-00003A020000}"/>
    <hyperlink ref="F346" r:id="rId572" xr:uid="{00000000-0004-0000-0400-00003B020000}"/>
    <hyperlink ref="E347" r:id="rId573" xr:uid="{00000000-0004-0000-0400-00003C020000}"/>
    <hyperlink ref="F347" r:id="rId574" xr:uid="{00000000-0004-0000-0400-00003D020000}"/>
    <hyperlink ref="E348" r:id="rId575" xr:uid="{00000000-0004-0000-0400-00003E020000}"/>
    <hyperlink ref="F348" r:id="rId576" xr:uid="{00000000-0004-0000-0400-00003F020000}"/>
    <hyperlink ref="E349" r:id="rId577" xr:uid="{00000000-0004-0000-0400-000040020000}"/>
    <hyperlink ref="F349" r:id="rId578" xr:uid="{00000000-0004-0000-0400-000041020000}"/>
    <hyperlink ref="E350" r:id="rId579" xr:uid="{00000000-0004-0000-0400-000042020000}"/>
    <hyperlink ref="F350" r:id="rId580" xr:uid="{00000000-0004-0000-0400-000043020000}"/>
    <hyperlink ref="E351" r:id="rId581" xr:uid="{00000000-0004-0000-0400-000044020000}"/>
    <hyperlink ref="F351" r:id="rId582" xr:uid="{00000000-0004-0000-0400-000045020000}"/>
    <hyperlink ref="E352" r:id="rId583" xr:uid="{00000000-0004-0000-0400-000046020000}"/>
    <hyperlink ref="F352" r:id="rId584" xr:uid="{00000000-0004-0000-0400-000047020000}"/>
    <hyperlink ref="E353" r:id="rId585" xr:uid="{00000000-0004-0000-0400-000048020000}"/>
    <hyperlink ref="F353" r:id="rId586" xr:uid="{00000000-0004-0000-0400-000049020000}"/>
    <hyperlink ref="E354" r:id="rId587" xr:uid="{00000000-0004-0000-0400-00004A020000}"/>
    <hyperlink ref="F354" r:id="rId588" xr:uid="{00000000-0004-0000-0400-00004B020000}"/>
    <hyperlink ref="E355" r:id="rId589" xr:uid="{00000000-0004-0000-0400-00004C020000}"/>
    <hyperlink ref="F355" r:id="rId590" xr:uid="{00000000-0004-0000-0400-00004D020000}"/>
    <hyperlink ref="E356" r:id="rId591" xr:uid="{00000000-0004-0000-0400-00004E020000}"/>
    <hyperlink ref="F356" r:id="rId592" xr:uid="{00000000-0004-0000-0400-00004F020000}"/>
    <hyperlink ref="E357" r:id="rId593" xr:uid="{00000000-0004-0000-0400-000050020000}"/>
    <hyperlink ref="F357" r:id="rId594" xr:uid="{00000000-0004-0000-0400-000051020000}"/>
    <hyperlink ref="E358" r:id="rId595" xr:uid="{00000000-0004-0000-0400-000052020000}"/>
    <hyperlink ref="F358" r:id="rId596" xr:uid="{00000000-0004-0000-0400-000053020000}"/>
    <hyperlink ref="E359" r:id="rId597" xr:uid="{00000000-0004-0000-0400-000054020000}"/>
    <hyperlink ref="F359" r:id="rId598" xr:uid="{00000000-0004-0000-0400-000055020000}"/>
    <hyperlink ref="E360" r:id="rId599" xr:uid="{00000000-0004-0000-0400-000056020000}"/>
    <hyperlink ref="F360" r:id="rId600" xr:uid="{00000000-0004-0000-0400-000057020000}"/>
    <hyperlink ref="E361" r:id="rId601" xr:uid="{00000000-0004-0000-0400-000058020000}"/>
    <hyperlink ref="F361" r:id="rId602" xr:uid="{00000000-0004-0000-0400-000059020000}"/>
    <hyperlink ref="E362" r:id="rId603" xr:uid="{00000000-0004-0000-0400-00005A020000}"/>
    <hyperlink ref="F362" r:id="rId604" xr:uid="{00000000-0004-0000-0400-00005B020000}"/>
    <hyperlink ref="E363" r:id="rId605" xr:uid="{00000000-0004-0000-0400-00005C020000}"/>
    <hyperlink ref="F363" r:id="rId606" xr:uid="{00000000-0004-0000-0400-00005D020000}"/>
    <hyperlink ref="E364" r:id="rId607" xr:uid="{00000000-0004-0000-0400-00005E020000}"/>
    <hyperlink ref="F364" r:id="rId608" xr:uid="{00000000-0004-0000-0400-00005F020000}"/>
    <hyperlink ref="E365" r:id="rId609" xr:uid="{00000000-0004-0000-0400-000060020000}"/>
    <hyperlink ref="F365" r:id="rId610" xr:uid="{00000000-0004-0000-0400-000061020000}"/>
    <hyperlink ref="E366" r:id="rId611" xr:uid="{00000000-0004-0000-0400-000062020000}"/>
    <hyperlink ref="F366" r:id="rId612" xr:uid="{00000000-0004-0000-0400-000063020000}"/>
    <hyperlink ref="E367" r:id="rId613" xr:uid="{00000000-0004-0000-0400-000064020000}"/>
    <hyperlink ref="F367" r:id="rId614" xr:uid="{00000000-0004-0000-0400-000065020000}"/>
    <hyperlink ref="E368" r:id="rId615" xr:uid="{00000000-0004-0000-0400-000066020000}"/>
    <hyperlink ref="F368" r:id="rId616" xr:uid="{00000000-0004-0000-0400-000067020000}"/>
    <hyperlink ref="E369" r:id="rId617" xr:uid="{00000000-0004-0000-0400-000068020000}"/>
    <hyperlink ref="F369" r:id="rId618" xr:uid="{00000000-0004-0000-0400-000069020000}"/>
    <hyperlink ref="E370" r:id="rId619" xr:uid="{00000000-0004-0000-0400-00006A020000}"/>
    <hyperlink ref="F370" r:id="rId620" xr:uid="{00000000-0004-0000-0400-00006B020000}"/>
    <hyperlink ref="E371" r:id="rId621" xr:uid="{00000000-0004-0000-0400-00006C020000}"/>
    <hyperlink ref="F371" r:id="rId622" xr:uid="{00000000-0004-0000-0400-00006D020000}"/>
    <hyperlink ref="E372" r:id="rId623" xr:uid="{00000000-0004-0000-0400-00006E020000}"/>
    <hyperlink ref="F372" r:id="rId624" xr:uid="{00000000-0004-0000-0400-00006F020000}"/>
    <hyperlink ref="E373" r:id="rId625" xr:uid="{00000000-0004-0000-0400-000070020000}"/>
    <hyperlink ref="F373" r:id="rId626" xr:uid="{00000000-0004-0000-0400-000071020000}"/>
    <hyperlink ref="E374" r:id="rId627" xr:uid="{00000000-0004-0000-0400-000072020000}"/>
    <hyperlink ref="F374" r:id="rId628" xr:uid="{00000000-0004-0000-0400-000073020000}"/>
    <hyperlink ref="E375" r:id="rId629" xr:uid="{00000000-0004-0000-0400-000074020000}"/>
    <hyperlink ref="F375" r:id="rId630" xr:uid="{00000000-0004-0000-0400-000075020000}"/>
    <hyperlink ref="E376" r:id="rId631" xr:uid="{00000000-0004-0000-0400-000076020000}"/>
    <hyperlink ref="F376" r:id="rId632" xr:uid="{00000000-0004-0000-0400-000077020000}"/>
    <hyperlink ref="E377" r:id="rId633" xr:uid="{00000000-0004-0000-0400-000078020000}"/>
    <hyperlink ref="F377" r:id="rId634" xr:uid="{00000000-0004-0000-0400-000079020000}"/>
    <hyperlink ref="E378" r:id="rId635" xr:uid="{00000000-0004-0000-0400-00007A020000}"/>
    <hyperlink ref="F378" r:id="rId636" xr:uid="{00000000-0004-0000-0400-00007B020000}"/>
    <hyperlink ref="E379" r:id="rId637" xr:uid="{00000000-0004-0000-0400-00007C020000}"/>
    <hyperlink ref="F379" r:id="rId638" xr:uid="{00000000-0004-0000-0400-00007D020000}"/>
    <hyperlink ref="E380" r:id="rId639" xr:uid="{00000000-0004-0000-0400-00007E020000}"/>
    <hyperlink ref="F380" r:id="rId640" xr:uid="{00000000-0004-0000-0400-00007F020000}"/>
    <hyperlink ref="E381" r:id="rId641" xr:uid="{00000000-0004-0000-0400-000080020000}"/>
    <hyperlink ref="F381" r:id="rId642" xr:uid="{00000000-0004-0000-0400-000081020000}"/>
    <hyperlink ref="E382" r:id="rId643" xr:uid="{00000000-0004-0000-0400-000082020000}"/>
    <hyperlink ref="F382" r:id="rId644" xr:uid="{00000000-0004-0000-0400-000083020000}"/>
    <hyperlink ref="E383" r:id="rId645" xr:uid="{00000000-0004-0000-0400-000084020000}"/>
    <hyperlink ref="F383" r:id="rId646" xr:uid="{00000000-0004-0000-0400-000085020000}"/>
    <hyperlink ref="E384" r:id="rId647" xr:uid="{00000000-0004-0000-0400-000086020000}"/>
    <hyperlink ref="F384" r:id="rId648" xr:uid="{00000000-0004-0000-0400-000087020000}"/>
    <hyperlink ref="E385" r:id="rId649" xr:uid="{00000000-0004-0000-0400-000088020000}"/>
    <hyperlink ref="F385" r:id="rId650" xr:uid="{00000000-0004-0000-0400-000089020000}"/>
    <hyperlink ref="E386" r:id="rId651" xr:uid="{00000000-0004-0000-0400-00008A020000}"/>
    <hyperlink ref="F386" r:id="rId652" xr:uid="{00000000-0004-0000-0400-00008B020000}"/>
    <hyperlink ref="E387" r:id="rId653" xr:uid="{00000000-0004-0000-0400-00008C020000}"/>
    <hyperlink ref="F387" r:id="rId654" xr:uid="{00000000-0004-0000-0400-00008D020000}"/>
    <hyperlink ref="E388" r:id="rId655" xr:uid="{00000000-0004-0000-0400-00008E020000}"/>
    <hyperlink ref="F388" r:id="rId656" xr:uid="{00000000-0004-0000-0400-00008F020000}"/>
    <hyperlink ref="E389" r:id="rId657" xr:uid="{00000000-0004-0000-0400-000090020000}"/>
    <hyperlink ref="F389" r:id="rId658" xr:uid="{00000000-0004-0000-0400-000091020000}"/>
    <hyperlink ref="E390" r:id="rId659" xr:uid="{00000000-0004-0000-0400-000092020000}"/>
    <hyperlink ref="F390" r:id="rId660" xr:uid="{00000000-0004-0000-0400-000093020000}"/>
    <hyperlink ref="E391" r:id="rId661" xr:uid="{00000000-0004-0000-0400-000094020000}"/>
    <hyperlink ref="F391" r:id="rId662" xr:uid="{00000000-0004-0000-0400-000095020000}"/>
    <hyperlink ref="E392" r:id="rId663" xr:uid="{00000000-0004-0000-0400-000096020000}"/>
    <hyperlink ref="F392" r:id="rId664" xr:uid="{00000000-0004-0000-0400-000097020000}"/>
    <hyperlink ref="E393" r:id="rId665" xr:uid="{00000000-0004-0000-0400-000098020000}"/>
    <hyperlink ref="F393" r:id="rId666" xr:uid="{00000000-0004-0000-0400-000099020000}"/>
    <hyperlink ref="E394" r:id="rId667" xr:uid="{00000000-0004-0000-0400-00009A020000}"/>
    <hyperlink ref="F394" r:id="rId668" xr:uid="{00000000-0004-0000-0400-00009B020000}"/>
    <hyperlink ref="E395" r:id="rId669" xr:uid="{00000000-0004-0000-0400-00009C020000}"/>
    <hyperlink ref="F395" r:id="rId670" xr:uid="{00000000-0004-0000-0400-00009D020000}"/>
    <hyperlink ref="E396" r:id="rId671" xr:uid="{00000000-0004-0000-0400-00009E020000}"/>
    <hyperlink ref="F396" r:id="rId672" xr:uid="{00000000-0004-0000-0400-00009F020000}"/>
    <hyperlink ref="E397" r:id="rId673" xr:uid="{00000000-0004-0000-0400-0000A0020000}"/>
    <hyperlink ref="F397" r:id="rId674" xr:uid="{00000000-0004-0000-0400-0000A1020000}"/>
    <hyperlink ref="E398" r:id="rId675" xr:uid="{00000000-0004-0000-0400-0000A2020000}"/>
    <hyperlink ref="F398" r:id="rId676" xr:uid="{00000000-0004-0000-0400-0000A3020000}"/>
    <hyperlink ref="E399" r:id="rId677" xr:uid="{00000000-0004-0000-0400-0000A4020000}"/>
    <hyperlink ref="F399" r:id="rId678" xr:uid="{00000000-0004-0000-0400-0000A5020000}"/>
    <hyperlink ref="E400" r:id="rId679" xr:uid="{00000000-0004-0000-0400-0000A6020000}"/>
    <hyperlink ref="F400" r:id="rId680" xr:uid="{00000000-0004-0000-0400-0000A7020000}"/>
    <hyperlink ref="E401" r:id="rId681" xr:uid="{00000000-0004-0000-0400-0000A8020000}"/>
    <hyperlink ref="F401" r:id="rId682" xr:uid="{00000000-0004-0000-0400-0000A9020000}"/>
    <hyperlink ref="E402" r:id="rId683" xr:uid="{00000000-0004-0000-0400-0000AA020000}"/>
    <hyperlink ref="F402" r:id="rId684" xr:uid="{00000000-0004-0000-0400-0000AB020000}"/>
    <hyperlink ref="E403" r:id="rId685" xr:uid="{00000000-0004-0000-0400-0000AC020000}"/>
    <hyperlink ref="F403" r:id="rId686" xr:uid="{00000000-0004-0000-0400-0000AD020000}"/>
    <hyperlink ref="E404" r:id="rId687" xr:uid="{00000000-0004-0000-0400-0000AE020000}"/>
    <hyperlink ref="F404" r:id="rId688" xr:uid="{00000000-0004-0000-0400-0000AF020000}"/>
    <hyperlink ref="E405" r:id="rId689" xr:uid="{00000000-0004-0000-0400-0000B0020000}"/>
    <hyperlink ref="F405" r:id="rId690" xr:uid="{00000000-0004-0000-0400-0000B1020000}"/>
    <hyperlink ref="E406" r:id="rId691" xr:uid="{00000000-0004-0000-0400-0000B2020000}"/>
    <hyperlink ref="F406" r:id="rId692" xr:uid="{00000000-0004-0000-0400-0000B3020000}"/>
    <hyperlink ref="E407" r:id="rId693" xr:uid="{00000000-0004-0000-0400-0000B4020000}"/>
    <hyperlink ref="F407" r:id="rId694" xr:uid="{00000000-0004-0000-0400-0000B5020000}"/>
    <hyperlink ref="E408" r:id="rId695" xr:uid="{00000000-0004-0000-0400-0000B6020000}"/>
    <hyperlink ref="F408" r:id="rId696" xr:uid="{00000000-0004-0000-0400-0000B7020000}"/>
    <hyperlink ref="E409" r:id="rId697" xr:uid="{00000000-0004-0000-0400-0000B8020000}"/>
    <hyperlink ref="F409" r:id="rId698" xr:uid="{00000000-0004-0000-0400-0000B9020000}"/>
    <hyperlink ref="E410" r:id="rId699" xr:uid="{00000000-0004-0000-0400-0000BA020000}"/>
    <hyperlink ref="F410" r:id="rId700" xr:uid="{00000000-0004-0000-0400-0000BB020000}"/>
    <hyperlink ref="E411" r:id="rId701" xr:uid="{00000000-0004-0000-0400-0000BC020000}"/>
    <hyperlink ref="F411" r:id="rId702" xr:uid="{00000000-0004-0000-0400-0000BD020000}"/>
    <hyperlink ref="E412" r:id="rId703" xr:uid="{00000000-0004-0000-0400-0000BE020000}"/>
    <hyperlink ref="F412" r:id="rId704" xr:uid="{00000000-0004-0000-0400-0000BF020000}"/>
    <hyperlink ref="E413" r:id="rId705" xr:uid="{00000000-0004-0000-0400-0000C0020000}"/>
    <hyperlink ref="F413" r:id="rId706" xr:uid="{00000000-0004-0000-0400-0000C1020000}"/>
    <hyperlink ref="E414" r:id="rId707" xr:uid="{00000000-0004-0000-0400-0000C2020000}"/>
    <hyperlink ref="F414" r:id="rId708" xr:uid="{00000000-0004-0000-0400-0000C3020000}"/>
    <hyperlink ref="E415" r:id="rId709" xr:uid="{00000000-0004-0000-0400-0000C4020000}"/>
    <hyperlink ref="F415" r:id="rId710" xr:uid="{00000000-0004-0000-0400-0000C5020000}"/>
    <hyperlink ref="E416" r:id="rId711" xr:uid="{00000000-0004-0000-0400-0000C6020000}"/>
    <hyperlink ref="F416" r:id="rId712" xr:uid="{00000000-0004-0000-0400-0000C7020000}"/>
    <hyperlink ref="E417" r:id="rId713" xr:uid="{00000000-0004-0000-0400-0000C8020000}"/>
    <hyperlink ref="F417" r:id="rId714" xr:uid="{00000000-0004-0000-0400-0000C9020000}"/>
    <hyperlink ref="E418" r:id="rId715" xr:uid="{00000000-0004-0000-0400-0000CA020000}"/>
    <hyperlink ref="F418" r:id="rId716" xr:uid="{00000000-0004-0000-0400-0000CB020000}"/>
    <hyperlink ref="E419" r:id="rId717" xr:uid="{00000000-0004-0000-0400-0000CC020000}"/>
    <hyperlink ref="F419" r:id="rId718" xr:uid="{00000000-0004-0000-0400-0000CD020000}"/>
    <hyperlink ref="E420" r:id="rId719" xr:uid="{00000000-0004-0000-0400-0000CE020000}"/>
    <hyperlink ref="F420" r:id="rId720" xr:uid="{00000000-0004-0000-0400-0000CF020000}"/>
    <hyperlink ref="E421" r:id="rId721" xr:uid="{00000000-0004-0000-0400-0000D0020000}"/>
    <hyperlink ref="F421" r:id="rId722" xr:uid="{00000000-0004-0000-0400-0000D1020000}"/>
    <hyperlink ref="E422" r:id="rId723" xr:uid="{00000000-0004-0000-0400-0000D2020000}"/>
    <hyperlink ref="F422" r:id="rId724" xr:uid="{00000000-0004-0000-0400-0000D3020000}"/>
    <hyperlink ref="E423" r:id="rId725" xr:uid="{00000000-0004-0000-0400-0000D4020000}"/>
    <hyperlink ref="F423" r:id="rId726" xr:uid="{00000000-0004-0000-0400-0000D5020000}"/>
    <hyperlink ref="E424" r:id="rId727" xr:uid="{00000000-0004-0000-0400-0000D6020000}"/>
    <hyperlink ref="F424" r:id="rId728" xr:uid="{00000000-0004-0000-0400-0000D7020000}"/>
    <hyperlink ref="E425" r:id="rId729" xr:uid="{00000000-0004-0000-0400-0000D8020000}"/>
    <hyperlink ref="F425" r:id="rId730" xr:uid="{00000000-0004-0000-0400-0000D9020000}"/>
    <hyperlink ref="E426" r:id="rId731" xr:uid="{00000000-0004-0000-0400-0000DA020000}"/>
    <hyperlink ref="F426" r:id="rId732" xr:uid="{00000000-0004-0000-0400-0000DB020000}"/>
    <hyperlink ref="E427" r:id="rId733" xr:uid="{00000000-0004-0000-0400-0000DC020000}"/>
    <hyperlink ref="F427" r:id="rId734" xr:uid="{00000000-0004-0000-0400-0000DD020000}"/>
    <hyperlink ref="E428" r:id="rId735" xr:uid="{00000000-0004-0000-0400-0000DE020000}"/>
    <hyperlink ref="F428" r:id="rId736" xr:uid="{00000000-0004-0000-0400-0000DF020000}"/>
    <hyperlink ref="E429" r:id="rId737" xr:uid="{00000000-0004-0000-0400-0000E0020000}"/>
    <hyperlink ref="F429" r:id="rId738" xr:uid="{00000000-0004-0000-0400-0000E1020000}"/>
    <hyperlink ref="E430" r:id="rId739" xr:uid="{00000000-0004-0000-0400-0000E2020000}"/>
    <hyperlink ref="F430" r:id="rId740" xr:uid="{00000000-0004-0000-0400-0000E3020000}"/>
    <hyperlink ref="E431" r:id="rId741" xr:uid="{00000000-0004-0000-0400-0000E4020000}"/>
    <hyperlink ref="F431" r:id="rId742" xr:uid="{00000000-0004-0000-0400-0000E5020000}"/>
    <hyperlink ref="E432" r:id="rId743" xr:uid="{00000000-0004-0000-0400-0000E6020000}"/>
    <hyperlink ref="F432" r:id="rId744" xr:uid="{00000000-0004-0000-0400-0000E7020000}"/>
    <hyperlink ref="E433" r:id="rId745" xr:uid="{00000000-0004-0000-0400-0000E8020000}"/>
    <hyperlink ref="F433" r:id="rId746" xr:uid="{00000000-0004-0000-0400-0000E9020000}"/>
    <hyperlink ref="E434" r:id="rId747" xr:uid="{00000000-0004-0000-0400-0000EA020000}"/>
    <hyperlink ref="F434" r:id="rId748" xr:uid="{00000000-0004-0000-0400-0000EB020000}"/>
    <hyperlink ref="E435" r:id="rId749" xr:uid="{00000000-0004-0000-0400-0000EC020000}"/>
    <hyperlink ref="F435" r:id="rId750" xr:uid="{00000000-0004-0000-0400-0000ED020000}"/>
    <hyperlink ref="E436" r:id="rId751" xr:uid="{00000000-0004-0000-0400-0000EE020000}"/>
    <hyperlink ref="F436" r:id="rId752" xr:uid="{00000000-0004-0000-0400-0000EF020000}"/>
    <hyperlink ref="E437" r:id="rId753" xr:uid="{00000000-0004-0000-0400-0000F0020000}"/>
    <hyperlink ref="F437" r:id="rId754" xr:uid="{00000000-0004-0000-0400-0000F1020000}"/>
    <hyperlink ref="E438" r:id="rId755" xr:uid="{00000000-0004-0000-0400-0000F2020000}"/>
    <hyperlink ref="F438" r:id="rId756" xr:uid="{00000000-0004-0000-0400-0000F3020000}"/>
    <hyperlink ref="E439" r:id="rId757" xr:uid="{00000000-0004-0000-0400-0000F4020000}"/>
    <hyperlink ref="F439" r:id="rId758" xr:uid="{00000000-0004-0000-0400-0000F5020000}"/>
    <hyperlink ref="E440" r:id="rId759" xr:uid="{00000000-0004-0000-0400-0000F6020000}"/>
    <hyperlink ref="F440" r:id="rId760" xr:uid="{00000000-0004-0000-0400-0000F7020000}"/>
    <hyperlink ref="E441" r:id="rId761" xr:uid="{00000000-0004-0000-0400-0000F8020000}"/>
    <hyperlink ref="F441" r:id="rId762" xr:uid="{00000000-0004-0000-0400-0000F9020000}"/>
    <hyperlink ref="E442" r:id="rId763" xr:uid="{00000000-0004-0000-0400-0000FA020000}"/>
    <hyperlink ref="F442" r:id="rId764" xr:uid="{00000000-0004-0000-0400-0000FB020000}"/>
    <hyperlink ref="E443" r:id="rId765" xr:uid="{00000000-0004-0000-0400-0000FC020000}"/>
    <hyperlink ref="F443" r:id="rId766" xr:uid="{00000000-0004-0000-0400-0000FD020000}"/>
    <hyperlink ref="E444" r:id="rId767" xr:uid="{00000000-0004-0000-0400-0000FE020000}"/>
    <hyperlink ref="F444" r:id="rId768" xr:uid="{00000000-0004-0000-0400-0000FF020000}"/>
    <hyperlink ref="E445" r:id="rId769" xr:uid="{00000000-0004-0000-0400-000000030000}"/>
    <hyperlink ref="F445" r:id="rId770" xr:uid="{00000000-0004-0000-0400-000001030000}"/>
    <hyperlink ref="E446" r:id="rId771" xr:uid="{00000000-0004-0000-0400-000002030000}"/>
    <hyperlink ref="F446" r:id="rId772" xr:uid="{00000000-0004-0000-0400-000003030000}"/>
    <hyperlink ref="E447" r:id="rId773" xr:uid="{00000000-0004-0000-0400-000004030000}"/>
    <hyperlink ref="F447" r:id="rId774" xr:uid="{00000000-0004-0000-0400-000005030000}"/>
    <hyperlink ref="E448" r:id="rId775" xr:uid="{00000000-0004-0000-0400-000006030000}"/>
    <hyperlink ref="F448" r:id="rId776" xr:uid="{00000000-0004-0000-0400-000007030000}"/>
    <hyperlink ref="E449" r:id="rId777" xr:uid="{00000000-0004-0000-0400-000008030000}"/>
    <hyperlink ref="F449" r:id="rId778" xr:uid="{00000000-0004-0000-0400-000009030000}"/>
    <hyperlink ref="E450" r:id="rId779" xr:uid="{00000000-0004-0000-0400-00000A030000}"/>
    <hyperlink ref="F450" r:id="rId780" xr:uid="{00000000-0004-0000-0400-00000B030000}"/>
    <hyperlink ref="E451" r:id="rId781" xr:uid="{00000000-0004-0000-0400-00000C030000}"/>
    <hyperlink ref="F451" r:id="rId782" xr:uid="{00000000-0004-0000-0400-00000D030000}"/>
    <hyperlink ref="E452" r:id="rId783" xr:uid="{00000000-0004-0000-0400-00000E030000}"/>
    <hyperlink ref="F452" r:id="rId784" xr:uid="{00000000-0004-0000-0400-00000F030000}"/>
    <hyperlink ref="E453" r:id="rId785" xr:uid="{00000000-0004-0000-0400-000010030000}"/>
    <hyperlink ref="F453" r:id="rId786" xr:uid="{00000000-0004-0000-0400-000011030000}"/>
    <hyperlink ref="E454" r:id="rId787" xr:uid="{00000000-0004-0000-0400-000012030000}"/>
    <hyperlink ref="F454" r:id="rId788" xr:uid="{00000000-0004-0000-0400-000013030000}"/>
    <hyperlink ref="E455" r:id="rId789" xr:uid="{00000000-0004-0000-0400-000014030000}"/>
    <hyperlink ref="F455" r:id="rId790" xr:uid="{00000000-0004-0000-0400-000015030000}"/>
    <hyperlink ref="E456" r:id="rId791" xr:uid="{00000000-0004-0000-0400-000016030000}"/>
    <hyperlink ref="F456" r:id="rId792" xr:uid="{00000000-0004-0000-0400-000017030000}"/>
    <hyperlink ref="E457" r:id="rId793" xr:uid="{00000000-0004-0000-0400-000018030000}"/>
    <hyperlink ref="F457" r:id="rId794" xr:uid="{00000000-0004-0000-0400-000019030000}"/>
    <hyperlink ref="E458" r:id="rId795" xr:uid="{00000000-0004-0000-0400-00001A030000}"/>
    <hyperlink ref="F458" r:id="rId796" xr:uid="{00000000-0004-0000-0400-00001B030000}"/>
    <hyperlink ref="E459" r:id="rId797" xr:uid="{00000000-0004-0000-0400-00001C030000}"/>
    <hyperlink ref="F459" r:id="rId798" xr:uid="{00000000-0004-0000-0400-00001D030000}"/>
    <hyperlink ref="E460" r:id="rId799" xr:uid="{00000000-0004-0000-0400-00001E030000}"/>
    <hyperlink ref="F460" r:id="rId800" xr:uid="{00000000-0004-0000-0400-00001F030000}"/>
    <hyperlink ref="E461" r:id="rId801" xr:uid="{00000000-0004-0000-0400-000020030000}"/>
    <hyperlink ref="F461" r:id="rId802" xr:uid="{00000000-0004-0000-0400-000021030000}"/>
    <hyperlink ref="E462" r:id="rId803" xr:uid="{00000000-0004-0000-0400-000022030000}"/>
    <hyperlink ref="F462" r:id="rId804" xr:uid="{00000000-0004-0000-0400-000023030000}"/>
    <hyperlink ref="E463" r:id="rId805" xr:uid="{00000000-0004-0000-0400-000024030000}"/>
    <hyperlink ref="F463" r:id="rId806" xr:uid="{00000000-0004-0000-0400-000025030000}"/>
    <hyperlink ref="E464" r:id="rId807" xr:uid="{00000000-0004-0000-0400-000026030000}"/>
    <hyperlink ref="F464" r:id="rId808" xr:uid="{00000000-0004-0000-0400-000027030000}"/>
    <hyperlink ref="E465" r:id="rId809" xr:uid="{00000000-0004-0000-0400-000028030000}"/>
    <hyperlink ref="F465" r:id="rId810" xr:uid="{00000000-0004-0000-0400-000029030000}"/>
    <hyperlink ref="E466" r:id="rId811" xr:uid="{00000000-0004-0000-0400-00002A030000}"/>
    <hyperlink ref="F466" r:id="rId812" xr:uid="{00000000-0004-0000-0400-00002B030000}"/>
    <hyperlink ref="E467" r:id="rId813" xr:uid="{00000000-0004-0000-0400-00002C030000}"/>
    <hyperlink ref="F467" r:id="rId814" xr:uid="{00000000-0004-0000-0400-00002D030000}"/>
    <hyperlink ref="E468" r:id="rId815" xr:uid="{00000000-0004-0000-0400-00002E030000}"/>
    <hyperlink ref="F468" r:id="rId816" xr:uid="{00000000-0004-0000-0400-00002F030000}"/>
    <hyperlink ref="E469" r:id="rId817" xr:uid="{00000000-0004-0000-0400-000030030000}"/>
    <hyperlink ref="F469" r:id="rId818" xr:uid="{00000000-0004-0000-0400-000031030000}"/>
    <hyperlink ref="E470" r:id="rId819" xr:uid="{00000000-0004-0000-0400-000032030000}"/>
    <hyperlink ref="F470" r:id="rId820" xr:uid="{00000000-0004-0000-0400-000033030000}"/>
    <hyperlink ref="E471" r:id="rId821" xr:uid="{00000000-0004-0000-0400-000034030000}"/>
    <hyperlink ref="F471" r:id="rId822" xr:uid="{00000000-0004-0000-0400-000035030000}"/>
    <hyperlink ref="E472" r:id="rId823" xr:uid="{00000000-0004-0000-0400-000036030000}"/>
    <hyperlink ref="F472" r:id="rId824" xr:uid="{00000000-0004-0000-0400-000037030000}"/>
    <hyperlink ref="E473" r:id="rId825" xr:uid="{00000000-0004-0000-0400-000038030000}"/>
    <hyperlink ref="F473" r:id="rId826" xr:uid="{00000000-0004-0000-0400-000039030000}"/>
    <hyperlink ref="E474" r:id="rId827" xr:uid="{00000000-0004-0000-0400-00003A030000}"/>
    <hyperlink ref="F474" r:id="rId828" xr:uid="{00000000-0004-0000-0400-00003B030000}"/>
    <hyperlink ref="E475" r:id="rId829" xr:uid="{00000000-0004-0000-0400-00003C030000}"/>
    <hyperlink ref="F475" r:id="rId830" xr:uid="{00000000-0004-0000-0400-00003D030000}"/>
    <hyperlink ref="E476" r:id="rId831" xr:uid="{00000000-0004-0000-0400-00003E030000}"/>
    <hyperlink ref="F476" r:id="rId832" xr:uid="{00000000-0004-0000-0400-00003F030000}"/>
    <hyperlink ref="E477" r:id="rId833" xr:uid="{00000000-0004-0000-0400-000040030000}"/>
    <hyperlink ref="F477" r:id="rId834" xr:uid="{00000000-0004-0000-0400-000041030000}"/>
    <hyperlink ref="E478" r:id="rId835" xr:uid="{00000000-0004-0000-0400-000042030000}"/>
    <hyperlink ref="F478" r:id="rId836" xr:uid="{00000000-0004-0000-0400-000043030000}"/>
    <hyperlink ref="E479" r:id="rId837" xr:uid="{00000000-0004-0000-0400-000044030000}"/>
    <hyperlink ref="F479" r:id="rId838" xr:uid="{00000000-0004-0000-0400-000045030000}"/>
    <hyperlink ref="E480" r:id="rId839" xr:uid="{00000000-0004-0000-0400-000046030000}"/>
    <hyperlink ref="F480" r:id="rId840" xr:uid="{00000000-0004-0000-0400-000047030000}"/>
    <hyperlink ref="E481" r:id="rId841" xr:uid="{00000000-0004-0000-0400-000048030000}"/>
    <hyperlink ref="F481" r:id="rId842" xr:uid="{00000000-0004-0000-0400-000049030000}"/>
    <hyperlink ref="E482" r:id="rId843" xr:uid="{00000000-0004-0000-0400-00004A030000}"/>
    <hyperlink ref="F482" r:id="rId844" xr:uid="{00000000-0004-0000-0400-00004B030000}"/>
    <hyperlink ref="E483" r:id="rId845" xr:uid="{00000000-0004-0000-0400-00004C030000}"/>
    <hyperlink ref="F483" r:id="rId846" xr:uid="{00000000-0004-0000-0400-00004D030000}"/>
    <hyperlink ref="E484" r:id="rId847" xr:uid="{00000000-0004-0000-0400-00004E030000}"/>
    <hyperlink ref="F484" r:id="rId848" xr:uid="{00000000-0004-0000-0400-00004F030000}"/>
    <hyperlink ref="E485" r:id="rId849" xr:uid="{00000000-0004-0000-0400-000050030000}"/>
    <hyperlink ref="F485" r:id="rId850" xr:uid="{00000000-0004-0000-0400-000051030000}"/>
    <hyperlink ref="E486" r:id="rId851" xr:uid="{00000000-0004-0000-0400-000052030000}"/>
    <hyperlink ref="F486" r:id="rId852" xr:uid="{00000000-0004-0000-0400-000053030000}"/>
    <hyperlink ref="E487" r:id="rId853" xr:uid="{00000000-0004-0000-0400-000054030000}"/>
    <hyperlink ref="F487" r:id="rId854" xr:uid="{00000000-0004-0000-0400-000055030000}"/>
    <hyperlink ref="E488" r:id="rId855" xr:uid="{00000000-0004-0000-0400-000056030000}"/>
    <hyperlink ref="F488" r:id="rId856" xr:uid="{00000000-0004-0000-0400-000057030000}"/>
    <hyperlink ref="E489" r:id="rId857" xr:uid="{00000000-0004-0000-0400-000058030000}"/>
    <hyperlink ref="F489" r:id="rId858" xr:uid="{00000000-0004-0000-0400-000059030000}"/>
    <hyperlink ref="E490" r:id="rId859" xr:uid="{00000000-0004-0000-0400-00005A030000}"/>
    <hyperlink ref="F490" r:id="rId860" xr:uid="{00000000-0004-0000-0400-00005B030000}"/>
    <hyperlink ref="E491" r:id="rId861" xr:uid="{00000000-0004-0000-0400-00005C030000}"/>
    <hyperlink ref="F491" r:id="rId862" xr:uid="{00000000-0004-0000-0400-00005D030000}"/>
    <hyperlink ref="E492" r:id="rId863" xr:uid="{00000000-0004-0000-0400-00005E030000}"/>
    <hyperlink ref="F492" r:id="rId864" xr:uid="{00000000-0004-0000-0400-00005F030000}"/>
    <hyperlink ref="E493" r:id="rId865" xr:uid="{00000000-0004-0000-0400-000060030000}"/>
    <hyperlink ref="F493" r:id="rId866" xr:uid="{00000000-0004-0000-0400-000061030000}"/>
    <hyperlink ref="E494" r:id="rId867" xr:uid="{00000000-0004-0000-0400-000062030000}"/>
    <hyperlink ref="F494" r:id="rId868" xr:uid="{00000000-0004-0000-0400-000063030000}"/>
    <hyperlink ref="E495" r:id="rId869" xr:uid="{00000000-0004-0000-0400-000064030000}"/>
    <hyperlink ref="F495" r:id="rId870" xr:uid="{00000000-0004-0000-0400-000065030000}"/>
    <hyperlink ref="E496" r:id="rId871" xr:uid="{00000000-0004-0000-0400-000066030000}"/>
    <hyperlink ref="F496" r:id="rId872" xr:uid="{00000000-0004-0000-0400-000067030000}"/>
    <hyperlink ref="E497" r:id="rId873" xr:uid="{00000000-0004-0000-0400-000068030000}"/>
    <hyperlink ref="F497" r:id="rId874" xr:uid="{00000000-0004-0000-0400-000069030000}"/>
    <hyperlink ref="E498" r:id="rId875" xr:uid="{00000000-0004-0000-0400-00006A030000}"/>
    <hyperlink ref="F498" r:id="rId876" xr:uid="{00000000-0004-0000-0400-00006B030000}"/>
    <hyperlink ref="E499" r:id="rId877" xr:uid="{00000000-0004-0000-0400-00006C030000}"/>
    <hyperlink ref="F499" r:id="rId878" xr:uid="{00000000-0004-0000-0400-00006D030000}"/>
    <hyperlink ref="E500" r:id="rId879" xr:uid="{00000000-0004-0000-0400-00006E030000}"/>
    <hyperlink ref="F500" r:id="rId880" xr:uid="{00000000-0004-0000-0400-00006F030000}"/>
    <hyperlink ref="E501" r:id="rId881" xr:uid="{00000000-0004-0000-0400-000070030000}"/>
    <hyperlink ref="F501" r:id="rId882" xr:uid="{00000000-0004-0000-0400-000071030000}"/>
    <hyperlink ref="E502" r:id="rId883" xr:uid="{00000000-0004-0000-0400-000072030000}"/>
    <hyperlink ref="F502" r:id="rId884" xr:uid="{00000000-0004-0000-0400-000073030000}"/>
    <hyperlink ref="E503" r:id="rId885" xr:uid="{00000000-0004-0000-0400-000074030000}"/>
    <hyperlink ref="F503" r:id="rId886" xr:uid="{00000000-0004-0000-0400-000075030000}"/>
    <hyperlink ref="E504" r:id="rId887" xr:uid="{00000000-0004-0000-0400-000076030000}"/>
    <hyperlink ref="F504" r:id="rId888" xr:uid="{00000000-0004-0000-0400-000077030000}"/>
    <hyperlink ref="E505" r:id="rId889" xr:uid="{00000000-0004-0000-0400-000078030000}"/>
    <hyperlink ref="F505" r:id="rId890" xr:uid="{00000000-0004-0000-0400-000079030000}"/>
    <hyperlink ref="E506" r:id="rId891" xr:uid="{00000000-0004-0000-0400-00007A030000}"/>
    <hyperlink ref="F506" r:id="rId892" xr:uid="{00000000-0004-0000-0400-00007B030000}"/>
    <hyperlink ref="E507" r:id="rId893" xr:uid="{00000000-0004-0000-0400-00007C030000}"/>
    <hyperlink ref="F507" r:id="rId894" xr:uid="{00000000-0004-0000-0400-00007D030000}"/>
    <hyperlink ref="E508" r:id="rId895" xr:uid="{00000000-0004-0000-0400-00007E030000}"/>
    <hyperlink ref="F508" r:id="rId896" xr:uid="{00000000-0004-0000-0400-00007F030000}"/>
    <hyperlink ref="E509" r:id="rId897" xr:uid="{00000000-0004-0000-0400-000080030000}"/>
    <hyperlink ref="F509" r:id="rId898" xr:uid="{00000000-0004-0000-0400-000081030000}"/>
    <hyperlink ref="E510" r:id="rId899" xr:uid="{00000000-0004-0000-0400-000082030000}"/>
    <hyperlink ref="F510" r:id="rId900" xr:uid="{00000000-0004-0000-0400-000083030000}"/>
    <hyperlink ref="E511" r:id="rId901" xr:uid="{00000000-0004-0000-0400-000084030000}"/>
    <hyperlink ref="F511" r:id="rId902" xr:uid="{00000000-0004-0000-0400-000085030000}"/>
    <hyperlink ref="E512" r:id="rId903" xr:uid="{00000000-0004-0000-0400-000086030000}"/>
    <hyperlink ref="F512" r:id="rId904" xr:uid="{00000000-0004-0000-0400-000087030000}"/>
    <hyperlink ref="E513" r:id="rId905" xr:uid="{00000000-0004-0000-0400-000088030000}"/>
    <hyperlink ref="F513" r:id="rId906" xr:uid="{00000000-0004-0000-0400-000089030000}"/>
    <hyperlink ref="E514" r:id="rId907" xr:uid="{00000000-0004-0000-0400-00008A030000}"/>
    <hyperlink ref="F514" r:id="rId908" xr:uid="{00000000-0004-0000-0400-00008B030000}"/>
    <hyperlink ref="E515" r:id="rId909" xr:uid="{00000000-0004-0000-0400-00008C030000}"/>
    <hyperlink ref="F515" r:id="rId910" xr:uid="{00000000-0004-0000-0400-00008D030000}"/>
    <hyperlink ref="E516" r:id="rId911" xr:uid="{00000000-0004-0000-0400-00008E030000}"/>
    <hyperlink ref="F516" r:id="rId912" xr:uid="{00000000-0004-0000-0400-00008F030000}"/>
    <hyperlink ref="E517" r:id="rId913" xr:uid="{00000000-0004-0000-0400-000090030000}"/>
    <hyperlink ref="F517" r:id="rId914" xr:uid="{00000000-0004-0000-0400-000091030000}"/>
    <hyperlink ref="E518" r:id="rId915" xr:uid="{00000000-0004-0000-0400-000092030000}"/>
    <hyperlink ref="F518" r:id="rId916" xr:uid="{00000000-0004-0000-0400-000093030000}"/>
    <hyperlink ref="E519" r:id="rId917" xr:uid="{00000000-0004-0000-0400-000094030000}"/>
    <hyperlink ref="F519" r:id="rId918" xr:uid="{00000000-0004-0000-0400-000095030000}"/>
    <hyperlink ref="E520" r:id="rId919" xr:uid="{00000000-0004-0000-0400-000096030000}"/>
    <hyperlink ref="F520" r:id="rId920" xr:uid="{00000000-0004-0000-0400-000097030000}"/>
    <hyperlink ref="E521" r:id="rId921" xr:uid="{00000000-0004-0000-0400-000098030000}"/>
    <hyperlink ref="F521" r:id="rId922" xr:uid="{00000000-0004-0000-0400-000099030000}"/>
    <hyperlink ref="E522" r:id="rId923" xr:uid="{00000000-0004-0000-0400-00009A030000}"/>
    <hyperlink ref="F522" r:id="rId924" xr:uid="{00000000-0004-0000-0400-00009B030000}"/>
    <hyperlink ref="E523" r:id="rId925" xr:uid="{00000000-0004-0000-0400-00009C030000}"/>
    <hyperlink ref="F523" r:id="rId926" xr:uid="{00000000-0004-0000-0400-00009D030000}"/>
    <hyperlink ref="E524" r:id="rId927" xr:uid="{00000000-0004-0000-0400-00009E030000}"/>
    <hyperlink ref="F524" r:id="rId928" xr:uid="{00000000-0004-0000-0400-00009F030000}"/>
    <hyperlink ref="E525" r:id="rId929" xr:uid="{00000000-0004-0000-0400-0000A0030000}"/>
    <hyperlink ref="F525" r:id="rId930" xr:uid="{00000000-0004-0000-0400-0000A1030000}"/>
    <hyperlink ref="E526" r:id="rId931" xr:uid="{00000000-0004-0000-0400-0000A2030000}"/>
    <hyperlink ref="F526" r:id="rId932" xr:uid="{00000000-0004-0000-0400-0000A3030000}"/>
    <hyperlink ref="E527" r:id="rId933" xr:uid="{00000000-0004-0000-0400-0000A4030000}"/>
    <hyperlink ref="F527" r:id="rId934" xr:uid="{00000000-0004-0000-0400-0000A5030000}"/>
    <hyperlink ref="E528" r:id="rId935" xr:uid="{00000000-0004-0000-0400-0000A6030000}"/>
    <hyperlink ref="F528" r:id="rId936" xr:uid="{00000000-0004-0000-0400-0000A7030000}"/>
    <hyperlink ref="E529" r:id="rId937" xr:uid="{00000000-0004-0000-0400-0000A8030000}"/>
    <hyperlink ref="F529" r:id="rId938" xr:uid="{00000000-0004-0000-0400-0000A9030000}"/>
    <hyperlink ref="E530" r:id="rId939" xr:uid="{00000000-0004-0000-0400-0000AA030000}"/>
    <hyperlink ref="F530" r:id="rId940" xr:uid="{00000000-0004-0000-0400-0000AB030000}"/>
    <hyperlink ref="E531" r:id="rId941" xr:uid="{00000000-0004-0000-0400-0000AC030000}"/>
    <hyperlink ref="F531" r:id="rId942" xr:uid="{00000000-0004-0000-0400-0000AD030000}"/>
    <hyperlink ref="E532" r:id="rId943" xr:uid="{00000000-0004-0000-0400-0000AE030000}"/>
    <hyperlink ref="F532" r:id="rId944" xr:uid="{00000000-0004-0000-0400-0000AF030000}"/>
    <hyperlink ref="E533" r:id="rId945" xr:uid="{00000000-0004-0000-0400-0000B0030000}"/>
    <hyperlink ref="F533" r:id="rId946" xr:uid="{00000000-0004-0000-0400-0000B1030000}"/>
    <hyperlink ref="E534" r:id="rId947" xr:uid="{00000000-0004-0000-0400-0000B2030000}"/>
    <hyperlink ref="F534" r:id="rId948" xr:uid="{00000000-0004-0000-0400-0000B3030000}"/>
    <hyperlink ref="E535" r:id="rId949" xr:uid="{00000000-0004-0000-0400-0000B4030000}"/>
    <hyperlink ref="F535" r:id="rId950" xr:uid="{00000000-0004-0000-0400-0000B5030000}"/>
    <hyperlink ref="E536" r:id="rId951" xr:uid="{00000000-0004-0000-0400-0000B6030000}"/>
    <hyperlink ref="F536" r:id="rId952" xr:uid="{00000000-0004-0000-0400-0000B7030000}"/>
    <hyperlink ref="E537" r:id="rId953" xr:uid="{00000000-0004-0000-0400-0000B8030000}"/>
    <hyperlink ref="F537" r:id="rId954" xr:uid="{00000000-0004-0000-0400-0000B9030000}"/>
    <hyperlink ref="E538" r:id="rId955" xr:uid="{00000000-0004-0000-0400-0000BA030000}"/>
    <hyperlink ref="F538" r:id="rId956" xr:uid="{00000000-0004-0000-0400-0000BB030000}"/>
    <hyperlink ref="E539" r:id="rId957" xr:uid="{00000000-0004-0000-0400-0000BC030000}"/>
    <hyperlink ref="F539" r:id="rId958" xr:uid="{00000000-0004-0000-0400-0000BD030000}"/>
    <hyperlink ref="E540" r:id="rId959" xr:uid="{00000000-0004-0000-0400-0000BE030000}"/>
    <hyperlink ref="F540" r:id="rId960" xr:uid="{00000000-0004-0000-0400-0000BF030000}"/>
    <hyperlink ref="E541" r:id="rId961" xr:uid="{00000000-0004-0000-0400-0000C0030000}"/>
    <hyperlink ref="F541" r:id="rId962" xr:uid="{00000000-0004-0000-0400-0000C1030000}"/>
    <hyperlink ref="E542" r:id="rId963" xr:uid="{00000000-0004-0000-0400-0000C2030000}"/>
    <hyperlink ref="F542" r:id="rId964" xr:uid="{00000000-0004-0000-0400-0000C3030000}"/>
    <hyperlink ref="E543" r:id="rId965" xr:uid="{00000000-0004-0000-0400-0000C4030000}"/>
    <hyperlink ref="F543" r:id="rId966" xr:uid="{00000000-0004-0000-0400-0000C5030000}"/>
    <hyperlink ref="E544" r:id="rId967" xr:uid="{00000000-0004-0000-0400-0000C6030000}"/>
    <hyperlink ref="F544" r:id="rId968" xr:uid="{00000000-0004-0000-0400-0000C7030000}"/>
    <hyperlink ref="E545" r:id="rId969" xr:uid="{00000000-0004-0000-0400-0000C8030000}"/>
    <hyperlink ref="F545" r:id="rId970" xr:uid="{00000000-0004-0000-0400-0000C9030000}"/>
    <hyperlink ref="E546" r:id="rId971" xr:uid="{00000000-0004-0000-0400-0000CA030000}"/>
    <hyperlink ref="F546" r:id="rId972" xr:uid="{00000000-0004-0000-0400-0000CB030000}"/>
    <hyperlink ref="E547" r:id="rId973" xr:uid="{00000000-0004-0000-0400-0000CC030000}"/>
    <hyperlink ref="F547" r:id="rId974" xr:uid="{00000000-0004-0000-0400-0000CD030000}"/>
    <hyperlink ref="E548" r:id="rId975" xr:uid="{00000000-0004-0000-0400-0000CE030000}"/>
    <hyperlink ref="F548" r:id="rId976" xr:uid="{00000000-0004-0000-0400-0000CF030000}"/>
    <hyperlink ref="E549" r:id="rId977" xr:uid="{00000000-0004-0000-0400-0000D0030000}"/>
    <hyperlink ref="F549" r:id="rId978" xr:uid="{00000000-0004-0000-0400-0000D1030000}"/>
    <hyperlink ref="E550" r:id="rId979" xr:uid="{00000000-0004-0000-0400-0000D2030000}"/>
    <hyperlink ref="F550" r:id="rId980" xr:uid="{00000000-0004-0000-0400-0000D3030000}"/>
    <hyperlink ref="E551" r:id="rId981" xr:uid="{00000000-0004-0000-0400-0000D4030000}"/>
    <hyperlink ref="F551" r:id="rId982" xr:uid="{00000000-0004-0000-0400-0000D5030000}"/>
    <hyperlink ref="E552" r:id="rId983" xr:uid="{00000000-0004-0000-0400-0000D6030000}"/>
    <hyperlink ref="F552" r:id="rId984" xr:uid="{00000000-0004-0000-0400-0000D7030000}"/>
    <hyperlink ref="E553" r:id="rId985" xr:uid="{00000000-0004-0000-0400-0000D8030000}"/>
    <hyperlink ref="F553" r:id="rId986" xr:uid="{00000000-0004-0000-0400-0000D9030000}"/>
    <hyperlink ref="E554" r:id="rId987" xr:uid="{00000000-0004-0000-0400-0000DA030000}"/>
    <hyperlink ref="F554" r:id="rId988" xr:uid="{00000000-0004-0000-0400-0000DB030000}"/>
    <hyperlink ref="E555" r:id="rId989" xr:uid="{00000000-0004-0000-0400-0000DC030000}"/>
    <hyperlink ref="F555" r:id="rId990" xr:uid="{00000000-0004-0000-0400-0000DD030000}"/>
    <hyperlink ref="E556" r:id="rId991" xr:uid="{00000000-0004-0000-0400-0000DE030000}"/>
    <hyperlink ref="F556" r:id="rId992" xr:uid="{00000000-0004-0000-0400-0000DF030000}"/>
    <hyperlink ref="E557" r:id="rId993" xr:uid="{00000000-0004-0000-0400-0000E0030000}"/>
    <hyperlink ref="F557" r:id="rId994" xr:uid="{00000000-0004-0000-0400-0000E1030000}"/>
    <hyperlink ref="E558" r:id="rId995" xr:uid="{00000000-0004-0000-0400-0000E2030000}"/>
    <hyperlink ref="F558" r:id="rId996" xr:uid="{00000000-0004-0000-0400-0000E3030000}"/>
    <hyperlink ref="E559" r:id="rId997" xr:uid="{00000000-0004-0000-0400-0000E4030000}"/>
    <hyperlink ref="F559" r:id="rId998" xr:uid="{00000000-0004-0000-0400-0000E5030000}"/>
    <hyperlink ref="E560" r:id="rId999" xr:uid="{00000000-0004-0000-0400-0000E6030000}"/>
    <hyperlink ref="F560" r:id="rId1000" xr:uid="{00000000-0004-0000-0400-0000E7030000}"/>
    <hyperlink ref="E561" r:id="rId1001" xr:uid="{00000000-0004-0000-0400-0000E8030000}"/>
    <hyperlink ref="F561" r:id="rId1002" xr:uid="{00000000-0004-0000-0400-0000E9030000}"/>
    <hyperlink ref="E562" r:id="rId1003" xr:uid="{00000000-0004-0000-0400-0000EA030000}"/>
    <hyperlink ref="F562" r:id="rId1004" xr:uid="{00000000-0004-0000-0400-0000EB030000}"/>
    <hyperlink ref="E563" r:id="rId1005" xr:uid="{00000000-0004-0000-0400-0000EC030000}"/>
    <hyperlink ref="F563" r:id="rId1006" xr:uid="{00000000-0004-0000-0400-0000ED030000}"/>
    <hyperlink ref="E564" r:id="rId1007" xr:uid="{00000000-0004-0000-0400-0000EE030000}"/>
    <hyperlink ref="F564" r:id="rId1008" xr:uid="{00000000-0004-0000-0400-0000EF030000}"/>
    <hyperlink ref="E565" r:id="rId1009" xr:uid="{00000000-0004-0000-0400-0000F0030000}"/>
    <hyperlink ref="F565" r:id="rId1010" xr:uid="{00000000-0004-0000-0400-0000F1030000}"/>
    <hyperlink ref="E566" r:id="rId1011" xr:uid="{00000000-0004-0000-0400-0000F2030000}"/>
    <hyperlink ref="F566" r:id="rId1012" xr:uid="{00000000-0004-0000-0400-0000F3030000}"/>
    <hyperlink ref="E567" r:id="rId1013" xr:uid="{00000000-0004-0000-0400-0000F4030000}"/>
    <hyperlink ref="F567" r:id="rId1014" xr:uid="{00000000-0004-0000-0400-0000F5030000}"/>
    <hyperlink ref="E568" r:id="rId1015" xr:uid="{00000000-0004-0000-0400-0000F6030000}"/>
    <hyperlink ref="F568" r:id="rId1016" xr:uid="{00000000-0004-0000-0400-0000F7030000}"/>
    <hyperlink ref="E569" r:id="rId1017" xr:uid="{00000000-0004-0000-0400-0000F8030000}"/>
    <hyperlink ref="F569" r:id="rId1018" xr:uid="{00000000-0004-0000-0400-0000F9030000}"/>
    <hyperlink ref="E570" r:id="rId1019" xr:uid="{00000000-0004-0000-0400-0000FA030000}"/>
    <hyperlink ref="F570" r:id="rId1020" xr:uid="{00000000-0004-0000-0400-0000FB030000}"/>
    <hyperlink ref="E571" r:id="rId1021" xr:uid="{00000000-0004-0000-0400-0000FC030000}"/>
    <hyperlink ref="F571" r:id="rId1022" xr:uid="{00000000-0004-0000-0400-0000FD030000}"/>
    <hyperlink ref="E572" r:id="rId1023" xr:uid="{00000000-0004-0000-0400-0000FE030000}"/>
    <hyperlink ref="F572" r:id="rId1024" xr:uid="{00000000-0004-0000-0400-0000FF030000}"/>
    <hyperlink ref="E573" r:id="rId1025" xr:uid="{00000000-0004-0000-0400-000000040000}"/>
    <hyperlink ref="F573" r:id="rId1026" xr:uid="{00000000-0004-0000-0400-000001040000}"/>
    <hyperlink ref="E574" r:id="rId1027" xr:uid="{00000000-0004-0000-0400-000002040000}"/>
    <hyperlink ref="F574" r:id="rId1028" xr:uid="{00000000-0004-0000-0400-000003040000}"/>
    <hyperlink ref="E575" r:id="rId1029" xr:uid="{00000000-0004-0000-0400-000004040000}"/>
    <hyperlink ref="F575" r:id="rId1030" xr:uid="{00000000-0004-0000-0400-000005040000}"/>
    <hyperlink ref="E576" r:id="rId1031" xr:uid="{00000000-0004-0000-0400-000006040000}"/>
    <hyperlink ref="F576" r:id="rId1032" xr:uid="{00000000-0004-0000-0400-000007040000}"/>
    <hyperlink ref="E577" r:id="rId1033" xr:uid="{00000000-0004-0000-0400-000008040000}"/>
    <hyperlink ref="F577" r:id="rId1034" xr:uid="{00000000-0004-0000-0400-000009040000}"/>
    <hyperlink ref="E578" r:id="rId1035" xr:uid="{00000000-0004-0000-0400-00000A040000}"/>
    <hyperlink ref="F578" r:id="rId1036" xr:uid="{00000000-0004-0000-0400-00000B040000}"/>
    <hyperlink ref="E579" r:id="rId1037" xr:uid="{00000000-0004-0000-0400-00000C040000}"/>
    <hyperlink ref="F579" r:id="rId1038" xr:uid="{00000000-0004-0000-0400-00000D040000}"/>
    <hyperlink ref="E580" r:id="rId1039" xr:uid="{00000000-0004-0000-0400-00000E040000}"/>
    <hyperlink ref="F580" r:id="rId1040" xr:uid="{00000000-0004-0000-0400-00000F040000}"/>
    <hyperlink ref="E581" r:id="rId1041" xr:uid="{00000000-0004-0000-0400-000010040000}"/>
    <hyperlink ref="F581" r:id="rId1042" xr:uid="{00000000-0004-0000-0400-000011040000}"/>
    <hyperlink ref="E582" r:id="rId1043" xr:uid="{00000000-0004-0000-0400-000012040000}"/>
    <hyperlink ref="F582" r:id="rId1044" xr:uid="{00000000-0004-0000-0400-000013040000}"/>
    <hyperlink ref="E583" r:id="rId1045" xr:uid="{00000000-0004-0000-0400-000014040000}"/>
    <hyperlink ref="F583" r:id="rId1046" xr:uid="{00000000-0004-0000-0400-000015040000}"/>
    <hyperlink ref="E584" r:id="rId1047" xr:uid="{00000000-0004-0000-0400-000016040000}"/>
    <hyperlink ref="F584" r:id="rId1048" xr:uid="{00000000-0004-0000-0400-000017040000}"/>
    <hyperlink ref="E585" r:id="rId1049" xr:uid="{00000000-0004-0000-0400-000018040000}"/>
    <hyperlink ref="F585" r:id="rId1050" xr:uid="{00000000-0004-0000-0400-000019040000}"/>
    <hyperlink ref="E586" r:id="rId1051" xr:uid="{00000000-0004-0000-0400-00001A040000}"/>
    <hyperlink ref="F586" r:id="rId1052" xr:uid="{00000000-0004-0000-0400-00001B040000}"/>
    <hyperlink ref="E587" r:id="rId1053" xr:uid="{00000000-0004-0000-0400-00001C040000}"/>
    <hyperlink ref="F587" r:id="rId1054" xr:uid="{00000000-0004-0000-0400-00001D040000}"/>
    <hyperlink ref="E588" r:id="rId1055" xr:uid="{00000000-0004-0000-0400-00001E040000}"/>
    <hyperlink ref="F588" r:id="rId1056" xr:uid="{00000000-0004-0000-0400-00001F040000}"/>
    <hyperlink ref="E589" r:id="rId1057" xr:uid="{00000000-0004-0000-0400-000020040000}"/>
    <hyperlink ref="F589" r:id="rId1058" xr:uid="{00000000-0004-0000-0400-000021040000}"/>
    <hyperlink ref="E590" r:id="rId1059" xr:uid="{00000000-0004-0000-0400-000022040000}"/>
    <hyperlink ref="F590" r:id="rId1060" xr:uid="{00000000-0004-0000-0400-000023040000}"/>
    <hyperlink ref="E591" r:id="rId1061" xr:uid="{00000000-0004-0000-0400-000024040000}"/>
    <hyperlink ref="F591" r:id="rId1062" xr:uid="{00000000-0004-0000-0400-000025040000}"/>
    <hyperlink ref="E592" r:id="rId1063" xr:uid="{00000000-0004-0000-0400-000026040000}"/>
    <hyperlink ref="F592" r:id="rId1064" xr:uid="{00000000-0004-0000-0400-000027040000}"/>
    <hyperlink ref="E593" r:id="rId1065" xr:uid="{00000000-0004-0000-0400-000028040000}"/>
    <hyperlink ref="F593" r:id="rId1066" xr:uid="{00000000-0004-0000-0400-000029040000}"/>
    <hyperlink ref="E594" r:id="rId1067" xr:uid="{00000000-0004-0000-0400-00002A040000}"/>
    <hyperlink ref="F594" r:id="rId1068" xr:uid="{00000000-0004-0000-0400-00002B040000}"/>
    <hyperlink ref="E595" r:id="rId1069" xr:uid="{00000000-0004-0000-0400-00002C040000}"/>
    <hyperlink ref="F595" r:id="rId1070" xr:uid="{00000000-0004-0000-0400-00002D040000}"/>
    <hyperlink ref="E596" r:id="rId1071" xr:uid="{00000000-0004-0000-0400-00002E040000}"/>
    <hyperlink ref="F596" r:id="rId1072" xr:uid="{00000000-0004-0000-0400-00002F040000}"/>
    <hyperlink ref="E597" r:id="rId1073" xr:uid="{00000000-0004-0000-0400-000030040000}"/>
    <hyperlink ref="F597" r:id="rId1074" xr:uid="{00000000-0004-0000-0400-000031040000}"/>
    <hyperlink ref="E598" r:id="rId1075" xr:uid="{00000000-0004-0000-0400-000032040000}"/>
    <hyperlink ref="F598" r:id="rId1076" xr:uid="{00000000-0004-0000-0400-000033040000}"/>
    <hyperlink ref="E599" r:id="rId1077" xr:uid="{00000000-0004-0000-0400-000034040000}"/>
    <hyperlink ref="F599" r:id="rId1078" xr:uid="{00000000-0004-0000-0400-000035040000}"/>
    <hyperlink ref="E600" r:id="rId1079" xr:uid="{00000000-0004-0000-0400-000036040000}"/>
    <hyperlink ref="F600" r:id="rId1080" xr:uid="{00000000-0004-0000-0400-000037040000}"/>
    <hyperlink ref="E601" r:id="rId1081" xr:uid="{00000000-0004-0000-0400-000038040000}"/>
    <hyperlink ref="F601" r:id="rId1082" xr:uid="{00000000-0004-0000-0400-000039040000}"/>
    <hyperlink ref="E602" r:id="rId1083" xr:uid="{00000000-0004-0000-0400-00003A040000}"/>
    <hyperlink ref="F602" r:id="rId1084" xr:uid="{00000000-0004-0000-0400-00003B040000}"/>
    <hyperlink ref="E603" r:id="rId1085" xr:uid="{00000000-0004-0000-0400-00003C040000}"/>
    <hyperlink ref="F603" r:id="rId1086" xr:uid="{00000000-0004-0000-0400-00003D040000}"/>
    <hyperlink ref="E604" r:id="rId1087" xr:uid="{00000000-0004-0000-0400-00003E040000}"/>
    <hyperlink ref="F604" r:id="rId1088" xr:uid="{00000000-0004-0000-0400-00003F040000}"/>
    <hyperlink ref="E605" r:id="rId1089" xr:uid="{00000000-0004-0000-0400-000040040000}"/>
    <hyperlink ref="F605" r:id="rId1090" xr:uid="{00000000-0004-0000-0400-000041040000}"/>
    <hyperlink ref="E606" r:id="rId1091" xr:uid="{00000000-0004-0000-0400-000042040000}"/>
    <hyperlink ref="F606" r:id="rId1092" xr:uid="{00000000-0004-0000-0400-000043040000}"/>
    <hyperlink ref="E607" r:id="rId1093" xr:uid="{00000000-0004-0000-0400-000044040000}"/>
    <hyperlink ref="F607" r:id="rId1094" xr:uid="{00000000-0004-0000-0400-000045040000}"/>
    <hyperlink ref="E608" r:id="rId1095" xr:uid="{00000000-0004-0000-0400-000046040000}"/>
    <hyperlink ref="F608" r:id="rId1096" xr:uid="{00000000-0004-0000-0400-000047040000}"/>
    <hyperlink ref="E609" r:id="rId1097" xr:uid="{00000000-0004-0000-0400-000048040000}"/>
    <hyperlink ref="F609" r:id="rId1098" xr:uid="{00000000-0004-0000-0400-000049040000}"/>
    <hyperlink ref="E610" r:id="rId1099" xr:uid="{00000000-0004-0000-0400-00004A040000}"/>
    <hyperlink ref="F610" r:id="rId1100" xr:uid="{00000000-0004-0000-0400-00004B040000}"/>
    <hyperlink ref="E611" r:id="rId1101" xr:uid="{00000000-0004-0000-0400-00004C040000}"/>
    <hyperlink ref="F611" r:id="rId1102" xr:uid="{00000000-0004-0000-0400-00004D040000}"/>
    <hyperlink ref="E612" r:id="rId1103" xr:uid="{00000000-0004-0000-0400-00004E040000}"/>
    <hyperlink ref="F612" r:id="rId1104" xr:uid="{00000000-0004-0000-0400-00004F040000}"/>
    <hyperlink ref="E613" r:id="rId1105" xr:uid="{00000000-0004-0000-0400-000050040000}"/>
    <hyperlink ref="F613" r:id="rId1106" xr:uid="{00000000-0004-0000-0400-000051040000}"/>
    <hyperlink ref="E614" r:id="rId1107" xr:uid="{00000000-0004-0000-0400-000052040000}"/>
    <hyperlink ref="F614" r:id="rId1108" xr:uid="{00000000-0004-0000-0400-000053040000}"/>
    <hyperlink ref="E615" r:id="rId1109" xr:uid="{00000000-0004-0000-0400-000054040000}"/>
    <hyperlink ref="F615" r:id="rId1110" xr:uid="{00000000-0004-0000-0400-000055040000}"/>
    <hyperlink ref="E616" r:id="rId1111" xr:uid="{00000000-0004-0000-0400-000056040000}"/>
    <hyperlink ref="F616" r:id="rId1112" xr:uid="{00000000-0004-0000-0400-000057040000}"/>
    <hyperlink ref="E617" r:id="rId1113" xr:uid="{00000000-0004-0000-0400-000058040000}"/>
    <hyperlink ref="F617" r:id="rId1114" xr:uid="{00000000-0004-0000-0400-000059040000}"/>
    <hyperlink ref="E618" r:id="rId1115" xr:uid="{00000000-0004-0000-0400-00005A040000}"/>
    <hyperlink ref="F618" r:id="rId1116" xr:uid="{00000000-0004-0000-0400-00005B040000}"/>
    <hyperlink ref="E619" r:id="rId1117" xr:uid="{00000000-0004-0000-0400-00005C040000}"/>
    <hyperlink ref="F619" r:id="rId1118" xr:uid="{00000000-0004-0000-0400-00005D040000}"/>
    <hyperlink ref="E620" r:id="rId1119" xr:uid="{00000000-0004-0000-0400-00005E040000}"/>
    <hyperlink ref="F620" r:id="rId1120" xr:uid="{00000000-0004-0000-0400-00005F040000}"/>
    <hyperlink ref="E621" r:id="rId1121" xr:uid="{00000000-0004-0000-0400-000060040000}"/>
    <hyperlink ref="F621" r:id="rId1122" xr:uid="{00000000-0004-0000-0400-000061040000}"/>
    <hyperlink ref="E622" r:id="rId1123" xr:uid="{00000000-0004-0000-0400-000062040000}"/>
    <hyperlink ref="F622" r:id="rId1124" xr:uid="{00000000-0004-0000-0400-000063040000}"/>
    <hyperlink ref="E623" r:id="rId1125" xr:uid="{00000000-0004-0000-0400-000064040000}"/>
    <hyperlink ref="F623" r:id="rId1126" xr:uid="{00000000-0004-0000-0400-000065040000}"/>
    <hyperlink ref="E624" r:id="rId1127" xr:uid="{00000000-0004-0000-0400-000066040000}"/>
    <hyperlink ref="F624" r:id="rId1128" xr:uid="{00000000-0004-0000-0400-000067040000}"/>
    <hyperlink ref="E625" r:id="rId1129" xr:uid="{00000000-0004-0000-0400-000068040000}"/>
    <hyperlink ref="F625" r:id="rId1130" xr:uid="{00000000-0004-0000-0400-000069040000}"/>
    <hyperlink ref="E626" r:id="rId1131" xr:uid="{00000000-0004-0000-0400-00006A040000}"/>
    <hyperlink ref="F626" r:id="rId1132" xr:uid="{00000000-0004-0000-0400-00006B040000}"/>
    <hyperlink ref="E627" r:id="rId1133" xr:uid="{00000000-0004-0000-0400-00006C040000}"/>
    <hyperlink ref="F627" r:id="rId1134" xr:uid="{00000000-0004-0000-0400-00006D040000}"/>
    <hyperlink ref="E628" r:id="rId1135" xr:uid="{00000000-0004-0000-0400-00006E040000}"/>
    <hyperlink ref="F628" r:id="rId1136" xr:uid="{00000000-0004-0000-0400-00006F040000}"/>
    <hyperlink ref="E629" r:id="rId1137" xr:uid="{00000000-0004-0000-0400-000070040000}"/>
    <hyperlink ref="F629" r:id="rId1138" xr:uid="{00000000-0004-0000-0400-000071040000}"/>
    <hyperlink ref="E630" r:id="rId1139" xr:uid="{00000000-0004-0000-0400-000072040000}"/>
    <hyperlink ref="F630" r:id="rId1140" xr:uid="{00000000-0004-0000-0400-000073040000}"/>
    <hyperlink ref="E631" r:id="rId1141" xr:uid="{00000000-0004-0000-0400-000074040000}"/>
    <hyperlink ref="F631" r:id="rId1142" xr:uid="{00000000-0004-0000-0400-000075040000}"/>
    <hyperlink ref="E632" r:id="rId1143" xr:uid="{00000000-0004-0000-0400-000076040000}"/>
    <hyperlink ref="F632" r:id="rId1144" xr:uid="{00000000-0004-0000-0400-000077040000}"/>
    <hyperlink ref="E633" r:id="rId1145" xr:uid="{00000000-0004-0000-0400-000078040000}"/>
    <hyperlink ref="F633" r:id="rId1146" xr:uid="{00000000-0004-0000-0400-000079040000}"/>
    <hyperlink ref="E634" r:id="rId1147" xr:uid="{00000000-0004-0000-0400-00007A040000}"/>
    <hyperlink ref="F634" r:id="rId1148" xr:uid="{00000000-0004-0000-0400-00007B040000}"/>
    <hyperlink ref="E635" r:id="rId1149" xr:uid="{00000000-0004-0000-0400-00007C040000}"/>
    <hyperlink ref="F635" r:id="rId1150" xr:uid="{00000000-0004-0000-0400-00007D040000}"/>
    <hyperlink ref="E636" r:id="rId1151" xr:uid="{00000000-0004-0000-0400-00007E040000}"/>
    <hyperlink ref="F636" r:id="rId1152" xr:uid="{00000000-0004-0000-0400-00007F040000}"/>
    <hyperlink ref="E637" r:id="rId1153" xr:uid="{00000000-0004-0000-0400-000080040000}"/>
    <hyperlink ref="F637" r:id="rId1154" xr:uid="{00000000-0004-0000-0400-000081040000}"/>
    <hyperlink ref="E638" r:id="rId1155" xr:uid="{00000000-0004-0000-0400-000082040000}"/>
    <hyperlink ref="F638" r:id="rId1156" xr:uid="{00000000-0004-0000-0400-000083040000}"/>
    <hyperlink ref="E639" r:id="rId1157" xr:uid="{00000000-0004-0000-0400-000084040000}"/>
    <hyperlink ref="F639" r:id="rId1158" xr:uid="{00000000-0004-0000-0400-000085040000}"/>
    <hyperlink ref="E640" r:id="rId1159" xr:uid="{00000000-0004-0000-0400-000086040000}"/>
    <hyperlink ref="F640" r:id="rId1160" xr:uid="{00000000-0004-0000-0400-000087040000}"/>
    <hyperlink ref="E641" r:id="rId1161" xr:uid="{00000000-0004-0000-0400-000088040000}"/>
    <hyperlink ref="F641" r:id="rId1162" xr:uid="{00000000-0004-0000-0400-000089040000}"/>
    <hyperlink ref="E642" r:id="rId1163" xr:uid="{00000000-0004-0000-0400-00008A040000}"/>
    <hyperlink ref="F642" r:id="rId1164" xr:uid="{00000000-0004-0000-0400-00008B040000}"/>
    <hyperlink ref="E643" r:id="rId1165" xr:uid="{00000000-0004-0000-0400-00008C040000}"/>
    <hyperlink ref="F643" r:id="rId1166" xr:uid="{00000000-0004-0000-0400-00008D040000}"/>
    <hyperlink ref="E644" r:id="rId1167" xr:uid="{00000000-0004-0000-0400-00008E040000}"/>
    <hyperlink ref="F644" r:id="rId1168" xr:uid="{00000000-0004-0000-0400-00008F040000}"/>
    <hyperlink ref="E645" r:id="rId1169" xr:uid="{00000000-0004-0000-0400-000090040000}"/>
    <hyperlink ref="F645" r:id="rId1170" xr:uid="{00000000-0004-0000-0400-000091040000}"/>
    <hyperlink ref="E646" r:id="rId1171" xr:uid="{00000000-0004-0000-0400-000092040000}"/>
    <hyperlink ref="F646" r:id="rId1172" xr:uid="{00000000-0004-0000-0400-000093040000}"/>
    <hyperlink ref="E647" r:id="rId1173" xr:uid="{00000000-0004-0000-0400-000094040000}"/>
    <hyperlink ref="F647" r:id="rId1174" xr:uid="{00000000-0004-0000-0400-000095040000}"/>
    <hyperlink ref="E648" r:id="rId1175" xr:uid="{00000000-0004-0000-0400-000096040000}"/>
    <hyperlink ref="F648" r:id="rId1176" xr:uid="{00000000-0004-0000-0400-000097040000}"/>
    <hyperlink ref="E649" r:id="rId1177" xr:uid="{00000000-0004-0000-0400-000098040000}"/>
    <hyperlink ref="F649" r:id="rId1178" xr:uid="{00000000-0004-0000-0400-000099040000}"/>
    <hyperlink ref="E650" r:id="rId1179" xr:uid="{00000000-0004-0000-0400-00009A040000}"/>
    <hyperlink ref="F650" r:id="rId1180" xr:uid="{00000000-0004-0000-0400-00009B040000}"/>
    <hyperlink ref="E651" r:id="rId1181" xr:uid="{00000000-0004-0000-0400-00009C040000}"/>
    <hyperlink ref="F651" r:id="rId1182" xr:uid="{00000000-0004-0000-0400-00009D040000}"/>
    <hyperlink ref="E652" r:id="rId1183" xr:uid="{00000000-0004-0000-0400-00009E040000}"/>
    <hyperlink ref="F652" r:id="rId1184" xr:uid="{00000000-0004-0000-0400-00009F040000}"/>
    <hyperlink ref="E653" r:id="rId1185" xr:uid="{00000000-0004-0000-0400-0000A0040000}"/>
    <hyperlink ref="F653" r:id="rId1186" xr:uid="{00000000-0004-0000-0400-0000A1040000}"/>
    <hyperlink ref="E654" r:id="rId1187" xr:uid="{00000000-0004-0000-0400-0000A2040000}"/>
    <hyperlink ref="F654" r:id="rId1188" xr:uid="{00000000-0004-0000-0400-0000A3040000}"/>
    <hyperlink ref="E655" r:id="rId1189" xr:uid="{00000000-0004-0000-0400-0000A4040000}"/>
    <hyperlink ref="F655" r:id="rId1190" xr:uid="{00000000-0004-0000-0400-0000A5040000}"/>
    <hyperlink ref="E656" r:id="rId1191" xr:uid="{00000000-0004-0000-0400-0000A6040000}"/>
    <hyperlink ref="F656" r:id="rId1192" xr:uid="{00000000-0004-0000-0400-0000A7040000}"/>
    <hyperlink ref="E657" r:id="rId1193" xr:uid="{00000000-0004-0000-0400-0000A8040000}"/>
    <hyperlink ref="F657" r:id="rId1194" xr:uid="{00000000-0004-0000-0400-0000A9040000}"/>
    <hyperlink ref="E658" r:id="rId1195" xr:uid="{00000000-0004-0000-0400-0000AA040000}"/>
    <hyperlink ref="F658" r:id="rId1196" xr:uid="{00000000-0004-0000-0400-0000AB040000}"/>
    <hyperlink ref="E659" r:id="rId1197" xr:uid="{00000000-0004-0000-0400-0000AC040000}"/>
    <hyperlink ref="F659" r:id="rId1198" xr:uid="{00000000-0004-0000-0400-0000AD040000}"/>
    <hyperlink ref="E660" r:id="rId1199" xr:uid="{00000000-0004-0000-0400-0000AE040000}"/>
    <hyperlink ref="F660" r:id="rId1200" xr:uid="{00000000-0004-0000-0400-0000AF040000}"/>
    <hyperlink ref="E661" r:id="rId1201" xr:uid="{00000000-0004-0000-0400-0000B0040000}"/>
    <hyperlink ref="F661" r:id="rId1202" xr:uid="{00000000-0004-0000-0400-0000B1040000}"/>
    <hyperlink ref="E662" r:id="rId1203" xr:uid="{00000000-0004-0000-0400-0000B2040000}"/>
    <hyperlink ref="F662" r:id="rId1204" xr:uid="{00000000-0004-0000-0400-0000B3040000}"/>
    <hyperlink ref="E663" r:id="rId1205" xr:uid="{00000000-0004-0000-0400-0000B4040000}"/>
    <hyperlink ref="F663" r:id="rId1206" xr:uid="{00000000-0004-0000-0400-0000B5040000}"/>
    <hyperlink ref="E664" r:id="rId1207" xr:uid="{00000000-0004-0000-0400-0000B6040000}"/>
    <hyperlink ref="F664" r:id="rId1208" xr:uid="{00000000-0004-0000-0400-0000B7040000}"/>
    <hyperlink ref="E665" r:id="rId1209" xr:uid="{00000000-0004-0000-0400-0000B8040000}"/>
    <hyperlink ref="F665" r:id="rId1210" xr:uid="{00000000-0004-0000-0400-0000B9040000}"/>
    <hyperlink ref="E666" r:id="rId1211" xr:uid="{00000000-0004-0000-0400-0000BA040000}"/>
    <hyperlink ref="F666" r:id="rId1212" xr:uid="{00000000-0004-0000-0400-0000BB040000}"/>
    <hyperlink ref="E667" r:id="rId1213" xr:uid="{00000000-0004-0000-0400-0000BC040000}"/>
    <hyperlink ref="F667" r:id="rId1214" xr:uid="{00000000-0004-0000-0400-0000BD040000}"/>
    <hyperlink ref="E668" r:id="rId1215" xr:uid="{00000000-0004-0000-0400-0000BE040000}"/>
    <hyperlink ref="F668" r:id="rId1216" xr:uid="{00000000-0004-0000-0400-0000BF040000}"/>
    <hyperlink ref="E669" r:id="rId1217" xr:uid="{00000000-0004-0000-0400-0000C0040000}"/>
    <hyperlink ref="F669" r:id="rId1218" xr:uid="{00000000-0004-0000-0400-0000C1040000}"/>
    <hyperlink ref="E670" r:id="rId1219" xr:uid="{00000000-0004-0000-0400-0000C2040000}"/>
    <hyperlink ref="F670" r:id="rId1220" xr:uid="{00000000-0004-0000-0400-0000C3040000}"/>
    <hyperlink ref="E671" r:id="rId1221" xr:uid="{00000000-0004-0000-0400-0000C4040000}"/>
    <hyperlink ref="F671" r:id="rId1222" xr:uid="{00000000-0004-0000-0400-0000C5040000}"/>
    <hyperlink ref="E672" r:id="rId1223" xr:uid="{00000000-0004-0000-0400-0000C6040000}"/>
    <hyperlink ref="F672" r:id="rId1224" xr:uid="{00000000-0004-0000-0400-0000C7040000}"/>
    <hyperlink ref="E673" r:id="rId1225" xr:uid="{00000000-0004-0000-0400-0000C8040000}"/>
    <hyperlink ref="F673" r:id="rId1226" xr:uid="{00000000-0004-0000-0400-0000C9040000}"/>
    <hyperlink ref="E674" r:id="rId1227" xr:uid="{00000000-0004-0000-0400-0000CA040000}"/>
    <hyperlink ref="F674" r:id="rId1228" xr:uid="{00000000-0004-0000-0400-0000CB040000}"/>
    <hyperlink ref="E675" r:id="rId1229" xr:uid="{00000000-0004-0000-0400-0000CC040000}"/>
    <hyperlink ref="F675" r:id="rId1230" xr:uid="{00000000-0004-0000-0400-0000CD040000}"/>
    <hyperlink ref="E676" r:id="rId1231" xr:uid="{00000000-0004-0000-0400-0000CE040000}"/>
    <hyperlink ref="F676" r:id="rId1232" xr:uid="{00000000-0004-0000-0400-0000CF040000}"/>
    <hyperlink ref="E677" r:id="rId1233" xr:uid="{00000000-0004-0000-0400-0000D0040000}"/>
    <hyperlink ref="F677" r:id="rId1234" xr:uid="{00000000-0004-0000-0400-0000D1040000}"/>
    <hyperlink ref="E678" r:id="rId1235" xr:uid="{00000000-0004-0000-0400-0000D2040000}"/>
    <hyperlink ref="F678" r:id="rId1236" xr:uid="{00000000-0004-0000-0400-0000D3040000}"/>
    <hyperlink ref="E679" r:id="rId1237" xr:uid="{00000000-0004-0000-0400-0000D4040000}"/>
    <hyperlink ref="F679" r:id="rId1238" xr:uid="{00000000-0004-0000-0400-0000D5040000}"/>
    <hyperlink ref="E680" r:id="rId1239" xr:uid="{00000000-0004-0000-0400-0000D6040000}"/>
    <hyperlink ref="F680" r:id="rId1240" xr:uid="{00000000-0004-0000-0400-0000D7040000}"/>
    <hyperlink ref="E681" r:id="rId1241" xr:uid="{00000000-0004-0000-0400-0000D8040000}"/>
    <hyperlink ref="F681" r:id="rId1242" xr:uid="{00000000-0004-0000-0400-0000D9040000}"/>
    <hyperlink ref="E682" r:id="rId1243" xr:uid="{00000000-0004-0000-0400-0000DA040000}"/>
    <hyperlink ref="F682" r:id="rId1244" xr:uid="{00000000-0004-0000-0400-0000DB040000}"/>
    <hyperlink ref="E683" r:id="rId1245" xr:uid="{00000000-0004-0000-0400-0000DC040000}"/>
    <hyperlink ref="F683" r:id="rId1246" xr:uid="{00000000-0004-0000-0400-0000DD040000}"/>
    <hyperlink ref="E684" r:id="rId1247" xr:uid="{00000000-0004-0000-0400-0000DE040000}"/>
    <hyperlink ref="F684" r:id="rId1248" xr:uid="{00000000-0004-0000-0400-0000DF040000}"/>
    <hyperlink ref="E685" r:id="rId1249" xr:uid="{00000000-0004-0000-0400-0000E0040000}"/>
    <hyperlink ref="F685" r:id="rId1250" xr:uid="{00000000-0004-0000-0400-0000E1040000}"/>
    <hyperlink ref="E686" r:id="rId1251" xr:uid="{00000000-0004-0000-0400-0000E2040000}"/>
    <hyperlink ref="F686" r:id="rId1252" xr:uid="{00000000-0004-0000-0400-0000E3040000}"/>
    <hyperlink ref="E687" r:id="rId1253" xr:uid="{00000000-0004-0000-0400-0000E4040000}"/>
    <hyperlink ref="F687" r:id="rId1254" xr:uid="{00000000-0004-0000-0400-0000E5040000}"/>
    <hyperlink ref="E688" r:id="rId1255" xr:uid="{00000000-0004-0000-0400-0000E6040000}"/>
    <hyperlink ref="F688" r:id="rId1256" xr:uid="{00000000-0004-0000-0400-0000E7040000}"/>
    <hyperlink ref="E689" r:id="rId1257" xr:uid="{00000000-0004-0000-0400-0000E8040000}"/>
    <hyperlink ref="F689" r:id="rId1258" xr:uid="{00000000-0004-0000-0400-0000E9040000}"/>
    <hyperlink ref="E690" r:id="rId1259" xr:uid="{00000000-0004-0000-0400-0000EA040000}"/>
    <hyperlink ref="F690" r:id="rId1260" xr:uid="{00000000-0004-0000-0400-0000EB040000}"/>
    <hyperlink ref="E691" r:id="rId1261" xr:uid="{00000000-0004-0000-0400-0000EC040000}"/>
    <hyperlink ref="F691" r:id="rId1262" xr:uid="{00000000-0004-0000-0400-0000ED040000}"/>
    <hyperlink ref="E692" r:id="rId1263" xr:uid="{00000000-0004-0000-0400-0000EE040000}"/>
    <hyperlink ref="F692" r:id="rId1264" xr:uid="{00000000-0004-0000-0400-0000EF040000}"/>
    <hyperlink ref="E693" r:id="rId1265" xr:uid="{00000000-0004-0000-0400-0000F0040000}"/>
    <hyperlink ref="F693" r:id="rId1266" xr:uid="{00000000-0004-0000-0400-0000F1040000}"/>
    <hyperlink ref="E694" r:id="rId1267" xr:uid="{00000000-0004-0000-0400-0000F2040000}"/>
    <hyperlink ref="F694" r:id="rId1268" xr:uid="{00000000-0004-0000-0400-0000F3040000}"/>
    <hyperlink ref="E695" r:id="rId1269" xr:uid="{00000000-0004-0000-0400-0000F4040000}"/>
    <hyperlink ref="F695" r:id="rId1270" xr:uid="{00000000-0004-0000-0400-0000F5040000}"/>
    <hyperlink ref="E696" r:id="rId1271" xr:uid="{00000000-0004-0000-0400-0000F6040000}"/>
    <hyperlink ref="F696" r:id="rId1272" xr:uid="{00000000-0004-0000-0400-0000F7040000}"/>
    <hyperlink ref="E697" r:id="rId1273" xr:uid="{00000000-0004-0000-0400-0000F8040000}"/>
    <hyperlink ref="F697" r:id="rId1274" xr:uid="{00000000-0004-0000-0400-0000F9040000}"/>
    <hyperlink ref="E698" r:id="rId1275" xr:uid="{00000000-0004-0000-0400-0000FA040000}"/>
    <hyperlink ref="F698" r:id="rId1276" xr:uid="{00000000-0004-0000-0400-0000FB040000}"/>
    <hyperlink ref="E699" r:id="rId1277" xr:uid="{00000000-0004-0000-0400-0000FC040000}"/>
    <hyperlink ref="F699" r:id="rId1278" xr:uid="{00000000-0004-0000-0400-0000FD040000}"/>
    <hyperlink ref="E700" r:id="rId1279" xr:uid="{00000000-0004-0000-0400-0000FE040000}"/>
    <hyperlink ref="F700" r:id="rId1280" xr:uid="{00000000-0004-0000-0400-0000FF040000}"/>
    <hyperlink ref="E701" r:id="rId1281" xr:uid="{00000000-0004-0000-0400-000000050000}"/>
    <hyperlink ref="F701" r:id="rId1282" xr:uid="{00000000-0004-0000-0400-000001050000}"/>
    <hyperlink ref="E702" r:id="rId1283" xr:uid="{00000000-0004-0000-0400-000002050000}"/>
    <hyperlink ref="F702" r:id="rId1284" xr:uid="{00000000-0004-0000-0400-000003050000}"/>
    <hyperlink ref="E703" r:id="rId1285" xr:uid="{00000000-0004-0000-0400-000004050000}"/>
    <hyperlink ref="F703" r:id="rId1286" xr:uid="{00000000-0004-0000-0400-000005050000}"/>
    <hyperlink ref="E704" r:id="rId1287" xr:uid="{00000000-0004-0000-0400-000006050000}"/>
    <hyperlink ref="F704" r:id="rId1288" xr:uid="{00000000-0004-0000-0400-000007050000}"/>
    <hyperlink ref="E705" r:id="rId1289" xr:uid="{00000000-0004-0000-0400-000008050000}"/>
    <hyperlink ref="F705" r:id="rId1290" xr:uid="{00000000-0004-0000-0400-000009050000}"/>
    <hyperlink ref="E706" r:id="rId1291" xr:uid="{00000000-0004-0000-0400-00000A050000}"/>
    <hyperlink ref="F706" r:id="rId1292" xr:uid="{00000000-0004-0000-0400-00000B050000}"/>
    <hyperlink ref="E707" r:id="rId1293" xr:uid="{00000000-0004-0000-0400-00000C050000}"/>
    <hyperlink ref="F707" r:id="rId1294" xr:uid="{00000000-0004-0000-0400-00000D050000}"/>
    <hyperlink ref="E708" r:id="rId1295" xr:uid="{00000000-0004-0000-0400-00000E050000}"/>
    <hyperlink ref="F708" r:id="rId1296" xr:uid="{00000000-0004-0000-0400-00000F050000}"/>
    <hyperlink ref="E709" r:id="rId1297" xr:uid="{00000000-0004-0000-0400-000010050000}"/>
    <hyperlink ref="F709" r:id="rId1298" xr:uid="{00000000-0004-0000-0400-000011050000}"/>
    <hyperlink ref="E710" r:id="rId1299" xr:uid="{00000000-0004-0000-0400-000012050000}"/>
    <hyperlink ref="F710" r:id="rId1300" xr:uid="{00000000-0004-0000-0400-000013050000}"/>
    <hyperlink ref="E711" r:id="rId1301" xr:uid="{00000000-0004-0000-0400-000014050000}"/>
    <hyperlink ref="F711" r:id="rId1302" xr:uid="{00000000-0004-0000-0400-000015050000}"/>
    <hyperlink ref="E712" r:id="rId1303" xr:uid="{00000000-0004-0000-0400-000016050000}"/>
    <hyperlink ref="F712" r:id="rId1304" xr:uid="{00000000-0004-0000-0400-000017050000}"/>
    <hyperlink ref="E713" r:id="rId1305" xr:uid="{00000000-0004-0000-0400-000018050000}"/>
    <hyperlink ref="F713" r:id="rId1306" xr:uid="{00000000-0004-0000-0400-000019050000}"/>
    <hyperlink ref="E714" r:id="rId1307" xr:uid="{00000000-0004-0000-0400-00001A050000}"/>
    <hyperlink ref="F714" r:id="rId1308" xr:uid="{00000000-0004-0000-0400-00001B050000}"/>
    <hyperlink ref="E715" r:id="rId1309" xr:uid="{00000000-0004-0000-0400-00001C050000}"/>
    <hyperlink ref="F715" r:id="rId1310" xr:uid="{00000000-0004-0000-0400-00001D050000}"/>
    <hyperlink ref="E716" r:id="rId1311" xr:uid="{00000000-0004-0000-0400-00001E050000}"/>
    <hyperlink ref="F716" r:id="rId1312" xr:uid="{00000000-0004-0000-0400-00001F050000}"/>
    <hyperlink ref="E717" r:id="rId1313" xr:uid="{00000000-0004-0000-0400-000020050000}"/>
    <hyperlink ref="F717" r:id="rId1314" xr:uid="{00000000-0004-0000-0400-000021050000}"/>
    <hyperlink ref="E718" r:id="rId1315" xr:uid="{00000000-0004-0000-0400-000022050000}"/>
    <hyperlink ref="F718" r:id="rId1316" xr:uid="{00000000-0004-0000-0400-000023050000}"/>
    <hyperlink ref="E719" r:id="rId1317" xr:uid="{00000000-0004-0000-0400-000024050000}"/>
    <hyperlink ref="F719" r:id="rId1318" xr:uid="{00000000-0004-0000-0400-000025050000}"/>
    <hyperlink ref="E720" r:id="rId1319" xr:uid="{00000000-0004-0000-0400-000026050000}"/>
    <hyperlink ref="F720" r:id="rId1320" xr:uid="{00000000-0004-0000-0400-000027050000}"/>
    <hyperlink ref="E721" r:id="rId1321" xr:uid="{00000000-0004-0000-0400-000028050000}"/>
    <hyperlink ref="F721" r:id="rId1322" xr:uid="{00000000-0004-0000-0400-000029050000}"/>
    <hyperlink ref="E722" r:id="rId1323" xr:uid="{00000000-0004-0000-0400-00002A050000}"/>
    <hyperlink ref="F722" r:id="rId1324" xr:uid="{00000000-0004-0000-0400-00002B050000}"/>
    <hyperlink ref="E723" r:id="rId1325" xr:uid="{00000000-0004-0000-0400-00002C050000}"/>
    <hyperlink ref="F723" r:id="rId1326" xr:uid="{00000000-0004-0000-0400-00002D050000}"/>
    <hyperlink ref="E724" r:id="rId1327" xr:uid="{00000000-0004-0000-0400-00002E050000}"/>
    <hyperlink ref="F724" r:id="rId1328" xr:uid="{00000000-0004-0000-0400-00002F050000}"/>
    <hyperlink ref="E725" r:id="rId1329" xr:uid="{00000000-0004-0000-0400-000030050000}"/>
    <hyperlink ref="F725" r:id="rId1330" xr:uid="{00000000-0004-0000-0400-000031050000}"/>
    <hyperlink ref="E726" r:id="rId1331" xr:uid="{00000000-0004-0000-0400-000032050000}"/>
    <hyperlink ref="F726" r:id="rId1332" xr:uid="{00000000-0004-0000-0400-000033050000}"/>
    <hyperlink ref="E727" r:id="rId1333" xr:uid="{00000000-0004-0000-0400-000034050000}"/>
    <hyperlink ref="F727" r:id="rId1334" xr:uid="{00000000-0004-0000-0400-000035050000}"/>
    <hyperlink ref="E728" r:id="rId1335" xr:uid="{00000000-0004-0000-0400-000036050000}"/>
    <hyperlink ref="F728" r:id="rId1336" xr:uid="{00000000-0004-0000-0400-000037050000}"/>
    <hyperlink ref="E729" r:id="rId1337" xr:uid="{00000000-0004-0000-0400-000038050000}"/>
    <hyperlink ref="F729" r:id="rId1338" xr:uid="{00000000-0004-0000-0400-000039050000}"/>
    <hyperlink ref="E730" r:id="rId1339" xr:uid="{00000000-0004-0000-0400-00003A050000}"/>
    <hyperlink ref="F730" r:id="rId1340" xr:uid="{00000000-0004-0000-0400-00003B050000}"/>
    <hyperlink ref="E731" r:id="rId1341" xr:uid="{00000000-0004-0000-0400-00003C050000}"/>
    <hyperlink ref="F731" r:id="rId1342" xr:uid="{00000000-0004-0000-0400-00003D050000}"/>
    <hyperlink ref="E732" r:id="rId1343" xr:uid="{00000000-0004-0000-0400-00003E050000}"/>
    <hyperlink ref="F732" r:id="rId1344" xr:uid="{00000000-0004-0000-0400-00003F050000}"/>
    <hyperlink ref="E733" r:id="rId1345" xr:uid="{00000000-0004-0000-0400-000040050000}"/>
    <hyperlink ref="F733" r:id="rId1346" xr:uid="{00000000-0004-0000-0400-000041050000}"/>
    <hyperlink ref="E734" r:id="rId1347" xr:uid="{00000000-0004-0000-0400-000042050000}"/>
    <hyperlink ref="F734" r:id="rId1348" xr:uid="{00000000-0004-0000-0400-000043050000}"/>
    <hyperlink ref="E735" r:id="rId1349" xr:uid="{00000000-0004-0000-0400-000044050000}"/>
    <hyperlink ref="F735" r:id="rId1350" xr:uid="{00000000-0004-0000-0400-000045050000}"/>
    <hyperlink ref="E736" r:id="rId1351" xr:uid="{00000000-0004-0000-0400-000046050000}"/>
    <hyperlink ref="F736" r:id="rId1352" xr:uid="{00000000-0004-0000-0400-000047050000}"/>
    <hyperlink ref="E737" r:id="rId1353" xr:uid="{00000000-0004-0000-0400-000048050000}"/>
    <hyperlink ref="F737" r:id="rId1354" xr:uid="{00000000-0004-0000-0400-000049050000}"/>
    <hyperlink ref="E738" r:id="rId1355" xr:uid="{00000000-0004-0000-0400-00004A050000}"/>
    <hyperlink ref="F738" r:id="rId1356" xr:uid="{00000000-0004-0000-0400-00004B050000}"/>
    <hyperlink ref="E739" r:id="rId1357" xr:uid="{00000000-0004-0000-0400-00004C050000}"/>
    <hyperlink ref="F739" r:id="rId1358" xr:uid="{00000000-0004-0000-0400-00004D050000}"/>
    <hyperlink ref="E740" r:id="rId1359" xr:uid="{00000000-0004-0000-0400-00004E050000}"/>
    <hyperlink ref="F740" r:id="rId1360" xr:uid="{00000000-0004-0000-0400-00004F050000}"/>
    <hyperlink ref="E741" r:id="rId1361" xr:uid="{00000000-0004-0000-0400-000050050000}"/>
    <hyperlink ref="F741" r:id="rId1362" xr:uid="{00000000-0004-0000-0400-000051050000}"/>
    <hyperlink ref="E742" r:id="rId1363" xr:uid="{00000000-0004-0000-0400-000052050000}"/>
    <hyperlink ref="F742" r:id="rId1364" xr:uid="{00000000-0004-0000-0400-000053050000}"/>
    <hyperlink ref="E743" r:id="rId1365" xr:uid="{00000000-0004-0000-0400-000054050000}"/>
    <hyperlink ref="F743" r:id="rId1366" xr:uid="{00000000-0004-0000-0400-000055050000}"/>
    <hyperlink ref="E744" r:id="rId1367" xr:uid="{00000000-0004-0000-0400-000056050000}"/>
    <hyperlink ref="F744" r:id="rId1368" xr:uid="{00000000-0004-0000-0400-000057050000}"/>
    <hyperlink ref="E745" r:id="rId1369" xr:uid="{00000000-0004-0000-0400-000058050000}"/>
    <hyperlink ref="F745" r:id="rId1370" xr:uid="{00000000-0004-0000-0400-000059050000}"/>
    <hyperlink ref="E746" r:id="rId1371" xr:uid="{00000000-0004-0000-0400-00005A050000}"/>
    <hyperlink ref="F746" r:id="rId1372" xr:uid="{00000000-0004-0000-0400-00005B050000}"/>
    <hyperlink ref="E747" r:id="rId1373" xr:uid="{00000000-0004-0000-0400-00005C050000}"/>
    <hyperlink ref="F747" r:id="rId1374" xr:uid="{00000000-0004-0000-0400-00005D050000}"/>
    <hyperlink ref="E748" r:id="rId1375" xr:uid="{00000000-0004-0000-0400-00005E050000}"/>
    <hyperlink ref="F748" r:id="rId1376" xr:uid="{00000000-0004-0000-0400-00005F050000}"/>
    <hyperlink ref="E749" r:id="rId1377" xr:uid="{00000000-0004-0000-0400-000060050000}"/>
    <hyperlink ref="F749" r:id="rId1378" xr:uid="{00000000-0004-0000-0400-000061050000}"/>
    <hyperlink ref="E750" r:id="rId1379" xr:uid="{00000000-0004-0000-0400-000062050000}"/>
    <hyperlink ref="F750" r:id="rId1380" xr:uid="{00000000-0004-0000-0400-000063050000}"/>
    <hyperlink ref="E751" r:id="rId1381" xr:uid="{00000000-0004-0000-0400-000064050000}"/>
    <hyperlink ref="F751" r:id="rId1382" xr:uid="{00000000-0004-0000-0400-000065050000}"/>
    <hyperlink ref="E752" r:id="rId1383" xr:uid="{00000000-0004-0000-0400-000066050000}"/>
    <hyperlink ref="F752" r:id="rId1384" xr:uid="{00000000-0004-0000-0400-000067050000}"/>
    <hyperlink ref="E753" r:id="rId1385" xr:uid="{00000000-0004-0000-0400-000068050000}"/>
    <hyperlink ref="F753" r:id="rId1386" xr:uid="{00000000-0004-0000-0400-000069050000}"/>
    <hyperlink ref="E754" r:id="rId1387" xr:uid="{00000000-0004-0000-0400-00006A050000}"/>
    <hyperlink ref="F754" r:id="rId1388" xr:uid="{00000000-0004-0000-0400-00006B050000}"/>
    <hyperlink ref="E755" r:id="rId1389" xr:uid="{00000000-0004-0000-0400-00006C050000}"/>
    <hyperlink ref="F755" r:id="rId1390" xr:uid="{00000000-0004-0000-0400-00006D050000}"/>
    <hyperlink ref="E756" r:id="rId1391" xr:uid="{00000000-0004-0000-0400-00006E050000}"/>
    <hyperlink ref="F756" r:id="rId1392" xr:uid="{00000000-0004-0000-0400-00006F050000}"/>
    <hyperlink ref="E757" r:id="rId1393" xr:uid="{00000000-0004-0000-0400-000070050000}"/>
    <hyperlink ref="F757" r:id="rId1394" xr:uid="{00000000-0004-0000-0400-000071050000}"/>
    <hyperlink ref="E758" r:id="rId1395" xr:uid="{00000000-0004-0000-0400-000072050000}"/>
    <hyperlink ref="F758" r:id="rId1396" xr:uid="{00000000-0004-0000-0400-000073050000}"/>
    <hyperlink ref="E759" r:id="rId1397" xr:uid="{00000000-0004-0000-0400-000074050000}"/>
    <hyperlink ref="F759" r:id="rId1398" xr:uid="{00000000-0004-0000-0400-000075050000}"/>
    <hyperlink ref="E760" r:id="rId1399" xr:uid="{00000000-0004-0000-0400-000076050000}"/>
    <hyperlink ref="F760" r:id="rId1400" xr:uid="{00000000-0004-0000-0400-000077050000}"/>
    <hyperlink ref="E761" r:id="rId1401" xr:uid="{00000000-0004-0000-0400-000078050000}"/>
    <hyperlink ref="F761" r:id="rId1402" xr:uid="{00000000-0004-0000-0400-000079050000}"/>
    <hyperlink ref="E762" r:id="rId1403" xr:uid="{00000000-0004-0000-0400-00007A050000}"/>
    <hyperlink ref="F762" r:id="rId1404" xr:uid="{00000000-0004-0000-0400-00007B050000}"/>
    <hyperlink ref="E763" r:id="rId1405" xr:uid="{00000000-0004-0000-0400-00007C050000}"/>
    <hyperlink ref="F763" r:id="rId1406" xr:uid="{00000000-0004-0000-0400-00007D050000}"/>
    <hyperlink ref="E764" r:id="rId1407" xr:uid="{00000000-0004-0000-0400-00007E050000}"/>
    <hyperlink ref="F764" r:id="rId1408" xr:uid="{00000000-0004-0000-0400-00007F050000}"/>
    <hyperlink ref="E765" r:id="rId1409" xr:uid="{00000000-0004-0000-0400-000080050000}"/>
    <hyperlink ref="F765" r:id="rId1410" xr:uid="{00000000-0004-0000-0400-000081050000}"/>
    <hyperlink ref="E766" r:id="rId1411" xr:uid="{00000000-0004-0000-0400-000082050000}"/>
    <hyperlink ref="F766" r:id="rId1412" xr:uid="{00000000-0004-0000-0400-000083050000}"/>
    <hyperlink ref="E767" r:id="rId1413" xr:uid="{00000000-0004-0000-0400-000084050000}"/>
    <hyperlink ref="F767" r:id="rId1414" xr:uid="{00000000-0004-0000-0400-000085050000}"/>
    <hyperlink ref="E768" r:id="rId1415" xr:uid="{00000000-0004-0000-0400-000086050000}"/>
    <hyperlink ref="F768" r:id="rId1416" xr:uid="{00000000-0004-0000-0400-000087050000}"/>
    <hyperlink ref="E769" r:id="rId1417" xr:uid="{00000000-0004-0000-0400-000088050000}"/>
    <hyperlink ref="F769" r:id="rId1418" xr:uid="{00000000-0004-0000-0400-000089050000}"/>
    <hyperlink ref="E770" r:id="rId1419" xr:uid="{00000000-0004-0000-0400-00008A050000}"/>
    <hyperlink ref="F770" r:id="rId1420" xr:uid="{00000000-0004-0000-0400-00008B050000}"/>
    <hyperlink ref="E771" r:id="rId1421" xr:uid="{00000000-0004-0000-0400-00008C050000}"/>
    <hyperlink ref="F771" r:id="rId1422" xr:uid="{00000000-0004-0000-0400-00008D050000}"/>
    <hyperlink ref="E772" r:id="rId1423" xr:uid="{00000000-0004-0000-0400-00008E050000}"/>
    <hyperlink ref="F772" r:id="rId1424" xr:uid="{00000000-0004-0000-0400-00008F050000}"/>
    <hyperlink ref="E773" r:id="rId1425" xr:uid="{00000000-0004-0000-0400-000090050000}"/>
    <hyperlink ref="F773" r:id="rId1426" xr:uid="{00000000-0004-0000-0400-000091050000}"/>
    <hyperlink ref="E774" r:id="rId1427" xr:uid="{00000000-0004-0000-0400-000092050000}"/>
    <hyperlink ref="F774" r:id="rId1428" xr:uid="{00000000-0004-0000-0400-000093050000}"/>
    <hyperlink ref="E775" r:id="rId1429" xr:uid="{00000000-0004-0000-0400-000094050000}"/>
    <hyperlink ref="F775" r:id="rId1430" xr:uid="{00000000-0004-0000-0400-000095050000}"/>
    <hyperlink ref="E776" r:id="rId1431" xr:uid="{00000000-0004-0000-0400-000096050000}"/>
    <hyperlink ref="F776" r:id="rId1432" xr:uid="{00000000-0004-0000-0400-000097050000}"/>
    <hyperlink ref="E777" r:id="rId1433" xr:uid="{00000000-0004-0000-0400-000098050000}"/>
    <hyperlink ref="F777" r:id="rId1434" xr:uid="{00000000-0004-0000-0400-000099050000}"/>
    <hyperlink ref="E778" r:id="rId1435" xr:uid="{00000000-0004-0000-0400-00009A050000}"/>
    <hyperlink ref="F778" r:id="rId1436" xr:uid="{00000000-0004-0000-0400-00009B050000}"/>
    <hyperlink ref="E779" r:id="rId1437" xr:uid="{00000000-0004-0000-0400-00009C050000}"/>
    <hyperlink ref="F779" r:id="rId1438" xr:uid="{00000000-0004-0000-0400-00009D050000}"/>
    <hyperlink ref="E780" r:id="rId1439" xr:uid="{00000000-0004-0000-0400-00009E050000}"/>
    <hyperlink ref="F780" r:id="rId1440" xr:uid="{00000000-0004-0000-0400-00009F050000}"/>
    <hyperlink ref="E781" r:id="rId1441" xr:uid="{00000000-0004-0000-0400-0000A0050000}"/>
    <hyperlink ref="F781" r:id="rId1442" xr:uid="{00000000-0004-0000-0400-0000A1050000}"/>
    <hyperlink ref="E782" r:id="rId1443" xr:uid="{00000000-0004-0000-0400-0000A2050000}"/>
    <hyperlink ref="F782" r:id="rId1444" xr:uid="{00000000-0004-0000-0400-0000A3050000}"/>
    <hyperlink ref="E783" r:id="rId1445" xr:uid="{00000000-0004-0000-0400-0000A4050000}"/>
    <hyperlink ref="F783" r:id="rId1446" xr:uid="{00000000-0004-0000-0400-0000A5050000}"/>
    <hyperlink ref="E784" r:id="rId1447" xr:uid="{00000000-0004-0000-0400-0000A6050000}"/>
    <hyperlink ref="F784" r:id="rId1448" xr:uid="{00000000-0004-0000-0400-0000A7050000}"/>
    <hyperlink ref="E785" r:id="rId1449" xr:uid="{00000000-0004-0000-0400-0000A8050000}"/>
    <hyperlink ref="F785" r:id="rId1450" xr:uid="{00000000-0004-0000-0400-0000A9050000}"/>
    <hyperlink ref="E786" r:id="rId1451" xr:uid="{00000000-0004-0000-0400-0000AA050000}"/>
    <hyperlink ref="F786" r:id="rId1452" xr:uid="{00000000-0004-0000-0400-0000AB050000}"/>
    <hyperlink ref="E787" r:id="rId1453" xr:uid="{00000000-0004-0000-0400-0000AC050000}"/>
    <hyperlink ref="F787" r:id="rId1454" xr:uid="{00000000-0004-0000-0400-0000AD050000}"/>
    <hyperlink ref="E788" r:id="rId1455" xr:uid="{00000000-0004-0000-0400-0000AE050000}"/>
    <hyperlink ref="F788" r:id="rId1456" xr:uid="{00000000-0004-0000-0400-0000AF050000}"/>
    <hyperlink ref="E789" r:id="rId1457" xr:uid="{00000000-0004-0000-0400-0000B0050000}"/>
    <hyperlink ref="F789" r:id="rId1458" xr:uid="{00000000-0004-0000-0400-0000B1050000}"/>
    <hyperlink ref="E790" r:id="rId1459" xr:uid="{00000000-0004-0000-0400-0000B2050000}"/>
    <hyperlink ref="F790" r:id="rId1460" xr:uid="{00000000-0004-0000-0400-0000B3050000}"/>
    <hyperlink ref="E791" r:id="rId1461" xr:uid="{00000000-0004-0000-0400-0000B4050000}"/>
    <hyperlink ref="F791" r:id="rId1462" xr:uid="{00000000-0004-0000-0400-0000B5050000}"/>
    <hyperlink ref="E792" r:id="rId1463" xr:uid="{00000000-0004-0000-0400-0000B6050000}"/>
    <hyperlink ref="F792" r:id="rId1464" xr:uid="{00000000-0004-0000-0400-0000B7050000}"/>
    <hyperlink ref="E793" r:id="rId1465" xr:uid="{00000000-0004-0000-0400-0000B8050000}"/>
    <hyperlink ref="F793" r:id="rId1466" xr:uid="{00000000-0004-0000-0400-0000B9050000}"/>
    <hyperlink ref="E794" r:id="rId1467" xr:uid="{00000000-0004-0000-0400-0000BA050000}"/>
    <hyperlink ref="F794" r:id="rId1468" xr:uid="{00000000-0004-0000-0400-0000BB050000}"/>
    <hyperlink ref="E795" r:id="rId1469" xr:uid="{00000000-0004-0000-0400-0000BC050000}"/>
    <hyperlink ref="F795" r:id="rId1470" xr:uid="{00000000-0004-0000-0400-0000BD050000}"/>
    <hyperlink ref="E796" r:id="rId1471" xr:uid="{00000000-0004-0000-0400-0000BE050000}"/>
    <hyperlink ref="F796" r:id="rId1472" xr:uid="{00000000-0004-0000-0400-0000BF050000}"/>
    <hyperlink ref="E797" r:id="rId1473" xr:uid="{00000000-0004-0000-0400-0000C0050000}"/>
    <hyperlink ref="F797" r:id="rId1474" xr:uid="{00000000-0004-0000-0400-0000C1050000}"/>
    <hyperlink ref="E798" r:id="rId1475" xr:uid="{00000000-0004-0000-0400-0000C2050000}"/>
    <hyperlink ref="F798" r:id="rId1476" xr:uid="{00000000-0004-0000-0400-0000C3050000}"/>
    <hyperlink ref="E799" r:id="rId1477" xr:uid="{00000000-0004-0000-0400-0000C4050000}"/>
    <hyperlink ref="F799" r:id="rId1478" xr:uid="{00000000-0004-0000-0400-0000C5050000}"/>
    <hyperlink ref="E800" r:id="rId1479" xr:uid="{00000000-0004-0000-0400-0000C6050000}"/>
    <hyperlink ref="F800" r:id="rId1480" xr:uid="{00000000-0004-0000-0400-0000C7050000}"/>
    <hyperlink ref="E801" r:id="rId1481" xr:uid="{00000000-0004-0000-0400-0000C8050000}"/>
    <hyperlink ref="F801" r:id="rId1482" xr:uid="{00000000-0004-0000-0400-0000C9050000}"/>
    <hyperlink ref="E802" r:id="rId1483" xr:uid="{00000000-0004-0000-0400-0000CA050000}"/>
    <hyperlink ref="F802" r:id="rId1484" xr:uid="{00000000-0004-0000-0400-0000CB050000}"/>
    <hyperlink ref="E803" r:id="rId1485" xr:uid="{00000000-0004-0000-0400-0000CC050000}"/>
    <hyperlink ref="F803" r:id="rId1486" xr:uid="{00000000-0004-0000-0400-0000CD050000}"/>
    <hyperlink ref="E804" r:id="rId1487" xr:uid="{00000000-0004-0000-0400-0000CE050000}"/>
    <hyperlink ref="F804" r:id="rId1488" xr:uid="{00000000-0004-0000-0400-0000CF050000}"/>
    <hyperlink ref="E805" r:id="rId1489" xr:uid="{00000000-0004-0000-0400-0000D0050000}"/>
    <hyperlink ref="F805" r:id="rId1490" xr:uid="{00000000-0004-0000-0400-0000D1050000}"/>
    <hyperlink ref="E806" r:id="rId1491" xr:uid="{00000000-0004-0000-0400-0000D2050000}"/>
    <hyperlink ref="F806" r:id="rId1492" xr:uid="{00000000-0004-0000-0400-0000D3050000}"/>
    <hyperlink ref="E807" r:id="rId1493" xr:uid="{00000000-0004-0000-0400-0000D4050000}"/>
    <hyperlink ref="F807" r:id="rId1494" xr:uid="{00000000-0004-0000-0400-0000D5050000}"/>
    <hyperlink ref="E808" r:id="rId1495" xr:uid="{00000000-0004-0000-0400-0000D6050000}"/>
    <hyperlink ref="F808" r:id="rId1496" xr:uid="{00000000-0004-0000-0400-0000D7050000}"/>
    <hyperlink ref="E809" r:id="rId1497" xr:uid="{00000000-0004-0000-0400-0000D8050000}"/>
    <hyperlink ref="F809" r:id="rId1498" xr:uid="{00000000-0004-0000-0400-0000D9050000}"/>
    <hyperlink ref="E810" r:id="rId1499" xr:uid="{00000000-0004-0000-0400-0000DA050000}"/>
    <hyperlink ref="F810" r:id="rId1500" xr:uid="{00000000-0004-0000-0400-0000DB050000}"/>
    <hyperlink ref="E811" r:id="rId1501" xr:uid="{00000000-0004-0000-0400-0000DC050000}"/>
    <hyperlink ref="F811" r:id="rId1502" xr:uid="{00000000-0004-0000-0400-0000DD050000}"/>
    <hyperlink ref="E812" r:id="rId1503" xr:uid="{00000000-0004-0000-0400-0000DE050000}"/>
    <hyperlink ref="F812" r:id="rId1504" xr:uid="{00000000-0004-0000-0400-0000DF050000}"/>
    <hyperlink ref="E813" r:id="rId1505" xr:uid="{00000000-0004-0000-0400-0000E0050000}"/>
    <hyperlink ref="F813" r:id="rId1506" xr:uid="{00000000-0004-0000-0400-0000E1050000}"/>
    <hyperlink ref="E814" r:id="rId1507" xr:uid="{00000000-0004-0000-0400-0000E2050000}"/>
    <hyperlink ref="F814" r:id="rId1508" xr:uid="{00000000-0004-0000-0400-0000E3050000}"/>
    <hyperlink ref="E815" r:id="rId1509" xr:uid="{00000000-0004-0000-0400-0000E4050000}"/>
    <hyperlink ref="F815" r:id="rId1510" xr:uid="{00000000-0004-0000-0400-0000E5050000}"/>
    <hyperlink ref="E816" r:id="rId1511" xr:uid="{00000000-0004-0000-0400-0000E6050000}"/>
    <hyperlink ref="F816" r:id="rId1512" xr:uid="{00000000-0004-0000-0400-0000E7050000}"/>
    <hyperlink ref="E817" r:id="rId1513" xr:uid="{00000000-0004-0000-0400-0000E8050000}"/>
    <hyperlink ref="F817" r:id="rId1514" xr:uid="{00000000-0004-0000-0400-0000E9050000}"/>
    <hyperlink ref="B1" location="Fields!E1" display="Content Owner" xr:uid="{5675AA7E-9E21-4FAD-8680-278F9DEEB437}"/>
    <hyperlink ref="W1" location="Fields!A12" display="Re-Replay" xr:uid="{DCB35098-7776-465E-88F1-B63DA742444C}"/>
    <hyperlink ref="I1" location="Final!A13" display="Description" xr:uid="{53B526ED-3D90-4951-BAD5-0E9CBD8E4D0C}"/>
  </hyperlinks>
  <pageMargins left="0.7" right="0.7" top="0.75" bottom="0.75" header="0.3" footer="0.3"/>
  <drawing r:id="rId1515"/>
  <extLst>
    <ext xmlns:x14="http://schemas.microsoft.com/office/spreadsheetml/2009/9/main" uri="{CCE6A557-97BC-4b89-ADB6-D9C93CAAB3DF}">
      <x14:dataValidations xmlns:xm="http://schemas.microsoft.com/office/excel/2006/main" count="4">
        <x14:dataValidation type="list" allowBlank="1" showInputMessage="1" showErrorMessage="1" xr:uid="{D55B50D3-F8EA-4157-A820-33390CE8078E}">
          <x14:formula1>
            <xm:f>Fields!$A$2:$A$8</xm:f>
          </x14:formula1>
          <xm:sqref>C2:C817</xm:sqref>
        </x14:dataValidation>
        <x14:dataValidation type="list" allowBlank="1" showInputMessage="1" showErrorMessage="1" xr:uid="{D7D501B1-3B4B-4B86-8303-C76EB175C32D}">
          <x14:formula1>
            <xm:f>Fields!$B$2:$B$4</xm:f>
          </x14:formula1>
          <xm:sqref>R2:S817</xm:sqref>
        </x14:dataValidation>
        <x14:dataValidation type="list" allowBlank="1" showInputMessage="1" showErrorMessage="1" xr:uid="{51409A67-D93E-4A1A-A82A-D69483BF0409}">
          <x14:formula1>
            <xm:f>Fields!$C$2:$C$4</xm:f>
          </x14:formula1>
          <xm:sqref>T2:T817</xm:sqref>
        </x14:dataValidation>
        <x14:dataValidation type="list" allowBlank="1" showInputMessage="1" showErrorMessage="1" xr:uid="{A566AD4B-C2F4-4841-9F9D-F5732A0BE12F}">
          <x14:formula1>
            <xm:f>Fields!$D$2:$D$5</xm:f>
          </x14:formula1>
          <xm:sqref>B2:B817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236"/>
  <sheetViews>
    <sheetView topLeftCell="A40" workbookViewId="0">
      <selection activeCell="S43" sqref="S43"/>
    </sheetView>
  </sheetViews>
  <sheetFormatPr defaultColWidth="12.5703125" defaultRowHeight="15" customHeight="1"/>
  <cols>
    <col min="1" max="1" width="5.85546875" style="33" customWidth="1"/>
    <col min="2" max="2" width="7.140625" style="33" customWidth="1"/>
    <col min="3" max="3" width="12.85546875" style="33" customWidth="1"/>
    <col min="4" max="4" width="3.5703125" style="33" customWidth="1"/>
    <col min="5" max="5" width="49.7109375" style="33" customWidth="1"/>
    <col min="6" max="6" width="8.42578125" style="33" hidden="1" customWidth="1"/>
    <col min="7" max="7" width="14.28515625" style="33" hidden="1" customWidth="1"/>
    <col min="8" max="8" width="28.42578125" style="33" customWidth="1"/>
    <col min="9" max="9" width="14.28515625" style="33" customWidth="1"/>
    <col min="10" max="10" width="8.42578125" style="33" customWidth="1"/>
    <col min="11" max="11" width="7.42578125" style="33" customWidth="1"/>
    <col min="12" max="12" width="9.7109375" style="33" customWidth="1"/>
    <col min="13" max="13" width="6.140625" style="33" customWidth="1"/>
    <col min="14" max="14" width="7.5703125" style="33" customWidth="1"/>
    <col min="15" max="16" width="8.42578125" style="33" customWidth="1"/>
    <col min="17" max="17" width="20.85546875" style="33" customWidth="1"/>
    <col min="18" max="18" width="6.5703125" style="35" customWidth="1"/>
    <col min="19" max="19" width="6.42578125" style="35" customWidth="1"/>
    <col min="20" max="20" width="7.5703125" style="35" customWidth="1"/>
    <col min="21" max="21" width="7.85546875" style="37" customWidth="1"/>
    <col min="22" max="22" width="8.85546875" style="34" customWidth="1"/>
    <col min="23" max="23" width="7.5703125" style="36" customWidth="1"/>
    <col min="24" max="24" width="49" style="33" customWidth="1"/>
  </cols>
  <sheetData>
    <row r="1" spans="1:24" ht="45" customHeight="1">
      <c r="A1" s="64" t="s">
        <v>2</v>
      </c>
      <c r="B1" s="65" t="s">
        <v>2503</v>
      </c>
      <c r="C1" s="66" t="s">
        <v>115</v>
      </c>
      <c r="D1" s="67" t="s">
        <v>40</v>
      </c>
      <c r="E1" s="64" t="s">
        <v>44</v>
      </c>
      <c r="F1" s="64" t="s">
        <v>49</v>
      </c>
      <c r="G1" s="64" t="s">
        <v>51</v>
      </c>
      <c r="H1" s="64" t="s">
        <v>63</v>
      </c>
      <c r="I1" s="65" t="s">
        <v>46</v>
      </c>
      <c r="J1" s="64" t="s">
        <v>67</v>
      </c>
      <c r="K1" s="68" t="s">
        <v>68</v>
      </c>
      <c r="L1" s="64" t="s">
        <v>74</v>
      </c>
      <c r="M1" s="64" t="s">
        <v>75</v>
      </c>
      <c r="N1" s="64" t="s">
        <v>76</v>
      </c>
      <c r="O1" s="64" t="s">
        <v>77</v>
      </c>
      <c r="P1" s="64" t="s">
        <v>78</v>
      </c>
      <c r="Q1" s="64" t="s">
        <v>80</v>
      </c>
      <c r="R1" s="69" t="s">
        <v>81</v>
      </c>
      <c r="S1" s="69" t="s">
        <v>82</v>
      </c>
      <c r="T1" s="69" t="s">
        <v>83</v>
      </c>
      <c r="U1" s="70" t="s">
        <v>114</v>
      </c>
      <c r="V1" s="71" t="s">
        <v>116</v>
      </c>
      <c r="W1" s="72" t="s">
        <v>88</v>
      </c>
      <c r="X1" s="64" t="s">
        <v>89</v>
      </c>
    </row>
    <row r="2" spans="1:24">
      <c r="A2" s="38">
        <v>1</v>
      </c>
      <c r="B2" s="38" t="s">
        <v>92</v>
      </c>
      <c r="C2" s="39" t="s">
        <v>124</v>
      </c>
      <c r="D2" s="38" t="s">
        <v>93</v>
      </c>
      <c r="E2" s="40" t="s">
        <v>94</v>
      </c>
      <c r="F2" s="41" t="s">
        <v>95</v>
      </c>
      <c r="G2" s="42" t="s">
        <v>96</v>
      </c>
      <c r="H2" s="43" t="s">
        <v>121</v>
      </c>
      <c r="I2" s="44" t="s">
        <v>123</v>
      </c>
      <c r="J2" s="38">
        <f>7*1000</f>
        <v>7000</v>
      </c>
      <c r="K2" s="45">
        <v>9.6296296296296303E-3</v>
      </c>
      <c r="L2" s="46" t="s">
        <v>113</v>
      </c>
      <c r="M2" s="38"/>
      <c r="N2" s="38"/>
      <c r="O2" s="38"/>
      <c r="P2" s="47">
        <v>42989</v>
      </c>
      <c r="Q2" s="38"/>
      <c r="R2" s="48" t="s">
        <v>42</v>
      </c>
      <c r="S2" s="48" t="s">
        <v>42</v>
      </c>
      <c r="T2" s="48" t="s">
        <v>42</v>
      </c>
      <c r="U2" s="49"/>
      <c r="V2" s="50"/>
      <c r="W2" s="51" t="s">
        <v>71</v>
      </c>
      <c r="X2" s="38"/>
    </row>
    <row r="3" spans="1:24">
      <c r="A3" s="38">
        <v>2</v>
      </c>
      <c r="B3" s="38" t="s">
        <v>92</v>
      </c>
      <c r="C3" s="39" t="s">
        <v>124</v>
      </c>
      <c r="D3" s="38" t="s">
        <v>118</v>
      </c>
      <c r="E3" s="40" t="s">
        <v>119</v>
      </c>
      <c r="F3" s="41" t="s">
        <v>120</v>
      </c>
      <c r="G3" s="42" t="s">
        <v>122</v>
      </c>
      <c r="H3" s="43" t="s">
        <v>128</v>
      </c>
      <c r="I3" s="44" t="s">
        <v>129</v>
      </c>
      <c r="J3" s="38">
        <f>4*1000</f>
        <v>4000</v>
      </c>
      <c r="K3" s="45">
        <v>1.0289351851851852E-2</v>
      </c>
      <c r="L3" s="46" t="s">
        <v>113</v>
      </c>
      <c r="M3" s="38"/>
      <c r="N3" s="38"/>
      <c r="O3" s="38"/>
      <c r="P3" s="47">
        <v>42989</v>
      </c>
      <c r="Q3" s="38"/>
      <c r="R3" s="48" t="s">
        <v>42</v>
      </c>
      <c r="S3" s="48" t="s">
        <v>42</v>
      </c>
      <c r="T3" s="48" t="s">
        <v>42</v>
      </c>
      <c r="U3" s="49"/>
      <c r="V3" s="50"/>
      <c r="W3" s="51" t="s">
        <v>71</v>
      </c>
      <c r="X3" s="38"/>
    </row>
    <row r="4" spans="1:24">
      <c r="A4" s="38">
        <v>3</v>
      </c>
      <c r="B4" s="38" t="s">
        <v>92</v>
      </c>
      <c r="C4" s="39" t="s">
        <v>124</v>
      </c>
      <c r="D4" s="38" t="s">
        <v>125</v>
      </c>
      <c r="E4" s="40" t="s">
        <v>126</v>
      </c>
      <c r="F4" s="41" t="s">
        <v>127</v>
      </c>
      <c r="G4" s="42">
        <v>826</v>
      </c>
      <c r="H4" s="43" t="s">
        <v>132</v>
      </c>
      <c r="I4" s="44" t="s">
        <v>133</v>
      </c>
      <c r="J4" s="38">
        <f>826</f>
        <v>826</v>
      </c>
      <c r="K4" s="45">
        <v>2.1643518518518518E-3</v>
      </c>
      <c r="L4" s="46" t="s">
        <v>113</v>
      </c>
      <c r="M4" s="38"/>
      <c r="N4" s="38"/>
      <c r="O4" s="38"/>
      <c r="P4" s="47">
        <v>42990</v>
      </c>
      <c r="Q4" s="38"/>
      <c r="R4" s="48" t="s">
        <v>42</v>
      </c>
      <c r="S4" s="48" t="s">
        <v>42</v>
      </c>
      <c r="T4" s="48" t="s">
        <v>42</v>
      </c>
      <c r="U4" s="52"/>
      <c r="V4" s="50"/>
      <c r="W4" s="51" t="s">
        <v>71</v>
      </c>
      <c r="X4" s="38"/>
    </row>
    <row r="5" spans="1:24">
      <c r="A5" s="38">
        <v>4</v>
      </c>
      <c r="B5" s="38" t="s">
        <v>92</v>
      </c>
      <c r="C5" s="39" t="s">
        <v>73</v>
      </c>
      <c r="D5" s="38" t="s">
        <v>130</v>
      </c>
      <c r="E5" s="40" t="s">
        <v>131</v>
      </c>
      <c r="F5" s="41" t="s">
        <v>134</v>
      </c>
      <c r="G5" s="42" t="s">
        <v>135</v>
      </c>
      <c r="H5" s="43" t="s">
        <v>136</v>
      </c>
      <c r="I5" s="44"/>
      <c r="J5" s="38">
        <f>10*1000</f>
        <v>10000</v>
      </c>
      <c r="K5" s="45">
        <v>9.7222222222222209E-4</v>
      </c>
      <c r="L5" s="46" t="s">
        <v>113</v>
      </c>
      <c r="M5" s="38"/>
      <c r="N5" s="38"/>
      <c r="O5" s="38"/>
      <c r="P5" s="47">
        <v>42990</v>
      </c>
      <c r="Q5" s="38"/>
      <c r="R5" s="48" t="s">
        <v>42</v>
      </c>
      <c r="S5" s="48" t="s">
        <v>42</v>
      </c>
      <c r="T5" s="48" t="s">
        <v>137</v>
      </c>
      <c r="U5" s="52"/>
      <c r="V5" s="50"/>
      <c r="W5" s="51" t="s">
        <v>45</v>
      </c>
      <c r="X5" s="38"/>
    </row>
    <row r="6" spans="1:24">
      <c r="A6" s="38">
        <v>5</v>
      </c>
      <c r="B6" s="38" t="s">
        <v>92</v>
      </c>
      <c r="C6" s="39" t="s">
        <v>73</v>
      </c>
      <c r="D6" s="38" t="s">
        <v>138</v>
      </c>
      <c r="E6" s="40" t="s">
        <v>139</v>
      </c>
      <c r="F6" s="41" t="s">
        <v>140</v>
      </c>
      <c r="G6" s="42">
        <v>749</v>
      </c>
      <c r="H6" s="43" t="s">
        <v>117</v>
      </c>
      <c r="I6" s="44" t="s">
        <v>117</v>
      </c>
      <c r="J6" s="38">
        <f>749</f>
        <v>749</v>
      </c>
      <c r="K6" s="45">
        <v>4.0509259259259258E-4</v>
      </c>
      <c r="L6" s="46" t="s">
        <v>113</v>
      </c>
      <c r="M6" s="38"/>
      <c r="N6" s="38"/>
      <c r="O6" s="38"/>
      <c r="P6" s="47">
        <v>42990</v>
      </c>
      <c r="Q6" s="38"/>
      <c r="R6" s="48" t="s">
        <v>42</v>
      </c>
      <c r="S6" s="48" t="s">
        <v>42</v>
      </c>
      <c r="T6" s="48" t="s">
        <v>137</v>
      </c>
      <c r="U6" s="52"/>
      <c r="V6" s="50"/>
      <c r="W6" s="51" t="s">
        <v>45</v>
      </c>
      <c r="X6" s="38"/>
    </row>
    <row r="7" spans="1:24">
      <c r="A7" s="38">
        <v>6</v>
      </c>
      <c r="B7" s="38" t="s">
        <v>92</v>
      </c>
      <c r="C7" s="39" t="s">
        <v>73</v>
      </c>
      <c r="D7" s="38" t="s">
        <v>141</v>
      </c>
      <c r="E7" s="40" t="s">
        <v>142</v>
      </c>
      <c r="F7" s="41" t="s">
        <v>143</v>
      </c>
      <c r="G7" s="42" t="s">
        <v>144</v>
      </c>
      <c r="H7" s="53" t="s">
        <v>145</v>
      </c>
      <c r="I7" s="44"/>
      <c r="J7" s="38">
        <f>1.7*1000</f>
        <v>1700</v>
      </c>
      <c r="K7" s="45">
        <v>3.9930555555555561E-3</v>
      </c>
      <c r="L7" s="46" t="s">
        <v>113</v>
      </c>
      <c r="M7" s="38"/>
      <c r="N7" s="38"/>
      <c r="O7" s="38"/>
      <c r="P7" s="47">
        <v>42990</v>
      </c>
      <c r="Q7" s="38"/>
      <c r="R7" s="48" t="s">
        <v>42</v>
      </c>
      <c r="S7" s="48" t="s">
        <v>42</v>
      </c>
      <c r="T7" s="48" t="s">
        <v>42</v>
      </c>
      <c r="U7" s="52"/>
      <c r="V7" s="50"/>
      <c r="W7" s="51" t="s">
        <v>45</v>
      </c>
      <c r="X7" s="38" t="s">
        <v>146</v>
      </c>
    </row>
    <row r="8" spans="1:24">
      <c r="A8" s="38">
        <v>7</v>
      </c>
      <c r="B8" s="38" t="s">
        <v>92</v>
      </c>
      <c r="C8" s="39" t="s">
        <v>124</v>
      </c>
      <c r="D8" s="38" t="s">
        <v>147</v>
      </c>
      <c r="E8" s="40" t="s">
        <v>148</v>
      </c>
      <c r="F8" s="41" t="s">
        <v>149</v>
      </c>
      <c r="G8" s="42" t="s">
        <v>150</v>
      </c>
      <c r="H8" s="43" t="s">
        <v>151</v>
      </c>
      <c r="I8" s="44"/>
      <c r="J8" s="38">
        <f>5.1*1000</f>
        <v>5100</v>
      </c>
      <c r="K8" s="45">
        <v>3.3680555555555551E-3</v>
      </c>
      <c r="L8" s="46" t="s">
        <v>113</v>
      </c>
      <c r="M8" s="38"/>
      <c r="N8" s="38"/>
      <c r="O8" s="38"/>
      <c r="P8" s="47">
        <v>42990</v>
      </c>
      <c r="Q8" s="38"/>
      <c r="R8" s="48" t="s">
        <v>42</v>
      </c>
      <c r="S8" s="48" t="s">
        <v>42</v>
      </c>
      <c r="T8" s="48" t="s">
        <v>42</v>
      </c>
      <c r="U8" s="52"/>
      <c r="V8" s="50"/>
      <c r="W8" s="51" t="s">
        <v>45</v>
      </c>
      <c r="X8" s="38"/>
    </row>
    <row r="9" spans="1:24">
      <c r="A9" s="38">
        <v>8</v>
      </c>
      <c r="B9" s="38" t="s">
        <v>92</v>
      </c>
      <c r="C9" s="39" t="s">
        <v>124</v>
      </c>
      <c r="D9" s="38" t="s">
        <v>152</v>
      </c>
      <c r="E9" s="40" t="s">
        <v>153</v>
      </c>
      <c r="F9" s="41" t="s">
        <v>154</v>
      </c>
      <c r="G9" s="42" t="s">
        <v>155</v>
      </c>
      <c r="H9" s="43" t="s">
        <v>156</v>
      </c>
      <c r="I9" s="44" t="s">
        <v>157</v>
      </c>
      <c r="J9" s="38">
        <f>1.9*1000</f>
        <v>1900</v>
      </c>
      <c r="K9" s="45">
        <v>1.037037037037037E-2</v>
      </c>
      <c r="L9" s="46" t="s">
        <v>113</v>
      </c>
      <c r="M9" s="38"/>
      <c r="N9" s="38"/>
      <c r="O9" s="38"/>
      <c r="P9" s="47">
        <v>42990</v>
      </c>
      <c r="Q9" s="38"/>
      <c r="R9" s="48" t="s">
        <v>158</v>
      </c>
      <c r="S9" s="48" t="s">
        <v>42</v>
      </c>
      <c r="T9" s="48" t="s">
        <v>42</v>
      </c>
      <c r="U9" s="52"/>
      <c r="V9" s="50"/>
      <c r="W9" s="51" t="s">
        <v>45</v>
      </c>
      <c r="X9" s="38" t="s">
        <v>159</v>
      </c>
    </row>
    <row r="10" spans="1:24">
      <c r="A10" s="38"/>
      <c r="B10" s="38" t="s">
        <v>92</v>
      </c>
      <c r="C10" s="39" t="s">
        <v>124</v>
      </c>
      <c r="D10" s="38"/>
      <c r="E10" s="40"/>
      <c r="F10" s="41"/>
      <c r="G10" s="42"/>
      <c r="H10" s="43" t="s">
        <v>160</v>
      </c>
      <c r="I10" s="44"/>
      <c r="J10" s="38"/>
      <c r="K10" s="45"/>
      <c r="L10" s="46"/>
      <c r="M10" s="45">
        <v>2.0254629629629629E-3</v>
      </c>
      <c r="N10" s="45">
        <v>4.0393518518518521E-3</v>
      </c>
      <c r="O10" s="45">
        <f>N10-M10</f>
        <v>2.0138888888888893E-3</v>
      </c>
      <c r="P10" s="47">
        <v>42990</v>
      </c>
      <c r="Q10" s="54" t="str">
        <f>HYPERLINK(REPLACE($D$9,25,8,"embed/")&amp;"?start="&amp;MINUTE(M10)*60+SECOND(M10)&amp;"&amp;end="&amp;MINUTE(N10)*60+SECOND(N10)&amp;"&amp;autoplay=1")</f>
        <v>https://www.youtube.com/embed/mjFek0gF97s?start=175&amp;end=349&amp;autoplay=1</v>
      </c>
      <c r="R10" s="48" t="s">
        <v>42</v>
      </c>
      <c r="S10" s="48" t="s">
        <v>158</v>
      </c>
      <c r="T10" s="48" t="s">
        <v>42</v>
      </c>
      <c r="U10" s="52"/>
      <c r="V10" s="50"/>
      <c r="W10" s="51" t="s">
        <v>45</v>
      </c>
      <c r="X10" s="38" t="s">
        <v>164</v>
      </c>
    </row>
    <row r="11" spans="1:24">
      <c r="A11" s="38">
        <v>9</v>
      </c>
      <c r="B11" s="38" t="s">
        <v>92</v>
      </c>
      <c r="C11" s="39" t="s">
        <v>124</v>
      </c>
      <c r="D11" s="38" t="s">
        <v>161</v>
      </c>
      <c r="E11" s="40" t="s">
        <v>162</v>
      </c>
      <c r="F11" s="41" t="s">
        <v>163</v>
      </c>
      <c r="G11" s="42" t="s">
        <v>144</v>
      </c>
      <c r="H11" s="43" t="s">
        <v>165</v>
      </c>
      <c r="I11" s="44" t="s">
        <v>166</v>
      </c>
      <c r="J11" s="38">
        <f>1.7*1000</f>
        <v>1700</v>
      </c>
      <c r="K11" s="45">
        <v>3.472222222222222E-3</v>
      </c>
      <c r="L11" s="46" t="s">
        <v>113</v>
      </c>
      <c r="M11" s="38"/>
      <c r="N11" s="38"/>
      <c r="O11" s="38"/>
      <c r="P11" s="47">
        <v>42990</v>
      </c>
      <c r="Q11" s="54"/>
      <c r="R11" s="48" t="s">
        <v>42</v>
      </c>
      <c r="S11" s="48" t="s">
        <v>42</v>
      </c>
      <c r="T11" s="48" t="s">
        <v>42</v>
      </c>
      <c r="U11" s="52"/>
      <c r="V11" s="50"/>
      <c r="W11" s="51" t="s">
        <v>71</v>
      </c>
      <c r="X11" s="38" t="s">
        <v>2507</v>
      </c>
    </row>
    <row r="12" spans="1:24">
      <c r="A12" s="38">
        <v>10</v>
      </c>
      <c r="B12" s="38" t="s">
        <v>92</v>
      </c>
      <c r="C12" s="39" t="s">
        <v>124</v>
      </c>
      <c r="D12" s="38" t="s">
        <v>168</v>
      </c>
      <c r="E12" s="40" t="s">
        <v>169</v>
      </c>
      <c r="F12" s="41" t="s">
        <v>170</v>
      </c>
      <c r="G12" s="42">
        <v>490</v>
      </c>
      <c r="H12" s="43" t="s">
        <v>171</v>
      </c>
      <c r="I12" s="44" t="s">
        <v>172</v>
      </c>
      <c r="J12" s="38">
        <f>490</f>
        <v>490</v>
      </c>
      <c r="K12" s="45">
        <v>3.0324074074074073E-3</v>
      </c>
      <c r="L12" s="46" t="s">
        <v>113</v>
      </c>
      <c r="M12" s="38"/>
      <c r="N12" s="38"/>
      <c r="O12" s="38"/>
      <c r="P12" s="47">
        <v>42990</v>
      </c>
      <c r="Q12" s="38"/>
      <c r="R12" s="48" t="s">
        <v>42</v>
      </c>
      <c r="S12" s="48" t="s">
        <v>42</v>
      </c>
      <c r="T12" s="48" t="s">
        <v>42</v>
      </c>
      <c r="U12" s="52"/>
      <c r="V12" s="50"/>
      <c r="W12" s="51" t="s">
        <v>71</v>
      </c>
      <c r="X12" s="38"/>
    </row>
    <row r="13" spans="1:24">
      <c r="A13" s="38"/>
      <c r="B13" s="38" t="s">
        <v>92</v>
      </c>
      <c r="C13" s="39" t="s">
        <v>124</v>
      </c>
      <c r="D13" s="38"/>
      <c r="E13" s="40"/>
      <c r="F13" s="41"/>
      <c r="G13" s="42"/>
      <c r="H13" s="43" t="s">
        <v>173</v>
      </c>
      <c r="I13" s="44"/>
      <c r="J13" s="38"/>
      <c r="K13" s="45"/>
      <c r="L13" s="46"/>
      <c r="M13" s="45">
        <v>1.0300925925925926E-3</v>
      </c>
      <c r="N13" s="45">
        <v>1.4467592592592594E-3</v>
      </c>
      <c r="O13" s="45">
        <f>N13-M13</f>
        <v>4.1666666666666675E-4</v>
      </c>
      <c r="P13" s="47">
        <v>42990</v>
      </c>
      <c r="Q13" s="54" t="str">
        <f>HYPERLINK(REPLACE($D$12,25,8,"embed/")&amp;"?start="&amp;MINUTE(M13)*60+SECOND(M13)&amp;"&amp;end="&amp;MINUTE(N13)*60+SECOND(N13)&amp;"&amp;autoplay=1")</f>
        <v>https://www.youtube.com/embed/Kxuiy8OL30w?start=89&amp;end=125&amp;autoplay=1</v>
      </c>
      <c r="R13" s="48" t="s">
        <v>42</v>
      </c>
      <c r="S13" s="48" t="s">
        <v>42</v>
      </c>
      <c r="T13" s="48" t="s">
        <v>42</v>
      </c>
      <c r="U13" s="52"/>
      <c r="V13" s="50"/>
      <c r="W13" s="51" t="s">
        <v>71</v>
      </c>
      <c r="X13" s="38"/>
    </row>
    <row r="14" spans="1:24">
      <c r="A14" s="38">
        <v>11</v>
      </c>
      <c r="B14" s="38" t="s">
        <v>92</v>
      </c>
      <c r="C14" s="39" t="s">
        <v>124</v>
      </c>
      <c r="D14" s="38" t="s">
        <v>174</v>
      </c>
      <c r="E14" s="40" t="s">
        <v>175</v>
      </c>
      <c r="F14" s="41" t="s">
        <v>176</v>
      </c>
      <c r="G14" s="42">
        <v>551</v>
      </c>
      <c r="H14" s="43" t="s">
        <v>178</v>
      </c>
      <c r="I14" s="44" t="s">
        <v>179</v>
      </c>
      <c r="J14" s="38">
        <f>551</f>
        <v>551</v>
      </c>
      <c r="K14" s="45">
        <v>2.4189814814814816E-3</v>
      </c>
      <c r="L14" s="46" t="s">
        <v>113</v>
      </c>
      <c r="M14" s="38"/>
      <c r="N14" s="38"/>
      <c r="O14" s="38"/>
      <c r="P14" s="47">
        <v>42991</v>
      </c>
      <c r="Q14" s="38"/>
      <c r="R14" s="48" t="s">
        <v>42</v>
      </c>
      <c r="S14" s="48" t="s">
        <v>42</v>
      </c>
      <c r="T14" s="48" t="s">
        <v>42</v>
      </c>
      <c r="U14" s="52"/>
      <c r="V14" s="50"/>
      <c r="W14" s="51" t="s">
        <v>45</v>
      </c>
      <c r="X14" s="38" t="s">
        <v>146</v>
      </c>
    </row>
    <row r="15" spans="1:24">
      <c r="A15" s="38">
        <v>12</v>
      </c>
      <c r="B15" s="38" t="s">
        <v>92</v>
      </c>
      <c r="C15" s="39" t="s">
        <v>124</v>
      </c>
      <c r="D15" s="38" t="s">
        <v>177</v>
      </c>
      <c r="E15" s="40" t="s">
        <v>180</v>
      </c>
      <c r="F15" s="41" t="s">
        <v>181</v>
      </c>
      <c r="G15" s="42">
        <v>384</v>
      </c>
      <c r="H15" s="44" t="s">
        <v>185</v>
      </c>
      <c r="I15" s="43" t="s">
        <v>186</v>
      </c>
      <c r="J15" s="43">
        <v>384</v>
      </c>
      <c r="K15" s="45">
        <v>2.2222222222222222E-3</v>
      </c>
      <c r="L15" s="46" t="s">
        <v>113</v>
      </c>
      <c r="M15" s="38"/>
      <c r="N15" s="38"/>
      <c r="O15" s="38"/>
      <c r="P15" s="47">
        <v>42991</v>
      </c>
      <c r="Q15" s="38"/>
      <c r="R15" s="48" t="s">
        <v>42</v>
      </c>
      <c r="S15" s="48" t="s">
        <v>42</v>
      </c>
      <c r="T15" s="48" t="s">
        <v>42</v>
      </c>
      <c r="U15" s="52"/>
      <c r="V15" s="50"/>
      <c r="W15" s="51" t="s">
        <v>45</v>
      </c>
      <c r="X15" s="38" t="s">
        <v>146</v>
      </c>
    </row>
    <row r="16" spans="1:24">
      <c r="A16" s="38">
        <v>13</v>
      </c>
      <c r="B16" s="38" t="s">
        <v>92</v>
      </c>
      <c r="C16" s="39" t="s">
        <v>124</v>
      </c>
      <c r="D16" s="38" t="s">
        <v>182</v>
      </c>
      <c r="E16" s="40" t="s">
        <v>183</v>
      </c>
      <c r="F16" s="41" t="s">
        <v>184</v>
      </c>
      <c r="G16" s="42" t="s">
        <v>187</v>
      </c>
      <c r="H16" s="38" t="s">
        <v>188</v>
      </c>
      <c r="I16" s="44" t="s">
        <v>189</v>
      </c>
      <c r="J16" s="38">
        <f>1.5*1000</f>
        <v>1500</v>
      </c>
      <c r="K16" s="45">
        <v>3.530092592592592E-3</v>
      </c>
      <c r="L16" s="46" t="s">
        <v>113</v>
      </c>
      <c r="M16" s="38"/>
      <c r="N16" s="38"/>
      <c r="O16" s="38"/>
      <c r="P16" s="47">
        <v>42991</v>
      </c>
      <c r="Q16" s="38"/>
      <c r="R16" s="48" t="s">
        <v>42</v>
      </c>
      <c r="S16" s="48" t="s">
        <v>42</v>
      </c>
      <c r="T16" s="48" t="s">
        <v>42</v>
      </c>
      <c r="U16" s="52"/>
      <c r="V16" s="50"/>
      <c r="W16" s="51" t="s">
        <v>45</v>
      </c>
      <c r="X16" s="38" t="s">
        <v>146</v>
      </c>
    </row>
    <row r="17" spans="1:24">
      <c r="A17" s="38">
        <v>14</v>
      </c>
      <c r="B17" s="38" t="s">
        <v>92</v>
      </c>
      <c r="C17" s="39" t="s">
        <v>124</v>
      </c>
      <c r="D17" s="38" t="s">
        <v>190</v>
      </c>
      <c r="E17" s="40" t="s">
        <v>191</v>
      </c>
      <c r="F17" s="41" t="s">
        <v>192</v>
      </c>
      <c r="G17" s="42">
        <v>595</v>
      </c>
      <c r="H17" s="43" t="s">
        <v>193</v>
      </c>
      <c r="I17" s="44"/>
      <c r="J17" s="38">
        <f>595</f>
        <v>595</v>
      </c>
      <c r="K17" s="45">
        <v>4.0740740740740746E-3</v>
      </c>
      <c r="L17" s="46" t="s">
        <v>113</v>
      </c>
      <c r="M17" s="38"/>
      <c r="N17" s="38"/>
      <c r="O17" s="38"/>
      <c r="P17" s="47">
        <v>42991</v>
      </c>
      <c r="Q17" s="38"/>
      <c r="R17" s="48" t="s">
        <v>42</v>
      </c>
      <c r="S17" s="48" t="s">
        <v>42</v>
      </c>
      <c r="T17" s="48" t="s">
        <v>42</v>
      </c>
      <c r="U17" s="52"/>
      <c r="V17" s="50"/>
      <c r="W17" s="51" t="s">
        <v>45</v>
      </c>
      <c r="X17" s="38" t="s">
        <v>146</v>
      </c>
    </row>
    <row r="18" spans="1:24">
      <c r="A18" s="38">
        <v>15</v>
      </c>
      <c r="B18" s="38" t="s">
        <v>92</v>
      </c>
      <c r="C18" s="39" t="s">
        <v>124</v>
      </c>
      <c r="D18" s="38" t="s">
        <v>194</v>
      </c>
      <c r="E18" s="40" t="s">
        <v>195</v>
      </c>
      <c r="F18" s="41" t="s">
        <v>196</v>
      </c>
      <c r="G18" s="42">
        <v>477</v>
      </c>
      <c r="H18" s="43" t="s">
        <v>197</v>
      </c>
      <c r="I18" s="44"/>
      <c r="J18" s="38">
        <f>477</f>
        <v>477</v>
      </c>
      <c r="K18" s="45">
        <v>2.673611111111111E-3</v>
      </c>
      <c r="L18" s="46" t="s">
        <v>113</v>
      </c>
      <c r="M18" s="38"/>
      <c r="N18" s="38"/>
      <c r="O18" s="38"/>
      <c r="P18" s="47">
        <v>42991</v>
      </c>
      <c r="Q18" s="38"/>
      <c r="R18" s="48" t="s">
        <v>42</v>
      </c>
      <c r="S18" s="48" t="s">
        <v>42</v>
      </c>
      <c r="T18" s="48" t="s">
        <v>42</v>
      </c>
      <c r="U18" s="52"/>
      <c r="V18" s="50"/>
      <c r="W18" s="51" t="s">
        <v>45</v>
      </c>
      <c r="X18" s="38"/>
    </row>
    <row r="19" spans="1:24">
      <c r="A19" s="38">
        <v>16</v>
      </c>
      <c r="B19" s="38" t="s">
        <v>92</v>
      </c>
      <c r="C19" s="39" t="s">
        <v>124</v>
      </c>
      <c r="D19" s="38" t="s">
        <v>198</v>
      </c>
      <c r="E19" s="40" t="s">
        <v>199</v>
      </c>
      <c r="F19" s="41" t="s">
        <v>200</v>
      </c>
      <c r="G19" s="42">
        <v>506</v>
      </c>
      <c r="H19" s="43" t="s">
        <v>201</v>
      </c>
      <c r="I19" s="44" t="s">
        <v>202</v>
      </c>
      <c r="J19" s="38">
        <f>506</f>
        <v>506</v>
      </c>
      <c r="K19" s="45">
        <v>5.7175925925925927E-3</v>
      </c>
      <c r="L19" s="46" t="s">
        <v>113</v>
      </c>
      <c r="M19" s="38"/>
      <c r="N19" s="38"/>
      <c r="O19" s="38"/>
      <c r="P19" s="47">
        <v>42991</v>
      </c>
      <c r="Q19" s="38"/>
      <c r="R19" s="48" t="s">
        <v>42</v>
      </c>
      <c r="S19" s="48" t="s">
        <v>42</v>
      </c>
      <c r="T19" s="48" t="s">
        <v>42</v>
      </c>
      <c r="U19" s="52"/>
      <c r="V19" s="50"/>
      <c r="W19" s="51" t="s">
        <v>45</v>
      </c>
      <c r="X19" s="38" t="s">
        <v>203</v>
      </c>
    </row>
    <row r="20" spans="1:24">
      <c r="A20" s="38">
        <v>59</v>
      </c>
      <c r="B20" s="38" t="s">
        <v>92</v>
      </c>
      <c r="C20" s="38" t="s">
        <v>124</v>
      </c>
      <c r="D20" s="38" t="s">
        <v>205</v>
      </c>
      <c r="E20" s="40" t="s">
        <v>206</v>
      </c>
      <c r="F20" s="58" t="s">
        <v>208</v>
      </c>
      <c r="G20" s="42" t="s">
        <v>210</v>
      </c>
      <c r="H20" s="43"/>
      <c r="I20" s="44"/>
      <c r="J20" s="38">
        <f>3.6*1000</f>
        <v>3600</v>
      </c>
      <c r="K20" s="45">
        <v>3.6516203703703703E-2</v>
      </c>
      <c r="L20" s="46" t="s">
        <v>113</v>
      </c>
      <c r="M20" s="38"/>
      <c r="N20" s="38"/>
      <c r="O20" s="38"/>
      <c r="P20" s="47">
        <v>42989</v>
      </c>
      <c r="Q20" s="47"/>
      <c r="R20" s="59" t="s">
        <v>42</v>
      </c>
      <c r="S20" s="48" t="s">
        <v>42</v>
      </c>
      <c r="T20" s="48" t="s">
        <v>42</v>
      </c>
      <c r="U20" s="52"/>
      <c r="V20" s="50"/>
      <c r="W20" s="51" t="s">
        <v>71</v>
      </c>
      <c r="X20" s="38"/>
    </row>
    <row r="21" spans="1:24">
      <c r="A21" s="60">
        <v>59.01</v>
      </c>
      <c r="B21" s="38" t="s">
        <v>92</v>
      </c>
      <c r="C21" s="38" t="s">
        <v>124</v>
      </c>
      <c r="D21" s="38"/>
      <c r="E21" s="38"/>
      <c r="F21" s="58"/>
      <c r="G21" s="42"/>
      <c r="H21" s="38" t="s">
        <v>215</v>
      </c>
      <c r="I21" s="44" t="s">
        <v>216</v>
      </c>
      <c r="J21" s="38"/>
      <c r="K21" s="45"/>
      <c r="L21" s="46"/>
      <c r="M21" s="45">
        <v>0</v>
      </c>
      <c r="N21" s="45">
        <v>5.208333333333333E-3</v>
      </c>
      <c r="O21" s="45">
        <f t="shared" ref="O21:O34" si="0">N21-M21</f>
        <v>5.208333333333333E-3</v>
      </c>
      <c r="P21" s="47">
        <v>42989</v>
      </c>
      <c r="Q21" s="54" t="str">
        <f t="shared" ref="Q21:Q34" si="1">HYPERLINK(REPLACE($D$20,25,8,"embed/")&amp;"?start="&amp;MINUTE(M21)*60+SECOND(M21)&amp;"&amp;end="&amp;MINUTE(N21)*60+SECOND(N21)&amp;"&amp;autoplay=1")</f>
        <v>https://www.youtube.com/embed/ByaheAphduQ?start=0&amp;end=450&amp;autoplay=1</v>
      </c>
      <c r="R21" s="59" t="s">
        <v>42</v>
      </c>
      <c r="S21" s="48" t="s">
        <v>42</v>
      </c>
      <c r="T21" s="48" t="s">
        <v>42</v>
      </c>
      <c r="U21" s="52"/>
      <c r="V21" s="50"/>
      <c r="W21" s="51" t="s">
        <v>71</v>
      </c>
      <c r="X21" s="38"/>
    </row>
    <row r="22" spans="1:24">
      <c r="A22" s="60">
        <v>59.02</v>
      </c>
      <c r="B22" s="38" t="s">
        <v>92</v>
      </c>
      <c r="C22" s="38" t="s">
        <v>124</v>
      </c>
      <c r="D22" s="38"/>
      <c r="E22" s="38"/>
      <c r="F22" s="58"/>
      <c r="G22" s="42"/>
      <c r="H22" s="38" t="s">
        <v>223</v>
      </c>
      <c r="I22" s="44" t="s">
        <v>224</v>
      </c>
      <c r="J22" s="38"/>
      <c r="K22" s="45"/>
      <c r="L22" s="46"/>
      <c r="M22" s="45">
        <v>6.1921296296296299E-3</v>
      </c>
      <c r="N22" s="45">
        <v>1.1064814814814814E-2</v>
      </c>
      <c r="O22" s="45">
        <f t="shared" si="0"/>
        <v>4.8726851851851839E-3</v>
      </c>
      <c r="P22" s="47">
        <v>42989</v>
      </c>
      <c r="Q22" s="54" t="str">
        <f t="shared" si="1"/>
        <v>https://www.youtube.com/embed/ByaheAphduQ?start=535&amp;end=956&amp;autoplay=1</v>
      </c>
      <c r="R22" s="59" t="s">
        <v>42</v>
      </c>
      <c r="S22" s="48" t="s">
        <v>42</v>
      </c>
      <c r="T22" s="48" t="s">
        <v>42</v>
      </c>
      <c r="U22" s="52"/>
      <c r="V22" s="50"/>
      <c r="W22" s="51" t="s">
        <v>71</v>
      </c>
      <c r="X22" s="38"/>
    </row>
    <row r="23" spans="1:24">
      <c r="A23" s="60">
        <v>59.03</v>
      </c>
      <c r="B23" s="38" t="s">
        <v>92</v>
      </c>
      <c r="C23" s="38" t="s">
        <v>124</v>
      </c>
      <c r="D23" s="38"/>
      <c r="E23" s="38"/>
      <c r="F23" s="58"/>
      <c r="G23" s="42"/>
      <c r="H23" s="38" t="s">
        <v>227</v>
      </c>
      <c r="I23" s="57" t="s">
        <v>228</v>
      </c>
      <c r="J23" s="38"/>
      <c r="K23" s="45"/>
      <c r="L23" s="46"/>
      <c r="M23" s="45">
        <v>1.2615740740740742E-2</v>
      </c>
      <c r="N23" s="45">
        <v>1.3877314814814815E-2</v>
      </c>
      <c r="O23" s="45">
        <f t="shared" si="0"/>
        <v>1.2615740740740729E-3</v>
      </c>
      <c r="P23" s="47">
        <v>42989</v>
      </c>
      <c r="Q23" s="54" t="str">
        <f t="shared" si="1"/>
        <v>https://www.youtube.com/embed/ByaheAphduQ?start=1090&amp;end=1199&amp;autoplay=1</v>
      </c>
      <c r="R23" s="59" t="s">
        <v>42</v>
      </c>
      <c r="S23" s="48" t="s">
        <v>42</v>
      </c>
      <c r="T23" s="48" t="s">
        <v>42</v>
      </c>
      <c r="U23" s="52"/>
      <c r="V23" s="50"/>
      <c r="W23" s="51" t="s">
        <v>71</v>
      </c>
      <c r="X23" s="38"/>
    </row>
    <row r="24" spans="1:24">
      <c r="A24" s="60">
        <v>59.04</v>
      </c>
      <c r="B24" s="38" t="s">
        <v>92</v>
      </c>
      <c r="C24" s="38" t="s">
        <v>124</v>
      </c>
      <c r="D24" s="38"/>
      <c r="E24" s="38"/>
      <c r="F24" s="58"/>
      <c r="G24" s="42"/>
      <c r="H24" s="38" t="s">
        <v>233</v>
      </c>
      <c r="I24" s="44" t="s">
        <v>234</v>
      </c>
      <c r="J24" s="38"/>
      <c r="K24" s="45"/>
      <c r="L24" s="46"/>
      <c r="M24" s="45">
        <v>1.3946759259259258E-2</v>
      </c>
      <c r="N24" s="45">
        <v>1.4814814814814814E-2</v>
      </c>
      <c r="O24" s="45">
        <f t="shared" si="0"/>
        <v>8.6805555555555594E-4</v>
      </c>
      <c r="P24" s="47">
        <v>42989</v>
      </c>
      <c r="Q24" s="54" t="str">
        <f t="shared" si="1"/>
        <v>https://www.youtube.com/embed/ByaheAphduQ?start=1205&amp;end=1280&amp;autoplay=1</v>
      </c>
      <c r="R24" s="59" t="s">
        <v>42</v>
      </c>
      <c r="S24" s="48" t="s">
        <v>42</v>
      </c>
      <c r="T24" s="48" t="s">
        <v>42</v>
      </c>
      <c r="U24" s="52"/>
      <c r="V24" s="50"/>
      <c r="W24" s="51" t="s">
        <v>71</v>
      </c>
      <c r="X24" s="38"/>
    </row>
    <row r="25" spans="1:24">
      <c r="A25" s="60">
        <v>59.05</v>
      </c>
      <c r="B25" s="38" t="s">
        <v>92</v>
      </c>
      <c r="C25" s="38" t="s">
        <v>124</v>
      </c>
      <c r="D25" s="38"/>
      <c r="E25" s="38"/>
      <c r="F25" s="58"/>
      <c r="G25" s="42"/>
      <c r="H25" s="38" t="s">
        <v>240</v>
      </c>
      <c r="I25" s="57" t="s">
        <v>241</v>
      </c>
      <c r="J25" s="38"/>
      <c r="K25" s="45"/>
      <c r="L25" s="46"/>
      <c r="M25" s="45">
        <v>1.4837962962962963E-2</v>
      </c>
      <c r="N25" s="45">
        <v>1.6319444444444445E-2</v>
      </c>
      <c r="O25" s="45">
        <f t="shared" si="0"/>
        <v>1.4814814814814829E-3</v>
      </c>
      <c r="P25" s="47">
        <v>42989</v>
      </c>
      <c r="Q25" s="54" t="str">
        <f t="shared" si="1"/>
        <v>https://www.youtube.com/embed/ByaheAphduQ?start=1282&amp;end=1410&amp;autoplay=1</v>
      </c>
      <c r="R25" s="59" t="s">
        <v>42</v>
      </c>
      <c r="S25" s="48" t="s">
        <v>42</v>
      </c>
      <c r="T25" s="48" t="s">
        <v>42</v>
      </c>
      <c r="U25" s="52"/>
      <c r="V25" s="50"/>
      <c r="W25" s="51" t="s">
        <v>71</v>
      </c>
      <c r="X25" s="38"/>
    </row>
    <row r="26" spans="1:24">
      <c r="A26" s="60">
        <v>59.06</v>
      </c>
      <c r="B26" s="38" t="s">
        <v>92</v>
      </c>
      <c r="C26" s="38" t="s">
        <v>124</v>
      </c>
      <c r="D26" s="38"/>
      <c r="E26" s="38"/>
      <c r="F26" s="58"/>
      <c r="G26" s="42"/>
      <c r="H26" s="38" t="s">
        <v>245</v>
      </c>
      <c r="I26" s="57"/>
      <c r="J26" s="38"/>
      <c r="K26" s="45"/>
      <c r="L26" s="46"/>
      <c r="M26" s="45">
        <v>1.6782407407407409E-2</v>
      </c>
      <c r="N26" s="45">
        <v>1.8749999999999999E-2</v>
      </c>
      <c r="O26" s="45">
        <f t="shared" si="0"/>
        <v>1.9675925925925902E-3</v>
      </c>
      <c r="P26" s="47">
        <v>42989</v>
      </c>
      <c r="Q26" s="54" t="str">
        <f t="shared" si="1"/>
        <v>https://www.youtube.com/embed/ByaheAphduQ?start=1450&amp;end=1620&amp;autoplay=1</v>
      </c>
      <c r="R26" s="59" t="s">
        <v>42</v>
      </c>
      <c r="S26" s="48" t="s">
        <v>42</v>
      </c>
      <c r="T26" s="48" t="s">
        <v>42</v>
      </c>
      <c r="U26" s="52"/>
      <c r="V26" s="50"/>
      <c r="W26" s="51" t="s">
        <v>71</v>
      </c>
      <c r="X26" s="38"/>
    </row>
    <row r="27" spans="1:24">
      <c r="A27" s="60">
        <v>59.07</v>
      </c>
      <c r="B27" s="38" t="s">
        <v>92</v>
      </c>
      <c r="C27" s="38" t="s">
        <v>124</v>
      </c>
      <c r="D27" s="38"/>
      <c r="E27" s="38"/>
      <c r="F27" s="58"/>
      <c r="G27" s="42"/>
      <c r="H27" s="38" t="s">
        <v>251</v>
      </c>
      <c r="I27" s="44"/>
      <c r="J27" s="38"/>
      <c r="K27" s="45"/>
      <c r="L27" s="46"/>
      <c r="M27" s="45">
        <v>1.9490740740740743E-2</v>
      </c>
      <c r="N27" s="45">
        <v>2.071759259259259E-2</v>
      </c>
      <c r="O27" s="45">
        <f t="shared" si="0"/>
        <v>1.226851851851847E-3</v>
      </c>
      <c r="P27" s="47">
        <v>42989</v>
      </c>
      <c r="Q27" s="54" t="str">
        <f t="shared" si="1"/>
        <v>https://www.youtube.com/embed/ByaheAphduQ?start=1684&amp;end=1790&amp;autoplay=1</v>
      </c>
      <c r="R27" s="59" t="s">
        <v>42</v>
      </c>
      <c r="S27" s="48" t="s">
        <v>42</v>
      </c>
      <c r="T27" s="48" t="s">
        <v>42</v>
      </c>
      <c r="U27" s="52"/>
      <c r="V27" s="50"/>
      <c r="W27" s="51" t="s">
        <v>71</v>
      </c>
      <c r="X27" s="38"/>
    </row>
    <row r="28" spans="1:24">
      <c r="A28" s="60">
        <v>59.08</v>
      </c>
      <c r="B28" s="38" t="s">
        <v>92</v>
      </c>
      <c r="C28" s="38" t="s">
        <v>124</v>
      </c>
      <c r="D28" s="38"/>
      <c r="E28" s="38"/>
      <c r="F28" s="58"/>
      <c r="G28" s="42"/>
      <c r="H28" s="38" t="s">
        <v>257</v>
      </c>
      <c r="I28" s="44" t="s">
        <v>258</v>
      </c>
      <c r="J28" s="38"/>
      <c r="K28" s="45"/>
      <c r="L28" s="46"/>
      <c r="M28" s="45">
        <v>2.1122685185185185E-2</v>
      </c>
      <c r="N28" s="45">
        <v>2.1701388888888892E-2</v>
      </c>
      <c r="O28" s="45">
        <f t="shared" si="0"/>
        <v>5.7870370370370627E-4</v>
      </c>
      <c r="P28" s="47">
        <v>42989</v>
      </c>
      <c r="Q28" s="54" t="str">
        <f t="shared" si="1"/>
        <v>https://www.youtube.com/embed/ByaheAphduQ?start=1825&amp;end=1875&amp;autoplay=1</v>
      </c>
      <c r="R28" s="59" t="s">
        <v>42</v>
      </c>
      <c r="S28" s="48" t="s">
        <v>42</v>
      </c>
      <c r="T28" s="48" t="s">
        <v>42</v>
      </c>
      <c r="U28" s="52"/>
      <c r="V28" s="50"/>
      <c r="W28" s="51" t="s">
        <v>71</v>
      </c>
      <c r="X28" s="38"/>
    </row>
    <row r="29" spans="1:24">
      <c r="A29" s="60">
        <v>59.09</v>
      </c>
      <c r="B29" s="38" t="s">
        <v>92</v>
      </c>
      <c r="C29" s="38" t="s">
        <v>124</v>
      </c>
      <c r="D29" s="38"/>
      <c r="E29" s="38"/>
      <c r="F29" s="58"/>
      <c r="G29" s="42"/>
      <c r="H29" s="38" t="s">
        <v>261</v>
      </c>
      <c r="I29" s="44" t="s">
        <v>262</v>
      </c>
      <c r="J29" s="38"/>
      <c r="K29" s="45"/>
      <c r="L29" s="46"/>
      <c r="M29" s="45">
        <v>2.2800925925925929E-2</v>
      </c>
      <c r="N29" s="45">
        <v>2.4212962962962964E-2</v>
      </c>
      <c r="O29" s="45">
        <f t="shared" si="0"/>
        <v>1.4120370370370346E-3</v>
      </c>
      <c r="P29" s="47">
        <v>42989</v>
      </c>
      <c r="Q29" s="54" t="str">
        <f t="shared" si="1"/>
        <v>https://www.youtube.com/embed/ByaheAphduQ?start=1970&amp;end=2092&amp;autoplay=1</v>
      </c>
      <c r="R29" s="59" t="s">
        <v>42</v>
      </c>
      <c r="S29" s="48" t="s">
        <v>42</v>
      </c>
      <c r="T29" s="48" t="s">
        <v>42</v>
      </c>
      <c r="U29" s="52"/>
      <c r="V29" s="50"/>
      <c r="W29" s="51" t="s">
        <v>71</v>
      </c>
      <c r="X29" s="38"/>
    </row>
    <row r="30" spans="1:24">
      <c r="A30" s="60">
        <v>59.1</v>
      </c>
      <c r="B30" s="38" t="s">
        <v>92</v>
      </c>
      <c r="C30" s="38" t="s">
        <v>124</v>
      </c>
      <c r="D30" s="38"/>
      <c r="E30" s="38"/>
      <c r="F30" s="58"/>
      <c r="G30" s="42"/>
      <c r="H30" s="38" t="s">
        <v>265</v>
      </c>
      <c r="I30" s="44"/>
      <c r="J30" s="38"/>
      <c r="K30" s="45"/>
      <c r="L30" s="46"/>
      <c r="M30" s="45">
        <v>2.4999999999999998E-2</v>
      </c>
      <c r="N30" s="45">
        <v>2.659722222222222E-2</v>
      </c>
      <c r="O30" s="45">
        <f t="shared" si="0"/>
        <v>1.5972222222222221E-3</v>
      </c>
      <c r="P30" s="47">
        <v>42989</v>
      </c>
      <c r="Q30" s="54" t="str">
        <f t="shared" si="1"/>
        <v>https://www.youtube.com/embed/ByaheAphduQ?start=2160&amp;end=2298&amp;autoplay=1</v>
      </c>
      <c r="R30" s="59" t="s">
        <v>42</v>
      </c>
      <c r="S30" s="48" t="s">
        <v>42</v>
      </c>
      <c r="T30" s="48" t="s">
        <v>42</v>
      </c>
      <c r="U30" s="52"/>
      <c r="V30" s="50"/>
      <c r="W30" s="51" t="s">
        <v>71</v>
      </c>
      <c r="X30" s="38"/>
    </row>
    <row r="31" spans="1:24">
      <c r="A31" s="60">
        <v>59.11</v>
      </c>
      <c r="B31" s="38" t="s">
        <v>92</v>
      </c>
      <c r="C31" s="38" t="s">
        <v>124</v>
      </c>
      <c r="D31" s="38"/>
      <c r="E31" s="38"/>
      <c r="F31" s="58"/>
      <c r="G31" s="42"/>
      <c r="H31" s="38" t="s">
        <v>271</v>
      </c>
      <c r="I31" s="44"/>
      <c r="J31" s="38"/>
      <c r="K31" s="45"/>
      <c r="L31" s="46"/>
      <c r="M31" s="45">
        <v>2.6736111111111113E-2</v>
      </c>
      <c r="N31" s="45">
        <v>2.9571759259259259E-2</v>
      </c>
      <c r="O31" s="45">
        <f t="shared" si="0"/>
        <v>2.8356481481481462E-3</v>
      </c>
      <c r="P31" s="47">
        <v>42989</v>
      </c>
      <c r="Q31" s="54" t="str">
        <f t="shared" si="1"/>
        <v>https://www.youtube.com/embed/ByaheAphduQ?start=2310&amp;end=2555&amp;autoplay=1</v>
      </c>
      <c r="R31" s="59" t="s">
        <v>42</v>
      </c>
      <c r="S31" s="48" t="s">
        <v>42</v>
      </c>
      <c r="T31" s="48" t="s">
        <v>42</v>
      </c>
      <c r="U31" s="52"/>
      <c r="V31" s="50"/>
      <c r="W31" s="51" t="s">
        <v>71</v>
      </c>
      <c r="X31" s="38"/>
    </row>
    <row r="32" spans="1:24">
      <c r="A32" s="60">
        <v>59.120000000000097</v>
      </c>
      <c r="B32" s="38" t="s">
        <v>92</v>
      </c>
      <c r="C32" s="38" t="s">
        <v>124</v>
      </c>
      <c r="D32" s="38"/>
      <c r="E32" s="38"/>
      <c r="F32" s="58"/>
      <c r="G32" s="42"/>
      <c r="H32" s="38" t="s">
        <v>277</v>
      </c>
      <c r="I32" s="44"/>
      <c r="J32" s="38"/>
      <c r="K32" s="45"/>
      <c r="L32" s="46"/>
      <c r="M32" s="45">
        <v>3.0034722222222223E-2</v>
      </c>
      <c r="N32" s="45">
        <v>3.0671296296296294E-2</v>
      </c>
      <c r="O32" s="45">
        <f t="shared" si="0"/>
        <v>6.3657407407407066E-4</v>
      </c>
      <c r="P32" s="47">
        <v>42989</v>
      </c>
      <c r="Q32" s="54" t="str">
        <f t="shared" si="1"/>
        <v>https://www.youtube.com/embed/ByaheAphduQ?start=2595&amp;end=2650&amp;autoplay=1</v>
      </c>
      <c r="R32" s="59" t="s">
        <v>42</v>
      </c>
      <c r="S32" s="48" t="s">
        <v>42</v>
      </c>
      <c r="T32" s="48" t="s">
        <v>42</v>
      </c>
      <c r="U32" s="52"/>
      <c r="V32" s="50"/>
      <c r="W32" s="51" t="s">
        <v>71</v>
      </c>
      <c r="X32" s="38"/>
    </row>
    <row r="33" spans="1:24">
      <c r="A33" s="60">
        <v>59.130000000000102</v>
      </c>
      <c r="B33" s="38" t="s">
        <v>92</v>
      </c>
      <c r="C33" s="38" t="s">
        <v>124</v>
      </c>
      <c r="D33" s="38"/>
      <c r="E33" s="38"/>
      <c r="F33" s="58"/>
      <c r="G33" s="42"/>
      <c r="H33" s="38" t="s">
        <v>283</v>
      </c>
      <c r="I33" s="44" t="s">
        <v>284</v>
      </c>
      <c r="J33" s="38"/>
      <c r="K33" s="45"/>
      <c r="L33" s="46"/>
      <c r="M33" s="45">
        <v>3.1944444444444449E-2</v>
      </c>
      <c r="N33" s="45">
        <v>3.3912037037037039E-2</v>
      </c>
      <c r="O33" s="45">
        <f t="shared" si="0"/>
        <v>1.9675925925925902E-3</v>
      </c>
      <c r="P33" s="47">
        <v>42989</v>
      </c>
      <c r="Q33" s="54" t="str">
        <f t="shared" si="1"/>
        <v>https://www.youtube.com/embed/ByaheAphduQ?start=2760&amp;end=2930&amp;autoplay=1</v>
      </c>
      <c r="R33" s="59" t="s">
        <v>42</v>
      </c>
      <c r="S33" s="48" t="s">
        <v>42</v>
      </c>
      <c r="T33" s="48" t="s">
        <v>42</v>
      </c>
      <c r="U33" s="52"/>
      <c r="V33" s="50"/>
      <c r="W33" s="51" t="s">
        <v>71</v>
      </c>
      <c r="X33" s="38"/>
    </row>
    <row r="34" spans="1:24">
      <c r="A34" s="60">
        <v>59.1400000000001</v>
      </c>
      <c r="B34" s="38" t="s">
        <v>92</v>
      </c>
      <c r="C34" s="38" t="s">
        <v>124</v>
      </c>
      <c r="D34" s="38"/>
      <c r="E34" s="38"/>
      <c r="F34" s="58"/>
      <c r="G34" s="42"/>
      <c r="H34" s="38" t="s">
        <v>289</v>
      </c>
      <c r="I34" s="44" t="s">
        <v>291</v>
      </c>
      <c r="J34" s="38"/>
      <c r="K34" s="45"/>
      <c r="L34" s="46"/>
      <c r="M34" s="45">
        <v>3.4606481481481481E-2</v>
      </c>
      <c r="N34" s="45">
        <v>3.5196759259259254E-2</v>
      </c>
      <c r="O34" s="45">
        <f t="shared" si="0"/>
        <v>5.9027777777777291E-4</v>
      </c>
      <c r="P34" s="47">
        <v>42989</v>
      </c>
      <c r="Q34" s="54" t="str">
        <f t="shared" si="1"/>
        <v>https://www.youtube.com/embed/ByaheAphduQ?start=2990&amp;end=3041&amp;autoplay=1</v>
      </c>
      <c r="R34" s="59" t="s">
        <v>42</v>
      </c>
      <c r="S34" s="48" t="s">
        <v>42</v>
      </c>
      <c r="T34" s="48" t="s">
        <v>42</v>
      </c>
      <c r="U34" s="52"/>
      <c r="V34" s="50"/>
      <c r="W34" s="51" t="s">
        <v>71</v>
      </c>
      <c r="X34" s="38"/>
    </row>
    <row r="35" spans="1:24">
      <c r="A35" s="38">
        <v>62</v>
      </c>
      <c r="B35" s="38" t="s">
        <v>92</v>
      </c>
      <c r="C35" s="38" t="s">
        <v>124</v>
      </c>
      <c r="D35" s="38" t="s">
        <v>297</v>
      </c>
      <c r="E35" s="40" t="s">
        <v>298</v>
      </c>
      <c r="F35" s="58" t="s">
        <v>300</v>
      </c>
      <c r="G35" s="42" t="s">
        <v>301</v>
      </c>
      <c r="H35" s="43"/>
      <c r="I35" s="44"/>
      <c r="J35" s="38">
        <f>6.1*1000</f>
        <v>6100</v>
      </c>
      <c r="K35" s="45">
        <v>3.6041666666666666E-2</v>
      </c>
      <c r="L35" s="46" t="s">
        <v>307</v>
      </c>
      <c r="M35" s="38"/>
      <c r="N35" s="38"/>
      <c r="O35" s="38"/>
      <c r="P35" s="47">
        <v>42997</v>
      </c>
      <c r="Q35" s="38"/>
      <c r="R35" s="48" t="s">
        <v>42</v>
      </c>
      <c r="S35" s="48" t="s">
        <v>42</v>
      </c>
      <c r="T35" s="48" t="s">
        <v>42</v>
      </c>
      <c r="U35" s="52"/>
      <c r="V35" s="50"/>
      <c r="W35" s="51" t="s">
        <v>45</v>
      </c>
      <c r="X35" s="38"/>
    </row>
    <row r="36" spans="1:24">
      <c r="A36" s="38">
        <v>62.1</v>
      </c>
      <c r="B36" s="38" t="s">
        <v>92</v>
      </c>
      <c r="C36" s="38" t="s">
        <v>124</v>
      </c>
      <c r="D36" s="38"/>
      <c r="E36" s="40"/>
      <c r="F36" s="58"/>
      <c r="G36" s="42"/>
      <c r="H36" s="43" t="s">
        <v>311</v>
      </c>
      <c r="I36" s="44"/>
      <c r="J36" s="38"/>
      <c r="K36" s="45"/>
      <c r="L36" s="46"/>
      <c r="M36" s="45">
        <v>2.9166666666666668E-3</v>
      </c>
      <c r="N36" s="45">
        <v>4.1666666666666666E-3</v>
      </c>
      <c r="O36" s="45">
        <f t="shared" ref="O36:O42" si="2">N36-M36</f>
        <v>1.2499999999999998E-3</v>
      </c>
      <c r="P36" s="47">
        <v>42997</v>
      </c>
      <c r="Q36" s="54" t="str">
        <f t="shared" ref="Q36:Q42" si="3">HYPERLINK(REPLACE($D$35,25,8,"embed/")&amp;"?start="&amp;MINUTE(M36)*60+SECOND(M36)&amp;"&amp;end="&amp;MINUTE(N36)*60+SECOND(N36)&amp;"&amp;autoplay=1")</f>
        <v>https://www.youtube.com/embed/s3LVHHEe2vc?start=252&amp;end=360&amp;autoplay=1</v>
      </c>
      <c r="R36" s="48" t="s">
        <v>42</v>
      </c>
      <c r="S36" s="48" t="s">
        <v>42</v>
      </c>
      <c r="T36" s="48" t="s">
        <v>42</v>
      </c>
      <c r="U36" s="52"/>
      <c r="V36" s="50"/>
      <c r="W36" s="51" t="s">
        <v>45</v>
      </c>
      <c r="X36" s="38"/>
    </row>
    <row r="37" spans="1:24">
      <c r="A37" s="38">
        <v>62.2</v>
      </c>
      <c r="B37" s="38" t="s">
        <v>92</v>
      </c>
      <c r="C37" s="38" t="s">
        <v>124</v>
      </c>
      <c r="D37" s="38"/>
      <c r="E37" s="40"/>
      <c r="F37" s="58"/>
      <c r="G37" s="42"/>
      <c r="H37" s="43" t="s">
        <v>321</v>
      </c>
      <c r="I37" s="44" t="s">
        <v>322</v>
      </c>
      <c r="J37" s="38"/>
      <c r="K37" s="45"/>
      <c r="L37" s="46"/>
      <c r="M37" s="45">
        <v>5.0347222222222225E-3</v>
      </c>
      <c r="N37" s="45">
        <v>6.4930555555555549E-3</v>
      </c>
      <c r="O37" s="45">
        <f t="shared" si="2"/>
        <v>1.4583333333333323E-3</v>
      </c>
      <c r="P37" s="47">
        <v>42997</v>
      </c>
      <c r="Q37" s="54" t="str">
        <f t="shared" si="3"/>
        <v>https://www.youtube.com/embed/s3LVHHEe2vc?start=435&amp;end=561&amp;autoplay=1</v>
      </c>
      <c r="R37" s="48" t="s">
        <v>42</v>
      </c>
      <c r="S37" s="48" t="s">
        <v>42</v>
      </c>
      <c r="T37" s="48" t="s">
        <v>42</v>
      </c>
      <c r="U37" s="52"/>
      <c r="V37" s="50"/>
      <c r="W37" s="51" t="s">
        <v>45</v>
      </c>
      <c r="X37" s="38"/>
    </row>
    <row r="38" spans="1:24">
      <c r="A38" s="38">
        <v>62.3</v>
      </c>
      <c r="B38" s="38" t="s">
        <v>92</v>
      </c>
      <c r="C38" s="38" t="s">
        <v>124</v>
      </c>
      <c r="D38" s="38"/>
      <c r="E38" s="40"/>
      <c r="F38" s="58"/>
      <c r="G38" s="42"/>
      <c r="H38" s="43" t="s">
        <v>328</v>
      </c>
      <c r="I38" s="44" t="s">
        <v>329</v>
      </c>
      <c r="J38" s="38"/>
      <c r="K38" s="45"/>
      <c r="L38" s="46"/>
      <c r="M38" s="45">
        <v>8.4490740740740741E-3</v>
      </c>
      <c r="N38" s="45">
        <v>1.1574074074074075E-2</v>
      </c>
      <c r="O38" s="45">
        <f t="shared" si="2"/>
        <v>3.125000000000001E-3</v>
      </c>
      <c r="P38" s="47">
        <v>42997</v>
      </c>
      <c r="Q38" s="54" t="str">
        <f t="shared" si="3"/>
        <v>https://www.youtube.com/embed/s3LVHHEe2vc?start=730&amp;end=1000&amp;autoplay=1</v>
      </c>
      <c r="R38" s="48" t="s">
        <v>42</v>
      </c>
      <c r="S38" s="48" t="s">
        <v>42</v>
      </c>
      <c r="T38" s="48" t="s">
        <v>42</v>
      </c>
      <c r="U38" s="52"/>
      <c r="V38" s="50"/>
      <c r="W38" s="51" t="s">
        <v>45</v>
      </c>
      <c r="X38" s="38"/>
    </row>
    <row r="39" spans="1:24">
      <c r="A39" s="38">
        <v>62.4</v>
      </c>
      <c r="B39" s="38" t="s">
        <v>92</v>
      </c>
      <c r="C39" s="38" t="s">
        <v>124</v>
      </c>
      <c r="D39" s="38"/>
      <c r="E39" s="40"/>
      <c r="F39" s="58"/>
      <c r="G39" s="42"/>
      <c r="H39" s="43" t="s">
        <v>334</v>
      </c>
      <c r="I39" s="44"/>
      <c r="J39" s="38"/>
      <c r="K39" s="45"/>
      <c r="L39" s="46"/>
      <c r="M39" s="45">
        <v>2.5891203703703704E-2</v>
      </c>
      <c r="N39" s="45">
        <v>2.7083333333333334E-2</v>
      </c>
      <c r="O39" s="45">
        <f t="shared" si="2"/>
        <v>1.1921296296296298E-3</v>
      </c>
      <c r="P39" s="47">
        <v>42997</v>
      </c>
      <c r="Q39" s="54" t="str">
        <f t="shared" si="3"/>
        <v>https://www.youtube.com/embed/s3LVHHEe2vc?start=2237&amp;end=2340&amp;autoplay=1</v>
      </c>
      <c r="R39" s="48" t="s">
        <v>42</v>
      </c>
      <c r="S39" s="48" t="s">
        <v>42</v>
      </c>
      <c r="T39" s="48" t="s">
        <v>42</v>
      </c>
      <c r="U39" s="52"/>
      <c r="V39" s="50"/>
      <c r="W39" s="51" t="s">
        <v>45</v>
      </c>
      <c r="X39" s="38"/>
    </row>
    <row r="40" spans="1:24">
      <c r="A40" s="38">
        <v>62.5</v>
      </c>
      <c r="B40" s="38" t="s">
        <v>92</v>
      </c>
      <c r="C40" s="38" t="s">
        <v>124</v>
      </c>
      <c r="D40" s="38"/>
      <c r="E40" s="40"/>
      <c r="F40" s="58"/>
      <c r="G40" s="42"/>
      <c r="H40" s="43" t="s">
        <v>340</v>
      </c>
      <c r="I40" s="44"/>
      <c r="J40" s="38"/>
      <c r="K40" s="45"/>
      <c r="L40" s="46"/>
      <c r="M40" s="45">
        <v>2.7546296296296294E-2</v>
      </c>
      <c r="N40" s="45">
        <v>2.8645833333333332E-2</v>
      </c>
      <c r="O40" s="45">
        <f t="shared" si="2"/>
        <v>1.0995370370370378E-3</v>
      </c>
      <c r="P40" s="47">
        <v>42997</v>
      </c>
      <c r="Q40" s="54" t="str">
        <f t="shared" si="3"/>
        <v>https://www.youtube.com/embed/s3LVHHEe2vc?start=2380&amp;end=2475&amp;autoplay=1</v>
      </c>
      <c r="R40" s="48" t="s">
        <v>42</v>
      </c>
      <c r="S40" s="48" t="s">
        <v>42</v>
      </c>
      <c r="T40" s="48" t="s">
        <v>42</v>
      </c>
      <c r="U40" s="52"/>
      <c r="V40" s="50"/>
      <c r="W40" s="51" t="s">
        <v>45</v>
      </c>
      <c r="X40" s="38"/>
    </row>
    <row r="41" spans="1:24">
      <c r="A41" s="38">
        <v>62.6</v>
      </c>
      <c r="B41" s="38" t="s">
        <v>92</v>
      </c>
      <c r="C41" s="38" t="s">
        <v>124</v>
      </c>
      <c r="D41" s="38"/>
      <c r="E41" s="40"/>
      <c r="F41" s="58"/>
      <c r="G41" s="42"/>
      <c r="H41" s="43" t="s">
        <v>341</v>
      </c>
      <c r="I41" s="44"/>
      <c r="J41" s="38"/>
      <c r="K41" s="45"/>
      <c r="L41" s="46"/>
      <c r="M41" s="45">
        <v>2.8645833333333332E-2</v>
      </c>
      <c r="N41" s="45">
        <v>3.0439814814814819E-2</v>
      </c>
      <c r="O41" s="45">
        <f t="shared" si="2"/>
        <v>1.7939814814814867E-3</v>
      </c>
      <c r="P41" s="47">
        <v>42997</v>
      </c>
      <c r="Q41" s="54" t="str">
        <f t="shared" si="3"/>
        <v>https://www.youtube.com/embed/s3LVHHEe2vc?start=2475&amp;end=2630&amp;autoplay=1</v>
      </c>
      <c r="R41" s="48" t="s">
        <v>42</v>
      </c>
      <c r="S41" s="48" t="s">
        <v>42</v>
      </c>
      <c r="T41" s="48" t="s">
        <v>42</v>
      </c>
      <c r="U41" s="52"/>
      <c r="V41" s="50"/>
      <c r="W41" s="51" t="s">
        <v>45</v>
      </c>
      <c r="X41" s="38"/>
    </row>
    <row r="42" spans="1:24">
      <c r="A42" s="38">
        <v>62.7</v>
      </c>
      <c r="B42" s="38" t="s">
        <v>92</v>
      </c>
      <c r="C42" s="38" t="s">
        <v>124</v>
      </c>
      <c r="D42" s="38"/>
      <c r="E42" s="40"/>
      <c r="F42" s="58"/>
      <c r="G42" s="42"/>
      <c r="H42" s="43" t="s">
        <v>345</v>
      </c>
      <c r="I42" s="44"/>
      <c r="J42" s="38"/>
      <c r="K42" s="45"/>
      <c r="L42" s="46"/>
      <c r="M42" s="45">
        <v>3.0497685185185183E-2</v>
      </c>
      <c r="N42" s="45">
        <v>3.2870370370370376E-2</v>
      </c>
      <c r="O42" s="45">
        <f t="shared" si="2"/>
        <v>2.3726851851851929E-3</v>
      </c>
      <c r="P42" s="47">
        <v>42997</v>
      </c>
      <c r="Q42" s="54" t="str">
        <f t="shared" si="3"/>
        <v>https://www.youtube.com/embed/s3LVHHEe2vc?start=2635&amp;end=2840&amp;autoplay=1</v>
      </c>
      <c r="R42" s="48" t="s">
        <v>42</v>
      </c>
      <c r="S42" s="48" t="s">
        <v>42</v>
      </c>
      <c r="T42" s="48" t="s">
        <v>42</v>
      </c>
      <c r="U42" s="52"/>
      <c r="V42" s="50"/>
      <c r="W42" s="51" t="s">
        <v>45</v>
      </c>
      <c r="X42" s="38"/>
    </row>
    <row r="43" spans="1:24">
      <c r="A43" s="38">
        <v>74</v>
      </c>
      <c r="B43" s="38" t="s">
        <v>92</v>
      </c>
      <c r="C43" s="38" t="s">
        <v>124</v>
      </c>
      <c r="D43" s="38" t="s">
        <v>347</v>
      </c>
      <c r="E43" s="40" t="s">
        <v>348</v>
      </c>
      <c r="F43" s="61" t="s">
        <v>349</v>
      </c>
      <c r="G43" s="42" t="s">
        <v>351</v>
      </c>
      <c r="H43" s="43"/>
      <c r="I43" s="44"/>
      <c r="J43" s="38">
        <f>4.4*1000</f>
        <v>4400</v>
      </c>
      <c r="K43" s="45">
        <v>4.2280092592592598E-2</v>
      </c>
      <c r="L43" s="46" t="s">
        <v>307</v>
      </c>
      <c r="M43" s="38"/>
      <c r="N43" s="38"/>
      <c r="O43" s="38"/>
      <c r="P43" s="38"/>
      <c r="Q43" s="38"/>
      <c r="R43" s="48" t="s">
        <v>42</v>
      </c>
      <c r="S43" s="48" t="s">
        <v>352</v>
      </c>
      <c r="T43" s="48" t="s">
        <v>42</v>
      </c>
      <c r="U43" s="52"/>
      <c r="V43" s="50"/>
      <c r="W43" s="51" t="s">
        <v>71</v>
      </c>
      <c r="X43" s="38"/>
    </row>
    <row r="44" spans="1:24">
      <c r="A44" s="60">
        <v>74.010000000000005</v>
      </c>
      <c r="B44" s="38" t="s">
        <v>92</v>
      </c>
      <c r="C44" s="38" t="s">
        <v>124</v>
      </c>
      <c r="D44" s="38"/>
      <c r="E44" s="40"/>
      <c r="F44" s="61"/>
      <c r="G44" s="42"/>
      <c r="H44" s="43" t="s">
        <v>353</v>
      </c>
      <c r="I44" s="44"/>
      <c r="J44" s="38"/>
      <c r="K44" s="45"/>
      <c r="L44" s="46"/>
      <c r="M44" s="45">
        <v>4.3981481481481484E-3</v>
      </c>
      <c r="N44" s="45">
        <v>4.7453703703703703E-3</v>
      </c>
      <c r="O44" s="45">
        <f t="shared" ref="O44:O54" si="4">N44-M44</f>
        <v>3.4722222222222186E-4</v>
      </c>
      <c r="P44" s="47">
        <v>43003</v>
      </c>
      <c r="Q44" s="54" t="str">
        <f t="shared" ref="Q44:Q54" si="5">HYPERLINK(REPLACE($D$43,25,8,"embed/")&amp;"?start="&amp;MINUTE(M44)*60+SECOND(M44)&amp;"&amp;end="&amp;MINUTE(N44)*60+SECOND(N44)&amp;"&amp;autoplay=1")</f>
        <v>https://www.youtube.com/embed/YFmL65VsWdk?start=380&amp;end=410&amp;autoplay=1</v>
      </c>
      <c r="R44" s="48" t="s">
        <v>42</v>
      </c>
      <c r="S44" s="48" t="s">
        <v>366</v>
      </c>
      <c r="T44" s="48" t="s">
        <v>42</v>
      </c>
      <c r="U44" s="52"/>
      <c r="V44" s="50"/>
      <c r="W44" s="51" t="s">
        <v>45</v>
      </c>
      <c r="X44" s="38"/>
    </row>
    <row r="45" spans="1:24">
      <c r="A45" s="60">
        <v>74.02</v>
      </c>
      <c r="B45" s="38" t="s">
        <v>92</v>
      </c>
      <c r="C45" s="38" t="s">
        <v>124</v>
      </c>
      <c r="D45" s="38"/>
      <c r="E45" s="40"/>
      <c r="F45" s="61"/>
      <c r="G45" s="42"/>
      <c r="H45" s="43" t="s">
        <v>368</v>
      </c>
      <c r="I45" s="44" t="s">
        <v>369</v>
      </c>
      <c r="J45" s="38"/>
      <c r="K45" s="45"/>
      <c r="L45" s="46"/>
      <c r="M45" s="45">
        <v>4.7800925925925919E-3</v>
      </c>
      <c r="N45" s="45">
        <v>5.4861111111111117E-3</v>
      </c>
      <c r="O45" s="45">
        <f t="shared" si="4"/>
        <v>7.0601851851851988E-4</v>
      </c>
      <c r="P45" s="47">
        <v>43003</v>
      </c>
      <c r="Q45" s="54" t="str">
        <f t="shared" si="5"/>
        <v>https://www.youtube.com/embed/YFmL65VsWdk?start=413&amp;end=474&amp;autoplay=1</v>
      </c>
      <c r="R45" s="48" t="s">
        <v>42</v>
      </c>
      <c r="S45" s="48" t="s">
        <v>366</v>
      </c>
      <c r="T45" s="48" t="s">
        <v>42</v>
      </c>
      <c r="U45" s="52"/>
      <c r="V45" s="50"/>
      <c r="W45" s="51" t="s">
        <v>45</v>
      </c>
      <c r="X45" s="38"/>
    </row>
    <row r="46" spans="1:24">
      <c r="A46" s="60">
        <v>74.03</v>
      </c>
      <c r="B46" s="38" t="s">
        <v>92</v>
      </c>
      <c r="C46" s="38" t="s">
        <v>124</v>
      </c>
      <c r="D46" s="38"/>
      <c r="E46" s="40"/>
      <c r="F46" s="61"/>
      <c r="G46" s="42"/>
      <c r="H46" s="43" t="s">
        <v>373</v>
      </c>
      <c r="I46" s="44"/>
      <c r="J46" s="38"/>
      <c r="K46" s="45"/>
      <c r="L46" s="46"/>
      <c r="M46" s="45">
        <v>7.106481481481481E-3</v>
      </c>
      <c r="N46" s="45">
        <v>9.2592592592592605E-3</v>
      </c>
      <c r="O46" s="45">
        <f t="shared" si="4"/>
        <v>2.1527777777777795E-3</v>
      </c>
      <c r="P46" s="47">
        <v>43003</v>
      </c>
      <c r="Q46" s="54" t="str">
        <f t="shared" si="5"/>
        <v>https://www.youtube.com/embed/YFmL65VsWdk?start=614&amp;end=800&amp;autoplay=1</v>
      </c>
      <c r="R46" s="48" t="s">
        <v>42</v>
      </c>
      <c r="S46" s="48" t="s">
        <v>366</v>
      </c>
      <c r="T46" s="48" t="s">
        <v>42</v>
      </c>
      <c r="U46" s="52"/>
      <c r="V46" s="50"/>
      <c r="W46" s="51" t="s">
        <v>45</v>
      </c>
      <c r="X46" s="38"/>
    </row>
    <row r="47" spans="1:24">
      <c r="A47" s="60">
        <v>74.040000000000006</v>
      </c>
      <c r="B47" s="38" t="s">
        <v>92</v>
      </c>
      <c r="C47" s="38" t="s">
        <v>124</v>
      </c>
      <c r="D47" s="38"/>
      <c r="E47" s="40"/>
      <c r="F47" s="61"/>
      <c r="G47" s="42"/>
      <c r="H47" s="43" t="s">
        <v>376</v>
      </c>
      <c r="I47" s="44" t="s">
        <v>378</v>
      </c>
      <c r="J47" s="38"/>
      <c r="K47" s="45"/>
      <c r="L47" s="46"/>
      <c r="M47" s="45">
        <v>9.2708333333333341E-3</v>
      </c>
      <c r="N47" s="45">
        <v>1.0995370370370371E-2</v>
      </c>
      <c r="O47" s="45">
        <f t="shared" si="4"/>
        <v>1.7245370370370366E-3</v>
      </c>
      <c r="P47" s="47">
        <v>43003</v>
      </c>
      <c r="Q47" s="54" t="str">
        <f t="shared" si="5"/>
        <v>https://www.youtube.com/embed/YFmL65VsWdk?start=801&amp;end=950&amp;autoplay=1</v>
      </c>
      <c r="R47" s="48" t="s">
        <v>42</v>
      </c>
      <c r="S47" s="48" t="s">
        <v>366</v>
      </c>
      <c r="T47" s="48" t="s">
        <v>42</v>
      </c>
      <c r="U47" s="52"/>
      <c r="V47" s="50"/>
      <c r="W47" s="51" t="s">
        <v>45</v>
      </c>
      <c r="X47" s="38"/>
    </row>
    <row r="48" spans="1:24">
      <c r="A48" s="60">
        <v>74.05</v>
      </c>
      <c r="B48" s="38" t="s">
        <v>92</v>
      </c>
      <c r="C48" s="38" t="s">
        <v>124</v>
      </c>
      <c r="D48" s="38"/>
      <c r="E48" s="40"/>
      <c r="F48" s="61"/>
      <c r="G48" s="42"/>
      <c r="H48" s="43" t="s">
        <v>383</v>
      </c>
      <c r="I48" s="44"/>
      <c r="J48" s="38"/>
      <c r="K48" s="45"/>
      <c r="L48" s="46"/>
      <c r="M48" s="45">
        <v>9.8958333333333329E-3</v>
      </c>
      <c r="N48" s="45">
        <v>1.0416666666666666E-2</v>
      </c>
      <c r="O48" s="45">
        <f t="shared" si="4"/>
        <v>5.2083333333333322E-4</v>
      </c>
      <c r="P48" s="47">
        <v>43003</v>
      </c>
      <c r="Q48" s="54" t="str">
        <f t="shared" si="5"/>
        <v>https://www.youtube.com/embed/YFmL65VsWdk?start=855&amp;end=900&amp;autoplay=1</v>
      </c>
      <c r="R48" s="48" t="s">
        <v>42</v>
      </c>
      <c r="S48" s="48" t="s">
        <v>366</v>
      </c>
      <c r="T48" s="48" t="s">
        <v>42</v>
      </c>
      <c r="U48" s="52"/>
      <c r="V48" s="50"/>
      <c r="W48" s="51" t="s">
        <v>45</v>
      </c>
      <c r="X48" s="38"/>
    </row>
    <row r="49" spans="1:24">
      <c r="A49" s="60">
        <v>74.06</v>
      </c>
      <c r="B49" s="38" t="s">
        <v>92</v>
      </c>
      <c r="C49" s="38" t="s">
        <v>124</v>
      </c>
      <c r="D49" s="38"/>
      <c r="E49" s="40"/>
      <c r="F49" s="61"/>
      <c r="G49" s="42"/>
      <c r="H49" s="43" t="s">
        <v>388</v>
      </c>
      <c r="I49" s="44"/>
      <c r="J49" s="38"/>
      <c r="K49" s="45"/>
      <c r="L49" s="46"/>
      <c r="M49" s="45">
        <v>1.0474537037037037E-2</v>
      </c>
      <c r="N49" s="45">
        <v>1.0995370370370371E-2</v>
      </c>
      <c r="O49" s="45">
        <f t="shared" si="4"/>
        <v>5.2083333333333322E-4</v>
      </c>
      <c r="P49" s="47">
        <v>43003</v>
      </c>
      <c r="Q49" s="54" t="str">
        <f t="shared" si="5"/>
        <v>https://www.youtube.com/embed/YFmL65VsWdk?start=905&amp;end=950&amp;autoplay=1</v>
      </c>
      <c r="R49" s="48" t="s">
        <v>42</v>
      </c>
      <c r="S49" s="48" t="s">
        <v>366</v>
      </c>
      <c r="T49" s="48" t="s">
        <v>42</v>
      </c>
      <c r="U49" s="52"/>
      <c r="V49" s="50"/>
      <c r="W49" s="51" t="s">
        <v>45</v>
      </c>
      <c r="X49" s="38"/>
    </row>
    <row r="50" spans="1:24">
      <c r="A50" s="60">
        <v>74.069999999999993</v>
      </c>
      <c r="B50" s="38" t="s">
        <v>92</v>
      </c>
      <c r="C50" s="38" t="s">
        <v>124</v>
      </c>
      <c r="D50" s="38"/>
      <c r="E50" s="40"/>
      <c r="F50" s="61"/>
      <c r="G50" s="42"/>
      <c r="H50" s="43" t="s">
        <v>393</v>
      </c>
      <c r="I50" s="44"/>
      <c r="J50" s="38"/>
      <c r="K50" s="45"/>
      <c r="L50" s="46"/>
      <c r="M50" s="45">
        <v>1.1168981481481481E-2</v>
      </c>
      <c r="N50" s="45">
        <v>1.2430555555555554E-2</v>
      </c>
      <c r="O50" s="45">
        <f t="shared" si="4"/>
        <v>1.2615740740740729E-3</v>
      </c>
      <c r="P50" s="47">
        <v>43003</v>
      </c>
      <c r="Q50" s="54" t="str">
        <f t="shared" si="5"/>
        <v>https://www.youtube.com/embed/YFmL65VsWdk?start=965&amp;end=1074&amp;autoplay=1</v>
      </c>
      <c r="R50" s="48" t="s">
        <v>42</v>
      </c>
      <c r="S50" s="48" t="s">
        <v>366</v>
      </c>
      <c r="T50" s="48" t="s">
        <v>42</v>
      </c>
      <c r="U50" s="52"/>
      <c r="V50" s="50"/>
      <c r="W50" s="51" t="s">
        <v>45</v>
      </c>
      <c r="X50" s="38"/>
    </row>
    <row r="51" spans="1:24">
      <c r="A51" s="60">
        <v>74.079999999999899</v>
      </c>
      <c r="B51" s="38" t="s">
        <v>92</v>
      </c>
      <c r="C51" s="38" t="s">
        <v>124</v>
      </c>
      <c r="D51" s="38"/>
      <c r="E51" s="40"/>
      <c r="F51" s="61"/>
      <c r="G51" s="42"/>
      <c r="H51" s="43" t="s">
        <v>398</v>
      </c>
      <c r="I51" s="44"/>
      <c r="J51" s="38"/>
      <c r="K51" s="45"/>
      <c r="L51" s="46"/>
      <c r="M51" s="45">
        <v>1.8229166666666668E-2</v>
      </c>
      <c r="N51" s="45">
        <v>2.2222222222222223E-2</v>
      </c>
      <c r="O51" s="45">
        <f t="shared" si="4"/>
        <v>3.9930555555555552E-3</v>
      </c>
      <c r="P51" s="47">
        <v>43003</v>
      </c>
      <c r="Q51" s="54" t="str">
        <f t="shared" si="5"/>
        <v>https://www.youtube.com/embed/YFmL65VsWdk?start=1575&amp;end=1920&amp;autoplay=1</v>
      </c>
      <c r="R51" s="48" t="s">
        <v>42</v>
      </c>
      <c r="S51" s="48" t="s">
        <v>366</v>
      </c>
      <c r="T51" s="48" t="s">
        <v>42</v>
      </c>
      <c r="U51" s="52"/>
      <c r="V51" s="50"/>
      <c r="W51" s="51" t="s">
        <v>45</v>
      </c>
      <c r="X51" s="38"/>
    </row>
    <row r="52" spans="1:24">
      <c r="A52" s="60">
        <v>74.089999999999904</v>
      </c>
      <c r="B52" s="38" t="s">
        <v>92</v>
      </c>
      <c r="C52" s="38" t="s">
        <v>124</v>
      </c>
      <c r="D52" s="38"/>
      <c r="E52" s="40"/>
      <c r="F52" s="61"/>
      <c r="G52" s="42"/>
      <c r="H52" s="43" t="s">
        <v>403</v>
      </c>
      <c r="I52" s="44"/>
      <c r="J52" s="38"/>
      <c r="K52" s="45"/>
      <c r="L52" s="46"/>
      <c r="M52" s="45">
        <v>2.0312500000000001E-2</v>
      </c>
      <c r="N52" s="45">
        <v>2.1597222222222223E-2</v>
      </c>
      <c r="O52" s="45">
        <f t="shared" si="4"/>
        <v>1.2847222222222218E-3</v>
      </c>
      <c r="P52" s="47">
        <v>43003</v>
      </c>
      <c r="Q52" s="54" t="str">
        <f t="shared" si="5"/>
        <v>https://www.youtube.com/embed/YFmL65VsWdk?start=1755&amp;end=1866&amp;autoplay=1</v>
      </c>
      <c r="R52" s="48" t="s">
        <v>42</v>
      </c>
      <c r="S52" s="48" t="s">
        <v>366</v>
      </c>
      <c r="T52" s="48" t="s">
        <v>42</v>
      </c>
      <c r="U52" s="52"/>
      <c r="V52" s="50"/>
      <c r="W52" s="51" t="s">
        <v>45</v>
      </c>
      <c r="X52" s="38"/>
    </row>
    <row r="53" spans="1:24">
      <c r="A53" s="60">
        <v>74.099999999999895</v>
      </c>
      <c r="B53" s="38" t="s">
        <v>92</v>
      </c>
      <c r="C53" s="38" t="s">
        <v>124</v>
      </c>
      <c r="D53" s="38"/>
      <c r="E53" s="40"/>
      <c r="F53" s="61"/>
      <c r="G53" s="42"/>
      <c r="H53" s="43" t="s">
        <v>404</v>
      </c>
      <c r="I53" s="44"/>
      <c r="J53" s="38"/>
      <c r="K53" s="45"/>
      <c r="L53" s="46"/>
      <c r="M53" s="45">
        <v>2.4155092592592589E-2</v>
      </c>
      <c r="N53" s="45">
        <v>2.5543981481481483E-2</v>
      </c>
      <c r="O53" s="45">
        <f t="shared" si="4"/>
        <v>1.3888888888888944E-3</v>
      </c>
      <c r="P53" s="47">
        <v>43003</v>
      </c>
      <c r="Q53" s="54" t="str">
        <f t="shared" si="5"/>
        <v>https://www.youtube.com/embed/YFmL65VsWdk?start=2087&amp;end=2207&amp;autoplay=1</v>
      </c>
      <c r="R53" s="48" t="s">
        <v>42</v>
      </c>
      <c r="S53" s="48" t="s">
        <v>366</v>
      </c>
      <c r="T53" s="48" t="s">
        <v>42</v>
      </c>
      <c r="U53" s="52"/>
      <c r="V53" s="50"/>
      <c r="W53" s="51" t="s">
        <v>45</v>
      </c>
      <c r="X53" s="38"/>
    </row>
    <row r="54" spans="1:24">
      <c r="A54" s="60">
        <v>74.1099999999999</v>
      </c>
      <c r="B54" s="38" t="s">
        <v>92</v>
      </c>
      <c r="C54" s="38" t="s">
        <v>124</v>
      </c>
      <c r="D54" s="38"/>
      <c r="E54" s="38"/>
      <c r="F54" s="38"/>
      <c r="G54" s="46"/>
      <c r="H54" s="38" t="s">
        <v>405</v>
      </c>
      <c r="I54" s="57" t="s">
        <v>406</v>
      </c>
      <c r="J54" s="38"/>
      <c r="K54" s="38"/>
      <c r="L54" s="46"/>
      <c r="M54" s="45">
        <v>2.9224537037037038E-2</v>
      </c>
      <c r="N54" s="45">
        <v>3.2407407407407406E-2</v>
      </c>
      <c r="O54" s="45">
        <f t="shared" si="4"/>
        <v>3.1828703703703672E-3</v>
      </c>
      <c r="P54" s="47">
        <v>43003</v>
      </c>
      <c r="Q54" s="54" t="str">
        <f t="shared" si="5"/>
        <v>https://www.youtube.com/embed/YFmL65VsWdk?start=2525&amp;end=2800&amp;autoplay=1</v>
      </c>
      <c r="R54" s="48" t="s">
        <v>42</v>
      </c>
      <c r="S54" s="48" t="s">
        <v>366</v>
      </c>
      <c r="T54" s="48" t="s">
        <v>42</v>
      </c>
      <c r="U54" s="52"/>
      <c r="V54" s="50"/>
      <c r="W54" s="51" t="s">
        <v>45</v>
      </c>
      <c r="X54" s="38"/>
    </row>
    <row r="55" spans="1:24">
      <c r="A55" s="38"/>
      <c r="B55" s="38"/>
      <c r="D55" s="38"/>
      <c r="E55" s="43"/>
      <c r="F55" s="38"/>
      <c r="G55" s="46"/>
      <c r="H55" s="38"/>
      <c r="I55" s="57"/>
      <c r="J55" s="38"/>
      <c r="K55" s="38"/>
      <c r="L55" s="46"/>
      <c r="M55" s="56"/>
      <c r="N55" s="56"/>
      <c r="O55" s="56"/>
      <c r="P55" s="56"/>
      <c r="Q55" s="56"/>
      <c r="R55" s="62"/>
      <c r="S55" s="62"/>
      <c r="X55" s="56"/>
    </row>
    <row r="56" spans="1:24">
      <c r="A56" s="38"/>
      <c r="B56" s="38"/>
      <c r="D56" s="38"/>
      <c r="E56" s="43"/>
      <c r="F56" s="38"/>
      <c r="G56" s="46"/>
      <c r="H56" s="38"/>
      <c r="I56" s="57"/>
      <c r="J56" s="38"/>
      <c r="K56" s="38"/>
      <c r="L56" s="46"/>
      <c r="M56" s="56"/>
      <c r="N56" s="56"/>
      <c r="O56" s="56"/>
      <c r="P56" s="56"/>
      <c r="Q56" s="56"/>
      <c r="R56" s="62"/>
      <c r="S56" s="62"/>
      <c r="X56" s="56"/>
    </row>
    <row r="57" spans="1:24">
      <c r="A57" s="38"/>
      <c r="B57" s="38"/>
      <c r="D57" s="38"/>
      <c r="E57" s="43"/>
      <c r="F57" s="38"/>
      <c r="G57" s="46"/>
      <c r="H57" s="38"/>
      <c r="I57" s="57"/>
      <c r="J57" s="38"/>
      <c r="K57" s="38"/>
      <c r="L57" s="46"/>
      <c r="M57" s="56"/>
      <c r="N57" s="56"/>
      <c r="O57" s="56"/>
      <c r="P57" s="56"/>
      <c r="Q57" s="56"/>
      <c r="R57" s="62"/>
      <c r="S57" s="62"/>
      <c r="X57" s="56"/>
    </row>
    <row r="58" spans="1:24">
      <c r="A58" s="38"/>
      <c r="B58" s="38"/>
      <c r="D58" s="38"/>
      <c r="E58" s="43"/>
      <c r="F58" s="38"/>
      <c r="G58" s="46"/>
      <c r="H58" s="38"/>
      <c r="I58" s="57"/>
      <c r="J58" s="38"/>
      <c r="K58" s="38"/>
      <c r="L58" s="46"/>
      <c r="M58" s="56"/>
      <c r="N58" s="56"/>
      <c r="O58" s="56"/>
      <c r="P58" s="56"/>
      <c r="Q58" s="56"/>
      <c r="R58" s="62"/>
      <c r="S58" s="62"/>
      <c r="X58" s="56"/>
    </row>
    <row r="59" spans="1:24">
      <c r="A59" s="38"/>
      <c r="B59" s="38"/>
      <c r="D59" s="38"/>
      <c r="E59" s="43"/>
      <c r="F59" s="38"/>
      <c r="G59" s="46"/>
      <c r="H59" s="38"/>
      <c r="I59" s="57"/>
      <c r="J59" s="38"/>
      <c r="K59" s="38"/>
      <c r="L59" s="46"/>
      <c r="M59" s="56"/>
      <c r="N59" s="56"/>
      <c r="O59" s="56"/>
      <c r="P59" s="56"/>
      <c r="Q59" s="56"/>
      <c r="R59" s="62"/>
      <c r="S59" s="62"/>
      <c r="X59" s="56"/>
    </row>
    <row r="60" spans="1:24">
      <c r="A60" s="38"/>
      <c r="B60" s="38"/>
      <c r="D60" s="38"/>
      <c r="E60" s="43"/>
      <c r="F60" s="38"/>
      <c r="G60" s="46"/>
      <c r="H60" s="38"/>
      <c r="I60" s="57"/>
      <c r="J60" s="38"/>
      <c r="K60" s="38"/>
      <c r="L60" s="46"/>
      <c r="M60" s="56"/>
      <c r="N60" s="56"/>
      <c r="O60" s="56"/>
      <c r="P60" s="56"/>
      <c r="Q60" s="56"/>
      <c r="R60" s="62"/>
      <c r="S60" s="62"/>
      <c r="X60" s="56"/>
    </row>
    <row r="61" spans="1:24">
      <c r="A61" s="38"/>
      <c r="B61" s="38"/>
      <c r="D61" s="38"/>
      <c r="E61" s="43"/>
      <c r="F61" s="38"/>
      <c r="G61" s="46"/>
      <c r="H61" s="38"/>
      <c r="I61" s="57"/>
      <c r="J61" s="38"/>
      <c r="K61" s="38"/>
      <c r="L61" s="46"/>
      <c r="M61" s="56"/>
      <c r="N61" s="56"/>
      <c r="O61" s="56"/>
      <c r="P61" s="56"/>
      <c r="Q61" s="56"/>
      <c r="R61" s="62"/>
      <c r="S61" s="62"/>
      <c r="X61" s="56"/>
    </row>
    <row r="62" spans="1:24">
      <c r="A62" s="38"/>
      <c r="B62" s="38"/>
      <c r="D62" s="38"/>
      <c r="E62" s="43"/>
      <c r="F62" s="38"/>
      <c r="G62" s="46"/>
      <c r="H62" s="38"/>
      <c r="I62" s="57"/>
      <c r="J62" s="38"/>
      <c r="K62" s="38"/>
      <c r="L62" s="46"/>
      <c r="M62" s="56"/>
      <c r="N62" s="56"/>
      <c r="O62" s="56"/>
      <c r="P62" s="56"/>
      <c r="Q62" s="56"/>
      <c r="R62" s="62"/>
      <c r="S62" s="62"/>
      <c r="X62" s="56"/>
    </row>
    <row r="63" spans="1:24">
      <c r="A63" s="38"/>
      <c r="B63" s="38"/>
      <c r="D63" s="38"/>
      <c r="E63" s="43"/>
      <c r="F63" s="38"/>
      <c r="G63" s="46"/>
      <c r="H63" s="38"/>
      <c r="I63" s="57"/>
      <c r="J63" s="38"/>
      <c r="K63" s="38"/>
      <c r="L63" s="46"/>
      <c r="M63" s="56"/>
      <c r="N63" s="56"/>
      <c r="O63" s="56"/>
      <c r="P63" s="56"/>
      <c r="Q63" s="56"/>
      <c r="R63" s="62"/>
      <c r="S63" s="62"/>
      <c r="X63" s="56"/>
    </row>
    <row r="64" spans="1:24">
      <c r="A64" s="38"/>
      <c r="B64" s="38"/>
      <c r="D64" s="38"/>
      <c r="E64" s="43"/>
      <c r="F64" s="38"/>
      <c r="G64" s="46"/>
      <c r="H64" s="38"/>
      <c r="I64" s="57"/>
      <c r="J64" s="38"/>
      <c r="K64" s="38"/>
      <c r="L64" s="46"/>
      <c r="M64" s="56"/>
      <c r="N64" s="56"/>
      <c r="O64" s="56"/>
      <c r="P64" s="56"/>
      <c r="Q64" s="56"/>
      <c r="R64" s="62"/>
      <c r="S64" s="62"/>
      <c r="X64" s="56"/>
    </row>
    <row r="65" spans="1:24">
      <c r="A65" s="38"/>
      <c r="B65" s="38"/>
      <c r="D65" s="38"/>
      <c r="E65" s="43"/>
      <c r="F65" s="38"/>
      <c r="G65" s="46"/>
      <c r="H65" s="38"/>
      <c r="I65" s="57"/>
      <c r="J65" s="38"/>
      <c r="K65" s="38"/>
      <c r="L65" s="46"/>
      <c r="M65" s="56"/>
      <c r="N65" s="56"/>
      <c r="O65" s="56"/>
      <c r="P65" s="56"/>
      <c r="Q65" s="56"/>
      <c r="R65" s="62"/>
      <c r="S65" s="62"/>
      <c r="X65" s="56"/>
    </row>
    <row r="66" spans="1:24">
      <c r="A66" s="38"/>
      <c r="B66" s="38"/>
      <c r="D66" s="38"/>
      <c r="E66" s="43"/>
      <c r="F66" s="38"/>
      <c r="G66" s="46"/>
      <c r="H66" s="38"/>
      <c r="I66" s="57"/>
      <c r="J66" s="38"/>
      <c r="K66" s="38"/>
      <c r="L66" s="46"/>
      <c r="M66" s="56"/>
      <c r="N66" s="56"/>
      <c r="O66" s="56"/>
      <c r="P66" s="56"/>
      <c r="Q66" s="56"/>
      <c r="R66" s="62"/>
      <c r="S66" s="62"/>
      <c r="X66" s="56"/>
    </row>
    <row r="67" spans="1:24">
      <c r="A67" s="38"/>
      <c r="B67" s="38"/>
      <c r="D67" s="38"/>
      <c r="E67" s="43"/>
      <c r="F67" s="38"/>
      <c r="G67" s="46"/>
      <c r="H67" s="38"/>
      <c r="I67" s="57"/>
      <c r="J67" s="38"/>
      <c r="K67" s="38"/>
      <c r="L67" s="46"/>
      <c r="M67" s="56"/>
      <c r="N67" s="56"/>
      <c r="O67" s="56"/>
      <c r="P67" s="56"/>
      <c r="Q67" s="56"/>
      <c r="R67" s="62"/>
      <c r="S67" s="62"/>
      <c r="X67" s="56"/>
    </row>
    <row r="68" spans="1:24">
      <c r="A68" s="38"/>
      <c r="B68" s="38"/>
      <c r="D68" s="38"/>
      <c r="E68" s="43"/>
      <c r="F68" s="38"/>
      <c r="G68" s="46"/>
      <c r="H68" s="38"/>
      <c r="I68" s="57"/>
      <c r="J68" s="38"/>
      <c r="K68" s="38"/>
      <c r="L68" s="46"/>
      <c r="M68" s="56"/>
      <c r="N68" s="56"/>
      <c r="O68" s="56"/>
      <c r="P68" s="56"/>
      <c r="Q68" s="56"/>
      <c r="R68" s="62"/>
      <c r="S68" s="62"/>
      <c r="X68" s="56"/>
    </row>
    <row r="69" spans="1:24">
      <c r="A69" s="38"/>
      <c r="B69" s="38"/>
      <c r="D69" s="38"/>
      <c r="E69" s="43"/>
      <c r="F69" s="38"/>
      <c r="G69" s="46"/>
      <c r="H69" s="38"/>
      <c r="I69" s="57"/>
      <c r="J69" s="38"/>
      <c r="K69" s="38"/>
      <c r="L69" s="46"/>
      <c r="M69" s="56"/>
      <c r="N69" s="56"/>
      <c r="O69" s="56"/>
      <c r="P69" s="56"/>
      <c r="Q69" s="56"/>
      <c r="R69" s="62"/>
      <c r="S69" s="62"/>
      <c r="X69" s="56"/>
    </row>
    <row r="70" spans="1:24">
      <c r="A70" s="38"/>
      <c r="B70" s="38"/>
      <c r="D70" s="38"/>
      <c r="E70" s="43"/>
      <c r="F70" s="38"/>
      <c r="G70" s="46"/>
      <c r="H70" s="38"/>
      <c r="I70" s="57"/>
      <c r="J70" s="38"/>
      <c r="K70" s="38"/>
      <c r="L70" s="46"/>
      <c r="M70" s="56"/>
      <c r="N70" s="56"/>
      <c r="O70" s="56"/>
      <c r="P70" s="56"/>
      <c r="Q70" s="56"/>
      <c r="R70" s="62"/>
      <c r="S70" s="62"/>
      <c r="X70" s="56"/>
    </row>
    <row r="71" spans="1:24">
      <c r="A71" s="38"/>
      <c r="B71" s="38"/>
      <c r="D71" s="38"/>
      <c r="E71" s="43"/>
      <c r="F71" s="38"/>
      <c r="G71" s="46"/>
      <c r="H71" s="38"/>
      <c r="I71" s="57"/>
      <c r="J71" s="38"/>
      <c r="K71" s="38"/>
      <c r="L71" s="46"/>
      <c r="M71" s="56"/>
      <c r="N71" s="56"/>
      <c r="O71" s="56"/>
      <c r="P71" s="56"/>
      <c r="Q71" s="56"/>
      <c r="R71" s="62"/>
      <c r="S71" s="62"/>
      <c r="X71" s="56"/>
    </row>
    <row r="72" spans="1:24">
      <c r="A72" s="38"/>
      <c r="B72" s="38"/>
      <c r="D72" s="38"/>
      <c r="E72" s="38"/>
      <c r="F72" s="38"/>
      <c r="G72" s="46"/>
      <c r="H72" s="38"/>
      <c r="I72" s="57"/>
      <c r="J72" s="38"/>
      <c r="K72" s="38"/>
      <c r="L72" s="46"/>
      <c r="M72" s="56"/>
      <c r="N72" s="56"/>
      <c r="O72" s="56"/>
      <c r="P72" s="56"/>
      <c r="Q72" s="56"/>
      <c r="R72" s="62"/>
      <c r="S72" s="62"/>
      <c r="X72" s="56"/>
    </row>
    <row r="73" spans="1:24">
      <c r="A73" s="38"/>
      <c r="B73" s="38"/>
      <c r="D73" s="38"/>
      <c r="E73" s="38"/>
      <c r="F73" s="38"/>
      <c r="G73" s="46"/>
      <c r="H73" s="38"/>
      <c r="I73" s="57"/>
      <c r="J73" s="38"/>
      <c r="K73" s="38"/>
      <c r="L73" s="46"/>
      <c r="M73" s="56"/>
      <c r="N73" s="56"/>
      <c r="O73" s="56"/>
      <c r="P73" s="56"/>
      <c r="Q73" s="56"/>
      <c r="R73" s="62"/>
      <c r="S73" s="62"/>
      <c r="X73" s="56"/>
    </row>
    <row r="74" spans="1:24">
      <c r="A74" s="38"/>
      <c r="B74" s="38"/>
      <c r="D74" s="38"/>
      <c r="E74" s="38"/>
      <c r="F74" s="38"/>
      <c r="G74" s="46"/>
      <c r="H74" s="38"/>
      <c r="I74" s="57"/>
      <c r="J74" s="38"/>
      <c r="K74" s="38"/>
      <c r="L74" s="46"/>
      <c r="M74" s="56"/>
      <c r="N74" s="56"/>
      <c r="O74" s="56"/>
      <c r="P74" s="56"/>
      <c r="Q74" s="56"/>
      <c r="R74" s="62"/>
      <c r="S74" s="62"/>
      <c r="X74" s="56"/>
    </row>
    <row r="75" spans="1:24">
      <c r="A75" s="38"/>
      <c r="B75" s="38"/>
      <c r="D75" s="38"/>
      <c r="E75" s="38"/>
      <c r="F75" s="38"/>
      <c r="G75" s="46"/>
      <c r="H75" s="38"/>
      <c r="I75" s="57"/>
      <c r="J75" s="38"/>
      <c r="K75" s="38"/>
      <c r="L75" s="46"/>
      <c r="M75" s="56"/>
      <c r="N75" s="56"/>
      <c r="O75" s="56"/>
      <c r="P75" s="56"/>
      <c r="Q75" s="56"/>
      <c r="R75" s="62"/>
      <c r="S75" s="62"/>
      <c r="X75" s="56"/>
    </row>
    <row r="76" spans="1:24">
      <c r="A76" s="38"/>
      <c r="B76" s="38"/>
      <c r="D76" s="38"/>
      <c r="E76" s="38"/>
      <c r="F76" s="38"/>
      <c r="G76" s="46"/>
      <c r="H76" s="38"/>
      <c r="I76" s="57"/>
      <c r="J76" s="38"/>
      <c r="K76" s="38"/>
      <c r="L76" s="46"/>
      <c r="M76" s="56"/>
      <c r="N76" s="56"/>
      <c r="O76" s="56"/>
      <c r="P76" s="56"/>
      <c r="Q76" s="56"/>
      <c r="R76" s="62"/>
      <c r="S76" s="62"/>
      <c r="X76" s="56"/>
    </row>
    <row r="77" spans="1:24">
      <c r="A77" s="38"/>
      <c r="B77" s="38"/>
      <c r="D77" s="38"/>
      <c r="E77" s="38"/>
      <c r="F77" s="38"/>
      <c r="G77" s="46"/>
      <c r="H77" s="38"/>
      <c r="I77" s="57"/>
      <c r="J77" s="38"/>
      <c r="K77" s="38"/>
      <c r="L77" s="46"/>
      <c r="M77" s="56"/>
      <c r="N77" s="56"/>
      <c r="O77" s="56"/>
      <c r="P77" s="56"/>
      <c r="Q77" s="56"/>
      <c r="R77" s="62"/>
      <c r="S77" s="62"/>
      <c r="X77" s="56"/>
    </row>
    <row r="78" spans="1:24">
      <c r="A78" s="38"/>
      <c r="B78" s="38"/>
      <c r="D78" s="38"/>
      <c r="E78" s="38"/>
      <c r="F78" s="38"/>
      <c r="G78" s="46"/>
      <c r="H78" s="38"/>
      <c r="I78" s="57"/>
      <c r="J78" s="38"/>
      <c r="K78" s="38"/>
      <c r="L78" s="46"/>
      <c r="M78" s="56"/>
      <c r="N78" s="56"/>
      <c r="O78" s="56"/>
      <c r="P78" s="56"/>
      <c r="Q78" s="56"/>
      <c r="R78" s="62"/>
      <c r="S78" s="62"/>
      <c r="X78" s="56"/>
    </row>
    <row r="79" spans="1:24">
      <c r="A79" s="38"/>
      <c r="B79" s="38"/>
      <c r="D79" s="38"/>
      <c r="E79" s="38"/>
      <c r="F79" s="38"/>
      <c r="G79" s="46"/>
      <c r="H79" s="38"/>
      <c r="I79" s="57"/>
      <c r="J79" s="38"/>
      <c r="K79" s="38"/>
      <c r="L79" s="46"/>
      <c r="M79" s="56"/>
      <c r="N79" s="56"/>
      <c r="O79" s="56"/>
      <c r="P79" s="56"/>
      <c r="Q79" s="56"/>
      <c r="R79" s="62"/>
      <c r="S79" s="62"/>
      <c r="X79" s="56"/>
    </row>
    <row r="80" spans="1:24">
      <c r="A80" s="38"/>
      <c r="B80" s="38"/>
      <c r="D80" s="38"/>
      <c r="E80" s="38"/>
      <c r="F80" s="38"/>
      <c r="G80" s="46"/>
      <c r="H80" s="38"/>
      <c r="I80" s="57"/>
      <c r="J80" s="38"/>
      <c r="K80" s="38"/>
      <c r="L80" s="46"/>
      <c r="M80" s="56"/>
      <c r="N80" s="56"/>
      <c r="O80" s="56"/>
      <c r="P80" s="56"/>
      <c r="Q80" s="56"/>
      <c r="R80" s="62"/>
      <c r="S80" s="62"/>
      <c r="X80" s="56"/>
    </row>
    <row r="81" spans="1:24">
      <c r="A81" s="38"/>
      <c r="B81" s="38"/>
      <c r="D81" s="38"/>
      <c r="E81" s="38"/>
      <c r="F81" s="38"/>
      <c r="G81" s="46"/>
      <c r="H81" s="38"/>
      <c r="I81" s="57"/>
      <c r="J81" s="38"/>
      <c r="K81" s="38"/>
      <c r="L81" s="46"/>
      <c r="M81" s="56"/>
      <c r="N81" s="56"/>
      <c r="O81" s="56"/>
      <c r="P81" s="56"/>
      <c r="Q81" s="56"/>
      <c r="R81" s="62"/>
      <c r="S81" s="62"/>
      <c r="X81" s="56"/>
    </row>
    <row r="82" spans="1:24">
      <c r="A82" s="38"/>
      <c r="B82" s="38"/>
      <c r="D82" s="38"/>
      <c r="E82" s="38"/>
      <c r="F82" s="38"/>
      <c r="G82" s="46"/>
      <c r="H82" s="38"/>
      <c r="I82" s="57"/>
      <c r="J82" s="38"/>
      <c r="K82" s="38"/>
      <c r="L82" s="46"/>
      <c r="M82" s="56"/>
      <c r="N82" s="56"/>
      <c r="O82" s="56"/>
      <c r="P82" s="56"/>
      <c r="Q82" s="56"/>
      <c r="R82" s="62"/>
      <c r="S82" s="62"/>
      <c r="X82" s="56"/>
    </row>
    <row r="83" spans="1:24">
      <c r="A83" s="38"/>
      <c r="B83" s="38"/>
      <c r="D83" s="38"/>
      <c r="E83" s="38"/>
      <c r="F83" s="38"/>
      <c r="G83" s="46"/>
      <c r="H83" s="38"/>
      <c r="I83" s="57"/>
      <c r="J83" s="38"/>
      <c r="K83" s="38"/>
      <c r="L83" s="46"/>
      <c r="M83" s="56"/>
      <c r="N83" s="56"/>
      <c r="O83" s="56"/>
      <c r="P83" s="56"/>
      <c r="Q83" s="56"/>
      <c r="R83" s="62"/>
      <c r="S83" s="62"/>
      <c r="X83" s="56"/>
    </row>
    <row r="84" spans="1:24">
      <c r="A84" s="38"/>
      <c r="B84" s="38"/>
      <c r="D84" s="38"/>
      <c r="E84" s="38"/>
      <c r="F84" s="38"/>
      <c r="G84" s="46"/>
      <c r="H84" s="38"/>
      <c r="I84" s="57"/>
      <c r="J84" s="38"/>
      <c r="K84" s="38"/>
      <c r="L84" s="46"/>
      <c r="M84" s="56"/>
      <c r="N84" s="56"/>
      <c r="O84" s="56"/>
      <c r="P84" s="56"/>
      <c r="Q84" s="56"/>
      <c r="R84" s="62"/>
      <c r="S84" s="62"/>
      <c r="X84" s="56"/>
    </row>
    <row r="85" spans="1:24">
      <c r="A85" s="38"/>
      <c r="B85" s="38"/>
      <c r="D85" s="38"/>
      <c r="E85" s="38"/>
      <c r="F85" s="38"/>
      <c r="G85" s="46"/>
      <c r="H85" s="38"/>
      <c r="I85" s="57"/>
      <c r="J85" s="38"/>
      <c r="K85" s="38"/>
      <c r="L85" s="46"/>
      <c r="M85" s="56"/>
      <c r="N85" s="56"/>
      <c r="O85" s="56"/>
      <c r="P85" s="56"/>
      <c r="Q85" s="56"/>
      <c r="R85" s="62"/>
      <c r="S85" s="62"/>
      <c r="X85" s="56"/>
    </row>
    <row r="86" spans="1:24">
      <c r="A86" s="38"/>
      <c r="B86" s="38"/>
      <c r="D86" s="38"/>
      <c r="E86" s="38"/>
      <c r="F86" s="38"/>
      <c r="G86" s="46"/>
      <c r="H86" s="38"/>
      <c r="I86" s="57"/>
      <c r="J86" s="38"/>
      <c r="K86" s="38"/>
      <c r="L86" s="46"/>
      <c r="M86" s="56"/>
      <c r="N86" s="56"/>
      <c r="O86" s="56"/>
      <c r="P86" s="56"/>
      <c r="Q86" s="56"/>
      <c r="R86" s="62"/>
      <c r="S86" s="62"/>
      <c r="X86" s="56"/>
    </row>
    <row r="87" spans="1:24">
      <c r="A87" s="38"/>
      <c r="B87" s="38"/>
      <c r="D87" s="38"/>
      <c r="E87" s="38"/>
      <c r="F87" s="38"/>
      <c r="G87" s="46"/>
      <c r="H87" s="38"/>
      <c r="I87" s="57"/>
      <c r="J87" s="38"/>
      <c r="K87" s="38"/>
      <c r="L87" s="46"/>
      <c r="M87" s="56"/>
      <c r="N87" s="56"/>
      <c r="O87" s="56"/>
      <c r="P87" s="56"/>
      <c r="Q87" s="56"/>
      <c r="R87" s="62"/>
      <c r="S87" s="62"/>
      <c r="X87" s="56"/>
    </row>
    <row r="88" spans="1:24">
      <c r="A88" s="38"/>
      <c r="B88" s="38"/>
      <c r="D88" s="38"/>
      <c r="E88" s="38"/>
      <c r="F88" s="38"/>
      <c r="G88" s="46"/>
      <c r="H88" s="38"/>
      <c r="I88" s="57"/>
      <c r="J88" s="38"/>
      <c r="K88" s="38"/>
      <c r="L88" s="46"/>
      <c r="M88" s="56"/>
      <c r="N88" s="56"/>
      <c r="O88" s="56"/>
      <c r="P88" s="56"/>
      <c r="Q88" s="56"/>
      <c r="R88" s="62"/>
      <c r="S88" s="62"/>
      <c r="X88" s="56"/>
    </row>
    <row r="89" spans="1:24">
      <c r="A89" s="38"/>
      <c r="B89" s="38"/>
      <c r="D89" s="38"/>
      <c r="E89" s="38"/>
      <c r="F89" s="38"/>
      <c r="G89" s="46"/>
      <c r="H89" s="38"/>
      <c r="I89" s="57"/>
      <c r="J89" s="38"/>
      <c r="K89" s="38"/>
      <c r="L89" s="46"/>
      <c r="M89" s="56"/>
      <c r="N89" s="56"/>
      <c r="O89" s="56"/>
      <c r="P89" s="56"/>
      <c r="Q89" s="56"/>
      <c r="R89" s="62"/>
      <c r="S89" s="62"/>
      <c r="X89" s="56"/>
    </row>
    <row r="90" spans="1:24">
      <c r="A90" s="38"/>
      <c r="B90" s="38"/>
      <c r="D90" s="38"/>
      <c r="E90" s="38"/>
      <c r="F90" s="38"/>
      <c r="G90" s="46"/>
      <c r="H90" s="38"/>
      <c r="I90" s="57"/>
      <c r="J90" s="38"/>
      <c r="K90" s="38"/>
      <c r="L90" s="46"/>
      <c r="M90" s="56"/>
      <c r="N90" s="56"/>
      <c r="O90" s="56"/>
      <c r="P90" s="56"/>
      <c r="Q90" s="56"/>
      <c r="R90" s="62"/>
      <c r="S90" s="62"/>
      <c r="X90" s="56"/>
    </row>
    <row r="91" spans="1:24">
      <c r="A91" s="38"/>
      <c r="B91" s="38"/>
      <c r="D91" s="38"/>
      <c r="E91" s="38"/>
      <c r="F91" s="38"/>
      <c r="G91" s="46"/>
      <c r="H91" s="38"/>
      <c r="I91" s="57"/>
      <c r="J91" s="38"/>
      <c r="K91" s="38"/>
      <c r="L91" s="46"/>
      <c r="M91" s="56"/>
      <c r="N91" s="56"/>
      <c r="O91" s="56"/>
      <c r="P91" s="56"/>
      <c r="Q91" s="56"/>
      <c r="R91" s="62"/>
      <c r="S91" s="62"/>
      <c r="X91" s="56"/>
    </row>
    <row r="92" spans="1:24">
      <c r="A92" s="38"/>
      <c r="B92" s="38"/>
      <c r="D92" s="38"/>
      <c r="E92" s="38"/>
      <c r="F92" s="38"/>
      <c r="G92" s="46"/>
      <c r="H92" s="38"/>
      <c r="I92" s="57"/>
      <c r="J92" s="38"/>
      <c r="K92" s="38"/>
      <c r="L92" s="46"/>
      <c r="M92" s="56"/>
      <c r="N92" s="56"/>
      <c r="O92" s="56"/>
      <c r="P92" s="56"/>
      <c r="Q92" s="56"/>
      <c r="R92" s="62"/>
      <c r="S92" s="62"/>
      <c r="X92" s="56"/>
    </row>
    <row r="93" spans="1:24">
      <c r="A93" s="38"/>
      <c r="B93" s="38"/>
      <c r="D93" s="38"/>
      <c r="E93" s="38"/>
      <c r="F93" s="38"/>
      <c r="G93" s="46"/>
      <c r="H93" s="38"/>
      <c r="I93" s="57"/>
      <c r="J93" s="38"/>
      <c r="K93" s="38"/>
      <c r="L93" s="46"/>
      <c r="M93" s="56"/>
      <c r="N93" s="56"/>
      <c r="O93" s="56"/>
      <c r="P93" s="56"/>
      <c r="Q93" s="56"/>
      <c r="R93" s="62"/>
      <c r="S93" s="62"/>
      <c r="X93" s="56"/>
    </row>
    <row r="94" spans="1:24">
      <c r="A94" s="38"/>
      <c r="B94" s="38"/>
      <c r="D94" s="38"/>
      <c r="E94" s="38"/>
      <c r="F94" s="38"/>
      <c r="G94" s="46"/>
      <c r="H94" s="38"/>
      <c r="I94" s="57"/>
      <c r="J94" s="38"/>
      <c r="K94" s="38"/>
      <c r="L94" s="46"/>
      <c r="M94" s="56"/>
      <c r="N94" s="56"/>
      <c r="O94" s="56"/>
      <c r="P94" s="56"/>
      <c r="Q94" s="56"/>
      <c r="R94" s="62"/>
      <c r="S94" s="62"/>
      <c r="X94" s="56"/>
    </row>
    <row r="95" spans="1:24">
      <c r="A95" s="38"/>
      <c r="B95" s="38"/>
      <c r="D95" s="38"/>
      <c r="E95" s="38"/>
      <c r="F95" s="38"/>
      <c r="G95" s="46"/>
      <c r="H95" s="38"/>
      <c r="I95" s="57"/>
      <c r="J95" s="38"/>
      <c r="K95" s="38"/>
      <c r="L95" s="46"/>
      <c r="M95" s="56"/>
      <c r="N95" s="56"/>
      <c r="O95" s="56"/>
      <c r="P95" s="56"/>
      <c r="Q95" s="56"/>
      <c r="R95" s="62"/>
      <c r="S95" s="62"/>
      <c r="X95" s="56"/>
    </row>
    <row r="96" spans="1:24">
      <c r="A96" s="38"/>
      <c r="B96" s="38"/>
      <c r="D96" s="38"/>
      <c r="E96" s="38"/>
      <c r="F96" s="38"/>
      <c r="G96" s="46"/>
      <c r="H96" s="38"/>
      <c r="I96" s="57"/>
      <c r="J96" s="38"/>
      <c r="K96" s="38"/>
      <c r="L96" s="46"/>
      <c r="M96" s="56"/>
      <c r="N96" s="56"/>
      <c r="O96" s="56"/>
      <c r="P96" s="56"/>
      <c r="Q96" s="56"/>
      <c r="R96" s="62"/>
      <c r="S96" s="62"/>
      <c r="X96" s="56"/>
    </row>
    <row r="97" spans="1:24">
      <c r="A97" s="38"/>
      <c r="B97" s="38"/>
      <c r="D97" s="38"/>
      <c r="E97" s="38"/>
      <c r="F97" s="38"/>
      <c r="G97" s="46"/>
      <c r="H97" s="38"/>
      <c r="I97" s="57"/>
      <c r="J97" s="38"/>
      <c r="K97" s="38"/>
      <c r="L97" s="46"/>
      <c r="M97" s="56"/>
      <c r="N97" s="56"/>
      <c r="O97" s="56"/>
      <c r="P97" s="56"/>
      <c r="Q97" s="56"/>
      <c r="R97" s="62"/>
      <c r="S97" s="62"/>
      <c r="X97" s="56"/>
    </row>
    <row r="98" spans="1:24">
      <c r="A98" s="38"/>
      <c r="B98" s="38"/>
      <c r="D98" s="38"/>
      <c r="E98" s="38"/>
      <c r="F98" s="38"/>
      <c r="G98" s="46"/>
      <c r="H98" s="38"/>
      <c r="I98" s="57"/>
      <c r="J98" s="38"/>
      <c r="K98" s="38"/>
      <c r="L98" s="46"/>
      <c r="M98" s="56"/>
      <c r="N98" s="56"/>
      <c r="O98" s="56"/>
      <c r="P98" s="56"/>
      <c r="Q98" s="56"/>
      <c r="R98" s="62"/>
      <c r="S98" s="62"/>
      <c r="X98" s="56"/>
    </row>
    <row r="99" spans="1:24">
      <c r="A99" s="38"/>
      <c r="B99" s="38"/>
      <c r="D99" s="38"/>
      <c r="E99" s="38"/>
      <c r="F99" s="38"/>
      <c r="G99" s="46"/>
      <c r="H99" s="38"/>
      <c r="I99" s="57"/>
      <c r="J99" s="38"/>
      <c r="K99" s="38"/>
      <c r="L99" s="46"/>
      <c r="M99" s="56"/>
      <c r="N99" s="56"/>
      <c r="O99" s="56"/>
      <c r="P99" s="56"/>
      <c r="Q99" s="56"/>
      <c r="R99" s="62"/>
      <c r="S99" s="62"/>
      <c r="X99" s="56"/>
    </row>
    <row r="100" spans="1:24">
      <c r="A100" s="38"/>
      <c r="B100" s="38"/>
      <c r="D100" s="38"/>
      <c r="E100" s="38"/>
      <c r="F100" s="38"/>
      <c r="G100" s="46"/>
      <c r="H100" s="38"/>
      <c r="I100" s="57"/>
      <c r="J100" s="38"/>
      <c r="K100" s="38"/>
      <c r="L100" s="46"/>
      <c r="M100" s="56"/>
      <c r="N100" s="56"/>
      <c r="O100" s="56"/>
      <c r="P100" s="56"/>
      <c r="Q100" s="56"/>
      <c r="R100" s="62"/>
      <c r="S100" s="62"/>
      <c r="X100" s="56"/>
    </row>
    <row r="101" spans="1:24">
      <c r="A101" s="38"/>
      <c r="B101" s="38"/>
      <c r="D101" s="38"/>
      <c r="E101" s="38"/>
      <c r="F101" s="38"/>
      <c r="G101" s="46"/>
      <c r="H101" s="38"/>
      <c r="I101" s="57"/>
      <c r="J101" s="38"/>
      <c r="K101" s="38"/>
      <c r="L101" s="46"/>
      <c r="M101" s="56"/>
      <c r="N101" s="56"/>
      <c r="O101" s="56"/>
      <c r="P101" s="56"/>
      <c r="Q101" s="56"/>
      <c r="R101" s="62"/>
      <c r="S101" s="62"/>
      <c r="X101" s="56"/>
    </row>
    <row r="102" spans="1:24">
      <c r="A102" s="38"/>
      <c r="B102" s="38"/>
      <c r="D102" s="38"/>
      <c r="E102" s="38"/>
      <c r="F102" s="38"/>
      <c r="G102" s="46"/>
      <c r="H102" s="38"/>
      <c r="I102" s="57"/>
      <c r="J102" s="38"/>
      <c r="K102" s="38"/>
      <c r="L102" s="46"/>
      <c r="M102" s="56"/>
      <c r="N102" s="56"/>
      <c r="O102" s="56"/>
      <c r="P102" s="56"/>
      <c r="Q102" s="56"/>
      <c r="R102" s="62"/>
      <c r="S102" s="62"/>
      <c r="X102" s="56"/>
    </row>
    <row r="103" spans="1:24">
      <c r="A103" s="38"/>
      <c r="B103" s="38"/>
      <c r="D103" s="38"/>
      <c r="E103" s="38"/>
      <c r="F103" s="38"/>
      <c r="G103" s="46"/>
      <c r="H103" s="38"/>
      <c r="I103" s="57"/>
      <c r="J103" s="38"/>
      <c r="K103" s="38"/>
      <c r="L103" s="46"/>
      <c r="M103" s="56"/>
      <c r="N103" s="56"/>
      <c r="O103" s="56"/>
      <c r="P103" s="56"/>
      <c r="Q103" s="56"/>
      <c r="R103" s="62"/>
      <c r="S103" s="62"/>
      <c r="X103" s="56"/>
    </row>
    <row r="104" spans="1:24">
      <c r="A104" s="38"/>
      <c r="B104" s="38"/>
      <c r="D104" s="38"/>
      <c r="E104" s="38"/>
      <c r="F104" s="38"/>
      <c r="G104" s="46"/>
      <c r="H104" s="38"/>
      <c r="I104" s="57"/>
      <c r="J104" s="38"/>
      <c r="K104" s="38"/>
      <c r="L104" s="46"/>
      <c r="M104" s="56"/>
      <c r="N104" s="56"/>
      <c r="O104" s="56"/>
      <c r="P104" s="56"/>
      <c r="Q104" s="56"/>
      <c r="R104" s="62"/>
      <c r="S104" s="62"/>
      <c r="X104" s="56"/>
    </row>
    <row r="105" spans="1:24">
      <c r="A105" s="38"/>
      <c r="B105" s="38"/>
      <c r="D105" s="38"/>
      <c r="E105" s="38"/>
      <c r="F105" s="38"/>
      <c r="G105" s="46"/>
      <c r="H105" s="38"/>
      <c r="I105" s="57"/>
      <c r="J105" s="38"/>
      <c r="K105" s="38"/>
      <c r="L105" s="46"/>
      <c r="M105" s="56"/>
      <c r="N105" s="56"/>
      <c r="O105" s="56"/>
      <c r="P105" s="56"/>
      <c r="Q105" s="56"/>
      <c r="R105" s="62"/>
      <c r="S105" s="62"/>
      <c r="X105" s="56"/>
    </row>
    <row r="106" spans="1:24">
      <c r="A106" s="38"/>
      <c r="B106" s="38"/>
      <c r="D106" s="38"/>
      <c r="E106" s="38"/>
      <c r="F106" s="38"/>
      <c r="G106" s="46"/>
      <c r="H106" s="38"/>
      <c r="I106" s="57"/>
      <c r="J106" s="38"/>
      <c r="K106" s="38"/>
      <c r="L106" s="46"/>
      <c r="M106" s="56"/>
      <c r="N106" s="56"/>
      <c r="O106" s="56"/>
      <c r="P106" s="56"/>
      <c r="Q106" s="56"/>
      <c r="R106" s="62"/>
      <c r="S106" s="62"/>
      <c r="X106" s="56"/>
    </row>
    <row r="107" spans="1:24">
      <c r="A107" s="38"/>
      <c r="B107" s="38"/>
      <c r="D107" s="38"/>
      <c r="E107" s="38"/>
      <c r="F107" s="38"/>
      <c r="G107" s="46"/>
      <c r="H107" s="38"/>
      <c r="I107" s="57"/>
      <c r="J107" s="38"/>
      <c r="K107" s="38"/>
      <c r="L107" s="46"/>
      <c r="M107" s="56"/>
      <c r="N107" s="56"/>
      <c r="O107" s="56"/>
      <c r="P107" s="56"/>
      <c r="Q107" s="56"/>
      <c r="R107" s="62"/>
      <c r="S107" s="62"/>
      <c r="X107" s="56"/>
    </row>
    <row r="108" spans="1:24">
      <c r="A108" s="38"/>
      <c r="B108" s="38"/>
      <c r="D108" s="38"/>
      <c r="E108" s="38"/>
      <c r="F108" s="38"/>
      <c r="G108" s="46"/>
      <c r="H108" s="38"/>
      <c r="I108" s="57"/>
      <c r="J108" s="38"/>
      <c r="K108" s="38"/>
      <c r="L108" s="46"/>
      <c r="M108" s="56"/>
      <c r="N108" s="56"/>
      <c r="O108" s="56"/>
      <c r="P108" s="56"/>
      <c r="Q108" s="56"/>
      <c r="R108" s="62"/>
      <c r="S108" s="62"/>
      <c r="X108" s="56"/>
    </row>
    <row r="109" spans="1:24">
      <c r="A109" s="38"/>
      <c r="B109" s="38"/>
      <c r="D109" s="38"/>
      <c r="E109" s="38"/>
      <c r="F109" s="38"/>
      <c r="G109" s="46"/>
      <c r="H109" s="38"/>
      <c r="I109" s="57"/>
      <c r="J109" s="38"/>
      <c r="K109" s="38"/>
      <c r="L109" s="46"/>
      <c r="M109" s="56"/>
      <c r="N109" s="56"/>
      <c r="O109" s="56"/>
      <c r="P109" s="56"/>
      <c r="Q109" s="56"/>
      <c r="R109" s="62"/>
      <c r="S109" s="62"/>
      <c r="X109" s="56"/>
    </row>
    <row r="110" spans="1:24">
      <c r="A110" s="38"/>
      <c r="B110" s="38"/>
      <c r="D110" s="38"/>
      <c r="E110" s="38"/>
      <c r="F110" s="38"/>
      <c r="G110" s="46"/>
      <c r="H110" s="38"/>
      <c r="I110" s="57"/>
      <c r="J110" s="38"/>
      <c r="K110" s="38"/>
      <c r="L110" s="46"/>
      <c r="M110" s="56"/>
      <c r="N110" s="56"/>
      <c r="O110" s="56"/>
      <c r="P110" s="56"/>
      <c r="Q110" s="56"/>
      <c r="R110" s="62"/>
      <c r="S110" s="62"/>
      <c r="X110" s="56"/>
    </row>
    <row r="111" spans="1:24">
      <c r="A111" s="38"/>
      <c r="B111" s="38"/>
      <c r="D111" s="38"/>
      <c r="E111" s="38"/>
      <c r="F111" s="38"/>
      <c r="G111" s="46"/>
      <c r="H111" s="38"/>
      <c r="I111" s="57"/>
      <c r="J111" s="38"/>
      <c r="K111" s="38"/>
      <c r="L111" s="46"/>
      <c r="M111" s="56"/>
      <c r="N111" s="56"/>
      <c r="O111" s="56"/>
      <c r="P111" s="56"/>
      <c r="Q111" s="56"/>
      <c r="R111" s="62"/>
      <c r="S111" s="62"/>
      <c r="X111" s="56"/>
    </row>
    <row r="112" spans="1:24">
      <c r="A112" s="38"/>
      <c r="B112" s="38"/>
      <c r="D112" s="38"/>
      <c r="E112" s="38"/>
      <c r="F112" s="38"/>
      <c r="G112" s="46"/>
      <c r="H112" s="38"/>
      <c r="I112" s="57"/>
      <c r="J112" s="38"/>
      <c r="K112" s="38"/>
      <c r="L112" s="46"/>
      <c r="M112" s="56"/>
      <c r="N112" s="56"/>
      <c r="O112" s="56"/>
      <c r="P112" s="56"/>
      <c r="Q112" s="56"/>
      <c r="R112" s="62"/>
      <c r="S112" s="62"/>
      <c r="X112" s="56"/>
    </row>
    <row r="113" spans="1:24">
      <c r="A113" s="38"/>
      <c r="B113" s="38"/>
      <c r="D113" s="38"/>
      <c r="E113" s="38"/>
      <c r="F113" s="38"/>
      <c r="G113" s="46"/>
      <c r="H113" s="38"/>
      <c r="I113" s="57"/>
      <c r="J113" s="38"/>
      <c r="K113" s="38"/>
      <c r="L113" s="46"/>
      <c r="M113" s="56"/>
      <c r="N113" s="56"/>
      <c r="O113" s="56"/>
      <c r="P113" s="56"/>
      <c r="Q113" s="56"/>
      <c r="R113" s="62"/>
      <c r="S113" s="62"/>
      <c r="X113" s="56"/>
    </row>
    <row r="114" spans="1:24">
      <c r="A114" s="38"/>
      <c r="B114" s="38"/>
      <c r="D114" s="38"/>
      <c r="E114" s="38"/>
      <c r="F114" s="38"/>
      <c r="G114" s="46"/>
      <c r="H114" s="38"/>
      <c r="I114" s="57"/>
      <c r="J114" s="38"/>
      <c r="K114" s="38"/>
      <c r="L114" s="46"/>
      <c r="M114" s="56"/>
      <c r="N114" s="56"/>
      <c r="O114" s="56"/>
      <c r="P114" s="56"/>
      <c r="Q114" s="56"/>
      <c r="R114" s="62"/>
      <c r="S114" s="62"/>
      <c r="X114" s="56"/>
    </row>
    <row r="115" spans="1:24">
      <c r="A115" s="38"/>
      <c r="B115" s="38"/>
      <c r="D115" s="38"/>
      <c r="E115" s="38"/>
      <c r="F115" s="38"/>
      <c r="G115" s="46"/>
      <c r="H115" s="38"/>
      <c r="I115" s="57"/>
      <c r="J115" s="38"/>
      <c r="K115" s="38"/>
      <c r="L115" s="46"/>
      <c r="M115" s="56"/>
      <c r="N115" s="56"/>
      <c r="O115" s="56"/>
      <c r="P115" s="56"/>
      <c r="Q115" s="56"/>
      <c r="R115" s="62"/>
      <c r="S115" s="62"/>
      <c r="X115" s="56"/>
    </row>
    <row r="116" spans="1:24">
      <c r="A116" s="38"/>
      <c r="B116" s="38"/>
      <c r="D116" s="38"/>
      <c r="E116" s="38"/>
      <c r="F116" s="38"/>
      <c r="G116" s="46"/>
      <c r="H116" s="38"/>
      <c r="I116" s="57"/>
      <c r="J116" s="38"/>
      <c r="K116" s="38"/>
      <c r="L116" s="46"/>
      <c r="M116" s="56"/>
      <c r="N116" s="56"/>
      <c r="O116" s="56"/>
      <c r="P116" s="56"/>
      <c r="Q116" s="56"/>
      <c r="R116" s="62"/>
      <c r="S116" s="62"/>
      <c r="X116" s="56"/>
    </row>
    <row r="117" spans="1:24">
      <c r="A117" s="38"/>
      <c r="B117" s="38"/>
      <c r="D117" s="38"/>
      <c r="E117" s="38"/>
      <c r="F117" s="38"/>
      <c r="G117" s="46"/>
      <c r="H117" s="38"/>
      <c r="I117" s="57"/>
      <c r="J117" s="38"/>
      <c r="K117" s="38"/>
      <c r="L117" s="46"/>
      <c r="M117" s="56"/>
      <c r="N117" s="56"/>
      <c r="O117" s="56"/>
      <c r="P117" s="56"/>
      <c r="Q117" s="56"/>
      <c r="R117" s="62"/>
      <c r="S117" s="62"/>
      <c r="X117" s="56"/>
    </row>
    <row r="118" spans="1:24">
      <c r="A118" s="38"/>
      <c r="B118" s="38"/>
      <c r="D118" s="38"/>
      <c r="E118" s="38"/>
      <c r="F118" s="38"/>
      <c r="G118" s="46"/>
      <c r="H118" s="38"/>
      <c r="I118" s="57"/>
      <c r="J118" s="38"/>
      <c r="K118" s="38"/>
      <c r="L118" s="46"/>
      <c r="M118" s="56"/>
      <c r="N118" s="56"/>
      <c r="O118" s="56"/>
      <c r="P118" s="56"/>
      <c r="Q118" s="56"/>
      <c r="R118" s="62"/>
      <c r="S118" s="62"/>
      <c r="X118" s="56"/>
    </row>
    <row r="119" spans="1:24">
      <c r="A119" s="38"/>
      <c r="B119" s="38"/>
      <c r="D119" s="38"/>
      <c r="E119" s="38"/>
      <c r="F119" s="38"/>
      <c r="G119" s="46"/>
      <c r="H119" s="38"/>
      <c r="I119" s="57"/>
      <c r="J119" s="38"/>
      <c r="K119" s="38"/>
      <c r="L119" s="46"/>
      <c r="M119" s="56"/>
      <c r="N119" s="56"/>
      <c r="O119" s="56"/>
      <c r="P119" s="56"/>
      <c r="Q119" s="56"/>
      <c r="R119" s="62"/>
      <c r="S119" s="62"/>
      <c r="X119" s="56"/>
    </row>
    <row r="120" spans="1:24">
      <c r="A120" s="38"/>
      <c r="B120" s="38"/>
      <c r="D120" s="38"/>
      <c r="E120" s="38"/>
      <c r="F120" s="38"/>
      <c r="G120" s="46"/>
      <c r="H120" s="38"/>
      <c r="I120" s="57"/>
      <c r="J120" s="38"/>
      <c r="K120" s="38"/>
      <c r="L120" s="46"/>
      <c r="M120" s="56"/>
      <c r="N120" s="56"/>
      <c r="O120" s="56"/>
      <c r="P120" s="56"/>
      <c r="Q120" s="56"/>
      <c r="R120" s="62"/>
      <c r="S120" s="62"/>
      <c r="X120" s="56"/>
    </row>
    <row r="121" spans="1:24">
      <c r="A121" s="38"/>
      <c r="B121" s="38"/>
      <c r="D121" s="38"/>
      <c r="E121" s="38"/>
      <c r="F121" s="38"/>
      <c r="G121" s="46"/>
      <c r="H121" s="38"/>
      <c r="I121" s="57"/>
      <c r="J121" s="38"/>
      <c r="K121" s="38"/>
      <c r="L121" s="46"/>
      <c r="M121" s="56"/>
      <c r="N121" s="56"/>
      <c r="O121" s="56"/>
      <c r="P121" s="56"/>
      <c r="Q121" s="56"/>
      <c r="R121" s="62"/>
      <c r="S121" s="62"/>
      <c r="X121" s="56"/>
    </row>
    <row r="122" spans="1:24">
      <c r="A122" s="38"/>
      <c r="B122" s="38"/>
      <c r="D122" s="38"/>
      <c r="E122" s="38"/>
      <c r="F122" s="38"/>
      <c r="G122" s="46"/>
      <c r="H122" s="38"/>
      <c r="I122" s="57"/>
      <c r="J122" s="38"/>
      <c r="K122" s="38"/>
      <c r="L122" s="46"/>
      <c r="M122" s="56"/>
      <c r="N122" s="56"/>
      <c r="O122" s="56"/>
      <c r="P122" s="56"/>
      <c r="Q122" s="56"/>
      <c r="R122" s="62"/>
      <c r="S122" s="62"/>
      <c r="X122" s="56"/>
    </row>
    <row r="123" spans="1:24">
      <c r="A123" s="38"/>
      <c r="B123" s="38"/>
      <c r="D123" s="38"/>
      <c r="E123" s="38"/>
      <c r="F123" s="38"/>
      <c r="G123" s="46"/>
      <c r="H123" s="38"/>
      <c r="I123" s="57"/>
      <c r="J123" s="38"/>
      <c r="K123" s="38"/>
      <c r="L123" s="46"/>
      <c r="M123" s="56"/>
      <c r="N123" s="56"/>
      <c r="O123" s="56"/>
      <c r="P123" s="56"/>
      <c r="Q123" s="56"/>
      <c r="R123" s="62"/>
      <c r="S123" s="62"/>
      <c r="X123" s="56"/>
    </row>
    <row r="124" spans="1:24">
      <c r="A124" s="38"/>
      <c r="B124" s="38"/>
      <c r="D124" s="38"/>
      <c r="E124" s="38"/>
      <c r="F124" s="38"/>
      <c r="G124" s="46"/>
      <c r="H124" s="38"/>
      <c r="I124" s="57"/>
      <c r="J124" s="38"/>
      <c r="K124" s="38"/>
      <c r="L124" s="46"/>
      <c r="M124" s="56"/>
      <c r="N124" s="56"/>
      <c r="O124" s="56"/>
      <c r="P124" s="56"/>
      <c r="Q124" s="56"/>
      <c r="R124" s="62"/>
      <c r="S124" s="62"/>
      <c r="X124" s="56"/>
    </row>
    <row r="125" spans="1:24">
      <c r="A125" s="38"/>
      <c r="B125" s="38"/>
      <c r="D125" s="38"/>
      <c r="E125" s="38"/>
      <c r="F125" s="38"/>
      <c r="G125" s="46"/>
      <c r="H125" s="38"/>
      <c r="I125" s="57"/>
      <c r="J125" s="38"/>
      <c r="K125" s="38"/>
      <c r="L125" s="46"/>
      <c r="M125" s="56"/>
      <c r="N125" s="56"/>
      <c r="O125" s="56"/>
      <c r="P125" s="56"/>
      <c r="Q125" s="56"/>
      <c r="R125" s="62"/>
      <c r="S125" s="62"/>
      <c r="X125" s="56"/>
    </row>
    <row r="126" spans="1:24">
      <c r="A126" s="38"/>
      <c r="B126" s="38"/>
      <c r="D126" s="38"/>
      <c r="E126" s="38"/>
      <c r="F126" s="38"/>
      <c r="G126" s="46"/>
      <c r="H126" s="38"/>
      <c r="I126" s="57"/>
      <c r="J126" s="38"/>
      <c r="K126" s="38"/>
      <c r="L126" s="46"/>
      <c r="M126" s="56"/>
      <c r="N126" s="56"/>
      <c r="O126" s="56"/>
      <c r="P126" s="56"/>
      <c r="Q126" s="56"/>
      <c r="R126" s="62"/>
      <c r="S126" s="62"/>
      <c r="X126" s="56"/>
    </row>
    <row r="127" spans="1:24">
      <c r="A127" s="38"/>
      <c r="B127" s="38"/>
      <c r="D127" s="38"/>
      <c r="E127" s="38"/>
      <c r="F127" s="38"/>
      <c r="G127" s="46"/>
      <c r="H127" s="38"/>
      <c r="I127" s="57"/>
      <c r="J127" s="38"/>
      <c r="K127" s="38"/>
      <c r="L127" s="46"/>
      <c r="M127" s="56"/>
      <c r="N127" s="56"/>
      <c r="O127" s="56"/>
      <c r="P127" s="56"/>
      <c r="Q127" s="56"/>
      <c r="R127" s="62"/>
      <c r="S127" s="62"/>
      <c r="X127" s="56"/>
    </row>
    <row r="128" spans="1:24">
      <c r="A128" s="38"/>
      <c r="B128" s="38"/>
      <c r="D128" s="38"/>
      <c r="E128" s="38"/>
      <c r="F128" s="38"/>
      <c r="G128" s="46"/>
      <c r="H128" s="38"/>
      <c r="I128" s="57"/>
      <c r="J128" s="38"/>
      <c r="K128" s="38"/>
      <c r="L128" s="46"/>
      <c r="M128" s="56"/>
      <c r="N128" s="56"/>
      <c r="O128" s="56"/>
      <c r="P128" s="56"/>
      <c r="Q128" s="56"/>
      <c r="R128" s="62"/>
      <c r="S128" s="62"/>
      <c r="X128" s="56"/>
    </row>
    <row r="129" spans="1:24">
      <c r="A129" s="38"/>
      <c r="B129" s="38"/>
      <c r="D129" s="38"/>
      <c r="E129" s="38"/>
      <c r="F129" s="38"/>
      <c r="G129" s="46"/>
      <c r="H129" s="38"/>
      <c r="I129" s="57"/>
      <c r="J129" s="38"/>
      <c r="K129" s="38"/>
      <c r="L129" s="46"/>
      <c r="M129" s="56"/>
      <c r="N129" s="56"/>
      <c r="O129" s="56"/>
      <c r="P129" s="56"/>
      <c r="Q129" s="56"/>
      <c r="R129" s="62"/>
      <c r="S129" s="62"/>
      <c r="X129" s="56"/>
    </row>
    <row r="130" spans="1:24">
      <c r="A130" s="38"/>
      <c r="B130" s="38"/>
      <c r="D130" s="38"/>
      <c r="E130" s="38"/>
      <c r="F130" s="38"/>
      <c r="G130" s="46"/>
      <c r="H130" s="38"/>
      <c r="I130" s="57"/>
      <c r="J130" s="38"/>
      <c r="K130" s="38"/>
      <c r="L130" s="46"/>
      <c r="M130" s="56"/>
      <c r="N130" s="56"/>
      <c r="O130" s="56"/>
      <c r="P130" s="56"/>
      <c r="Q130" s="56"/>
      <c r="R130" s="62"/>
      <c r="S130" s="62"/>
      <c r="X130" s="56"/>
    </row>
    <row r="131" spans="1:24">
      <c r="A131" s="38"/>
      <c r="B131" s="38"/>
      <c r="D131" s="38"/>
      <c r="E131" s="38"/>
      <c r="F131" s="38"/>
      <c r="G131" s="46"/>
      <c r="H131" s="38"/>
      <c r="I131" s="57"/>
      <c r="J131" s="38"/>
      <c r="K131" s="38"/>
      <c r="L131" s="46"/>
      <c r="M131" s="56"/>
      <c r="N131" s="56"/>
      <c r="O131" s="56"/>
      <c r="P131" s="56"/>
      <c r="Q131" s="56"/>
      <c r="R131" s="62"/>
      <c r="S131" s="62"/>
      <c r="X131" s="56"/>
    </row>
    <row r="132" spans="1:24">
      <c r="A132" s="38"/>
      <c r="B132" s="38"/>
      <c r="D132" s="38"/>
      <c r="E132" s="38"/>
      <c r="F132" s="38"/>
      <c r="G132" s="46"/>
      <c r="H132" s="38"/>
      <c r="I132" s="57"/>
      <c r="J132" s="38"/>
      <c r="K132" s="38"/>
      <c r="L132" s="46"/>
      <c r="M132" s="56"/>
      <c r="N132" s="56"/>
      <c r="O132" s="56"/>
      <c r="P132" s="56"/>
      <c r="Q132" s="56"/>
      <c r="R132" s="62"/>
      <c r="S132" s="62"/>
      <c r="X132" s="56"/>
    </row>
    <row r="133" spans="1:24">
      <c r="A133" s="38"/>
      <c r="B133" s="38"/>
      <c r="D133" s="38"/>
      <c r="E133" s="38"/>
      <c r="F133" s="38"/>
      <c r="G133" s="46"/>
      <c r="H133" s="38"/>
      <c r="I133" s="57"/>
      <c r="J133" s="38"/>
      <c r="K133" s="38"/>
      <c r="L133" s="46"/>
      <c r="M133" s="56"/>
      <c r="N133" s="56"/>
      <c r="O133" s="56"/>
      <c r="P133" s="56"/>
      <c r="Q133" s="56"/>
      <c r="R133" s="62"/>
      <c r="S133" s="62"/>
      <c r="X133" s="56"/>
    </row>
    <row r="134" spans="1:24">
      <c r="A134" s="38"/>
      <c r="B134" s="38"/>
      <c r="D134" s="38"/>
      <c r="E134" s="38"/>
      <c r="F134" s="38"/>
      <c r="G134" s="46"/>
      <c r="H134" s="38"/>
      <c r="I134" s="57"/>
      <c r="J134" s="38"/>
      <c r="K134" s="38"/>
      <c r="L134" s="46"/>
      <c r="M134" s="56"/>
      <c r="N134" s="56"/>
      <c r="O134" s="56"/>
      <c r="P134" s="56"/>
      <c r="Q134" s="56"/>
      <c r="R134" s="62"/>
      <c r="S134" s="62"/>
      <c r="X134" s="56"/>
    </row>
    <row r="135" spans="1:24">
      <c r="A135" s="38"/>
      <c r="B135" s="38"/>
      <c r="D135" s="38"/>
      <c r="E135" s="38"/>
      <c r="F135" s="38"/>
      <c r="G135" s="46"/>
      <c r="H135" s="38"/>
      <c r="I135" s="57"/>
      <c r="J135" s="38"/>
      <c r="K135" s="38"/>
      <c r="L135" s="46"/>
      <c r="M135" s="56"/>
      <c r="N135" s="56"/>
      <c r="O135" s="56"/>
      <c r="P135" s="56"/>
      <c r="Q135" s="56"/>
      <c r="R135" s="62"/>
      <c r="S135" s="62"/>
      <c r="X135" s="56"/>
    </row>
    <row r="136" spans="1:24">
      <c r="A136" s="38"/>
      <c r="B136" s="38"/>
      <c r="D136" s="38"/>
      <c r="E136" s="38"/>
      <c r="F136" s="38"/>
      <c r="G136" s="46"/>
      <c r="H136" s="38"/>
      <c r="I136" s="57"/>
      <c r="J136" s="38"/>
      <c r="K136" s="38"/>
      <c r="L136" s="46"/>
      <c r="M136" s="56"/>
      <c r="N136" s="56"/>
      <c r="O136" s="56"/>
      <c r="P136" s="56"/>
      <c r="Q136" s="56"/>
      <c r="R136" s="62"/>
      <c r="S136" s="62"/>
      <c r="X136" s="56"/>
    </row>
    <row r="137" spans="1:24">
      <c r="A137" s="38"/>
      <c r="B137" s="38"/>
      <c r="D137" s="38"/>
      <c r="E137" s="38"/>
      <c r="F137" s="38"/>
      <c r="G137" s="46"/>
      <c r="H137" s="38"/>
      <c r="I137" s="57"/>
      <c r="J137" s="38"/>
      <c r="K137" s="38"/>
      <c r="L137" s="46"/>
      <c r="M137" s="56"/>
      <c r="N137" s="56"/>
      <c r="O137" s="56"/>
      <c r="P137" s="56"/>
      <c r="Q137" s="56"/>
      <c r="R137" s="62"/>
      <c r="S137" s="62"/>
      <c r="X137" s="56"/>
    </row>
    <row r="138" spans="1:24">
      <c r="A138" s="38"/>
      <c r="B138" s="38"/>
      <c r="D138" s="38"/>
      <c r="E138" s="38"/>
      <c r="F138" s="38"/>
      <c r="G138" s="46"/>
      <c r="H138" s="38"/>
      <c r="I138" s="57"/>
      <c r="J138" s="38"/>
      <c r="K138" s="38"/>
      <c r="L138" s="46"/>
      <c r="M138" s="56"/>
      <c r="N138" s="56"/>
      <c r="O138" s="56"/>
      <c r="P138" s="56"/>
      <c r="Q138" s="56"/>
      <c r="R138" s="62"/>
      <c r="S138" s="62"/>
      <c r="X138" s="56"/>
    </row>
    <row r="139" spans="1:24">
      <c r="A139" s="38"/>
      <c r="B139" s="38"/>
      <c r="D139" s="38"/>
      <c r="E139" s="38"/>
      <c r="F139" s="38"/>
      <c r="G139" s="46"/>
      <c r="H139" s="38"/>
      <c r="I139" s="57"/>
      <c r="J139" s="38"/>
      <c r="K139" s="38"/>
      <c r="L139" s="46"/>
      <c r="M139" s="56"/>
      <c r="N139" s="56"/>
      <c r="O139" s="56"/>
      <c r="P139" s="56"/>
      <c r="Q139" s="56"/>
      <c r="R139" s="62"/>
      <c r="S139" s="62"/>
      <c r="X139" s="56"/>
    </row>
    <row r="140" spans="1:24">
      <c r="A140" s="38"/>
      <c r="B140" s="38"/>
      <c r="D140" s="38"/>
      <c r="E140" s="38"/>
      <c r="F140" s="38"/>
      <c r="G140" s="46"/>
      <c r="H140" s="38"/>
      <c r="I140" s="57"/>
      <c r="J140" s="38"/>
      <c r="K140" s="38"/>
      <c r="L140" s="46"/>
      <c r="M140" s="56"/>
      <c r="N140" s="56"/>
      <c r="O140" s="56"/>
      <c r="P140" s="56"/>
      <c r="Q140" s="56"/>
      <c r="R140" s="62"/>
      <c r="S140" s="62"/>
      <c r="X140" s="56"/>
    </row>
    <row r="141" spans="1:24">
      <c r="A141" s="38"/>
      <c r="B141" s="38"/>
      <c r="D141" s="38"/>
      <c r="E141" s="38"/>
      <c r="F141" s="38"/>
      <c r="G141" s="46"/>
      <c r="H141" s="38"/>
      <c r="I141" s="57"/>
      <c r="J141" s="38"/>
      <c r="K141" s="38"/>
      <c r="L141" s="46"/>
      <c r="M141" s="56"/>
      <c r="N141" s="56"/>
      <c r="O141" s="56"/>
      <c r="P141" s="56"/>
      <c r="Q141" s="56"/>
      <c r="R141" s="62"/>
      <c r="S141" s="62"/>
      <c r="X141" s="56"/>
    </row>
    <row r="142" spans="1:24">
      <c r="A142" s="38"/>
      <c r="B142" s="38"/>
      <c r="D142" s="38"/>
      <c r="E142" s="38"/>
      <c r="F142" s="38"/>
      <c r="G142" s="46"/>
      <c r="H142" s="38"/>
      <c r="I142" s="57"/>
      <c r="J142" s="38"/>
      <c r="K142" s="38"/>
      <c r="L142" s="46"/>
      <c r="M142" s="56"/>
      <c r="N142" s="56"/>
      <c r="O142" s="56"/>
      <c r="P142" s="56"/>
      <c r="Q142" s="56"/>
      <c r="R142" s="62"/>
      <c r="S142" s="62"/>
      <c r="X142" s="56"/>
    </row>
    <row r="143" spans="1:24">
      <c r="A143" s="38"/>
      <c r="B143" s="38"/>
      <c r="D143" s="38"/>
      <c r="E143" s="38"/>
      <c r="F143" s="38"/>
      <c r="G143" s="46"/>
      <c r="H143" s="38"/>
      <c r="I143" s="57"/>
      <c r="J143" s="38"/>
      <c r="K143" s="38"/>
      <c r="L143" s="46"/>
      <c r="M143" s="56"/>
      <c r="N143" s="56"/>
      <c r="O143" s="56"/>
      <c r="P143" s="56"/>
      <c r="Q143" s="56"/>
      <c r="R143" s="62"/>
      <c r="S143" s="62"/>
      <c r="X143" s="56"/>
    </row>
    <row r="144" spans="1:24">
      <c r="A144" s="38"/>
      <c r="B144" s="38"/>
      <c r="D144" s="38"/>
      <c r="E144" s="38"/>
      <c r="F144" s="38"/>
      <c r="G144" s="46"/>
      <c r="H144" s="38"/>
      <c r="I144" s="57"/>
      <c r="J144" s="38"/>
      <c r="K144" s="38"/>
      <c r="L144" s="46"/>
      <c r="M144" s="56"/>
      <c r="N144" s="56"/>
      <c r="O144" s="56"/>
      <c r="P144" s="56"/>
      <c r="Q144" s="56"/>
      <c r="R144" s="62"/>
      <c r="S144" s="62"/>
      <c r="X144" s="56"/>
    </row>
    <row r="145" spans="1:24">
      <c r="A145" s="38"/>
      <c r="B145" s="38"/>
      <c r="D145" s="38"/>
      <c r="E145" s="38"/>
      <c r="F145" s="38"/>
      <c r="G145" s="46"/>
      <c r="H145" s="38"/>
      <c r="I145" s="57"/>
      <c r="J145" s="38"/>
      <c r="K145" s="38"/>
      <c r="L145" s="46"/>
      <c r="M145" s="56"/>
      <c r="N145" s="56"/>
      <c r="O145" s="56"/>
      <c r="P145" s="56"/>
      <c r="Q145" s="56"/>
      <c r="R145" s="62"/>
      <c r="S145" s="62"/>
      <c r="X145" s="56"/>
    </row>
    <row r="146" spans="1:24">
      <c r="A146" s="38"/>
      <c r="B146" s="38"/>
      <c r="D146" s="38"/>
      <c r="E146" s="38"/>
      <c r="F146" s="38"/>
      <c r="G146" s="46"/>
      <c r="H146" s="38"/>
      <c r="I146" s="57"/>
      <c r="J146" s="38"/>
      <c r="K146" s="38"/>
      <c r="L146" s="46"/>
      <c r="M146" s="56"/>
      <c r="N146" s="56"/>
      <c r="O146" s="56"/>
      <c r="P146" s="56"/>
      <c r="Q146" s="56"/>
      <c r="R146" s="62"/>
      <c r="S146" s="62"/>
      <c r="X146" s="56"/>
    </row>
    <row r="147" spans="1:24">
      <c r="A147" s="38"/>
      <c r="B147" s="38"/>
      <c r="D147" s="38"/>
      <c r="E147" s="38"/>
      <c r="F147" s="38"/>
      <c r="G147" s="46"/>
      <c r="H147" s="38"/>
      <c r="I147" s="57"/>
      <c r="J147" s="38"/>
      <c r="K147" s="38"/>
      <c r="L147" s="46"/>
      <c r="M147" s="56"/>
      <c r="N147" s="56"/>
      <c r="O147" s="56"/>
      <c r="P147" s="56"/>
      <c r="Q147" s="56"/>
      <c r="R147" s="62"/>
      <c r="S147" s="62"/>
      <c r="X147" s="56"/>
    </row>
    <row r="148" spans="1:24">
      <c r="A148" s="38"/>
      <c r="B148" s="38"/>
      <c r="D148" s="38"/>
      <c r="E148" s="38"/>
      <c r="F148" s="38"/>
      <c r="G148" s="46"/>
      <c r="H148" s="38"/>
      <c r="I148" s="57"/>
      <c r="J148" s="38"/>
      <c r="K148" s="38"/>
      <c r="L148" s="46"/>
      <c r="M148" s="56"/>
      <c r="N148" s="56"/>
      <c r="O148" s="56"/>
      <c r="P148" s="56"/>
      <c r="Q148" s="56"/>
      <c r="R148" s="62"/>
      <c r="S148" s="62"/>
      <c r="X148" s="56"/>
    </row>
    <row r="149" spans="1:24">
      <c r="A149" s="38"/>
      <c r="B149" s="38"/>
      <c r="D149" s="38"/>
      <c r="E149" s="38"/>
      <c r="F149" s="38"/>
      <c r="G149" s="46"/>
      <c r="H149" s="38"/>
      <c r="I149" s="57"/>
      <c r="J149" s="38"/>
      <c r="K149" s="38"/>
      <c r="L149" s="46"/>
      <c r="M149" s="56"/>
      <c r="N149" s="56"/>
      <c r="O149" s="56"/>
      <c r="P149" s="56"/>
      <c r="Q149" s="56"/>
      <c r="R149" s="62"/>
      <c r="S149" s="62"/>
      <c r="X149" s="56"/>
    </row>
    <row r="150" spans="1:24">
      <c r="A150" s="38"/>
      <c r="B150" s="38"/>
      <c r="D150" s="38"/>
      <c r="E150" s="38"/>
      <c r="F150" s="38"/>
      <c r="G150" s="46"/>
      <c r="H150" s="38"/>
      <c r="I150" s="57"/>
      <c r="J150" s="38"/>
      <c r="K150" s="38"/>
      <c r="L150" s="46"/>
      <c r="M150" s="56"/>
      <c r="N150" s="56"/>
      <c r="O150" s="56"/>
      <c r="P150" s="56"/>
      <c r="Q150" s="56"/>
      <c r="R150" s="62"/>
      <c r="S150" s="62"/>
      <c r="X150" s="56"/>
    </row>
    <row r="151" spans="1:24">
      <c r="A151" s="38"/>
      <c r="B151" s="38"/>
      <c r="D151" s="38"/>
      <c r="E151" s="38"/>
      <c r="F151" s="38"/>
      <c r="G151" s="46"/>
      <c r="H151" s="38"/>
      <c r="I151" s="57"/>
      <c r="J151" s="38"/>
      <c r="K151" s="38"/>
      <c r="L151" s="46"/>
      <c r="M151" s="56"/>
      <c r="N151" s="56"/>
      <c r="O151" s="56"/>
      <c r="P151" s="56"/>
      <c r="Q151" s="56"/>
      <c r="R151" s="62"/>
      <c r="S151" s="62"/>
      <c r="X151" s="56"/>
    </row>
    <row r="152" spans="1:24">
      <c r="A152" s="38"/>
      <c r="B152" s="38"/>
      <c r="D152" s="38"/>
      <c r="E152" s="38"/>
      <c r="F152" s="38"/>
      <c r="G152" s="46"/>
      <c r="H152" s="38"/>
      <c r="I152" s="57"/>
      <c r="J152" s="38"/>
      <c r="K152" s="38"/>
      <c r="L152" s="46"/>
      <c r="M152" s="56"/>
      <c r="N152" s="56"/>
      <c r="O152" s="56"/>
      <c r="P152" s="56"/>
      <c r="Q152" s="56"/>
      <c r="R152" s="62"/>
      <c r="S152" s="62"/>
      <c r="X152" s="56"/>
    </row>
    <row r="153" spans="1:24">
      <c r="A153" s="38"/>
      <c r="B153" s="38"/>
      <c r="D153" s="38"/>
      <c r="E153" s="38"/>
      <c r="F153" s="38"/>
      <c r="G153" s="46"/>
      <c r="H153" s="38"/>
      <c r="I153" s="57"/>
      <c r="J153" s="38"/>
      <c r="K153" s="38"/>
      <c r="L153" s="46"/>
      <c r="M153" s="56"/>
      <c r="N153" s="56"/>
      <c r="O153" s="56"/>
      <c r="P153" s="56"/>
      <c r="Q153" s="56"/>
      <c r="R153" s="62"/>
      <c r="S153" s="62"/>
      <c r="X153" s="56"/>
    </row>
    <row r="154" spans="1:24">
      <c r="A154" s="38"/>
      <c r="B154" s="38"/>
      <c r="D154" s="38"/>
      <c r="E154" s="38"/>
      <c r="F154" s="38"/>
      <c r="G154" s="46"/>
      <c r="H154" s="38"/>
      <c r="I154" s="57"/>
      <c r="J154" s="38"/>
      <c r="K154" s="38"/>
      <c r="L154" s="46"/>
      <c r="M154" s="56"/>
      <c r="N154" s="56"/>
      <c r="O154" s="56"/>
      <c r="P154" s="56"/>
      <c r="Q154" s="56"/>
      <c r="R154" s="62"/>
      <c r="S154" s="62"/>
      <c r="X154" s="56"/>
    </row>
    <row r="155" spans="1:24">
      <c r="A155" s="38"/>
      <c r="B155" s="38"/>
      <c r="D155" s="38"/>
      <c r="E155" s="38"/>
      <c r="F155" s="38"/>
      <c r="G155" s="46"/>
      <c r="H155" s="38"/>
      <c r="I155" s="57"/>
      <c r="J155" s="38"/>
      <c r="K155" s="38"/>
      <c r="L155" s="46"/>
      <c r="M155" s="56"/>
      <c r="N155" s="56"/>
      <c r="O155" s="56"/>
      <c r="P155" s="56"/>
      <c r="Q155" s="56"/>
      <c r="R155" s="62"/>
      <c r="S155" s="62"/>
      <c r="X155" s="56"/>
    </row>
    <row r="156" spans="1:24">
      <c r="A156" s="38"/>
      <c r="B156" s="38"/>
      <c r="D156" s="38"/>
      <c r="E156" s="38"/>
      <c r="F156" s="38"/>
      <c r="G156" s="46"/>
      <c r="H156" s="38"/>
      <c r="I156" s="57"/>
      <c r="J156" s="38"/>
      <c r="K156" s="38"/>
      <c r="L156" s="46"/>
      <c r="M156" s="56"/>
      <c r="N156" s="56"/>
      <c r="O156" s="56"/>
      <c r="P156" s="56"/>
      <c r="Q156" s="56"/>
      <c r="R156" s="62"/>
      <c r="S156" s="62"/>
      <c r="X156" s="56"/>
    </row>
    <row r="157" spans="1:24">
      <c r="A157" s="38"/>
      <c r="B157" s="38"/>
      <c r="D157" s="38"/>
      <c r="E157" s="38"/>
      <c r="F157" s="38"/>
      <c r="G157" s="46"/>
      <c r="H157" s="38"/>
      <c r="I157" s="57"/>
      <c r="J157" s="38"/>
      <c r="K157" s="38"/>
      <c r="L157" s="46"/>
      <c r="M157" s="56"/>
      <c r="N157" s="56"/>
      <c r="O157" s="56"/>
      <c r="P157" s="56"/>
      <c r="Q157" s="56"/>
      <c r="R157" s="62"/>
      <c r="S157" s="62"/>
      <c r="X157" s="56"/>
    </row>
    <row r="158" spans="1:24">
      <c r="A158" s="38"/>
      <c r="B158" s="38"/>
      <c r="D158" s="38"/>
      <c r="E158" s="38"/>
      <c r="F158" s="38"/>
      <c r="G158" s="46"/>
      <c r="H158" s="38"/>
      <c r="I158" s="57"/>
      <c r="J158" s="38"/>
      <c r="K158" s="38"/>
      <c r="L158" s="46"/>
      <c r="M158" s="56"/>
      <c r="N158" s="56"/>
      <c r="O158" s="56"/>
      <c r="P158" s="56"/>
      <c r="Q158" s="56"/>
      <c r="R158" s="62"/>
      <c r="S158" s="62"/>
      <c r="X158" s="56"/>
    </row>
    <row r="159" spans="1:24">
      <c r="A159" s="38"/>
      <c r="B159" s="38"/>
      <c r="D159" s="38"/>
      <c r="E159" s="38"/>
      <c r="F159" s="38"/>
      <c r="G159" s="46"/>
      <c r="H159" s="38"/>
      <c r="I159" s="57"/>
      <c r="J159" s="38"/>
      <c r="K159" s="38"/>
      <c r="L159" s="46"/>
      <c r="M159" s="56"/>
      <c r="N159" s="56"/>
      <c r="O159" s="56"/>
      <c r="P159" s="56"/>
      <c r="Q159" s="56"/>
      <c r="R159" s="62"/>
      <c r="S159" s="62"/>
      <c r="X159" s="56"/>
    </row>
    <row r="160" spans="1:24">
      <c r="A160" s="38"/>
      <c r="B160" s="38"/>
      <c r="D160" s="38"/>
      <c r="E160" s="38"/>
      <c r="F160" s="38"/>
      <c r="G160" s="46"/>
      <c r="H160" s="38"/>
      <c r="I160" s="57"/>
      <c r="J160" s="38"/>
      <c r="K160" s="38"/>
      <c r="L160" s="46"/>
      <c r="M160" s="56"/>
      <c r="N160" s="56"/>
      <c r="O160" s="56"/>
      <c r="P160" s="56"/>
      <c r="Q160" s="56"/>
      <c r="R160" s="62"/>
      <c r="S160" s="62"/>
      <c r="X160" s="56"/>
    </row>
    <row r="161" spans="1:24">
      <c r="A161" s="38"/>
      <c r="B161" s="38"/>
      <c r="D161" s="38"/>
      <c r="E161" s="38"/>
      <c r="F161" s="38"/>
      <c r="G161" s="46"/>
      <c r="H161" s="38"/>
      <c r="I161" s="57"/>
      <c r="J161" s="38"/>
      <c r="K161" s="38"/>
      <c r="L161" s="46"/>
      <c r="M161" s="56"/>
      <c r="N161" s="56"/>
      <c r="O161" s="56"/>
      <c r="P161" s="56"/>
      <c r="Q161" s="56"/>
      <c r="R161" s="62"/>
      <c r="S161" s="62"/>
      <c r="X161" s="56"/>
    </row>
    <row r="162" spans="1:24">
      <c r="A162" s="38"/>
      <c r="B162" s="38"/>
      <c r="D162" s="38"/>
      <c r="E162" s="38"/>
      <c r="F162" s="38"/>
      <c r="G162" s="46"/>
      <c r="H162" s="38"/>
      <c r="I162" s="57"/>
      <c r="J162" s="38"/>
      <c r="K162" s="38"/>
      <c r="L162" s="46"/>
      <c r="M162" s="56"/>
      <c r="N162" s="56"/>
      <c r="O162" s="56"/>
      <c r="P162" s="56"/>
      <c r="Q162" s="56"/>
      <c r="R162" s="62"/>
      <c r="S162" s="62"/>
      <c r="X162" s="56"/>
    </row>
    <row r="163" spans="1:24">
      <c r="A163" s="38"/>
      <c r="B163" s="38"/>
      <c r="D163" s="38"/>
      <c r="E163" s="38"/>
      <c r="F163" s="38"/>
      <c r="G163" s="46"/>
      <c r="H163" s="38"/>
      <c r="I163" s="57"/>
      <c r="J163" s="38"/>
      <c r="K163" s="38"/>
      <c r="L163" s="46"/>
      <c r="M163" s="56"/>
      <c r="N163" s="56"/>
      <c r="O163" s="56"/>
      <c r="P163" s="56"/>
      <c r="Q163" s="56"/>
      <c r="R163" s="62"/>
      <c r="S163" s="62"/>
      <c r="X163" s="56"/>
    </row>
    <row r="164" spans="1:24">
      <c r="A164" s="38"/>
      <c r="B164" s="38"/>
      <c r="D164" s="38"/>
      <c r="E164" s="38"/>
      <c r="F164" s="38"/>
      <c r="G164" s="46"/>
      <c r="H164" s="38"/>
      <c r="I164" s="57"/>
      <c r="J164" s="38"/>
      <c r="K164" s="38"/>
      <c r="L164" s="46"/>
      <c r="M164" s="56"/>
      <c r="N164" s="56"/>
      <c r="O164" s="56"/>
      <c r="P164" s="56"/>
      <c r="Q164" s="56"/>
      <c r="R164" s="62"/>
      <c r="S164" s="62"/>
      <c r="X164" s="56"/>
    </row>
    <row r="165" spans="1:24">
      <c r="A165" s="38"/>
      <c r="B165" s="38"/>
      <c r="D165" s="38"/>
      <c r="E165" s="38"/>
      <c r="F165" s="38"/>
      <c r="G165" s="46"/>
      <c r="H165" s="38"/>
      <c r="I165" s="57"/>
      <c r="J165" s="38"/>
      <c r="K165" s="38"/>
      <c r="L165" s="46"/>
      <c r="M165" s="56"/>
      <c r="N165" s="56"/>
      <c r="O165" s="56"/>
      <c r="P165" s="56"/>
      <c r="Q165" s="56"/>
      <c r="R165" s="62"/>
      <c r="S165" s="62"/>
      <c r="X165" s="56"/>
    </row>
    <row r="166" spans="1:24">
      <c r="A166" s="38"/>
      <c r="B166" s="38"/>
      <c r="D166" s="38"/>
      <c r="E166" s="38"/>
      <c r="F166" s="38"/>
      <c r="G166" s="46"/>
      <c r="H166" s="38"/>
      <c r="I166" s="57"/>
      <c r="J166" s="38"/>
      <c r="K166" s="38"/>
      <c r="L166" s="46"/>
      <c r="M166" s="56"/>
      <c r="N166" s="56"/>
      <c r="O166" s="56"/>
      <c r="P166" s="56"/>
      <c r="Q166" s="56"/>
      <c r="R166" s="62"/>
      <c r="S166" s="62"/>
      <c r="X166" s="56"/>
    </row>
    <row r="167" spans="1:24">
      <c r="A167" s="38"/>
      <c r="B167" s="38"/>
      <c r="D167" s="38"/>
      <c r="E167" s="38"/>
      <c r="F167" s="38"/>
      <c r="G167" s="46"/>
      <c r="H167" s="38"/>
      <c r="I167" s="57"/>
      <c r="J167" s="38"/>
      <c r="K167" s="38"/>
      <c r="L167" s="46"/>
      <c r="M167" s="56"/>
      <c r="N167" s="56"/>
      <c r="O167" s="56"/>
      <c r="P167" s="56"/>
      <c r="Q167" s="56"/>
      <c r="R167" s="62"/>
      <c r="S167" s="62"/>
      <c r="X167" s="56"/>
    </row>
    <row r="168" spans="1:24">
      <c r="A168" s="38"/>
      <c r="B168" s="38"/>
      <c r="D168" s="38"/>
      <c r="E168" s="38"/>
      <c r="F168" s="38"/>
      <c r="G168" s="46"/>
      <c r="H168" s="38"/>
      <c r="I168" s="57"/>
      <c r="J168" s="38"/>
      <c r="K168" s="38"/>
      <c r="L168" s="46"/>
      <c r="M168" s="56"/>
      <c r="N168" s="56"/>
      <c r="O168" s="56"/>
      <c r="P168" s="56"/>
      <c r="Q168" s="56"/>
      <c r="R168" s="62"/>
      <c r="S168" s="62"/>
      <c r="X168" s="56"/>
    </row>
    <row r="169" spans="1:24">
      <c r="A169" s="38"/>
      <c r="B169" s="38"/>
      <c r="D169" s="38"/>
      <c r="E169" s="38"/>
      <c r="F169" s="38"/>
      <c r="G169" s="46"/>
      <c r="H169" s="38"/>
      <c r="I169" s="57"/>
      <c r="J169" s="38"/>
      <c r="K169" s="38"/>
      <c r="L169" s="46"/>
      <c r="M169" s="56"/>
      <c r="N169" s="56"/>
      <c r="O169" s="56"/>
      <c r="P169" s="56"/>
      <c r="Q169" s="56"/>
      <c r="R169" s="62"/>
      <c r="S169" s="62"/>
      <c r="X169" s="56"/>
    </row>
    <row r="170" spans="1:24">
      <c r="A170" s="38"/>
      <c r="B170" s="38"/>
      <c r="D170" s="38"/>
      <c r="E170" s="38"/>
      <c r="F170" s="38"/>
      <c r="G170" s="46"/>
      <c r="H170" s="38"/>
      <c r="I170" s="57"/>
      <c r="J170" s="38"/>
      <c r="K170" s="38"/>
      <c r="L170" s="46"/>
      <c r="M170" s="56"/>
      <c r="N170" s="56"/>
      <c r="O170" s="56"/>
      <c r="P170" s="56"/>
      <c r="Q170" s="56"/>
      <c r="R170" s="62"/>
      <c r="S170" s="62"/>
      <c r="X170" s="56"/>
    </row>
    <row r="171" spans="1:24">
      <c r="A171" s="38"/>
      <c r="B171" s="38"/>
      <c r="D171" s="38"/>
      <c r="E171" s="38"/>
      <c r="F171" s="38"/>
      <c r="G171" s="46"/>
      <c r="H171" s="38"/>
      <c r="I171" s="57"/>
      <c r="J171" s="38"/>
      <c r="K171" s="38"/>
      <c r="L171" s="46"/>
      <c r="M171" s="56"/>
      <c r="N171" s="56"/>
      <c r="O171" s="56"/>
      <c r="P171" s="56"/>
      <c r="Q171" s="56"/>
      <c r="R171" s="62"/>
      <c r="S171" s="62"/>
      <c r="X171" s="56"/>
    </row>
    <row r="172" spans="1:24">
      <c r="A172" s="38"/>
      <c r="B172" s="38"/>
      <c r="D172" s="38"/>
      <c r="E172" s="38"/>
      <c r="F172" s="38"/>
      <c r="G172" s="46"/>
      <c r="H172" s="38"/>
      <c r="I172" s="57"/>
      <c r="J172" s="38"/>
      <c r="K172" s="38"/>
      <c r="L172" s="46"/>
      <c r="M172" s="56"/>
      <c r="N172" s="56"/>
      <c r="O172" s="56"/>
      <c r="P172" s="56"/>
      <c r="Q172" s="56"/>
      <c r="R172" s="62"/>
      <c r="S172" s="62"/>
      <c r="X172" s="56"/>
    </row>
    <row r="173" spans="1:24">
      <c r="A173" s="38"/>
      <c r="B173" s="38"/>
      <c r="D173" s="38"/>
      <c r="E173" s="38"/>
      <c r="F173" s="38"/>
      <c r="G173" s="46"/>
      <c r="H173" s="38"/>
      <c r="I173" s="57"/>
      <c r="J173" s="38"/>
      <c r="K173" s="38"/>
      <c r="L173" s="46"/>
      <c r="M173" s="56"/>
      <c r="N173" s="56"/>
      <c r="O173" s="56"/>
      <c r="P173" s="56"/>
      <c r="Q173" s="56"/>
      <c r="R173" s="62"/>
      <c r="S173" s="62"/>
      <c r="X173" s="56"/>
    </row>
    <row r="174" spans="1:24">
      <c r="A174" s="38"/>
      <c r="B174" s="38"/>
      <c r="D174" s="38"/>
      <c r="E174" s="38"/>
      <c r="F174" s="38"/>
      <c r="G174" s="46"/>
      <c r="H174" s="38"/>
      <c r="I174" s="57"/>
      <c r="J174" s="38"/>
      <c r="K174" s="38"/>
      <c r="L174" s="46"/>
      <c r="M174" s="56"/>
      <c r="N174" s="56"/>
      <c r="O174" s="56"/>
      <c r="P174" s="56"/>
      <c r="Q174" s="56"/>
      <c r="R174" s="62"/>
      <c r="S174" s="62"/>
      <c r="X174" s="56"/>
    </row>
    <row r="175" spans="1:24">
      <c r="A175" s="38"/>
      <c r="B175" s="38"/>
      <c r="D175" s="38"/>
      <c r="E175" s="38"/>
      <c r="F175" s="38"/>
      <c r="G175" s="46"/>
      <c r="H175" s="38"/>
      <c r="I175" s="57"/>
      <c r="J175" s="38"/>
      <c r="K175" s="38"/>
      <c r="L175" s="46"/>
      <c r="M175" s="56"/>
      <c r="N175" s="56"/>
      <c r="O175" s="56"/>
      <c r="P175" s="56"/>
      <c r="Q175" s="56"/>
      <c r="R175" s="62"/>
      <c r="S175" s="62"/>
      <c r="X175" s="56"/>
    </row>
    <row r="176" spans="1:24">
      <c r="A176" s="38"/>
      <c r="B176" s="38"/>
      <c r="D176" s="38"/>
      <c r="E176" s="38"/>
      <c r="F176" s="38"/>
      <c r="G176" s="46"/>
      <c r="H176" s="38"/>
      <c r="I176" s="57"/>
      <c r="J176" s="38"/>
      <c r="K176" s="38"/>
      <c r="L176" s="46"/>
      <c r="M176" s="56"/>
      <c r="N176" s="56"/>
      <c r="O176" s="56"/>
      <c r="P176" s="56"/>
      <c r="Q176" s="56"/>
      <c r="R176" s="62"/>
      <c r="S176" s="62"/>
      <c r="X176" s="56"/>
    </row>
    <row r="177" spans="1:24">
      <c r="A177" s="38"/>
      <c r="B177" s="38"/>
      <c r="D177" s="38"/>
      <c r="E177" s="38"/>
      <c r="F177" s="38"/>
      <c r="G177" s="46"/>
      <c r="H177" s="38"/>
      <c r="I177" s="57"/>
      <c r="J177" s="38"/>
      <c r="K177" s="38"/>
      <c r="L177" s="46"/>
      <c r="M177" s="56"/>
      <c r="N177" s="56"/>
      <c r="O177" s="56"/>
      <c r="P177" s="56"/>
      <c r="Q177" s="56"/>
      <c r="R177" s="62"/>
      <c r="S177" s="62"/>
      <c r="X177" s="56"/>
    </row>
    <row r="178" spans="1:24">
      <c r="A178" s="38"/>
      <c r="B178" s="38"/>
      <c r="D178" s="38"/>
      <c r="E178" s="38"/>
      <c r="F178" s="38"/>
      <c r="G178" s="46"/>
      <c r="H178" s="38"/>
      <c r="I178" s="57"/>
      <c r="J178" s="38"/>
      <c r="K178" s="38"/>
      <c r="L178" s="46"/>
      <c r="M178" s="56"/>
      <c r="N178" s="56"/>
      <c r="O178" s="56"/>
      <c r="P178" s="56"/>
      <c r="Q178" s="56"/>
      <c r="R178" s="62"/>
      <c r="S178" s="62"/>
      <c r="X178" s="56"/>
    </row>
    <row r="179" spans="1:24">
      <c r="A179" s="38"/>
      <c r="B179" s="38"/>
      <c r="D179" s="38"/>
      <c r="E179" s="38"/>
      <c r="F179" s="38"/>
      <c r="G179" s="46"/>
      <c r="H179" s="38"/>
      <c r="I179" s="57"/>
      <c r="J179" s="38"/>
      <c r="K179" s="38"/>
      <c r="L179" s="46"/>
      <c r="M179" s="56"/>
      <c r="N179" s="56"/>
      <c r="O179" s="56"/>
      <c r="P179" s="56"/>
      <c r="Q179" s="56"/>
      <c r="R179" s="62"/>
      <c r="S179" s="62"/>
      <c r="X179" s="56"/>
    </row>
    <row r="180" spans="1:24">
      <c r="A180" s="38"/>
      <c r="B180" s="38"/>
      <c r="D180" s="38"/>
      <c r="E180" s="38"/>
      <c r="F180" s="38"/>
      <c r="G180" s="46"/>
      <c r="H180" s="38"/>
      <c r="I180" s="57"/>
      <c r="J180" s="38"/>
      <c r="K180" s="38"/>
      <c r="L180" s="46"/>
      <c r="M180" s="56"/>
      <c r="N180" s="56"/>
      <c r="O180" s="56"/>
      <c r="P180" s="56"/>
      <c r="Q180" s="56"/>
      <c r="R180" s="62"/>
      <c r="S180" s="62"/>
      <c r="X180" s="56"/>
    </row>
    <row r="181" spans="1:24">
      <c r="A181" s="38"/>
      <c r="B181" s="38"/>
      <c r="D181" s="38"/>
      <c r="E181" s="38"/>
      <c r="F181" s="38"/>
      <c r="G181" s="46"/>
      <c r="H181" s="38"/>
      <c r="I181" s="57"/>
      <c r="J181" s="38"/>
      <c r="K181" s="38"/>
      <c r="L181" s="46"/>
      <c r="M181" s="56"/>
      <c r="N181" s="56"/>
      <c r="O181" s="56"/>
      <c r="P181" s="56"/>
      <c r="Q181" s="56"/>
      <c r="R181" s="62"/>
      <c r="S181" s="62"/>
      <c r="X181" s="56"/>
    </row>
    <row r="182" spans="1:24">
      <c r="A182" s="38"/>
      <c r="B182" s="38"/>
      <c r="D182" s="38"/>
      <c r="E182" s="38"/>
      <c r="F182" s="38"/>
      <c r="G182" s="46"/>
      <c r="H182" s="38"/>
      <c r="I182" s="57"/>
      <c r="J182" s="38"/>
      <c r="K182" s="38"/>
      <c r="L182" s="46"/>
      <c r="M182" s="56"/>
      <c r="N182" s="56"/>
      <c r="O182" s="56"/>
      <c r="P182" s="56"/>
      <c r="Q182" s="56"/>
      <c r="R182" s="62"/>
      <c r="S182" s="62"/>
      <c r="X182" s="56"/>
    </row>
    <row r="183" spans="1:24">
      <c r="A183" s="38"/>
      <c r="B183" s="38"/>
      <c r="D183" s="38"/>
      <c r="E183" s="38"/>
      <c r="F183" s="38"/>
      <c r="G183" s="46"/>
      <c r="H183" s="38"/>
      <c r="I183" s="57"/>
      <c r="J183" s="38"/>
      <c r="K183" s="38"/>
      <c r="L183" s="46"/>
      <c r="M183" s="56"/>
      <c r="N183" s="56"/>
      <c r="O183" s="56"/>
      <c r="P183" s="56"/>
      <c r="Q183" s="56"/>
      <c r="R183" s="62"/>
      <c r="S183" s="62"/>
      <c r="X183" s="56"/>
    </row>
    <row r="184" spans="1:24">
      <c r="A184" s="38"/>
      <c r="B184" s="38"/>
      <c r="D184" s="38"/>
      <c r="E184" s="38"/>
      <c r="F184" s="38"/>
      <c r="G184" s="46"/>
      <c r="H184" s="38"/>
      <c r="I184" s="57"/>
      <c r="J184" s="38"/>
      <c r="K184" s="38"/>
      <c r="L184" s="46"/>
      <c r="M184" s="56"/>
      <c r="N184" s="56"/>
      <c r="O184" s="56"/>
      <c r="P184" s="56"/>
      <c r="Q184" s="56"/>
      <c r="R184" s="62"/>
      <c r="S184" s="62"/>
      <c r="X184" s="56"/>
    </row>
    <row r="185" spans="1:24">
      <c r="A185" s="38"/>
      <c r="B185" s="38"/>
      <c r="D185" s="38"/>
      <c r="E185" s="38"/>
      <c r="F185" s="38"/>
      <c r="G185" s="46"/>
      <c r="H185" s="38"/>
      <c r="I185" s="57"/>
      <c r="J185" s="38"/>
      <c r="K185" s="38"/>
      <c r="L185" s="46"/>
      <c r="M185" s="56"/>
      <c r="N185" s="56"/>
      <c r="O185" s="56"/>
      <c r="P185" s="56"/>
      <c r="Q185" s="56"/>
      <c r="R185" s="62"/>
      <c r="S185" s="62"/>
      <c r="X185" s="56"/>
    </row>
    <row r="186" spans="1:24">
      <c r="A186" s="38"/>
      <c r="B186" s="38"/>
      <c r="D186" s="38"/>
      <c r="E186" s="38"/>
      <c r="F186" s="38"/>
      <c r="G186" s="46"/>
      <c r="H186" s="38"/>
      <c r="I186" s="57"/>
      <c r="J186" s="38"/>
      <c r="K186" s="38"/>
      <c r="L186" s="46"/>
      <c r="M186" s="56"/>
      <c r="N186" s="56"/>
      <c r="O186" s="56"/>
      <c r="P186" s="56"/>
      <c r="Q186" s="56"/>
      <c r="R186" s="62"/>
      <c r="S186" s="62"/>
      <c r="X186" s="56"/>
    </row>
    <row r="187" spans="1:24">
      <c r="A187" s="38"/>
      <c r="B187" s="38"/>
      <c r="D187" s="38"/>
      <c r="E187" s="38"/>
      <c r="F187" s="38"/>
      <c r="G187" s="46"/>
      <c r="H187" s="38"/>
      <c r="I187" s="57"/>
      <c r="J187" s="38"/>
      <c r="K187" s="38"/>
      <c r="L187" s="46"/>
      <c r="M187" s="56"/>
      <c r="N187" s="56"/>
      <c r="O187" s="56"/>
      <c r="P187" s="56"/>
      <c r="Q187" s="56"/>
      <c r="R187" s="62"/>
      <c r="S187" s="62"/>
      <c r="X187" s="56"/>
    </row>
    <row r="188" spans="1:24">
      <c r="A188" s="38"/>
      <c r="B188" s="38"/>
      <c r="D188" s="38"/>
      <c r="E188" s="38"/>
      <c r="F188" s="38"/>
      <c r="G188" s="46"/>
      <c r="H188" s="38"/>
      <c r="I188" s="57"/>
      <c r="J188" s="38"/>
      <c r="K188" s="38"/>
      <c r="L188" s="46"/>
      <c r="M188" s="56"/>
      <c r="N188" s="56"/>
      <c r="O188" s="56"/>
      <c r="P188" s="56"/>
      <c r="Q188" s="56"/>
      <c r="R188" s="62"/>
      <c r="S188" s="62"/>
      <c r="X188" s="56"/>
    </row>
    <row r="189" spans="1:24">
      <c r="A189" s="38"/>
      <c r="B189" s="38"/>
      <c r="D189" s="38"/>
      <c r="E189" s="38"/>
      <c r="F189" s="38"/>
      <c r="G189" s="46"/>
      <c r="H189" s="38"/>
      <c r="I189" s="57"/>
      <c r="J189" s="38"/>
      <c r="K189" s="38"/>
      <c r="L189" s="46"/>
      <c r="M189" s="56"/>
      <c r="N189" s="56"/>
      <c r="O189" s="56"/>
      <c r="P189" s="56"/>
      <c r="Q189" s="56"/>
      <c r="R189" s="62"/>
      <c r="S189" s="62"/>
      <c r="X189" s="56"/>
    </row>
    <row r="190" spans="1:24">
      <c r="A190" s="38"/>
      <c r="B190" s="38"/>
      <c r="D190" s="38"/>
      <c r="E190" s="38"/>
      <c r="F190" s="38"/>
      <c r="G190" s="46"/>
      <c r="H190" s="38"/>
      <c r="I190" s="57"/>
      <c r="J190" s="38"/>
      <c r="K190" s="38"/>
      <c r="L190" s="46"/>
      <c r="M190" s="56"/>
      <c r="N190" s="56"/>
      <c r="O190" s="56"/>
      <c r="P190" s="56"/>
      <c r="Q190" s="56"/>
      <c r="R190" s="62"/>
      <c r="S190" s="62"/>
      <c r="X190" s="56"/>
    </row>
    <row r="191" spans="1:24">
      <c r="A191" s="38"/>
      <c r="B191" s="38"/>
      <c r="D191" s="38"/>
      <c r="E191" s="38"/>
      <c r="F191" s="38"/>
      <c r="G191" s="46"/>
      <c r="H191" s="38"/>
      <c r="I191" s="57"/>
      <c r="J191" s="38"/>
      <c r="K191" s="38"/>
      <c r="L191" s="46"/>
      <c r="M191" s="56"/>
      <c r="N191" s="56"/>
      <c r="O191" s="56"/>
      <c r="P191" s="56"/>
      <c r="Q191" s="56"/>
      <c r="R191" s="62"/>
      <c r="S191" s="62"/>
      <c r="X191" s="56"/>
    </row>
    <row r="192" spans="1:24">
      <c r="A192" s="38"/>
      <c r="B192" s="38"/>
      <c r="D192" s="38"/>
      <c r="E192" s="38"/>
      <c r="F192" s="38"/>
      <c r="G192" s="46"/>
      <c r="H192" s="38"/>
      <c r="I192" s="57"/>
      <c r="J192" s="38"/>
      <c r="K192" s="38"/>
      <c r="L192" s="46"/>
      <c r="M192" s="56"/>
      <c r="N192" s="56"/>
      <c r="O192" s="56"/>
      <c r="P192" s="56"/>
      <c r="Q192" s="56"/>
      <c r="R192" s="62"/>
      <c r="S192" s="62"/>
      <c r="X192" s="56"/>
    </row>
    <row r="193" spans="1:24">
      <c r="A193" s="38"/>
      <c r="B193" s="38"/>
      <c r="D193" s="38"/>
      <c r="E193" s="38"/>
      <c r="F193" s="38"/>
      <c r="G193" s="46"/>
      <c r="H193" s="38"/>
      <c r="I193" s="57"/>
      <c r="J193" s="38"/>
      <c r="K193" s="38"/>
      <c r="L193" s="46"/>
      <c r="M193" s="56"/>
      <c r="N193" s="56"/>
      <c r="O193" s="56"/>
      <c r="P193" s="56"/>
      <c r="Q193" s="56"/>
      <c r="R193" s="62"/>
      <c r="S193" s="62"/>
      <c r="X193" s="56"/>
    </row>
    <row r="194" spans="1:24">
      <c r="A194" s="38"/>
      <c r="B194" s="38"/>
      <c r="D194" s="38"/>
      <c r="E194" s="38"/>
      <c r="F194" s="38"/>
      <c r="G194" s="46"/>
      <c r="H194" s="38"/>
      <c r="I194" s="57"/>
      <c r="J194" s="38"/>
      <c r="K194" s="38"/>
      <c r="L194" s="46"/>
      <c r="M194" s="56"/>
      <c r="N194" s="56"/>
      <c r="O194" s="56"/>
      <c r="P194" s="56"/>
      <c r="Q194" s="56"/>
      <c r="R194" s="62"/>
      <c r="S194" s="62"/>
      <c r="X194" s="56"/>
    </row>
    <row r="195" spans="1:24">
      <c r="A195" s="38"/>
      <c r="B195" s="38"/>
      <c r="D195" s="38"/>
      <c r="E195" s="38"/>
      <c r="F195" s="38"/>
      <c r="G195" s="46"/>
      <c r="H195" s="38"/>
      <c r="I195" s="57"/>
      <c r="J195" s="38"/>
      <c r="K195" s="38"/>
      <c r="L195" s="46"/>
      <c r="M195" s="56"/>
      <c r="N195" s="56"/>
      <c r="O195" s="56"/>
      <c r="P195" s="56"/>
      <c r="Q195" s="56"/>
      <c r="R195" s="62"/>
      <c r="S195" s="62"/>
      <c r="X195" s="56"/>
    </row>
    <row r="196" spans="1:24">
      <c r="A196" s="38"/>
      <c r="B196" s="38"/>
      <c r="D196" s="38"/>
      <c r="E196" s="38"/>
      <c r="F196" s="38"/>
      <c r="G196" s="46"/>
      <c r="H196" s="38"/>
      <c r="I196" s="57"/>
      <c r="J196" s="38"/>
      <c r="K196" s="38"/>
      <c r="L196" s="46"/>
      <c r="M196" s="56"/>
      <c r="N196" s="56"/>
      <c r="O196" s="56"/>
      <c r="P196" s="56"/>
      <c r="Q196" s="56"/>
      <c r="R196" s="62"/>
      <c r="S196" s="62"/>
      <c r="X196" s="56"/>
    </row>
    <row r="197" spans="1:24">
      <c r="A197" s="38"/>
      <c r="B197" s="38"/>
      <c r="D197" s="38"/>
      <c r="E197" s="38"/>
      <c r="F197" s="38"/>
      <c r="G197" s="46"/>
      <c r="H197" s="38"/>
      <c r="I197" s="57"/>
      <c r="J197" s="38"/>
      <c r="K197" s="38"/>
      <c r="L197" s="46"/>
      <c r="M197" s="56"/>
      <c r="N197" s="56"/>
      <c r="O197" s="56"/>
      <c r="P197" s="56"/>
      <c r="Q197" s="56"/>
      <c r="R197" s="62"/>
      <c r="S197" s="62"/>
      <c r="X197" s="56"/>
    </row>
    <row r="198" spans="1:24">
      <c r="A198" s="38"/>
      <c r="B198" s="38"/>
      <c r="D198" s="38"/>
      <c r="E198" s="38"/>
      <c r="F198" s="38"/>
      <c r="G198" s="46"/>
      <c r="H198" s="38"/>
      <c r="I198" s="57"/>
      <c r="J198" s="38"/>
      <c r="K198" s="38"/>
      <c r="L198" s="46"/>
      <c r="M198" s="56"/>
      <c r="N198" s="56"/>
      <c r="O198" s="56"/>
      <c r="P198" s="56"/>
      <c r="Q198" s="56"/>
      <c r="R198" s="62"/>
      <c r="S198" s="62"/>
      <c r="X198" s="56"/>
    </row>
    <row r="199" spans="1:24">
      <c r="A199" s="38"/>
      <c r="B199" s="38"/>
      <c r="D199" s="38"/>
      <c r="E199" s="38"/>
      <c r="F199" s="38"/>
      <c r="G199" s="46"/>
      <c r="H199" s="38"/>
      <c r="I199" s="57"/>
      <c r="J199" s="38"/>
      <c r="K199" s="38"/>
      <c r="L199" s="46"/>
      <c r="M199" s="56"/>
      <c r="N199" s="56"/>
      <c r="O199" s="56"/>
      <c r="P199" s="56"/>
      <c r="Q199" s="56"/>
      <c r="R199" s="62"/>
      <c r="S199" s="62"/>
      <c r="X199" s="56"/>
    </row>
    <row r="200" spans="1:24">
      <c r="A200" s="38"/>
      <c r="B200" s="38"/>
      <c r="D200" s="38"/>
      <c r="E200" s="38"/>
      <c r="F200" s="38"/>
      <c r="G200" s="46"/>
      <c r="H200" s="38"/>
      <c r="I200" s="57"/>
      <c r="J200" s="38"/>
      <c r="K200" s="38"/>
      <c r="L200" s="46"/>
      <c r="M200" s="56"/>
      <c r="N200" s="56"/>
      <c r="O200" s="56"/>
      <c r="P200" s="56"/>
      <c r="Q200" s="56"/>
      <c r="R200" s="62"/>
      <c r="S200" s="62"/>
      <c r="X200" s="56"/>
    </row>
    <row r="201" spans="1:24">
      <c r="A201" s="38"/>
      <c r="B201" s="38"/>
      <c r="D201" s="38"/>
      <c r="E201" s="38"/>
      <c r="F201" s="38"/>
      <c r="G201" s="46"/>
      <c r="H201" s="38"/>
      <c r="I201" s="57"/>
      <c r="J201" s="38"/>
      <c r="K201" s="38"/>
      <c r="L201" s="46"/>
      <c r="M201" s="56"/>
      <c r="N201" s="56"/>
      <c r="O201" s="56"/>
      <c r="P201" s="56"/>
      <c r="Q201" s="56"/>
      <c r="R201" s="62"/>
      <c r="S201" s="62"/>
      <c r="X201" s="56"/>
    </row>
    <row r="202" spans="1:24">
      <c r="A202" s="38"/>
      <c r="B202" s="38"/>
      <c r="D202" s="38"/>
      <c r="E202" s="38"/>
      <c r="F202" s="38"/>
      <c r="G202" s="46"/>
      <c r="H202" s="38"/>
      <c r="I202" s="57"/>
      <c r="J202" s="38"/>
      <c r="K202" s="38"/>
      <c r="L202" s="46"/>
      <c r="M202" s="56"/>
      <c r="N202" s="56"/>
      <c r="O202" s="56"/>
      <c r="P202" s="56"/>
      <c r="Q202" s="56"/>
      <c r="R202" s="62"/>
      <c r="S202" s="62"/>
      <c r="X202" s="56"/>
    </row>
    <row r="203" spans="1:24">
      <c r="A203" s="38"/>
      <c r="B203" s="38"/>
      <c r="D203" s="38"/>
      <c r="E203" s="38"/>
      <c r="F203" s="38"/>
      <c r="G203" s="46"/>
      <c r="H203" s="38"/>
      <c r="I203" s="57"/>
      <c r="J203" s="38"/>
      <c r="K203" s="38"/>
      <c r="L203" s="46"/>
      <c r="M203" s="56"/>
      <c r="N203" s="56"/>
      <c r="O203" s="56"/>
      <c r="P203" s="56"/>
      <c r="Q203" s="56"/>
      <c r="R203" s="62"/>
      <c r="S203" s="62"/>
      <c r="X203" s="56"/>
    </row>
    <row r="204" spans="1:24">
      <c r="A204" s="38"/>
      <c r="B204" s="38"/>
      <c r="D204" s="38"/>
      <c r="E204" s="38"/>
      <c r="F204" s="38"/>
      <c r="G204" s="46"/>
      <c r="H204" s="38"/>
      <c r="I204" s="57"/>
      <c r="J204" s="38"/>
      <c r="K204" s="38"/>
      <c r="L204" s="46"/>
      <c r="M204" s="56"/>
      <c r="N204" s="56"/>
      <c r="O204" s="56"/>
      <c r="P204" s="56"/>
      <c r="Q204" s="56"/>
      <c r="R204" s="62"/>
      <c r="S204" s="62"/>
      <c r="X204" s="56"/>
    </row>
    <row r="205" spans="1:24">
      <c r="A205" s="38"/>
      <c r="B205" s="38"/>
      <c r="D205" s="38"/>
      <c r="E205" s="38"/>
      <c r="F205" s="38"/>
      <c r="G205" s="46"/>
      <c r="H205" s="38"/>
      <c r="I205" s="57"/>
      <c r="J205" s="38"/>
      <c r="K205" s="38"/>
      <c r="L205" s="46"/>
      <c r="M205" s="56"/>
      <c r="N205" s="56"/>
      <c r="O205" s="56"/>
      <c r="P205" s="56"/>
      <c r="Q205" s="56"/>
      <c r="R205" s="62"/>
      <c r="S205" s="62"/>
      <c r="X205" s="56"/>
    </row>
    <row r="206" spans="1:24">
      <c r="A206" s="38"/>
      <c r="B206" s="38"/>
      <c r="D206" s="38"/>
      <c r="E206" s="38"/>
      <c r="F206" s="38"/>
      <c r="G206" s="46"/>
      <c r="H206" s="38"/>
      <c r="I206" s="57"/>
      <c r="J206" s="38"/>
      <c r="K206" s="38"/>
      <c r="L206" s="46"/>
      <c r="M206" s="56"/>
      <c r="N206" s="56"/>
      <c r="O206" s="56"/>
      <c r="P206" s="56"/>
      <c r="Q206" s="56"/>
      <c r="R206" s="62"/>
      <c r="S206" s="62"/>
      <c r="X206" s="56"/>
    </row>
    <row r="207" spans="1:24">
      <c r="A207" s="38"/>
      <c r="B207" s="38"/>
      <c r="D207" s="38"/>
      <c r="E207" s="38"/>
      <c r="F207" s="38"/>
      <c r="G207" s="46"/>
      <c r="H207" s="38"/>
      <c r="I207" s="57"/>
      <c r="J207" s="38"/>
      <c r="K207" s="38"/>
      <c r="L207" s="46"/>
      <c r="M207" s="56"/>
      <c r="N207" s="56"/>
      <c r="O207" s="56"/>
      <c r="P207" s="56"/>
      <c r="Q207" s="56"/>
      <c r="R207" s="62"/>
      <c r="S207" s="62"/>
      <c r="X207" s="56"/>
    </row>
    <row r="208" spans="1:24">
      <c r="A208" s="38"/>
      <c r="B208" s="38"/>
      <c r="D208" s="38"/>
      <c r="E208" s="38"/>
      <c r="F208" s="38"/>
      <c r="G208" s="46"/>
      <c r="H208" s="38"/>
      <c r="I208" s="57"/>
      <c r="J208" s="38"/>
      <c r="K208" s="38"/>
      <c r="L208" s="46"/>
      <c r="M208" s="56"/>
      <c r="N208" s="56"/>
      <c r="O208" s="56"/>
      <c r="P208" s="56"/>
      <c r="Q208" s="56"/>
      <c r="R208" s="62"/>
      <c r="S208" s="62"/>
      <c r="X208" s="56"/>
    </row>
    <row r="209" spans="1:24">
      <c r="A209" s="38"/>
      <c r="B209" s="38"/>
      <c r="D209" s="38"/>
      <c r="E209" s="38"/>
      <c r="F209" s="38"/>
      <c r="G209" s="46"/>
      <c r="H209" s="38"/>
      <c r="I209" s="57"/>
      <c r="J209" s="38"/>
      <c r="K209" s="38"/>
      <c r="L209" s="46"/>
      <c r="M209" s="56"/>
      <c r="N209" s="56"/>
      <c r="O209" s="56"/>
      <c r="P209" s="56"/>
      <c r="Q209" s="56"/>
      <c r="R209" s="62"/>
      <c r="S209" s="62"/>
      <c r="X209" s="56"/>
    </row>
    <row r="210" spans="1:24">
      <c r="A210" s="38"/>
      <c r="B210" s="38"/>
      <c r="D210" s="38"/>
      <c r="E210" s="38"/>
      <c r="F210" s="38"/>
      <c r="G210" s="46"/>
      <c r="H210" s="38"/>
      <c r="I210" s="57"/>
      <c r="J210" s="38"/>
      <c r="K210" s="38"/>
      <c r="L210" s="46"/>
      <c r="M210" s="56"/>
      <c r="N210" s="56"/>
      <c r="O210" s="56"/>
      <c r="P210" s="56"/>
      <c r="Q210" s="56"/>
      <c r="R210" s="62"/>
      <c r="S210" s="62"/>
      <c r="X210" s="56"/>
    </row>
    <row r="211" spans="1:24">
      <c r="A211" s="38"/>
      <c r="B211" s="38"/>
      <c r="D211" s="38"/>
      <c r="E211" s="38"/>
      <c r="F211" s="38"/>
      <c r="G211" s="46"/>
      <c r="H211" s="38"/>
      <c r="I211" s="57"/>
      <c r="J211" s="38"/>
      <c r="K211" s="38"/>
      <c r="L211" s="46"/>
      <c r="M211" s="56"/>
      <c r="N211" s="56"/>
      <c r="O211" s="56"/>
      <c r="P211" s="56"/>
      <c r="Q211" s="56"/>
      <c r="R211" s="62"/>
      <c r="S211" s="62"/>
      <c r="X211" s="56"/>
    </row>
    <row r="212" spans="1:24">
      <c r="A212" s="38"/>
      <c r="B212" s="38"/>
      <c r="D212" s="38"/>
      <c r="E212" s="38"/>
      <c r="F212" s="38"/>
      <c r="G212" s="46"/>
      <c r="H212" s="38"/>
      <c r="I212" s="57"/>
      <c r="J212" s="38"/>
      <c r="K212" s="38"/>
      <c r="L212" s="46"/>
      <c r="M212" s="56"/>
      <c r="N212" s="56"/>
      <c r="O212" s="56"/>
      <c r="P212" s="56"/>
      <c r="Q212" s="56"/>
      <c r="R212" s="62"/>
      <c r="S212" s="62"/>
      <c r="X212" s="56"/>
    </row>
    <row r="213" spans="1:24">
      <c r="A213" s="38"/>
      <c r="B213" s="38"/>
      <c r="D213" s="38"/>
      <c r="E213" s="38"/>
      <c r="F213" s="38"/>
      <c r="G213" s="46"/>
      <c r="H213" s="38"/>
      <c r="I213" s="57"/>
      <c r="J213" s="38"/>
      <c r="K213" s="38"/>
      <c r="L213" s="46"/>
      <c r="M213" s="56"/>
      <c r="N213" s="56"/>
      <c r="O213" s="56"/>
      <c r="P213" s="56"/>
      <c r="Q213" s="56"/>
      <c r="R213" s="62"/>
      <c r="S213" s="62"/>
      <c r="X213" s="56"/>
    </row>
    <row r="214" spans="1:24">
      <c r="A214" s="38"/>
      <c r="B214" s="38"/>
      <c r="D214" s="38"/>
      <c r="E214" s="38"/>
      <c r="F214" s="38"/>
      <c r="G214" s="46"/>
      <c r="H214" s="38"/>
      <c r="I214" s="57"/>
      <c r="J214" s="38"/>
      <c r="K214" s="38"/>
      <c r="L214" s="46"/>
      <c r="M214" s="56"/>
      <c r="N214" s="56"/>
      <c r="O214" s="56"/>
      <c r="P214" s="56"/>
      <c r="Q214" s="56"/>
      <c r="R214" s="62"/>
      <c r="S214" s="62"/>
      <c r="X214" s="56"/>
    </row>
    <row r="215" spans="1:24">
      <c r="A215" s="38"/>
      <c r="B215" s="38"/>
      <c r="D215" s="38"/>
      <c r="E215" s="38"/>
      <c r="F215" s="38"/>
      <c r="G215" s="46"/>
      <c r="H215" s="38"/>
      <c r="I215" s="57"/>
      <c r="J215" s="38"/>
      <c r="K215" s="38"/>
      <c r="L215" s="46"/>
      <c r="M215" s="56"/>
      <c r="N215" s="56"/>
      <c r="O215" s="56"/>
      <c r="P215" s="56"/>
      <c r="Q215" s="56"/>
      <c r="R215" s="62"/>
      <c r="S215" s="62"/>
      <c r="X215" s="56"/>
    </row>
    <row r="216" spans="1:24">
      <c r="A216" s="38"/>
      <c r="B216" s="38"/>
      <c r="D216" s="38"/>
      <c r="E216" s="38"/>
      <c r="F216" s="38"/>
      <c r="G216" s="46"/>
      <c r="H216" s="38"/>
      <c r="I216" s="57"/>
      <c r="J216" s="38"/>
      <c r="K216" s="38"/>
      <c r="L216" s="46"/>
      <c r="M216" s="56"/>
      <c r="N216" s="56"/>
      <c r="O216" s="56"/>
      <c r="P216" s="56"/>
      <c r="Q216" s="56"/>
      <c r="R216" s="62"/>
      <c r="S216" s="62"/>
      <c r="X216" s="56"/>
    </row>
    <row r="217" spans="1:24">
      <c r="A217" s="38"/>
      <c r="B217" s="38"/>
      <c r="D217" s="38"/>
      <c r="E217" s="38"/>
      <c r="F217" s="38"/>
      <c r="G217" s="46"/>
      <c r="H217" s="38"/>
      <c r="I217" s="57"/>
      <c r="J217" s="38"/>
      <c r="K217" s="38"/>
      <c r="L217" s="46"/>
      <c r="M217" s="56"/>
      <c r="N217" s="56"/>
      <c r="O217" s="56"/>
      <c r="P217" s="56"/>
      <c r="Q217" s="56"/>
      <c r="R217" s="62"/>
      <c r="S217" s="62"/>
      <c r="X217" s="56"/>
    </row>
    <row r="218" spans="1:24">
      <c r="A218" s="38"/>
      <c r="B218" s="38"/>
      <c r="D218" s="38"/>
      <c r="E218" s="38"/>
      <c r="F218" s="38"/>
      <c r="G218" s="46"/>
      <c r="H218" s="38"/>
      <c r="I218" s="57"/>
      <c r="J218" s="38"/>
      <c r="K218" s="38"/>
      <c r="L218" s="46"/>
      <c r="M218" s="56"/>
      <c r="N218" s="56"/>
      <c r="O218" s="56"/>
      <c r="P218" s="56"/>
      <c r="Q218" s="56"/>
      <c r="R218" s="62"/>
      <c r="S218" s="62"/>
      <c r="X218" s="56"/>
    </row>
    <row r="219" spans="1:24">
      <c r="A219" s="38"/>
      <c r="B219" s="38"/>
      <c r="D219" s="38"/>
      <c r="E219" s="38"/>
      <c r="F219" s="38"/>
      <c r="G219" s="46"/>
      <c r="H219" s="38"/>
      <c r="I219" s="57"/>
      <c r="J219" s="38"/>
      <c r="K219" s="38"/>
      <c r="L219" s="46"/>
      <c r="M219" s="56"/>
      <c r="N219" s="56"/>
      <c r="O219" s="56"/>
      <c r="P219" s="56"/>
      <c r="Q219" s="56"/>
      <c r="R219" s="62"/>
      <c r="S219" s="62"/>
      <c r="X219" s="56"/>
    </row>
    <row r="220" spans="1:24">
      <c r="A220" s="38"/>
      <c r="B220" s="38"/>
      <c r="D220" s="38"/>
      <c r="E220" s="38"/>
      <c r="F220" s="38"/>
      <c r="G220" s="46"/>
      <c r="H220" s="38"/>
      <c r="I220" s="57"/>
      <c r="J220" s="38"/>
      <c r="K220" s="38"/>
      <c r="L220" s="46"/>
      <c r="M220" s="56"/>
      <c r="N220" s="56"/>
      <c r="O220" s="56"/>
      <c r="P220" s="56"/>
      <c r="Q220" s="56"/>
      <c r="R220" s="62"/>
      <c r="S220" s="62"/>
      <c r="X220" s="56"/>
    </row>
    <row r="221" spans="1:24">
      <c r="A221" s="38"/>
      <c r="B221" s="38"/>
      <c r="D221" s="38"/>
      <c r="E221" s="38"/>
      <c r="F221" s="38"/>
      <c r="G221" s="46"/>
      <c r="H221" s="38"/>
      <c r="I221" s="57"/>
      <c r="J221" s="38"/>
      <c r="K221" s="38"/>
      <c r="L221" s="46"/>
      <c r="M221" s="56"/>
      <c r="N221" s="56"/>
      <c r="O221" s="56"/>
      <c r="P221" s="56"/>
      <c r="Q221" s="56"/>
      <c r="R221" s="62"/>
      <c r="S221" s="62"/>
      <c r="X221" s="56"/>
    </row>
    <row r="222" spans="1:24">
      <c r="A222" s="38"/>
      <c r="B222" s="38"/>
      <c r="D222" s="38"/>
      <c r="E222" s="38"/>
      <c r="F222" s="38"/>
      <c r="G222" s="46"/>
      <c r="H222" s="38"/>
      <c r="I222" s="57"/>
      <c r="J222" s="38"/>
      <c r="K222" s="38"/>
      <c r="L222" s="46"/>
      <c r="M222" s="56"/>
      <c r="N222" s="56"/>
      <c r="O222" s="56"/>
      <c r="P222" s="56"/>
      <c r="Q222" s="56"/>
      <c r="R222" s="62"/>
      <c r="S222" s="62"/>
      <c r="X222" s="56"/>
    </row>
    <row r="223" spans="1:24">
      <c r="A223" s="38"/>
      <c r="B223" s="38"/>
      <c r="D223" s="38"/>
      <c r="E223" s="38"/>
      <c r="F223" s="38"/>
      <c r="G223" s="46"/>
      <c r="H223" s="38"/>
      <c r="I223" s="57"/>
      <c r="J223" s="38"/>
      <c r="K223" s="38"/>
      <c r="L223" s="46"/>
      <c r="M223" s="56"/>
      <c r="N223" s="56"/>
      <c r="O223" s="56"/>
      <c r="P223" s="56"/>
      <c r="Q223" s="56"/>
      <c r="R223" s="62"/>
      <c r="S223" s="62"/>
      <c r="X223" s="56"/>
    </row>
    <row r="224" spans="1:24">
      <c r="A224" s="38"/>
      <c r="B224" s="38"/>
      <c r="D224" s="38"/>
      <c r="E224" s="38"/>
      <c r="F224" s="38"/>
      <c r="G224" s="46"/>
      <c r="H224" s="38"/>
      <c r="I224" s="57"/>
      <c r="J224" s="38"/>
      <c r="K224" s="38"/>
      <c r="L224" s="46"/>
      <c r="M224" s="56"/>
      <c r="N224" s="56"/>
      <c r="O224" s="56"/>
      <c r="P224" s="56"/>
      <c r="Q224" s="56"/>
      <c r="R224" s="62"/>
      <c r="S224" s="62"/>
      <c r="X224" s="56"/>
    </row>
    <row r="225" spans="1:24">
      <c r="A225" s="38"/>
      <c r="B225" s="38"/>
      <c r="D225" s="38"/>
      <c r="E225" s="38"/>
      <c r="F225" s="38"/>
      <c r="G225" s="46"/>
      <c r="H225" s="38"/>
      <c r="I225" s="57"/>
      <c r="J225" s="38"/>
      <c r="K225" s="38"/>
      <c r="L225" s="46"/>
      <c r="M225" s="56"/>
      <c r="N225" s="56"/>
      <c r="O225" s="56"/>
      <c r="P225" s="56"/>
      <c r="Q225" s="56"/>
      <c r="R225" s="62"/>
      <c r="S225" s="62"/>
      <c r="X225" s="56"/>
    </row>
    <row r="226" spans="1:24">
      <c r="A226" s="38"/>
      <c r="B226" s="38"/>
      <c r="D226" s="38"/>
      <c r="E226" s="38"/>
      <c r="F226" s="38"/>
      <c r="G226" s="46"/>
      <c r="H226" s="38"/>
      <c r="I226" s="57"/>
      <c r="J226" s="38"/>
      <c r="K226" s="38"/>
      <c r="L226" s="46"/>
      <c r="M226" s="56"/>
      <c r="N226" s="56"/>
      <c r="O226" s="56"/>
      <c r="P226" s="56"/>
      <c r="Q226" s="56"/>
      <c r="R226" s="62"/>
      <c r="S226" s="62"/>
      <c r="X226" s="56"/>
    </row>
    <row r="227" spans="1:24">
      <c r="A227" s="38"/>
      <c r="B227" s="38"/>
      <c r="D227" s="38"/>
      <c r="E227" s="38"/>
      <c r="F227" s="38"/>
      <c r="G227" s="46"/>
      <c r="H227" s="38"/>
      <c r="I227" s="57"/>
      <c r="J227" s="38"/>
      <c r="K227" s="38"/>
      <c r="L227" s="46"/>
      <c r="M227" s="56"/>
      <c r="N227" s="56"/>
      <c r="O227" s="56"/>
      <c r="P227" s="56"/>
      <c r="Q227" s="56"/>
      <c r="R227" s="62"/>
      <c r="S227" s="62"/>
      <c r="X227" s="56"/>
    </row>
    <row r="228" spans="1:24">
      <c r="A228" s="38"/>
      <c r="B228" s="38"/>
      <c r="D228" s="38"/>
      <c r="E228" s="38"/>
      <c r="F228" s="38"/>
      <c r="G228" s="46"/>
      <c r="H228" s="38"/>
      <c r="I228" s="57"/>
      <c r="J228" s="38"/>
      <c r="K228" s="38"/>
      <c r="L228" s="46"/>
      <c r="M228" s="56"/>
      <c r="N228" s="56"/>
      <c r="O228" s="56"/>
      <c r="P228" s="56"/>
      <c r="Q228" s="56"/>
      <c r="R228" s="62"/>
      <c r="S228" s="62"/>
      <c r="X228" s="56"/>
    </row>
    <row r="229" spans="1:24">
      <c r="A229" s="38"/>
      <c r="B229" s="38"/>
      <c r="D229" s="38"/>
      <c r="E229" s="38"/>
      <c r="F229" s="38"/>
      <c r="G229" s="46"/>
      <c r="H229" s="38"/>
      <c r="I229" s="57"/>
      <c r="J229" s="38"/>
      <c r="K229" s="38"/>
      <c r="L229" s="46"/>
      <c r="M229" s="56"/>
      <c r="N229" s="56"/>
      <c r="O229" s="56"/>
      <c r="P229" s="56"/>
      <c r="Q229" s="56"/>
      <c r="R229" s="62"/>
      <c r="S229" s="62"/>
      <c r="X229" s="56"/>
    </row>
    <row r="230" spans="1:24">
      <c r="A230" s="38"/>
      <c r="B230" s="38"/>
      <c r="D230" s="38"/>
      <c r="E230" s="38"/>
      <c r="F230" s="38"/>
      <c r="G230" s="46"/>
      <c r="H230" s="38"/>
      <c r="I230" s="57"/>
      <c r="J230" s="38"/>
      <c r="K230" s="38"/>
      <c r="L230" s="46"/>
      <c r="M230" s="56"/>
      <c r="N230" s="56"/>
      <c r="O230" s="56"/>
      <c r="P230" s="56"/>
      <c r="Q230" s="56"/>
      <c r="R230" s="62"/>
      <c r="S230" s="62"/>
      <c r="X230" s="56"/>
    </row>
    <row r="231" spans="1:24">
      <c r="A231" s="38"/>
      <c r="B231" s="38"/>
      <c r="D231" s="38"/>
      <c r="E231" s="38"/>
      <c r="F231" s="38"/>
      <c r="G231" s="46"/>
      <c r="H231" s="38"/>
      <c r="I231" s="57"/>
      <c r="J231" s="38"/>
      <c r="K231" s="38"/>
      <c r="L231" s="46"/>
      <c r="M231" s="56"/>
      <c r="N231" s="56"/>
      <c r="O231" s="56"/>
      <c r="P231" s="56"/>
      <c r="Q231" s="56"/>
      <c r="R231" s="62"/>
      <c r="S231" s="62"/>
      <c r="X231" s="56"/>
    </row>
    <row r="232" spans="1:24">
      <c r="A232" s="38"/>
      <c r="B232" s="38"/>
      <c r="D232" s="38"/>
      <c r="E232" s="38"/>
      <c r="F232" s="38"/>
      <c r="G232" s="46"/>
      <c r="H232" s="38"/>
      <c r="I232" s="57"/>
      <c r="J232" s="38"/>
      <c r="K232" s="38"/>
      <c r="L232" s="46"/>
      <c r="M232" s="56"/>
      <c r="N232" s="56"/>
      <c r="O232" s="56"/>
      <c r="P232" s="56"/>
      <c r="Q232" s="56"/>
      <c r="R232" s="62"/>
      <c r="S232" s="62"/>
      <c r="X232" s="56"/>
    </row>
    <row r="233" spans="1:24">
      <c r="A233" s="38"/>
      <c r="B233" s="38"/>
      <c r="D233" s="38"/>
      <c r="E233" s="38"/>
      <c r="F233" s="38"/>
      <c r="G233" s="46"/>
      <c r="H233" s="38"/>
      <c r="I233" s="57"/>
      <c r="J233" s="38"/>
      <c r="K233" s="38"/>
      <c r="L233" s="46"/>
      <c r="M233" s="56"/>
      <c r="N233" s="56"/>
      <c r="O233" s="56"/>
      <c r="P233" s="56"/>
      <c r="Q233" s="56"/>
      <c r="R233" s="62"/>
      <c r="S233" s="62"/>
      <c r="X233" s="56"/>
    </row>
    <row r="234" spans="1:24">
      <c r="A234" s="38"/>
      <c r="B234" s="38"/>
      <c r="D234" s="38"/>
      <c r="E234" s="38"/>
      <c r="F234" s="38"/>
      <c r="G234" s="46"/>
      <c r="H234" s="38"/>
      <c r="I234" s="57"/>
      <c r="J234" s="38"/>
      <c r="K234" s="38"/>
      <c r="L234" s="46"/>
      <c r="M234" s="56"/>
      <c r="N234" s="56"/>
      <c r="O234" s="56"/>
      <c r="P234" s="56"/>
      <c r="Q234" s="56"/>
      <c r="R234" s="62"/>
      <c r="S234" s="62"/>
      <c r="X234" s="56"/>
    </row>
    <row r="235" spans="1:24">
      <c r="A235" s="38"/>
      <c r="B235" s="38"/>
      <c r="D235" s="38"/>
      <c r="E235" s="38"/>
      <c r="F235" s="38"/>
      <c r="G235" s="46"/>
      <c r="H235" s="38"/>
      <c r="I235" s="57"/>
      <c r="J235" s="38"/>
      <c r="K235" s="38"/>
      <c r="L235" s="46"/>
      <c r="M235" s="56"/>
      <c r="N235" s="56"/>
      <c r="O235" s="56"/>
      <c r="P235" s="56"/>
      <c r="Q235" s="56"/>
      <c r="R235" s="62"/>
      <c r="S235" s="62"/>
      <c r="X235" s="56"/>
    </row>
    <row r="236" spans="1:24">
      <c r="A236" s="38"/>
      <c r="B236" s="38"/>
      <c r="D236" s="38"/>
      <c r="E236" s="38"/>
      <c r="F236" s="38"/>
      <c r="G236" s="46"/>
      <c r="H236" s="38"/>
      <c r="I236" s="57"/>
      <c r="J236" s="38"/>
      <c r="K236" s="38"/>
      <c r="L236" s="46"/>
      <c r="M236" s="56"/>
      <c r="N236" s="56"/>
      <c r="O236" s="56"/>
      <c r="P236" s="56"/>
      <c r="Q236" s="56"/>
      <c r="R236" s="62"/>
      <c r="S236" s="62"/>
      <c r="X236" s="56"/>
    </row>
  </sheetData>
  <dataValidations count="1">
    <dataValidation type="list" allowBlank="1" showInputMessage="1" showErrorMessage="1" sqref="U2:U54" xr:uid="{5C054054-8F02-46C0-A071-BACC64C98FE2}">
      <formula1>"Yes, No"</formula1>
    </dataValidation>
  </dataValidations>
  <hyperlinks>
    <hyperlink ref="E2" r:id="rId1" xr:uid="{F1C9A906-A5A7-4350-B5C9-2007C117412A}"/>
    <hyperlink ref="F2" r:id="rId2" xr:uid="{5D41A897-47D2-48FB-9FE1-E7C50421E6EE}"/>
    <hyperlink ref="E3" r:id="rId3" xr:uid="{612A8E5B-6F3C-4A82-BF4B-4A17F382340A}"/>
    <hyperlink ref="F3" r:id="rId4" xr:uid="{3542F58D-3341-4A3B-A65C-1704A0B7C915}"/>
    <hyperlink ref="E4" r:id="rId5" xr:uid="{3188C8BF-D4FA-4398-949D-500511ED26E9}"/>
    <hyperlink ref="F4" r:id="rId6" xr:uid="{1512CBE2-300E-4AE8-9AC7-A4887560EE43}"/>
    <hyperlink ref="E5" r:id="rId7" xr:uid="{1001806D-63E5-4E90-AE8D-15D63B025696}"/>
    <hyperlink ref="F5" r:id="rId8" xr:uid="{6A0935C4-2400-4FAB-B64B-E904386B5FA5}"/>
    <hyperlink ref="E6" r:id="rId9" xr:uid="{915270B9-2DBD-4DF4-B533-A9D57C58DA0B}"/>
    <hyperlink ref="F6" r:id="rId10" xr:uid="{1D8433C2-3E89-4F33-940F-152377833649}"/>
    <hyperlink ref="E7" r:id="rId11" xr:uid="{EF6FF2C4-3665-4420-8A05-CD581A7D2F03}"/>
    <hyperlink ref="F7" r:id="rId12" xr:uid="{2ED3E137-866E-468F-A6C2-4CD4FACBA14C}"/>
    <hyperlink ref="E8" r:id="rId13" xr:uid="{A22679A3-6AC2-4E23-AC4F-E60BAACCB94F}"/>
    <hyperlink ref="F8" r:id="rId14" xr:uid="{E071FD0D-F527-4666-8031-F4F70898C6F0}"/>
    <hyperlink ref="E9" r:id="rId15" xr:uid="{38FDC6DD-CB43-483F-A158-52265E1624DA}"/>
    <hyperlink ref="F9" r:id="rId16" xr:uid="{12324BA4-5B74-4137-BEFF-2B538CEBCB90}"/>
    <hyperlink ref="E11" r:id="rId17" xr:uid="{2916B918-2560-43BD-9CE1-1F428C707D5A}"/>
    <hyperlink ref="F11" r:id="rId18" xr:uid="{7758A138-95C4-469F-9EF6-16552AA218F0}"/>
    <hyperlink ref="E12" r:id="rId19" xr:uid="{89380086-8EEF-4DAF-A766-1DD82734CADB}"/>
    <hyperlink ref="F12" r:id="rId20" xr:uid="{42A0B0BA-882F-4E62-A4A1-245FDA8761CE}"/>
    <hyperlink ref="E14" r:id="rId21" xr:uid="{DCD8C143-08B2-4AC0-B9EE-CBB2BB9BA91F}"/>
    <hyperlink ref="F14" r:id="rId22" xr:uid="{F817C889-4AE3-4B0C-BDF3-F156D9ABB663}"/>
    <hyperlink ref="E15" r:id="rId23" xr:uid="{52300C97-779D-4625-9DB1-E7376262279B}"/>
    <hyperlink ref="F15" r:id="rId24" xr:uid="{40972FD6-E2E7-45B1-963C-007F5BE7697A}"/>
    <hyperlink ref="E16" r:id="rId25" xr:uid="{450DFC3F-4E6E-479B-A33A-2C978A71183B}"/>
    <hyperlink ref="F16" r:id="rId26" xr:uid="{B70F7056-73EE-4611-A82C-7C9DF3F96A29}"/>
    <hyperlink ref="E17" r:id="rId27" xr:uid="{1AC2ED43-A2F0-4045-B90D-55C4AC7DC115}"/>
    <hyperlink ref="F17" r:id="rId28" xr:uid="{13961EDA-CB32-4FB2-89AD-1EDDEBAA5D4F}"/>
    <hyperlink ref="E18" r:id="rId29" xr:uid="{24549979-9632-4852-B5AA-A3DEA4215C99}"/>
    <hyperlink ref="F18" r:id="rId30" xr:uid="{39765BBD-AFC1-44DB-A99E-83AD92914BD2}"/>
    <hyperlink ref="E19" r:id="rId31" xr:uid="{CBB4E7B1-2B04-4757-B09C-84654EFF8282}"/>
    <hyperlink ref="F19" r:id="rId32" xr:uid="{600C3AA0-8EF8-43FC-BDAD-6B38055E3844}"/>
    <hyperlink ref="E20" r:id="rId33" xr:uid="{C5B2079C-1BBD-4068-A258-D8A634E892F1}"/>
    <hyperlink ref="F20" r:id="rId34" xr:uid="{26D5C258-EDE2-47E1-AF7A-14341D4759AA}"/>
    <hyperlink ref="E35" r:id="rId35" xr:uid="{F0DC09B6-AB91-4350-ACC8-DC7F93C9E461}"/>
    <hyperlink ref="F35" r:id="rId36" xr:uid="{EAD73A10-35FA-4010-9ED7-71FBE68F8A17}"/>
    <hyperlink ref="E43" r:id="rId37" xr:uid="{5272087A-AF12-4095-97FD-1FDF30C5FA80}"/>
    <hyperlink ref="F43" r:id="rId38" xr:uid="{3B7FB1CE-DC9E-4624-B2C9-E57DB8A06EDC}"/>
    <hyperlink ref="B1" location="Fields!E1" display="Content Owner" xr:uid="{08441B5E-65F2-4119-BBBC-73DF988E9F9F}"/>
    <hyperlink ref="W1" location="Fields!A12" display="Re-Replay" xr:uid="{C7038086-1801-48A0-9D12-35108E6761ED}"/>
    <hyperlink ref="I1" location="Final!A13" display="Description" xr:uid="{8CDEE8C0-C1D1-459C-B5A9-163B31F9D4A0}"/>
  </hyperlinks>
  <pageMargins left="0.7" right="0.7" top="0.75" bottom="0.75" header="0.3" footer="0.3"/>
  <drawing r:id="rId39"/>
  <extLst>
    <ext xmlns:x14="http://schemas.microsoft.com/office/spreadsheetml/2009/9/main" uri="{CCE6A557-97BC-4b89-ADB6-D9C93CAAB3DF}">
      <x14:dataValidations xmlns:xm="http://schemas.microsoft.com/office/excel/2006/main" count="4">
        <x14:dataValidation type="list" allowBlank="1" showInputMessage="1" showErrorMessage="1" xr:uid="{647EEC61-5144-42E2-A542-C1CBE3ADFE83}">
          <x14:formula1>
            <xm:f>Fields!$D$2:$D$5</xm:f>
          </x14:formula1>
          <xm:sqref>B2:B54</xm:sqref>
        </x14:dataValidation>
        <x14:dataValidation type="list" allowBlank="1" showInputMessage="1" showErrorMessage="1" xr:uid="{EB48B91D-C39B-4DDE-BCDD-8DAA0AA3AFCC}">
          <x14:formula1>
            <xm:f>Fields!$C$2:$C$4</xm:f>
          </x14:formula1>
          <xm:sqref>T2:T54</xm:sqref>
        </x14:dataValidation>
        <x14:dataValidation type="list" allowBlank="1" showInputMessage="1" showErrorMessage="1" xr:uid="{3C29738E-5DCC-4AD7-81D4-B2DF97BA6276}">
          <x14:formula1>
            <xm:f>Fields!$B$2:$B$4</xm:f>
          </x14:formula1>
          <xm:sqref>R2:S54</xm:sqref>
        </x14:dataValidation>
        <x14:dataValidation type="list" allowBlank="1" showInputMessage="1" showErrorMessage="1" xr:uid="{BD5AEFF9-53BD-4181-A71D-135590B5CF27}">
          <x14:formula1>
            <xm:f>Fields!$A$2:$A$8</xm:f>
          </x14:formula1>
          <xm:sqref>C2:C54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215"/>
  <sheetViews>
    <sheetView workbookViewId="0">
      <selection activeCell="C23" sqref="C23"/>
    </sheetView>
  </sheetViews>
  <sheetFormatPr defaultColWidth="12.5703125" defaultRowHeight="15" customHeight="1"/>
  <cols>
    <col min="1" max="1" width="5.85546875" style="33" customWidth="1"/>
    <col min="2" max="2" width="7.140625" style="33" customWidth="1"/>
    <col min="3" max="3" width="12.85546875" style="33" customWidth="1"/>
    <col min="4" max="4" width="3.5703125" style="33" customWidth="1"/>
    <col min="5" max="5" width="49.7109375" style="33" customWidth="1"/>
    <col min="6" max="6" width="8.42578125" style="33" hidden="1" customWidth="1"/>
    <col min="7" max="7" width="14.28515625" style="33" hidden="1" customWidth="1"/>
    <col min="8" max="8" width="28.42578125" style="33" customWidth="1"/>
    <col min="9" max="9" width="14.28515625" style="33" customWidth="1"/>
    <col min="10" max="10" width="8.42578125" style="33" customWidth="1"/>
    <col min="11" max="11" width="7.42578125" style="33" customWidth="1"/>
    <col min="12" max="12" width="9.7109375" style="33" customWidth="1"/>
    <col min="13" max="13" width="6.140625" style="33" customWidth="1"/>
    <col min="14" max="14" width="7.5703125" style="33" customWidth="1"/>
    <col min="15" max="16" width="8.42578125" style="33" customWidth="1"/>
    <col min="17" max="17" width="20.85546875" style="33" customWidth="1"/>
    <col min="18" max="18" width="6.5703125" style="35" customWidth="1"/>
    <col min="19" max="19" width="6.42578125" style="35" customWidth="1"/>
    <col min="20" max="20" width="7.5703125" style="35" customWidth="1"/>
    <col min="21" max="21" width="7.85546875" style="37" customWidth="1"/>
    <col min="22" max="22" width="8.85546875" style="34" customWidth="1"/>
    <col min="23" max="23" width="7.5703125" style="36" customWidth="1"/>
    <col min="24" max="24" width="49" style="33" customWidth="1"/>
  </cols>
  <sheetData>
    <row r="1" spans="1:24" ht="45" customHeight="1">
      <c r="A1" s="64" t="s">
        <v>2</v>
      </c>
      <c r="B1" s="65" t="s">
        <v>2503</v>
      </c>
      <c r="C1" s="66" t="s">
        <v>115</v>
      </c>
      <c r="D1" s="67" t="s">
        <v>40</v>
      </c>
      <c r="E1" s="64" t="s">
        <v>44</v>
      </c>
      <c r="F1" s="64" t="s">
        <v>49</v>
      </c>
      <c r="G1" s="64" t="s">
        <v>51</v>
      </c>
      <c r="H1" s="64" t="s">
        <v>63</v>
      </c>
      <c r="I1" s="65" t="s">
        <v>46</v>
      </c>
      <c r="J1" s="64" t="s">
        <v>67</v>
      </c>
      <c r="K1" s="68" t="s">
        <v>68</v>
      </c>
      <c r="L1" s="64" t="s">
        <v>74</v>
      </c>
      <c r="M1" s="64" t="s">
        <v>75</v>
      </c>
      <c r="N1" s="64" t="s">
        <v>76</v>
      </c>
      <c r="O1" s="64" t="s">
        <v>77</v>
      </c>
      <c r="P1" s="64" t="s">
        <v>78</v>
      </c>
      <c r="Q1" s="64" t="s">
        <v>80</v>
      </c>
      <c r="R1" s="69" t="s">
        <v>81</v>
      </c>
      <c r="S1" s="69" t="s">
        <v>82</v>
      </c>
      <c r="T1" s="69" t="s">
        <v>83</v>
      </c>
      <c r="U1" s="70" t="s">
        <v>114</v>
      </c>
      <c r="V1" s="71" t="s">
        <v>116</v>
      </c>
      <c r="W1" s="72" t="s">
        <v>88</v>
      </c>
      <c r="X1" s="64" t="s">
        <v>89</v>
      </c>
    </row>
    <row r="2" spans="1:24">
      <c r="A2" s="38">
        <v>20</v>
      </c>
      <c r="B2" s="38" t="s">
        <v>220</v>
      </c>
      <c r="C2" s="38" t="s">
        <v>124</v>
      </c>
      <c r="D2" s="38" t="s">
        <v>221</v>
      </c>
      <c r="E2" s="40" t="s">
        <v>222</v>
      </c>
      <c r="F2" s="41" t="s">
        <v>225</v>
      </c>
      <c r="G2" s="42" t="s">
        <v>226</v>
      </c>
      <c r="H2" s="43"/>
      <c r="I2" s="44"/>
      <c r="J2" s="38">
        <f>8.5*1000</f>
        <v>8500</v>
      </c>
      <c r="K2" s="45">
        <v>7.1874999999999994E-3</v>
      </c>
      <c r="L2" s="46" t="s">
        <v>113</v>
      </c>
      <c r="M2" s="38"/>
      <c r="N2" s="38"/>
      <c r="O2" s="38"/>
      <c r="P2" s="38"/>
      <c r="Q2" s="38"/>
      <c r="R2" s="48"/>
      <c r="S2" s="48"/>
      <c r="T2" s="48"/>
      <c r="U2" s="52"/>
      <c r="V2" s="50"/>
      <c r="W2" s="51"/>
      <c r="X2" s="38"/>
    </row>
    <row r="3" spans="1:24">
      <c r="A3" s="38"/>
      <c r="B3" s="38" t="s">
        <v>220</v>
      </c>
      <c r="C3" s="38" t="s">
        <v>124</v>
      </c>
      <c r="D3" s="38"/>
      <c r="E3" s="40"/>
      <c r="F3" s="41"/>
      <c r="G3" s="42"/>
      <c r="H3" s="43" t="s">
        <v>239</v>
      </c>
      <c r="I3" s="44"/>
      <c r="J3" s="38"/>
      <c r="K3" s="45"/>
      <c r="L3" s="46"/>
      <c r="M3" s="45">
        <v>5.7870370370370378E-4</v>
      </c>
      <c r="N3" s="45">
        <v>3.2407407407407406E-3</v>
      </c>
      <c r="O3" s="45">
        <f t="shared" ref="O3:O5" si="0">N3-M3</f>
        <v>2.662037037037037E-3</v>
      </c>
      <c r="P3" s="38"/>
      <c r="Q3" s="55" t="str">
        <f t="shared" ref="Q3:Q5" si="1">HYPERLINK(REPLACE($D$2,25,8,"embed/")&amp;"?start="&amp;MINUTE(M3)*60+SECOND(M3)&amp;"&amp;end="&amp;MINUTE(N3)*60+SECOND(N3)&amp;"&amp;autoplay=1")</f>
        <v>https://www.youtube.com/embed/_IcfDP-ezpo?start=50&amp;end=280&amp;autoplay=1</v>
      </c>
      <c r="R3" s="48"/>
      <c r="S3" s="48"/>
      <c r="T3" s="48"/>
      <c r="U3" s="52"/>
      <c r="V3" s="50"/>
      <c r="W3" s="51"/>
      <c r="X3" s="38"/>
    </row>
    <row r="4" spans="1:24">
      <c r="A4" s="38"/>
      <c r="B4" s="38" t="s">
        <v>220</v>
      </c>
      <c r="C4" s="38" t="s">
        <v>124</v>
      </c>
      <c r="D4" s="38"/>
      <c r="E4" s="40"/>
      <c r="F4" s="41"/>
      <c r="G4" s="42"/>
      <c r="H4" s="43" t="s">
        <v>250</v>
      </c>
      <c r="I4" s="44"/>
      <c r="J4" s="38"/>
      <c r="K4" s="45"/>
      <c r="L4" s="46"/>
      <c r="M4" s="45">
        <v>3.2407407407407406E-3</v>
      </c>
      <c r="N4" s="45">
        <v>5.7754629629629623E-3</v>
      </c>
      <c r="O4" s="45">
        <f t="shared" si="0"/>
        <v>2.5347222222222216E-3</v>
      </c>
      <c r="P4" s="38"/>
      <c r="Q4" s="55" t="str">
        <f t="shared" si="1"/>
        <v>https://www.youtube.com/embed/_IcfDP-ezpo?start=280&amp;end=499&amp;autoplay=1</v>
      </c>
      <c r="R4" s="48"/>
      <c r="S4" s="48"/>
      <c r="T4" s="48"/>
      <c r="U4" s="52"/>
      <c r="V4" s="50"/>
      <c r="W4" s="51"/>
      <c r="X4" s="38"/>
    </row>
    <row r="5" spans="1:24">
      <c r="A5" s="38"/>
      <c r="B5" s="38" t="s">
        <v>220</v>
      </c>
      <c r="C5" s="38" t="s">
        <v>124</v>
      </c>
      <c r="D5" s="38"/>
      <c r="E5" s="40"/>
      <c r="F5" s="41"/>
      <c r="G5" s="42"/>
      <c r="H5" s="43" t="s">
        <v>254</v>
      </c>
      <c r="I5" s="44"/>
      <c r="J5" s="38"/>
      <c r="K5" s="45"/>
      <c r="L5" s="46"/>
      <c r="M5" s="45">
        <v>5.7754629629629623E-3</v>
      </c>
      <c r="N5" s="45">
        <v>7.1759259259259259E-3</v>
      </c>
      <c r="O5" s="45">
        <f t="shared" si="0"/>
        <v>1.4004629629629636E-3</v>
      </c>
      <c r="P5" s="38"/>
      <c r="Q5" s="55" t="str">
        <f t="shared" si="1"/>
        <v>https://www.youtube.com/embed/_IcfDP-ezpo?start=499&amp;end=620&amp;autoplay=1</v>
      </c>
      <c r="R5" s="48"/>
      <c r="S5" s="48"/>
      <c r="T5" s="48"/>
      <c r="U5" s="52"/>
      <c r="V5" s="50"/>
      <c r="W5" s="51"/>
      <c r="X5" s="38"/>
    </row>
    <row r="6" spans="1:24">
      <c r="A6" s="38">
        <v>22</v>
      </c>
      <c r="B6" s="38" t="s">
        <v>220</v>
      </c>
      <c r="C6" s="38" t="s">
        <v>124</v>
      </c>
      <c r="D6" s="38" t="s">
        <v>235</v>
      </c>
      <c r="E6" s="40" t="s">
        <v>236</v>
      </c>
      <c r="F6" s="41" t="s">
        <v>237</v>
      </c>
      <c r="G6" s="42" t="s">
        <v>238</v>
      </c>
      <c r="H6" s="43"/>
      <c r="I6" s="44"/>
      <c r="J6" s="38">
        <f>4.9*1000</f>
        <v>4900</v>
      </c>
      <c r="K6" s="45">
        <v>9.2939814814814812E-3</v>
      </c>
      <c r="L6" s="46" t="s">
        <v>113</v>
      </c>
      <c r="M6" s="45"/>
      <c r="N6" s="45"/>
      <c r="O6" s="38"/>
      <c r="P6" s="38"/>
      <c r="Q6" s="38"/>
      <c r="R6" s="48"/>
      <c r="S6" s="48"/>
      <c r="T6" s="48"/>
      <c r="U6" s="52"/>
      <c r="V6" s="50"/>
      <c r="W6" s="51"/>
      <c r="X6" s="38"/>
    </row>
    <row r="7" spans="1:24">
      <c r="A7" s="38"/>
      <c r="B7" s="38" t="s">
        <v>220</v>
      </c>
      <c r="C7" s="38" t="s">
        <v>124</v>
      </c>
      <c r="D7" s="38"/>
      <c r="E7" s="40"/>
      <c r="F7" s="41"/>
      <c r="G7" s="42"/>
      <c r="H7" s="43" t="s">
        <v>268</v>
      </c>
      <c r="I7" s="44"/>
      <c r="J7" s="38"/>
      <c r="K7" s="45"/>
      <c r="L7" s="46"/>
      <c r="M7" s="45">
        <v>0</v>
      </c>
      <c r="N7" s="45">
        <v>1.1805555555555556E-3</v>
      </c>
      <c r="O7" s="45">
        <f t="shared" ref="O7:O12" si="2">N7-M7</f>
        <v>1.1805555555555556E-3</v>
      </c>
      <c r="P7" s="38"/>
      <c r="Q7" s="55" t="str">
        <f t="shared" ref="Q7:Q12" si="3">HYPERLINK(REPLACE($D$6,25,8,"embed/")&amp;"?start="&amp;MINUTE(M7)*60+SECOND(M7)&amp;"&amp;end="&amp;MINUTE(N7)*60+SECOND(N7)&amp;"&amp;autoplay=1")</f>
        <v>https://www.youtube.com/embed/Uq2PJjcHiqI?start=0&amp;end=102&amp;autoplay=1</v>
      </c>
      <c r="R7" s="48"/>
      <c r="S7" s="48"/>
      <c r="T7" s="48"/>
      <c r="U7" s="52"/>
      <c r="V7" s="50"/>
      <c r="W7" s="51"/>
      <c r="X7" s="38"/>
    </row>
    <row r="8" spans="1:24">
      <c r="A8" s="38"/>
      <c r="B8" s="38" t="s">
        <v>220</v>
      </c>
      <c r="C8" s="38" t="s">
        <v>124</v>
      </c>
      <c r="D8" s="38"/>
      <c r="E8" s="40"/>
      <c r="F8" s="41"/>
      <c r="G8" s="42"/>
      <c r="H8" s="43" t="s">
        <v>280</v>
      </c>
      <c r="I8" s="44"/>
      <c r="J8" s="38"/>
      <c r="K8" s="45"/>
      <c r="L8" s="46"/>
      <c r="M8" s="45">
        <v>1.1805555555555556E-3</v>
      </c>
      <c r="N8" s="45">
        <v>3.1018518518518522E-3</v>
      </c>
      <c r="O8" s="45">
        <f t="shared" si="2"/>
        <v>1.9212962962962966E-3</v>
      </c>
      <c r="P8" s="38"/>
      <c r="Q8" s="55" t="str">
        <f t="shared" si="3"/>
        <v>https://www.youtube.com/embed/Uq2PJjcHiqI?start=102&amp;end=268&amp;autoplay=1</v>
      </c>
      <c r="R8" s="48"/>
      <c r="S8" s="48"/>
      <c r="T8" s="48"/>
      <c r="U8" s="52"/>
      <c r="V8" s="50"/>
      <c r="W8" s="51"/>
      <c r="X8" s="38"/>
    </row>
    <row r="9" spans="1:24">
      <c r="A9" s="38"/>
      <c r="B9" s="38" t="s">
        <v>220</v>
      </c>
      <c r="C9" s="38" t="s">
        <v>124</v>
      </c>
      <c r="D9" s="38"/>
      <c r="E9" s="40"/>
      <c r="F9" s="41"/>
      <c r="G9" s="42"/>
      <c r="H9" s="43" t="s">
        <v>287</v>
      </c>
      <c r="I9" s="44"/>
      <c r="J9" s="38"/>
      <c r="K9" s="45"/>
      <c r="L9" s="46"/>
      <c r="M9" s="45">
        <v>3.1018518518518522E-3</v>
      </c>
      <c r="N9" s="45">
        <v>4.6412037037037038E-3</v>
      </c>
      <c r="O9" s="45">
        <f t="shared" si="2"/>
        <v>1.5393518518518516E-3</v>
      </c>
      <c r="P9" s="38"/>
      <c r="Q9" s="55" t="str">
        <f t="shared" si="3"/>
        <v>https://www.youtube.com/embed/Uq2PJjcHiqI?start=268&amp;end=401&amp;autoplay=1</v>
      </c>
      <c r="R9" s="48"/>
      <c r="S9" s="48"/>
      <c r="T9" s="48"/>
      <c r="U9" s="52"/>
      <c r="V9" s="50"/>
      <c r="W9" s="51"/>
      <c r="X9" s="53" t="s">
        <v>292</v>
      </c>
    </row>
    <row r="10" spans="1:24">
      <c r="A10" s="38"/>
      <c r="B10" s="38" t="s">
        <v>220</v>
      </c>
      <c r="C10" s="38" t="s">
        <v>124</v>
      </c>
      <c r="D10" s="38"/>
      <c r="E10" s="40"/>
      <c r="F10" s="41"/>
      <c r="G10" s="42"/>
      <c r="H10" s="43" t="s">
        <v>294</v>
      </c>
      <c r="I10" s="44"/>
      <c r="J10" s="38"/>
      <c r="K10" s="45"/>
      <c r="L10" s="46"/>
      <c r="M10" s="45">
        <v>4.6412037037037038E-3</v>
      </c>
      <c r="N10" s="45">
        <v>7.2106481481481475E-3</v>
      </c>
      <c r="O10" s="45">
        <f t="shared" si="2"/>
        <v>2.5694444444444436E-3</v>
      </c>
      <c r="P10" s="38"/>
      <c r="Q10" s="55" t="str">
        <f t="shared" si="3"/>
        <v>https://www.youtube.com/embed/Uq2PJjcHiqI?start=401&amp;end=623&amp;autoplay=1</v>
      </c>
      <c r="R10" s="48"/>
      <c r="S10" s="48"/>
      <c r="T10" s="48"/>
      <c r="U10" s="52"/>
      <c r="V10" s="50"/>
      <c r="W10" s="51"/>
      <c r="X10" s="53"/>
    </row>
    <row r="11" spans="1:24">
      <c r="A11" s="38"/>
      <c r="B11" s="38" t="s">
        <v>220</v>
      </c>
      <c r="C11" s="38" t="s">
        <v>124</v>
      </c>
      <c r="D11" s="38"/>
      <c r="E11" s="40"/>
      <c r="F11" s="41"/>
      <c r="G11" s="42"/>
      <c r="H11" s="43" t="s">
        <v>299</v>
      </c>
      <c r="I11" s="44"/>
      <c r="J11" s="38"/>
      <c r="K11" s="45"/>
      <c r="L11" s="46"/>
      <c r="M11" s="45">
        <v>7.2106481481481475E-3</v>
      </c>
      <c r="N11" s="45">
        <v>7.6736111111111111E-3</v>
      </c>
      <c r="O11" s="45">
        <f t="shared" si="2"/>
        <v>4.6296296296296363E-4</v>
      </c>
      <c r="P11" s="38"/>
      <c r="Q11" s="55" t="str">
        <f t="shared" si="3"/>
        <v>https://www.youtube.com/embed/Uq2PJjcHiqI?start=623&amp;end=663&amp;autoplay=1</v>
      </c>
      <c r="R11" s="48"/>
      <c r="S11" s="48"/>
      <c r="T11" s="48"/>
      <c r="U11" s="52"/>
      <c r="V11" s="50"/>
      <c r="W11" s="51"/>
      <c r="X11" s="53" t="s">
        <v>303</v>
      </c>
    </row>
    <row r="12" spans="1:24">
      <c r="A12" s="38"/>
      <c r="B12" s="38" t="s">
        <v>220</v>
      </c>
      <c r="C12" s="38" t="s">
        <v>124</v>
      </c>
      <c r="D12" s="38"/>
      <c r="E12" s="40"/>
      <c r="F12" s="41"/>
      <c r="G12" s="42"/>
      <c r="H12" s="43" t="s">
        <v>305</v>
      </c>
      <c r="I12" s="44"/>
      <c r="J12" s="38"/>
      <c r="K12" s="45"/>
      <c r="L12" s="46"/>
      <c r="M12" s="45">
        <v>7.6736111111111111E-3</v>
      </c>
      <c r="N12" s="45">
        <v>9.2824074074074076E-3</v>
      </c>
      <c r="O12" s="45">
        <f t="shared" si="2"/>
        <v>1.6087962962962965E-3</v>
      </c>
      <c r="P12" s="38"/>
      <c r="Q12" s="55" t="str">
        <f t="shared" si="3"/>
        <v>https://www.youtube.com/embed/Uq2PJjcHiqI?start=663&amp;end=802&amp;autoplay=1</v>
      </c>
      <c r="R12" s="48"/>
      <c r="S12" s="48"/>
      <c r="T12" s="48"/>
      <c r="U12" s="52"/>
      <c r="V12" s="50"/>
      <c r="W12" s="51"/>
      <c r="X12" s="53"/>
    </row>
    <row r="13" spans="1:24">
      <c r="A13" s="38">
        <v>23</v>
      </c>
      <c r="B13" s="38" t="s">
        <v>220</v>
      </c>
      <c r="C13" s="38" t="s">
        <v>124</v>
      </c>
      <c r="D13" s="38" t="s">
        <v>242</v>
      </c>
      <c r="E13" s="40" t="s">
        <v>243</v>
      </c>
      <c r="F13" s="41" t="s">
        <v>244</v>
      </c>
      <c r="G13" s="42" t="s">
        <v>210</v>
      </c>
      <c r="H13" s="43"/>
      <c r="I13" s="44"/>
      <c r="J13" s="38">
        <f>3.6*1000</f>
        <v>3600</v>
      </c>
      <c r="K13" s="45">
        <v>7.4768518518518526E-3</v>
      </c>
      <c r="L13" s="46" t="s">
        <v>113</v>
      </c>
      <c r="M13" s="45"/>
      <c r="N13" s="45"/>
      <c r="O13" s="56"/>
      <c r="P13" s="38"/>
      <c r="Q13" s="38"/>
      <c r="R13" s="48"/>
      <c r="S13" s="48"/>
      <c r="T13" s="48"/>
      <c r="U13" s="52"/>
      <c r="V13" s="50"/>
      <c r="W13" s="51"/>
      <c r="X13" s="38"/>
    </row>
    <row r="14" spans="1:24">
      <c r="A14" s="38"/>
      <c r="B14" s="38" t="s">
        <v>220</v>
      </c>
      <c r="C14" s="38" t="s">
        <v>124</v>
      </c>
      <c r="D14" s="38"/>
      <c r="E14" s="40"/>
      <c r="F14" s="41"/>
      <c r="G14" s="42"/>
      <c r="H14" s="43" t="s">
        <v>315</v>
      </c>
      <c r="I14" s="57"/>
      <c r="J14" s="38"/>
      <c r="K14" s="45"/>
      <c r="L14" s="46"/>
      <c r="M14" s="45">
        <v>0</v>
      </c>
      <c r="N14" s="45">
        <v>1.5162037037037036E-3</v>
      </c>
      <c r="O14" s="45">
        <f t="shared" ref="O14:O16" si="4">N14-M14</f>
        <v>1.5162037037037036E-3</v>
      </c>
      <c r="P14" s="38"/>
      <c r="Q14" s="55" t="str">
        <f t="shared" ref="Q14:Q16" si="5">HYPERLINK(REPLACE($D$13,25,8,"embed/")&amp;"?start="&amp;MINUTE(M14)*60+SECOND(M14)&amp;"&amp;end="&amp;MINUTE(N14)*60+SECOND(N14)&amp;"&amp;autoplay=1")</f>
        <v>https://www.youtube.com/embed/5LJPOCxc3E8?start=0&amp;end=131&amp;autoplay=1</v>
      </c>
      <c r="R14" s="48"/>
      <c r="S14" s="48"/>
      <c r="T14" s="48"/>
      <c r="U14" s="52"/>
      <c r="V14" s="50"/>
      <c r="W14" s="51"/>
      <c r="X14" s="38"/>
    </row>
    <row r="15" spans="1:24">
      <c r="A15" s="38"/>
      <c r="B15" s="38" t="s">
        <v>220</v>
      </c>
      <c r="C15" s="38" t="s">
        <v>124</v>
      </c>
      <c r="D15" s="38"/>
      <c r="E15" s="40"/>
      <c r="F15" s="41"/>
      <c r="G15" s="42"/>
      <c r="H15" s="43" t="s">
        <v>324</v>
      </c>
      <c r="I15" s="57"/>
      <c r="J15" s="38"/>
      <c r="K15" s="45"/>
      <c r="L15" s="46"/>
      <c r="M15" s="45">
        <v>1.5162037037037036E-3</v>
      </c>
      <c r="N15" s="45">
        <v>4.0856481481481481E-3</v>
      </c>
      <c r="O15" s="45">
        <f t="shared" si="4"/>
        <v>2.5694444444444445E-3</v>
      </c>
      <c r="P15" s="38"/>
      <c r="Q15" s="55" t="str">
        <f t="shared" si="5"/>
        <v>https://www.youtube.com/embed/5LJPOCxc3E8?start=131&amp;end=353&amp;autoplay=1</v>
      </c>
      <c r="R15" s="48"/>
      <c r="S15" s="48"/>
      <c r="T15" s="48"/>
      <c r="U15" s="52"/>
      <c r="V15" s="50"/>
      <c r="W15" s="51"/>
      <c r="X15" s="38"/>
    </row>
    <row r="16" spans="1:24">
      <c r="A16" s="38"/>
      <c r="B16" s="38" t="s">
        <v>220</v>
      </c>
      <c r="C16" s="38" t="s">
        <v>124</v>
      </c>
      <c r="D16" s="38"/>
      <c r="E16" s="40"/>
      <c r="F16" s="41"/>
      <c r="G16" s="42"/>
      <c r="H16" s="43" t="s">
        <v>330</v>
      </c>
      <c r="I16" s="57"/>
      <c r="J16" s="38"/>
      <c r="K16" s="45"/>
      <c r="L16" s="46"/>
      <c r="M16" s="45">
        <v>4.1435185185185186E-3</v>
      </c>
      <c r="N16" s="45">
        <v>7.3958333333333341E-3</v>
      </c>
      <c r="O16" s="45">
        <f t="shared" si="4"/>
        <v>3.2523148148148155E-3</v>
      </c>
      <c r="P16" s="38"/>
      <c r="Q16" s="55" t="str">
        <f t="shared" si="5"/>
        <v>https://www.youtube.com/embed/5LJPOCxc3E8?start=358&amp;end=639&amp;autoplay=1</v>
      </c>
      <c r="R16" s="48"/>
      <c r="S16" s="48"/>
      <c r="T16" s="48"/>
      <c r="U16" s="52"/>
      <c r="V16" s="50"/>
      <c r="W16" s="51"/>
      <c r="X16" s="38"/>
    </row>
    <row r="17" spans="1:24">
      <c r="A17" s="38">
        <v>26</v>
      </c>
      <c r="B17" s="38" t="s">
        <v>220</v>
      </c>
      <c r="C17" s="38" t="s">
        <v>124</v>
      </c>
      <c r="D17" s="38" t="s">
        <v>259</v>
      </c>
      <c r="E17" s="40" t="s">
        <v>260</v>
      </c>
      <c r="F17" s="41" t="s">
        <v>263</v>
      </c>
      <c r="G17" s="42" t="s">
        <v>264</v>
      </c>
      <c r="H17" s="43"/>
      <c r="I17" s="44"/>
      <c r="J17" s="38">
        <f>14*1000</f>
        <v>14000</v>
      </c>
      <c r="K17" s="45">
        <v>7.4884259259259262E-3</v>
      </c>
      <c r="L17" s="46" t="s">
        <v>113</v>
      </c>
      <c r="M17" s="45"/>
      <c r="N17" s="45"/>
      <c r="O17" s="56"/>
      <c r="P17" s="38"/>
      <c r="Q17" s="38"/>
      <c r="R17" s="48"/>
      <c r="S17" s="48"/>
      <c r="T17" s="48"/>
      <c r="U17" s="52"/>
      <c r="V17" s="50"/>
      <c r="W17" s="51"/>
      <c r="X17" s="38"/>
    </row>
    <row r="18" spans="1:24">
      <c r="A18" s="38"/>
      <c r="B18" s="38" t="s">
        <v>220</v>
      </c>
      <c r="C18" s="38" t="s">
        <v>124</v>
      </c>
      <c r="D18" s="38"/>
      <c r="E18" s="40"/>
      <c r="F18" s="41"/>
      <c r="G18" s="42"/>
      <c r="H18" s="43" t="s">
        <v>346</v>
      </c>
      <c r="I18" s="44"/>
      <c r="J18" s="38"/>
      <c r="K18" s="45"/>
      <c r="L18" s="46"/>
      <c r="M18" s="45">
        <v>1.5046296296296297E-4</v>
      </c>
      <c r="N18" s="45">
        <v>9.2592592592592585E-4</v>
      </c>
      <c r="O18" s="45">
        <f t="shared" ref="O18:O21" si="6">N18-M18</f>
        <v>7.7546296296296282E-4</v>
      </c>
      <c r="P18" s="38"/>
      <c r="Q18" s="55" t="str">
        <f t="shared" ref="Q18:Q21" si="7">HYPERLINK(REPLACE($D$17,25,8,"embed/")&amp;"?start="&amp;MINUTE(M18)*60+SECOND(M18)&amp;"&amp;end="&amp;MINUTE(N18)*60+SECOND(N18)&amp;"&amp;autoplay=1")</f>
        <v>https://www.youtube.com/embed/RdBz1kIwrqo?start=13&amp;end=80&amp;autoplay=1</v>
      </c>
      <c r="R18" s="48"/>
      <c r="S18" s="48"/>
      <c r="T18" s="48"/>
      <c r="U18" s="52"/>
      <c r="V18" s="50"/>
      <c r="W18" s="51"/>
      <c r="X18" s="53"/>
    </row>
    <row r="19" spans="1:24">
      <c r="A19" s="38"/>
      <c r="B19" s="38" t="s">
        <v>220</v>
      </c>
      <c r="C19" s="38" t="s">
        <v>124</v>
      </c>
      <c r="D19" s="38"/>
      <c r="E19" s="40"/>
      <c r="F19" s="41"/>
      <c r="G19" s="42"/>
      <c r="H19" s="43" t="s">
        <v>280</v>
      </c>
      <c r="I19" s="44"/>
      <c r="J19" s="38"/>
      <c r="K19" s="45"/>
      <c r="L19" s="46"/>
      <c r="M19" s="45">
        <v>9.2592592592592585E-4</v>
      </c>
      <c r="N19" s="45">
        <v>2.9861111111111113E-3</v>
      </c>
      <c r="O19" s="45">
        <f t="shared" si="6"/>
        <v>2.0601851851851853E-3</v>
      </c>
      <c r="P19" s="38"/>
      <c r="Q19" s="55" t="str">
        <f t="shared" si="7"/>
        <v>https://www.youtube.com/embed/RdBz1kIwrqo?start=80&amp;end=258&amp;autoplay=1</v>
      </c>
      <c r="R19" s="48"/>
      <c r="S19" s="48"/>
      <c r="T19" s="48"/>
      <c r="U19" s="52"/>
      <c r="V19" s="50"/>
      <c r="W19" s="51"/>
      <c r="X19" s="53" t="s">
        <v>358</v>
      </c>
    </row>
    <row r="20" spans="1:24">
      <c r="A20" s="38"/>
      <c r="B20" s="38" t="s">
        <v>220</v>
      </c>
      <c r="C20" s="38" t="s">
        <v>124</v>
      </c>
      <c r="D20" s="38"/>
      <c r="E20" s="40"/>
      <c r="F20" s="41"/>
      <c r="G20" s="42"/>
      <c r="H20" s="43" t="s">
        <v>359</v>
      </c>
      <c r="I20" s="44"/>
      <c r="J20" s="38"/>
      <c r="K20" s="45"/>
      <c r="L20" s="46"/>
      <c r="M20" s="45">
        <v>3.0787037037037037E-3</v>
      </c>
      <c r="N20" s="45">
        <v>4.6412037037037038E-3</v>
      </c>
      <c r="O20" s="45">
        <f t="shared" si="6"/>
        <v>1.5625000000000001E-3</v>
      </c>
      <c r="P20" s="38"/>
      <c r="Q20" s="55" t="str">
        <f t="shared" si="7"/>
        <v>https://www.youtube.com/embed/RdBz1kIwrqo?start=266&amp;end=401&amp;autoplay=1</v>
      </c>
      <c r="R20" s="48"/>
      <c r="S20" s="48"/>
      <c r="T20" s="48"/>
      <c r="U20" s="52"/>
      <c r="V20" s="50"/>
      <c r="W20" s="51"/>
      <c r="X20" s="53"/>
    </row>
    <row r="21" spans="1:24">
      <c r="A21" s="38"/>
      <c r="B21" s="38" t="s">
        <v>220</v>
      </c>
      <c r="C21" s="38" t="s">
        <v>124</v>
      </c>
      <c r="D21" s="38"/>
      <c r="E21" s="40"/>
      <c r="F21" s="41"/>
      <c r="G21" s="42"/>
      <c r="H21" s="43" t="s">
        <v>362</v>
      </c>
      <c r="I21" s="44"/>
      <c r="J21" s="38"/>
      <c r="K21" s="45"/>
      <c r="L21" s="46"/>
      <c r="M21" s="45">
        <v>6.5162037037037037E-3</v>
      </c>
      <c r="N21" s="45">
        <v>7.4768518518518526E-3</v>
      </c>
      <c r="O21" s="45">
        <f t="shared" si="6"/>
        <v>9.6064814814814884E-4</v>
      </c>
      <c r="P21" s="38"/>
      <c r="Q21" s="55" t="str">
        <f t="shared" si="7"/>
        <v>https://www.youtube.com/embed/RdBz1kIwrqo?start=563&amp;end=646&amp;autoplay=1</v>
      </c>
      <c r="R21" s="48"/>
      <c r="S21" s="48"/>
      <c r="T21" s="48"/>
      <c r="U21" s="52"/>
      <c r="V21" s="50"/>
      <c r="W21" s="51"/>
      <c r="X21" s="53"/>
    </row>
    <row r="22" spans="1:24">
      <c r="A22" s="38">
        <v>27</v>
      </c>
      <c r="B22" s="38" t="s">
        <v>220</v>
      </c>
      <c r="C22" s="38" t="s">
        <v>124</v>
      </c>
      <c r="D22" s="38" t="s">
        <v>266</v>
      </c>
      <c r="E22" s="40" t="s">
        <v>267</v>
      </c>
      <c r="F22" s="41" t="s">
        <v>269</v>
      </c>
      <c r="G22" s="42" t="s">
        <v>270</v>
      </c>
      <c r="H22" s="43"/>
      <c r="I22" s="44"/>
      <c r="J22" s="38">
        <f>15*1000</f>
        <v>15000</v>
      </c>
      <c r="K22" s="45">
        <v>3.2407407407407406E-3</v>
      </c>
      <c r="L22" s="46" t="s">
        <v>113</v>
      </c>
      <c r="M22" s="45"/>
      <c r="N22" s="45"/>
      <c r="O22" s="56"/>
      <c r="P22" s="38"/>
      <c r="Q22" s="38"/>
      <c r="R22" s="48"/>
      <c r="S22" s="48"/>
      <c r="T22" s="48"/>
      <c r="U22" s="52"/>
      <c r="V22" s="50"/>
      <c r="W22" s="51"/>
      <c r="X22" s="53" t="s">
        <v>272</v>
      </c>
    </row>
    <row r="23" spans="1:24">
      <c r="A23" s="38">
        <v>28</v>
      </c>
      <c r="B23" s="38" t="s">
        <v>220</v>
      </c>
      <c r="C23" s="38" t="s">
        <v>124</v>
      </c>
      <c r="D23" s="38" t="s">
        <v>273</v>
      </c>
      <c r="E23" s="40" t="s">
        <v>274</v>
      </c>
      <c r="F23" s="41" t="s">
        <v>275</v>
      </c>
      <c r="G23" s="42" t="s">
        <v>276</v>
      </c>
      <c r="H23" s="43"/>
      <c r="I23" s="44"/>
      <c r="J23" s="38">
        <f>9.3*1000</f>
        <v>9300</v>
      </c>
      <c r="K23" s="45">
        <v>8.0671296296296307E-3</v>
      </c>
      <c r="L23" s="46" t="s">
        <v>113</v>
      </c>
      <c r="M23" s="45"/>
      <c r="N23" s="45"/>
      <c r="O23" s="56"/>
      <c r="P23" s="38"/>
      <c r="Q23" s="38"/>
      <c r="R23" s="48"/>
      <c r="S23" s="48"/>
      <c r="T23" s="48"/>
      <c r="U23" s="52"/>
      <c r="V23" s="50"/>
      <c r="W23" s="51"/>
      <c r="X23" s="38"/>
    </row>
    <row r="24" spans="1:24">
      <c r="A24" s="38"/>
      <c r="B24" s="38" t="s">
        <v>220</v>
      </c>
      <c r="C24" s="38" t="s">
        <v>124</v>
      </c>
      <c r="D24" s="38"/>
      <c r="E24" s="40"/>
      <c r="F24" s="41"/>
      <c r="G24" s="42"/>
      <c r="H24" s="43" t="s">
        <v>380</v>
      </c>
      <c r="I24" s="44"/>
      <c r="J24" s="38"/>
      <c r="K24" s="45"/>
      <c r="L24" s="46"/>
      <c r="M24" s="45">
        <v>0</v>
      </c>
      <c r="N24" s="45">
        <v>8.7962962962962962E-4</v>
      </c>
      <c r="O24" s="45">
        <f t="shared" ref="O24:O27" si="8">N24-M24</f>
        <v>8.7962962962962962E-4</v>
      </c>
      <c r="P24" s="38"/>
      <c r="Q24" s="55" t="str">
        <f t="shared" ref="Q24:Q27" si="9">HYPERLINK(REPLACE($D$23,25,8,"embed/")&amp;"?start="&amp;MINUTE(M24)*60+SECOND(M24)&amp;"&amp;end="&amp;MINUTE(N24)*60+SECOND(N24)&amp;"&amp;autoplay=1")</f>
        <v>https://www.youtube.com/embed/N0PD3TuLvoo?start=0&amp;end=76&amp;autoplay=1</v>
      </c>
      <c r="R24" s="48"/>
      <c r="S24" s="48"/>
      <c r="T24" s="48"/>
      <c r="U24" s="52"/>
      <c r="V24" s="50"/>
      <c r="W24" s="51"/>
      <c r="X24" s="53"/>
    </row>
    <row r="25" spans="1:24">
      <c r="A25" s="38"/>
      <c r="B25" s="38" t="s">
        <v>220</v>
      </c>
      <c r="C25" s="38" t="s">
        <v>124</v>
      </c>
      <c r="D25" s="38"/>
      <c r="E25" s="40"/>
      <c r="F25" s="41"/>
      <c r="G25" s="42"/>
      <c r="H25" s="43" t="s">
        <v>385</v>
      </c>
      <c r="I25" s="44"/>
      <c r="J25" s="38"/>
      <c r="K25" s="45"/>
      <c r="L25" s="46"/>
      <c r="M25" s="45">
        <v>8.9120370370370362E-4</v>
      </c>
      <c r="N25" s="45">
        <v>2.1296296296296298E-3</v>
      </c>
      <c r="O25" s="45">
        <f t="shared" si="8"/>
        <v>1.2384259259259262E-3</v>
      </c>
      <c r="P25" s="38"/>
      <c r="Q25" s="55" t="str">
        <f t="shared" si="9"/>
        <v>https://www.youtube.com/embed/N0PD3TuLvoo?start=77&amp;end=184&amp;autoplay=1</v>
      </c>
      <c r="R25" s="48"/>
      <c r="S25" s="48"/>
      <c r="T25" s="48"/>
      <c r="U25" s="52"/>
      <c r="V25" s="50"/>
      <c r="W25" s="51"/>
      <c r="X25" s="53" t="s">
        <v>390</v>
      </c>
    </row>
    <row r="26" spans="1:24">
      <c r="A26" s="38"/>
      <c r="B26" s="38" t="s">
        <v>220</v>
      </c>
      <c r="C26" s="38" t="s">
        <v>124</v>
      </c>
      <c r="D26" s="38"/>
      <c r="E26" s="40"/>
      <c r="F26" s="41"/>
      <c r="G26" s="42"/>
      <c r="H26" s="43" t="s">
        <v>391</v>
      </c>
      <c r="I26" s="44"/>
      <c r="J26" s="38"/>
      <c r="K26" s="45"/>
      <c r="L26" s="46"/>
      <c r="M26" s="45">
        <v>2.2800925925925927E-3</v>
      </c>
      <c r="N26" s="45">
        <v>3.5185185185185185E-3</v>
      </c>
      <c r="O26" s="45">
        <f t="shared" si="8"/>
        <v>1.2384259259259258E-3</v>
      </c>
      <c r="P26" s="38"/>
      <c r="Q26" s="55" t="str">
        <f t="shared" si="9"/>
        <v>https://www.youtube.com/embed/N0PD3TuLvoo?start=197&amp;end=304&amp;autoplay=1</v>
      </c>
      <c r="R26" s="48"/>
      <c r="S26" s="48"/>
      <c r="T26" s="48"/>
      <c r="U26" s="52"/>
      <c r="V26" s="50"/>
      <c r="W26" s="51"/>
      <c r="X26" s="53" t="s">
        <v>390</v>
      </c>
    </row>
    <row r="27" spans="1:24">
      <c r="A27" s="38"/>
      <c r="B27" s="38" t="s">
        <v>220</v>
      </c>
      <c r="C27" s="38" t="s">
        <v>124</v>
      </c>
      <c r="D27" s="38"/>
      <c r="E27" s="40"/>
      <c r="F27" s="41"/>
      <c r="G27" s="42"/>
      <c r="H27" s="43" t="s">
        <v>397</v>
      </c>
      <c r="I27" s="44"/>
      <c r="J27" s="38"/>
      <c r="K27" s="45"/>
      <c r="L27" s="46"/>
      <c r="M27" s="45">
        <v>3.5185185185185185E-3</v>
      </c>
      <c r="N27" s="45">
        <v>6.0995370370370361E-3</v>
      </c>
      <c r="O27" s="45">
        <f t="shared" si="8"/>
        <v>2.5810185185185176E-3</v>
      </c>
      <c r="P27" s="38"/>
      <c r="Q27" s="55" t="str">
        <f t="shared" si="9"/>
        <v>https://www.youtube.com/embed/N0PD3TuLvoo?start=304&amp;end=527&amp;autoplay=1</v>
      </c>
      <c r="R27" s="48"/>
      <c r="S27" s="48"/>
      <c r="T27" s="48"/>
      <c r="U27" s="52"/>
      <c r="V27" s="50"/>
      <c r="W27" s="51"/>
      <c r="X27" s="53" t="s">
        <v>399</v>
      </c>
    </row>
    <row r="28" spans="1:24">
      <c r="A28" s="38">
        <v>29</v>
      </c>
      <c r="B28" s="38" t="s">
        <v>220</v>
      </c>
      <c r="C28" s="38" t="s">
        <v>124</v>
      </c>
      <c r="D28" s="38" t="s">
        <v>278</v>
      </c>
      <c r="E28" s="40" t="s">
        <v>279</v>
      </c>
      <c r="F28" s="41" t="s">
        <v>281</v>
      </c>
      <c r="G28" s="42" t="s">
        <v>282</v>
      </c>
      <c r="H28" s="43"/>
      <c r="I28" s="44"/>
      <c r="J28" s="38">
        <f>35*1000</f>
        <v>35000</v>
      </c>
      <c r="K28" s="45">
        <v>7.6851851851851847E-3</v>
      </c>
      <c r="L28" s="46" t="s">
        <v>113</v>
      </c>
      <c r="M28" s="45"/>
      <c r="N28" s="45"/>
      <c r="O28" s="38"/>
      <c r="P28" s="38"/>
      <c r="Q28" s="38"/>
      <c r="R28" s="48"/>
      <c r="S28" s="48"/>
      <c r="T28" s="48"/>
      <c r="U28" s="52"/>
      <c r="V28" s="50"/>
      <c r="W28" s="51"/>
      <c r="X28" s="38"/>
    </row>
    <row r="29" spans="1:24">
      <c r="A29" s="38"/>
      <c r="B29" s="38" t="s">
        <v>220</v>
      </c>
      <c r="C29" s="38" t="s">
        <v>124</v>
      </c>
      <c r="D29" s="38"/>
      <c r="E29" s="40"/>
      <c r="F29" s="41"/>
      <c r="G29" s="42"/>
      <c r="H29" s="43" t="s">
        <v>239</v>
      </c>
      <c r="I29" s="44"/>
      <c r="J29" s="38"/>
      <c r="K29" s="45"/>
      <c r="L29" s="46"/>
      <c r="M29" s="45">
        <v>0</v>
      </c>
      <c r="N29" s="45">
        <v>2.4421296296296296E-3</v>
      </c>
      <c r="O29" s="45">
        <f t="shared" ref="O29:O33" si="10">N29-M29</f>
        <v>2.4421296296296296E-3</v>
      </c>
      <c r="P29" s="38"/>
      <c r="Q29" s="55" t="str">
        <f t="shared" ref="Q29:Q33" si="11">HYPERLINK(REPLACE($D$28,25,8,"embed/")&amp;"?start="&amp;MINUTE(M29)*60+SECOND(M29)&amp;"&amp;end="&amp;MINUTE(N29)*60+SECOND(N29)&amp;"&amp;autoplay=1")</f>
        <v>https://www.youtube.com/embed/C3_6Ub1GnfA?start=0&amp;end=211&amp;autoplay=1</v>
      </c>
      <c r="R29" s="48"/>
      <c r="S29" s="48"/>
      <c r="T29" s="48"/>
      <c r="U29" s="52"/>
      <c r="V29" s="50"/>
      <c r="W29" s="51"/>
      <c r="X29" s="38"/>
    </row>
    <row r="30" spans="1:24">
      <c r="A30" s="38"/>
      <c r="B30" s="38" t="s">
        <v>220</v>
      </c>
      <c r="C30" s="38" t="s">
        <v>124</v>
      </c>
      <c r="D30" s="38"/>
      <c r="E30" s="40"/>
      <c r="F30" s="41"/>
      <c r="G30" s="42"/>
      <c r="H30" s="43" t="s">
        <v>359</v>
      </c>
      <c r="I30" s="44"/>
      <c r="J30" s="38"/>
      <c r="K30" s="45"/>
      <c r="L30" s="46"/>
      <c r="M30" s="45">
        <v>2.4421296296296296E-3</v>
      </c>
      <c r="N30" s="45">
        <v>4.9768518518518521E-3</v>
      </c>
      <c r="O30" s="45">
        <f t="shared" si="10"/>
        <v>2.5347222222222225E-3</v>
      </c>
      <c r="P30" s="38"/>
      <c r="Q30" s="55" t="str">
        <f t="shared" si="11"/>
        <v>https://www.youtube.com/embed/C3_6Ub1GnfA?start=211&amp;end=430&amp;autoplay=1</v>
      </c>
      <c r="R30" s="48"/>
      <c r="S30" s="48"/>
      <c r="T30" s="48"/>
      <c r="U30" s="52"/>
      <c r="V30" s="50"/>
      <c r="W30" s="51"/>
      <c r="X30" s="38"/>
    </row>
    <row r="31" spans="1:24">
      <c r="A31" s="38"/>
      <c r="B31" s="38" t="s">
        <v>220</v>
      </c>
      <c r="C31" s="38" t="s">
        <v>124</v>
      </c>
      <c r="D31" s="38"/>
      <c r="E31" s="40"/>
      <c r="F31" s="41"/>
      <c r="G31" s="42"/>
      <c r="H31" s="43" t="s">
        <v>410</v>
      </c>
      <c r="I31" s="44"/>
      <c r="J31" s="38"/>
      <c r="K31" s="45"/>
      <c r="L31" s="46"/>
      <c r="M31" s="45">
        <v>4.9884259259259265E-3</v>
      </c>
      <c r="N31" s="45">
        <v>6.0185185185185177E-3</v>
      </c>
      <c r="O31" s="45">
        <f t="shared" si="10"/>
        <v>1.0300925925925911E-3</v>
      </c>
      <c r="P31" s="38"/>
      <c r="Q31" s="55" t="str">
        <f t="shared" si="11"/>
        <v>https://www.youtube.com/embed/C3_6Ub1GnfA?start=431&amp;end=520&amp;autoplay=1</v>
      </c>
      <c r="R31" s="48"/>
      <c r="S31" s="48"/>
      <c r="T31" s="48"/>
      <c r="U31" s="52"/>
      <c r="V31" s="50"/>
      <c r="W31" s="51"/>
      <c r="X31" s="38"/>
    </row>
    <row r="32" spans="1:24">
      <c r="A32" s="38"/>
      <c r="B32" s="38" t="s">
        <v>220</v>
      </c>
      <c r="C32" s="38" t="s">
        <v>124</v>
      </c>
      <c r="D32" s="38"/>
      <c r="E32" s="40"/>
      <c r="F32" s="41"/>
      <c r="G32" s="42"/>
      <c r="H32" s="43" t="s">
        <v>413</v>
      </c>
      <c r="I32" s="44"/>
      <c r="J32" s="38"/>
      <c r="K32" s="45"/>
      <c r="L32" s="46"/>
      <c r="M32" s="45">
        <v>6.2268518518518515E-3</v>
      </c>
      <c r="N32" s="45">
        <v>6.8171296296296287E-3</v>
      </c>
      <c r="O32" s="45">
        <f t="shared" si="10"/>
        <v>5.9027777777777724E-4</v>
      </c>
      <c r="P32" s="38"/>
      <c r="Q32" s="55" t="str">
        <f t="shared" si="11"/>
        <v>https://www.youtube.com/embed/C3_6Ub1GnfA?start=538&amp;end=589&amp;autoplay=1</v>
      </c>
      <c r="R32" s="48"/>
      <c r="S32" s="48"/>
      <c r="T32" s="48"/>
      <c r="U32" s="52"/>
      <c r="V32" s="50"/>
      <c r="W32" s="51"/>
      <c r="X32" s="38"/>
    </row>
    <row r="33" spans="1:24">
      <c r="A33" s="38"/>
      <c r="B33" s="38" t="s">
        <v>220</v>
      </c>
      <c r="C33" s="38" t="s">
        <v>124</v>
      </c>
      <c r="D33" s="38"/>
      <c r="E33" s="40"/>
      <c r="F33" s="41"/>
      <c r="G33" s="42"/>
      <c r="H33" s="43" t="s">
        <v>280</v>
      </c>
      <c r="I33" s="44"/>
      <c r="J33" s="38"/>
      <c r="K33" s="45"/>
      <c r="L33" s="46"/>
      <c r="M33" s="45">
        <v>6.8171296296296287E-3</v>
      </c>
      <c r="N33" s="45">
        <v>7.6736111111111111E-3</v>
      </c>
      <c r="O33" s="45">
        <f t="shared" si="10"/>
        <v>8.5648148148148237E-4</v>
      </c>
      <c r="P33" s="38"/>
      <c r="Q33" s="55" t="str">
        <f t="shared" si="11"/>
        <v>https://www.youtube.com/embed/C3_6Ub1GnfA?start=589&amp;end=663&amp;autoplay=1</v>
      </c>
      <c r="R33" s="48"/>
      <c r="S33" s="48"/>
      <c r="T33" s="48"/>
      <c r="U33" s="52"/>
      <c r="V33" s="50"/>
      <c r="W33" s="51"/>
      <c r="X33" s="38"/>
    </row>
    <row r="34" spans="1:24">
      <c r="A34" s="38"/>
      <c r="B34" s="38"/>
      <c r="D34" s="38"/>
      <c r="E34" s="43"/>
      <c r="F34" s="38"/>
      <c r="G34" s="46"/>
      <c r="H34" s="38"/>
      <c r="I34" s="57"/>
      <c r="J34" s="38"/>
      <c r="K34" s="38"/>
      <c r="L34" s="46"/>
      <c r="M34" s="56"/>
      <c r="N34" s="56"/>
      <c r="O34" s="56"/>
      <c r="P34" s="56"/>
      <c r="Q34" s="56"/>
      <c r="R34" s="62"/>
      <c r="S34" s="62"/>
      <c r="X34" s="56"/>
    </row>
    <row r="35" spans="1:24">
      <c r="A35" s="38"/>
      <c r="B35" s="38"/>
      <c r="D35" s="38"/>
      <c r="E35" s="43"/>
      <c r="F35" s="38"/>
      <c r="G35" s="46"/>
      <c r="H35" s="38"/>
      <c r="I35" s="57"/>
      <c r="J35" s="38"/>
      <c r="K35" s="38"/>
      <c r="L35" s="46"/>
      <c r="M35" s="56"/>
      <c r="N35" s="56"/>
      <c r="O35" s="56"/>
      <c r="P35" s="56"/>
      <c r="Q35" s="56"/>
      <c r="R35" s="62"/>
      <c r="S35" s="62"/>
      <c r="X35" s="56"/>
    </row>
    <row r="36" spans="1:24">
      <c r="A36" s="38"/>
      <c r="B36" s="38"/>
      <c r="D36" s="38"/>
      <c r="E36" s="43"/>
      <c r="F36" s="38"/>
      <c r="G36" s="46"/>
      <c r="H36" s="38"/>
      <c r="I36" s="57"/>
      <c r="J36" s="38"/>
      <c r="K36" s="38"/>
      <c r="L36" s="46"/>
      <c r="M36" s="56"/>
      <c r="N36" s="56"/>
      <c r="O36" s="56"/>
      <c r="P36" s="56"/>
      <c r="Q36" s="56"/>
      <c r="R36" s="62"/>
      <c r="S36" s="62"/>
      <c r="X36" s="56"/>
    </row>
    <row r="37" spans="1:24">
      <c r="A37" s="38"/>
      <c r="B37" s="38"/>
      <c r="D37" s="38"/>
      <c r="E37" s="43"/>
      <c r="F37" s="38"/>
      <c r="G37" s="46"/>
      <c r="H37" s="38"/>
      <c r="I37" s="57"/>
      <c r="J37" s="38"/>
      <c r="K37" s="38"/>
      <c r="L37" s="46"/>
      <c r="M37" s="56"/>
      <c r="N37" s="56"/>
      <c r="O37" s="56"/>
      <c r="P37" s="56"/>
      <c r="Q37" s="56"/>
      <c r="R37" s="62"/>
      <c r="S37" s="62"/>
      <c r="X37" s="56"/>
    </row>
    <row r="38" spans="1:24">
      <c r="A38" s="38"/>
      <c r="B38" s="38"/>
      <c r="D38" s="38"/>
      <c r="E38" s="43"/>
      <c r="F38" s="38"/>
      <c r="G38" s="46"/>
      <c r="H38" s="38"/>
      <c r="I38" s="57"/>
      <c r="J38" s="38"/>
      <c r="K38" s="38"/>
      <c r="L38" s="46"/>
      <c r="M38" s="56"/>
      <c r="N38" s="56"/>
      <c r="O38" s="56"/>
      <c r="P38" s="56"/>
      <c r="Q38" s="56"/>
      <c r="R38" s="62"/>
      <c r="S38" s="62"/>
      <c r="X38" s="56"/>
    </row>
    <row r="39" spans="1:24">
      <c r="A39" s="38"/>
      <c r="B39" s="38"/>
      <c r="D39" s="38"/>
      <c r="E39" s="43"/>
      <c r="F39" s="38"/>
      <c r="G39" s="46"/>
      <c r="H39" s="38"/>
      <c r="I39" s="57"/>
      <c r="J39" s="38"/>
      <c r="K39" s="38"/>
      <c r="L39" s="46"/>
      <c r="M39" s="56"/>
      <c r="N39" s="56"/>
      <c r="O39" s="56"/>
      <c r="P39" s="56"/>
      <c r="Q39" s="56"/>
      <c r="R39" s="62"/>
      <c r="S39" s="62"/>
      <c r="X39" s="56"/>
    </row>
    <row r="40" spans="1:24">
      <c r="A40" s="38"/>
      <c r="B40" s="38"/>
      <c r="D40" s="38"/>
      <c r="E40" s="43"/>
      <c r="F40" s="38"/>
      <c r="G40" s="46"/>
      <c r="H40" s="38"/>
      <c r="I40" s="57"/>
      <c r="J40" s="38"/>
      <c r="K40" s="38"/>
      <c r="L40" s="46"/>
      <c r="M40" s="56"/>
      <c r="N40" s="56"/>
      <c r="O40" s="56"/>
      <c r="P40" s="56"/>
      <c r="Q40" s="56"/>
      <c r="R40" s="62"/>
      <c r="S40" s="62"/>
      <c r="X40" s="56"/>
    </row>
    <row r="41" spans="1:24">
      <c r="A41" s="38"/>
      <c r="B41" s="38"/>
      <c r="D41" s="38"/>
      <c r="E41" s="43"/>
      <c r="F41" s="38"/>
      <c r="G41" s="46"/>
      <c r="H41" s="38"/>
      <c r="I41" s="57"/>
      <c r="J41" s="38"/>
      <c r="K41" s="38"/>
      <c r="L41" s="46"/>
      <c r="M41" s="56"/>
      <c r="N41" s="56"/>
      <c r="O41" s="56"/>
      <c r="P41" s="56"/>
      <c r="Q41" s="56"/>
      <c r="R41" s="62"/>
      <c r="S41" s="62"/>
      <c r="X41" s="56"/>
    </row>
    <row r="42" spans="1:24">
      <c r="A42" s="38"/>
      <c r="B42" s="38"/>
      <c r="D42" s="38"/>
      <c r="E42" s="43"/>
      <c r="F42" s="38"/>
      <c r="G42" s="46"/>
      <c r="H42" s="38"/>
      <c r="I42" s="57"/>
      <c r="J42" s="38"/>
      <c r="K42" s="38"/>
      <c r="L42" s="46"/>
      <c r="M42" s="56"/>
      <c r="N42" s="56"/>
      <c r="O42" s="56"/>
      <c r="P42" s="56"/>
      <c r="Q42" s="56"/>
      <c r="R42" s="62"/>
      <c r="S42" s="62"/>
      <c r="X42" s="56"/>
    </row>
    <row r="43" spans="1:24">
      <c r="A43" s="38"/>
      <c r="B43" s="38"/>
      <c r="D43" s="38"/>
      <c r="E43" s="43"/>
      <c r="F43" s="38"/>
      <c r="G43" s="46"/>
      <c r="H43" s="38"/>
      <c r="I43" s="57"/>
      <c r="J43" s="38"/>
      <c r="K43" s="38"/>
      <c r="L43" s="46"/>
      <c r="M43" s="56"/>
      <c r="N43" s="56"/>
      <c r="O43" s="56"/>
      <c r="P43" s="56"/>
      <c r="Q43" s="56"/>
      <c r="R43" s="62"/>
      <c r="S43" s="62"/>
      <c r="X43" s="56"/>
    </row>
    <row r="44" spans="1:24">
      <c r="A44" s="38"/>
      <c r="B44" s="38"/>
      <c r="D44" s="38"/>
      <c r="E44" s="43"/>
      <c r="F44" s="38"/>
      <c r="G44" s="46"/>
      <c r="H44" s="38"/>
      <c r="I44" s="57"/>
      <c r="J44" s="38"/>
      <c r="K44" s="38"/>
      <c r="L44" s="46"/>
      <c r="M44" s="56"/>
      <c r="N44" s="56"/>
      <c r="O44" s="56"/>
      <c r="P44" s="56"/>
      <c r="Q44" s="56"/>
      <c r="R44" s="62"/>
      <c r="S44" s="62"/>
      <c r="X44" s="56"/>
    </row>
    <row r="45" spans="1:24">
      <c r="A45" s="38"/>
      <c r="B45" s="38"/>
      <c r="D45" s="38"/>
      <c r="E45" s="43"/>
      <c r="F45" s="38"/>
      <c r="G45" s="46"/>
      <c r="H45" s="38"/>
      <c r="I45" s="57"/>
      <c r="J45" s="38"/>
      <c r="K45" s="38"/>
      <c r="L45" s="46"/>
      <c r="M45" s="56"/>
      <c r="N45" s="56"/>
      <c r="O45" s="56"/>
      <c r="P45" s="56"/>
      <c r="Q45" s="56"/>
      <c r="R45" s="62"/>
      <c r="S45" s="62"/>
      <c r="X45" s="56"/>
    </row>
    <row r="46" spans="1:24">
      <c r="A46" s="38"/>
      <c r="B46" s="38"/>
      <c r="D46" s="38"/>
      <c r="E46" s="43"/>
      <c r="F46" s="38"/>
      <c r="G46" s="46"/>
      <c r="H46" s="38"/>
      <c r="I46" s="57"/>
      <c r="J46" s="38"/>
      <c r="K46" s="38"/>
      <c r="L46" s="46"/>
      <c r="M46" s="56"/>
      <c r="N46" s="56"/>
      <c r="O46" s="56"/>
      <c r="P46" s="56"/>
      <c r="Q46" s="56"/>
      <c r="R46" s="62"/>
      <c r="S46" s="62"/>
      <c r="X46" s="56"/>
    </row>
    <row r="47" spans="1:24">
      <c r="A47" s="38"/>
      <c r="B47" s="38"/>
      <c r="D47" s="38"/>
      <c r="E47" s="43"/>
      <c r="F47" s="38"/>
      <c r="G47" s="46"/>
      <c r="H47" s="38"/>
      <c r="I47" s="57"/>
      <c r="J47" s="38"/>
      <c r="K47" s="38"/>
      <c r="L47" s="46"/>
      <c r="M47" s="56"/>
      <c r="N47" s="56"/>
      <c r="O47" s="56"/>
      <c r="P47" s="56"/>
      <c r="Q47" s="56"/>
      <c r="R47" s="62"/>
      <c r="S47" s="62"/>
      <c r="X47" s="56"/>
    </row>
    <row r="48" spans="1:24">
      <c r="A48" s="38"/>
      <c r="B48" s="38"/>
      <c r="D48" s="38"/>
      <c r="E48" s="43"/>
      <c r="F48" s="38"/>
      <c r="G48" s="46"/>
      <c r="H48" s="38"/>
      <c r="I48" s="57"/>
      <c r="J48" s="38"/>
      <c r="K48" s="38"/>
      <c r="L48" s="46"/>
      <c r="M48" s="56"/>
      <c r="N48" s="56"/>
      <c r="O48" s="56"/>
      <c r="P48" s="56"/>
      <c r="Q48" s="56"/>
      <c r="R48" s="62"/>
      <c r="S48" s="62"/>
      <c r="X48" s="56"/>
    </row>
    <row r="49" spans="1:24">
      <c r="A49" s="38"/>
      <c r="B49" s="38"/>
      <c r="D49" s="38"/>
      <c r="E49" s="43"/>
      <c r="F49" s="38"/>
      <c r="G49" s="46"/>
      <c r="H49" s="38"/>
      <c r="I49" s="57"/>
      <c r="J49" s="38"/>
      <c r="K49" s="38"/>
      <c r="L49" s="46"/>
      <c r="M49" s="56"/>
      <c r="N49" s="56"/>
      <c r="O49" s="56"/>
      <c r="P49" s="56"/>
      <c r="Q49" s="56"/>
      <c r="R49" s="62"/>
      <c r="S49" s="62"/>
      <c r="X49" s="56"/>
    </row>
    <row r="50" spans="1:24">
      <c r="A50" s="38"/>
      <c r="B50" s="38"/>
      <c r="D50" s="38"/>
      <c r="E50" s="43"/>
      <c r="F50" s="38"/>
      <c r="G50" s="46"/>
      <c r="H50" s="38"/>
      <c r="I50" s="57"/>
      <c r="J50" s="38"/>
      <c r="K50" s="38"/>
      <c r="L50" s="46"/>
      <c r="M50" s="56"/>
      <c r="N50" s="56"/>
      <c r="O50" s="56"/>
      <c r="P50" s="56"/>
      <c r="Q50" s="56"/>
      <c r="R50" s="62"/>
      <c r="S50" s="62"/>
      <c r="X50" s="56"/>
    </row>
    <row r="51" spans="1:24">
      <c r="A51" s="38"/>
      <c r="B51" s="38"/>
      <c r="D51" s="38"/>
      <c r="E51" s="38"/>
      <c r="F51" s="38"/>
      <c r="G51" s="46"/>
      <c r="H51" s="38"/>
      <c r="I51" s="57"/>
      <c r="J51" s="38"/>
      <c r="K51" s="38"/>
      <c r="L51" s="46"/>
      <c r="M51" s="56"/>
      <c r="N51" s="56"/>
      <c r="O51" s="56"/>
      <c r="P51" s="56"/>
      <c r="Q51" s="56"/>
      <c r="R51" s="62"/>
      <c r="S51" s="62"/>
      <c r="X51" s="56"/>
    </row>
    <row r="52" spans="1:24">
      <c r="A52" s="38"/>
      <c r="B52" s="38"/>
      <c r="D52" s="38"/>
      <c r="E52" s="38"/>
      <c r="F52" s="38"/>
      <c r="G52" s="46"/>
      <c r="H52" s="38"/>
      <c r="I52" s="57"/>
      <c r="J52" s="38"/>
      <c r="K52" s="38"/>
      <c r="L52" s="46"/>
      <c r="M52" s="56"/>
      <c r="N52" s="56"/>
      <c r="O52" s="56"/>
      <c r="P52" s="56"/>
      <c r="Q52" s="56"/>
      <c r="R52" s="62"/>
      <c r="S52" s="62"/>
      <c r="X52" s="56"/>
    </row>
    <row r="53" spans="1:24">
      <c r="A53" s="38"/>
      <c r="B53" s="38"/>
      <c r="D53" s="38"/>
      <c r="E53" s="38"/>
      <c r="F53" s="38"/>
      <c r="G53" s="46"/>
      <c r="H53" s="38"/>
      <c r="I53" s="57"/>
      <c r="J53" s="38"/>
      <c r="K53" s="38"/>
      <c r="L53" s="46"/>
      <c r="M53" s="56"/>
      <c r="N53" s="56"/>
      <c r="O53" s="56"/>
      <c r="P53" s="56"/>
      <c r="Q53" s="56"/>
      <c r="R53" s="62"/>
      <c r="S53" s="62"/>
      <c r="X53" s="56"/>
    </row>
    <row r="54" spans="1:24">
      <c r="A54" s="38"/>
      <c r="B54" s="38"/>
      <c r="D54" s="38"/>
      <c r="E54" s="38"/>
      <c r="F54" s="38"/>
      <c r="G54" s="46"/>
      <c r="H54" s="38"/>
      <c r="I54" s="57"/>
      <c r="J54" s="38"/>
      <c r="K54" s="38"/>
      <c r="L54" s="46"/>
      <c r="M54" s="56"/>
      <c r="N54" s="56"/>
      <c r="O54" s="56"/>
      <c r="P54" s="56"/>
      <c r="Q54" s="56"/>
      <c r="R54" s="62"/>
      <c r="S54" s="62"/>
      <c r="X54" s="56"/>
    </row>
    <row r="55" spans="1:24">
      <c r="A55" s="38"/>
      <c r="B55" s="38"/>
      <c r="D55" s="38"/>
      <c r="E55" s="38"/>
      <c r="F55" s="38"/>
      <c r="G55" s="46"/>
      <c r="H55" s="38"/>
      <c r="I55" s="57"/>
      <c r="J55" s="38"/>
      <c r="K55" s="38"/>
      <c r="L55" s="46"/>
      <c r="M55" s="56"/>
      <c r="N55" s="56"/>
      <c r="O55" s="56"/>
      <c r="P55" s="56"/>
      <c r="Q55" s="56"/>
      <c r="R55" s="62"/>
      <c r="S55" s="62"/>
      <c r="X55" s="56"/>
    </row>
    <row r="56" spans="1:24">
      <c r="A56" s="38"/>
      <c r="B56" s="38"/>
      <c r="D56" s="38"/>
      <c r="E56" s="38"/>
      <c r="F56" s="38"/>
      <c r="G56" s="46"/>
      <c r="H56" s="38"/>
      <c r="I56" s="57"/>
      <c r="J56" s="38"/>
      <c r="K56" s="38"/>
      <c r="L56" s="46"/>
      <c r="M56" s="56"/>
      <c r="N56" s="56"/>
      <c r="O56" s="56"/>
      <c r="P56" s="56"/>
      <c r="Q56" s="56"/>
      <c r="R56" s="62"/>
      <c r="S56" s="62"/>
      <c r="X56" s="56"/>
    </row>
    <row r="57" spans="1:24">
      <c r="A57" s="38"/>
      <c r="B57" s="38"/>
      <c r="D57" s="38"/>
      <c r="E57" s="38"/>
      <c r="F57" s="38"/>
      <c r="G57" s="46"/>
      <c r="H57" s="38"/>
      <c r="I57" s="57"/>
      <c r="J57" s="38"/>
      <c r="K57" s="38"/>
      <c r="L57" s="46"/>
      <c r="M57" s="56"/>
      <c r="N57" s="56"/>
      <c r="O57" s="56"/>
      <c r="P57" s="56"/>
      <c r="Q57" s="56"/>
      <c r="R57" s="62"/>
      <c r="S57" s="62"/>
      <c r="X57" s="56"/>
    </row>
    <row r="58" spans="1:24">
      <c r="A58" s="38"/>
      <c r="B58" s="38"/>
      <c r="D58" s="38"/>
      <c r="E58" s="38"/>
      <c r="F58" s="38"/>
      <c r="G58" s="46"/>
      <c r="H58" s="38"/>
      <c r="I58" s="57"/>
      <c r="J58" s="38"/>
      <c r="K58" s="38"/>
      <c r="L58" s="46"/>
      <c r="M58" s="56"/>
      <c r="N58" s="56"/>
      <c r="O58" s="56"/>
      <c r="P58" s="56"/>
      <c r="Q58" s="56"/>
      <c r="R58" s="62"/>
      <c r="S58" s="62"/>
      <c r="X58" s="56"/>
    </row>
    <row r="59" spans="1:24">
      <c r="A59" s="38"/>
      <c r="B59" s="38"/>
      <c r="D59" s="38"/>
      <c r="E59" s="38"/>
      <c r="F59" s="38"/>
      <c r="G59" s="46"/>
      <c r="H59" s="38"/>
      <c r="I59" s="57"/>
      <c r="J59" s="38"/>
      <c r="K59" s="38"/>
      <c r="L59" s="46"/>
      <c r="M59" s="56"/>
      <c r="N59" s="56"/>
      <c r="O59" s="56"/>
      <c r="P59" s="56"/>
      <c r="Q59" s="56"/>
      <c r="R59" s="62"/>
      <c r="S59" s="62"/>
      <c r="X59" s="56"/>
    </row>
    <row r="60" spans="1:24">
      <c r="A60" s="38"/>
      <c r="B60" s="38"/>
      <c r="D60" s="38"/>
      <c r="E60" s="38"/>
      <c r="F60" s="38"/>
      <c r="G60" s="46"/>
      <c r="H60" s="38"/>
      <c r="I60" s="57"/>
      <c r="J60" s="38"/>
      <c r="K60" s="38"/>
      <c r="L60" s="46"/>
      <c r="M60" s="56"/>
      <c r="N60" s="56"/>
      <c r="O60" s="56"/>
      <c r="P60" s="56"/>
      <c r="Q60" s="56"/>
      <c r="R60" s="62"/>
      <c r="S60" s="62"/>
      <c r="X60" s="56"/>
    </row>
    <row r="61" spans="1:24">
      <c r="A61" s="38"/>
      <c r="B61" s="38"/>
      <c r="D61" s="38"/>
      <c r="E61" s="38"/>
      <c r="F61" s="38"/>
      <c r="G61" s="46"/>
      <c r="H61" s="38"/>
      <c r="I61" s="57"/>
      <c r="J61" s="38"/>
      <c r="K61" s="38"/>
      <c r="L61" s="46"/>
      <c r="M61" s="56"/>
      <c r="N61" s="56"/>
      <c r="O61" s="56"/>
      <c r="P61" s="56"/>
      <c r="Q61" s="56"/>
      <c r="R61" s="62"/>
      <c r="S61" s="62"/>
      <c r="X61" s="56"/>
    </row>
    <row r="62" spans="1:24">
      <c r="A62" s="38"/>
      <c r="B62" s="38"/>
      <c r="D62" s="38"/>
      <c r="E62" s="38"/>
      <c r="F62" s="38"/>
      <c r="G62" s="46"/>
      <c r="H62" s="38"/>
      <c r="I62" s="57"/>
      <c r="J62" s="38"/>
      <c r="K62" s="38"/>
      <c r="L62" s="46"/>
      <c r="M62" s="56"/>
      <c r="N62" s="56"/>
      <c r="O62" s="56"/>
      <c r="P62" s="56"/>
      <c r="Q62" s="56"/>
      <c r="R62" s="62"/>
      <c r="S62" s="62"/>
      <c r="X62" s="56"/>
    </row>
    <row r="63" spans="1:24">
      <c r="A63" s="38"/>
      <c r="B63" s="38"/>
      <c r="D63" s="38"/>
      <c r="E63" s="38"/>
      <c r="F63" s="38"/>
      <c r="G63" s="46"/>
      <c r="H63" s="38"/>
      <c r="I63" s="57"/>
      <c r="J63" s="38"/>
      <c r="K63" s="38"/>
      <c r="L63" s="46"/>
      <c r="M63" s="56"/>
      <c r="N63" s="56"/>
      <c r="O63" s="56"/>
      <c r="P63" s="56"/>
      <c r="Q63" s="56"/>
      <c r="R63" s="62"/>
      <c r="S63" s="62"/>
      <c r="X63" s="56"/>
    </row>
    <row r="64" spans="1:24">
      <c r="A64" s="38"/>
      <c r="B64" s="38"/>
      <c r="D64" s="38"/>
      <c r="E64" s="38"/>
      <c r="F64" s="38"/>
      <c r="G64" s="46"/>
      <c r="H64" s="38"/>
      <c r="I64" s="57"/>
      <c r="J64" s="38"/>
      <c r="K64" s="38"/>
      <c r="L64" s="46"/>
      <c r="M64" s="56"/>
      <c r="N64" s="56"/>
      <c r="O64" s="56"/>
      <c r="P64" s="56"/>
      <c r="Q64" s="56"/>
      <c r="R64" s="62"/>
      <c r="S64" s="62"/>
      <c r="X64" s="56"/>
    </row>
    <row r="65" spans="1:24">
      <c r="A65" s="38"/>
      <c r="B65" s="38"/>
      <c r="D65" s="38"/>
      <c r="E65" s="38"/>
      <c r="F65" s="38"/>
      <c r="G65" s="46"/>
      <c r="H65" s="38"/>
      <c r="I65" s="57"/>
      <c r="J65" s="38"/>
      <c r="K65" s="38"/>
      <c r="L65" s="46"/>
      <c r="M65" s="56"/>
      <c r="N65" s="56"/>
      <c r="O65" s="56"/>
      <c r="P65" s="56"/>
      <c r="Q65" s="56"/>
      <c r="R65" s="62"/>
      <c r="S65" s="62"/>
      <c r="X65" s="56"/>
    </row>
    <row r="66" spans="1:24">
      <c r="A66" s="38"/>
      <c r="B66" s="38"/>
      <c r="D66" s="38"/>
      <c r="E66" s="38"/>
      <c r="F66" s="38"/>
      <c r="G66" s="46"/>
      <c r="H66" s="38"/>
      <c r="I66" s="57"/>
      <c r="J66" s="38"/>
      <c r="K66" s="38"/>
      <c r="L66" s="46"/>
      <c r="M66" s="56"/>
      <c r="N66" s="56"/>
      <c r="O66" s="56"/>
      <c r="P66" s="56"/>
      <c r="Q66" s="56"/>
      <c r="R66" s="62"/>
      <c r="S66" s="62"/>
      <c r="X66" s="56"/>
    </row>
    <row r="67" spans="1:24">
      <c r="A67" s="38"/>
      <c r="B67" s="38"/>
      <c r="D67" s="38"/>
      <c r="E67" s="38"/>
      <c r="F67" s="38"/>
      <c r="G67" s="46"/>
      <c r="H67" s="38"/>
      <c r="I67" s="57"/>
      <c r="J67" s="38"/>
      <c r="K67" s="38"/>
      <c r="L67" s="46"/>
      <c r="M67" s="56"/>
      <c r="N67" s="56"/>
      <c r="O67" s="56"/>
      <c r="P67" s="56"/>
      <c r="Q67" s="56"/>
      <c r="R67" s="62"/>
      <c r="S67" s="62"/>
      <c r="X67" s="56"/>
    </row>
    <row r="68" spans="1:24">
      <c r="A68" s="38"/>
      <c r="B68" s="38"/>
      <c r="D68" s="38"/>
      <c r="E68" s="38"/>
      <c r="F68" s="38"/>
      <c r="G68" s="46"/>
      <c r="H68" s="38"/>
      <c r="I68" s="57"/>
      <c r="J68" s="38"/>
      <c r="K68" s="38"/>
      <c r="L68" s="46"/>
      <c r="M68" s="56"/>
      <c r="N68" s="56"/>
      <c r="O68" s="56"/>
      <c r="P68" s="56"/>
      <c r="Q68" s="56"/>
      <c r="R68" s="62"/>
      <c r="S68" s="62"/>
      <c r="X68" s="56"/>
    </row>
    <row r="69" spans="1:24">
      <c r="A69" s="38"/>
      <c r="B69" s="38"/>
      <c r="D69" s="38"/>
      <c r="E69" s="38"/>
      <c r="F69" s="38"/>
      <c r="G69" s="46"/>
      <c r="H69" s="38"/>
      <c r="I69" s="57"/>
      <c r="J69" s="38"/>
      <c r="K69" s="38"/>
      <c r="L69" s="46"/>
      <c r="M69" s="56"/>
      <c r="N69" s="56"/>
      <c r="O69" s="56"/>
      <c r="P69" s="56"/>
      <c r="Q69" s="56"/>
      <c r="R69" s="62"/>
      <c r="S69" s="62"/>
      <c r="X69" s="56"/>
    </row>
    <row r="70" spans="1:24">
      <c r="A70" s="38"/>
      <c r="B70" s="38"/>
      <c r="D70" s="38"/>
      <c r="E70" s="38"/>
      <c r="F70" s="38"/>
      <c r="G70" s="46"/>
      <c r="H70" s="38"/>
      <c r="I70" s="57"/>
      <c r="J70" s="38"/>
      <c r="K70" s="38"/>
      <c r="L70" s="46"/>
      <c r="M70" s="56"/>
      <c r="N70" s="56"/>
      <c r="O70" s="56"/>
      <c r="P70" s="56"/>
      <c r="Q70" s="56"/>
      <c r="R70" s="62"/>
      <c r="S70" s="62"/>
      <c r="X70" s="56"/>
    </row>
    <row r="71" spans="1:24">
      <c r="A71" s="38"/>
      <c r="B71" s="38"/>
      <c r="D71" s="38"/>
      <c r="E71" s="38"/>
      <c r="F71" s="38"/>
      <c r="G71" s="46"/>
      <c r="H71" s="38"/>
      <c r="I71" s="57"/>
      <c r="J71" s="38"/>
      <c r="K71" s="38"/>
      <c r="L71" s="46"/>
      <c r="M71" s="56"/>
      <c r="N71" s="56"/>
      <c r="O71" s="56"/>
      <c r="P71" s="56"/>
      <c r="Q71" s="56"/>
      <c r="R71" s="62"/>
      <c r="S71" s="62"/>
      <c r="X71" s="56"/>
    </row>
    <row r="72" spans="1:24">
      <c r="A72" s="38"/>
      <c r="B72" s="38"/>
      <c r="D72" s="38"/>
      <c r="E72" s="38"/>
      <c r="F72" s="38"/>
      <c r="G72" s="46"/>
      <c r="H72" s="38"/>
      <c r="I72" s="57"/>
      <c r="J72" s="38"/>
      <c r="K72" s="38"/>
      <c r="L72" s="46"/>
      <c r="M72" s="56"/>
      <c r="N72" s="56"/>
      <c r="O72" s="56"/>
      <c r="P72" s="56"/>
      <c r="Q72" s="56"/>
      <c r="R72" s="62"/>
      <c r="S72" s="62"/>
      <c r="X72" s="56"/>
    </row>
    <row r="73" spans="1:24">
      <c r="A73" s="38"/>
      <c r="B73" s="38"/>
      <c r="D73" s="38"/>
      <c r="E73" s="38"/>
      <c r="F73" s="38"/>
      <c r="G73" s="46"/>
      <c r="H73" s="38"/>
      <c r="I73" s="57"/>
      <c r="J73" s="38"/>
      <c r="K73" s="38"/>
      <c r="L73" s="46"/>
      <c r="M73" s="56"/>
      <c r="N73" s="56"/>
      <c r="O73" s="56"/>
      <c r="P73" s="56"/>
      <c r="Q73" s="56"/>
      <c r="R73" s="62"/>
      <c r="S73" s="62"/>
      <c r="X73" s="56"/>
    </row>
    <row r="74" spans="1:24">
      <c r="A74" s="38"/>
      <c r="B74" s="38"/>
      <c r="D74" s="38"/>
      <c r="E74" s="38"/>
      <c r="F74" s="38"/>
      <c r="G74" s="46"/>
      <c r="H74" s="38"/>
      <c r="I74" s="57"/>
      <c r="J74" s="38"/>
      <c r="K74" s="38"/>
      <c r="L74" s="46"/>
      <c r="M74" s="56"/>
      <c r="N74" s="56"/>
      <c r="O74" s="56"/>
      <c r="P74" s="56"/>
      <c r="Q74" s="56"/>
      <c r="R74" s="62"/>
      <c r="S74" s="62"/>
      <c r="X74" s="56"/>
    </row>
    <row r="75" spans="1:24">
      <c r="A75" s="38"/>
      <c r="B75" s="38"/>
      <c r="D75" s="38"/>
      <c r="E75" s="38"/>
      <c r="F75" s="38"/>
      <c r="G75" s="46"/>
      <c r="H75" s="38"/>
      <c r="I75" s="57"/>
      <c r="J75" s="38"/>
      <c r="K75" s="38"/>
      <c r="L75" s="46"/>
      <c r="M75" s="56"/>
      <c r="N75" s="56"/>
      <c r="O75" s="56"/>
      <c r="P75" s="56"/>
      <c r="Q75" s="56"/>
      <c r="R75" s="62"/>
      <c r="S75" s="62"/>
      <c r="X75" s="56"/>
    </row>
    <row r="76" spans="1:24">
      <c r="A76" s="38"/>
      <c r="B76" s="38"/>
      <c r="D76" s="38"/>
      <c r="E76" s="38"/>
      <c r="F76" s="38"/>
      <c r="G76" s="46"/>
      <c r="H76" s="38"/>
      <c r="I76" s="57"/>
      <c r="J76" s="38"/>
      <c r="K76" s="38"/>
      <c r="L76" s="46"/>
      <c r="M76" s="56"/>
      <c r="N76" s="56"/>
      <c r="O76" s="56"/>
      <c r="P76" s="56"/>
      <c r="Q76" s="56"/>
      <c r="R76" s="62"/>
      <c r="S76" s="62"/>
      <c r="X76" s="56"/>
    </row>
    <row r="77" spans="1:24">
      <c r="A77" s="38"/>
      <c r="B77" s="38"/>
      <c r="D77" s="38"/>
      <c r="E77" s="38"/>
      <c r="F77" s="38"/>
      <c r="G77" s="46"/>
      <c r="H77" s="38"/>
      <c r="I77" s="57"/>
      <c r="J77" s="38"/>
      <c r="K77" s="38"/>
      <c r="L77" s="46"/>
      <c r="M77" s="56"/>
      <c r="N77" s="56"/>
      <c r="O77" s="56"/>
      <c r="P77" s="56"/>
      <c r="Q77" s="56"/>
      <c r="R77" s="62"/>
      <c r="S77" s="62"/>
      <c r="X77" s="56"/>
    </row>
    <row r="78" spans="1:24">
      <c r="A78" s="38"/>
      <c r="B78" s="38"/>
      <c r="D78" s="38"/>
      <c r="E78" s="38"/>
      <c r="F78" s="38"/>
      <c r="G78" s="46"/>
      <c r="H78" s="38"/>
      <c r="I78" s="57"/>
      <c r="J78" s="38"/>
      <c r="K78" s="38"/>
      <c r="L78" s="46"/>
      <c r="M78" s="56"/>
      <c r="N78" s="56"/>
      <c r="O78" s="56"/>
      <c r="P78" s="56"/>
      <c r="Q78" s="56"/>
      <c r="R78" s="62"/>
      <c r="S78" s="62"/>
      <c r="X78" s="56"/>
    </row>
    <row r="79" spans="1:24">
      <c r="A79" s="38"/>
      <c r="B79" s="38"/>
      <c r="D79" s="38"/>
      <c r="E79" s="38"/>
      <c r="F79" s="38"/>
      <c r="G79" s="46"/>
      <c r="H79" s="38"/>
      <c r="I79" s="57"/>
      <c r="J79" s="38"/>
      <c r="K79" s="38"/>
      <c r="L79" s="46"/>
      <c r="M79" s="56"/>
      <c r="N79" s="56"/>
      <c r="O79" s="56"/>
      <c r="P79" s="56"/>
      <c r="Q79" s="56"/>
      <c r="R79" s="62"/>
      <c r="S79" s="62"/>
      <c r="X79" s="56"/>
    </row>
    <row r="80" spans="1:24">
      <c r="A80" s="38"/>
      <c r="B80" s="38"/>
      <c r="D80" s="38"/>
      <c r="E80" s="38"/>
      <c r="F80" s="38"/>
      <c r="G80" s="46"/>
      <c r="H80" s="38"/>
      <c r="I80" s="57"/>
      <c r="J80" s="38"/>
      <c r="K80" s="38"/>
      <c r="L80" s="46"/>
      <c r="M80" s="56"/>
      <c r="N80" s="56"/>
      <c r="O80" s="56"/>
      <c r="P80" s="56"/>
      <c r="Q80" s="56"/>
      <c r="R80" s="62"/>
      <c r="S80" s="62"/>
      <c r="X80" s="56"/>
    </row>
    <row r="81" spans="1:24">
      <c r="A81" s="38"/>
      <c r="B81" s="38"/>
      <c r="D81" s="38"/>
      <c r="E81" s="38"/>
      <c r="F81" s="38"/>
      <c r="G81" s="46"/>
      <c r="H81" s="38"/>
      <c r="I81" s="57"/>
      <c r="J81" s="38"/>
      <c r="K81" s="38"/>
      <c r="L81" s="46"/>
      <c r="M81" s="56"/>
      <c r="N81" s="56"/>
      <c r="O81" s="56"/>
      <c r="P81" s="56"/>
      <c r="Q81" s="56"/>
      <c r="R81" s="62"/>
      <c r="S81" s="62"/>
      <c r="X81" s="56"/>
    </row>
    <row r="82" spans="1:24">
      <c r="A82" s="38"/>
      <c r="B82" s="38"/>
      <c r="D82" s="38"/>
      <c r="E82" s="38"/>
      <c r="F82" s="38"/>
      <c r="G82" s="46"/>
      <c r="H82" s="38"/>
      <c r="I82" s="57"/>
      <c r="J82" s="38"/>
      <c r="K82" s="38"/>
      <c r="L82" s="46"/>
      <c r="M82" s="56"/>
      <c r="N82" s="56"/>
      <c r="O82" s="56"/>
      <c r="P82" s="56"/>
      <c r="Q82" s="56"/>
      <c r="R82" s="62"/>
      <c r="S82" s="62"/>
      <c r="X82" s="56"/>
    </row>
    <row r="83" spans="1:24">
      <c r="A83" s="38"/>
      <c r="B83" s="38"/>
      <c r="D83" s="38"/>
      <c r="E83" s="38"/>
      <c r="F83" s="38"/>
      <c r="G83" s="46"/>
      <c r="H83" s="38"/>
      <c r="I83" s="57"/>
      <c r="J83" s="38"/>
      <c r="K83" s="38"/>
      <c r="L83" s="46"/>
      <c r="M83" s="56"/>
      <c r="N83" s="56"/>
      <c r="O83" s="56"/>
      <c r="P83" s="56"/>
      <c r="Q83" s="56"/>
      <c r="R83" s="62"/>
      <c r="S83" s="62"/>
      <c r="X83" s="56"/>
    </row>
    <row r="84" spans="1:24">
      <c r="A84" s="38"/>
      <c r="B84" s="38"/>
      <c r="D84" s="38"/>
      <c r="E84" s="38"/>
      <c r="F84" s="38"/>
      <c r="G84" s="46"/>
      <c r="H84" s="38"/>
      <c r="I84" s="57"/>
      <c r="J84" s="38"/>
      <c r="K84" s="38"/>
      <c r="L84" s="46"/>
      <c r="M84" s="56"/>
      <c r="N84" s="56"/>
      <c r="O84" s="56"/>
      <c r="P84" s="56"/>
      <c r="Q84" s="56"/>
      <c r="R84" s="62"/>
      <c r="S84" s="62"/>
      <c r="X84" s="56"/>
    </row>
    <row r="85" spans="1:24">
      <c r="A85" s="38"/>
      <c r="B85" s="38"/>
      <c r="D85" s="38"/>
      <c r="E85" s="38"/>
      <c r="F85" s="38"/>
      <c r="G85" s="46"/>
      <c r="H85" s="38"/>
      <c r="I85" s="57"/>
      <c r="J85" s="38"/>
      <c r="K85" s="38"/>
      <c r="L85" s="46"/>
      <c r="M85" s="56"/>
      <c r="N85" s="56"/>
      <c r="O85" s="56"/>
      <c r="P85" s="56"/>
      <c r="Q85" s="56"/>
      <c r="R85" s="62"/>
      <c r="S85" s="62"/>
      <c r="X85" s="56"/>
    </row>
    <row r="86" spans="1:24">
      <c r="A86" s="38"/>
      <c r="B86" s="38"/>
      <c r="D86" s="38"/>
      <c r="E86" s="38"/>
      <c r="F86" s="38"/>
      <c r="G86" s="46"/>
      <c r="H86" s="38"/>
      <c r="I86" s="57"/>
      <c r="J86" s="38"/>
      <c r="K86" s="38"/>
      <c r="L86" s="46"/>
      <c r="M86" s="56"/>
      <c r="N86" s="56"/>
      <c r="O86" s="56"/>
      <c r="P86" s="56"/>
      <c r="Q86" s="56"/>
      <c r="R86" s="62"/>
      <c r="S86" s="62"/>
      <c r="X86" s="56"/>
    </row>
    <row r="87" spans="1:24">
      <c r="A87" s="38"/>
      <c r="B87" s="38"/>
      <c r="D87" s="38"/>
      <c r="E87" s="38"/>
      <c r="F87" s="38"/>
      <c r="G87" s="46"/>
      <c r="H87" s="38"/>
      <c r="I87" s="57"/>
      <c r="J87" s="38"/>
      <c r="K87" s="38"/>
      <c r="L87" s="46"/>
      <c r="M87" s="56"/>
      <c r="N87" s="56"/>
      <c r="O87" s="56"/>
      <c r="P87" s="56"/>
      <c r="Q87" s="56"/>
      <c r="R87" s="62"/>
      <c r="S87" s="62"/>
      <c r="X87" s="56"/>
    </row>
    <row r="88" spans="1:24">
      <c r="A88" s="38"/>
      <c r="B88" s="38"/>
      <c r="D88" s="38"/>
      <c r="E88" s="38"/>
      <c r="F88" s="38"/>
      <c r="G88" s="46"/>
      <c r="H88" s="38"/>
      <c r="I88" s="57"/>
      <c r="J88" s="38"/>
      <c r="K88" s="38"/>
      <c r="L88" s="46"/>
      <c r="M88" s="56"/>
      <c r="N88" s="56"/>
      <c r="O88" s="56"/>
      <c r="P88" s="56"/>
      <c r="Q88" s="56"/>
      <c r="R88" s="62"/>
      <c r="S88" s="62"/>
      <c r="X88" s="56"/>
    </row>
    <row r="89" spans="1:24">
      <c r="A89" s="38"/>
      <c r="B89" s="38"/>
      <c r="D89" s="38"/>
      <c r="E89" s="38"/>
      <c r="F89" s="38"/>
      <c r="G89" s="46"/>
      <c r="H89" s="38"/>
      <c r="I89" s="57"/>
      <c r="J89" s="38"/>
      <c r="K89" s="38"/>
      <c r="L89" s="46"/>
      <c r="M89" s="56"/>
      <c r="N89" s="56"/>
      <c r="O89" s="56"/>
      <c r="P89" s="56"/>
      <c r="Q89" s="56"/>
      <c r="R89" s="62"/>
      <c r="S89" s="62"/>
      <c r="X89" s="56"/>
    </row>
    <row r="90" spans="1:24">
      <c r="A90" s="38"/>
      <c r="B90" s="38"/>
      <c r="D90" s="38"/>
      <c r="E90" s="38"/>
      <c r="F90" s="38"/>
      <c r="G90" s="46"/>
      <c r="H90" s="38"/>
      <c r="I90" s="57"/>
      <c r="J90" s="38"/>
      <c r="K90" s="38"/>
      <c r="L90" s="46"/>
      <c r="M90" s="56"/>
      <c r="N90" s="56"/>
      <c r="O90" s="56"/>
      <c r="P90" s="56"/>
      <c r="Q90" s="56"/>
      <c r="R90" s="62"/>
      <c r="S90" s="62"/>
      <c r="X90" s="56"/>
    </row>
    <row r="91" spans="1:24">
      <c r="A91" s="38"/>
      <c r="B91" s="38"/>
      <c r="D91" s="38"/>
      <c r="E91" s="38"/>
      <c r="F91" s="38"/>
      <c r="G91" s="46"/>
      <c r="H91" s="38"/>
      <c r="I91" s="57"/>
      <c r="J91" s="38"/>
      <c r="K91" s="38"/>
      <c r="L91" s="46"/>
      <c r="M91" s="56"/>
      <c r="N91" s="56"/>
      <c r="O91" s="56"/>
      <c r="P91" s="56"/>
      <c r="Q91" s="56"/>
      <c r="R91" s="62"/>
      <c r="S91" s="62"/>
      <c r="X91" s="56"/>
    </row>
    <row r="92" spans="1:24">
      <c r="A92" s="38"/>
      <c r="B92" s="38"/>
      <c r="D92" s="38"/>
      <c r="E92" s="38"/>
      <c r="F92" s="38"/>
      <c r="G92" s="46"/>
      <c r="H92" s="38"/>
      <c r="I92" s="57"/>
      <c r="J92" s="38"/>
      <c r="K92" s="38"/>
      <c r="L92" s="46"/>
      <c r="M92" s="56"/>
      <c r="N92" s="56"/>
      <c r="O92" s="56"/>
      <c r="P92" s="56"/>
      <c r="Q92" s="56"/>
      <c r="R92" s="62"/>
      <c r="S92" s="62"/>
      <c r="X92" s="56"/>
    </row>
    <row r="93" spans="1:24">
      <c r="A93" s="38"/>
      <c r="B93" s="38"/>
      <c r="D93" s="38"/>
      <c r="E93" s="38"/>
      <c r="F93" s="38"/>
      <c r="G93" s="46"/>
      <c r="H93" s="38"/>
      <c r="I93" s="57"/>
      <c r="J93" s="38"/>
      <c r="K93" s="38"/>
      <c r="L93" s="46"/>
      <c r="M93" s="56"/>
      <c r="N93" s="56"/>
      <c r="O93" s="56"/>
      <c r="P93" s="56"/>
      <c r="Q93" s="56"/>
      <c r="R93" s="62"/>
      <c r="S93" s="62"/>
      <c r="X93" s="56"/>
    </row>
    <row r="94" spans="1:24">
      <c r="A94" s="38"/>
      <c r="B94" s="38"/>
      <c r="D94" s="38"/>
      <c r="E94" s="38"/>
      <c r="F94" s="38"/>
      <c r="G94" s="46"/>
      <c r="H94" s="38"/>
      <c r="I94" s="57"/>
      <c r="J94" s="38"/>
      <c r="K94" s="38"/>
      <c r="L94" s="46"/>
      <c r="M94" s="56"/>
      <c r="N94" s="56"/>
      <c r="O94" s="56"/>
      <c r="P94" s="56"/>
      <c r="Q94" s="56"/>
      <c r="R94" s="62"/>
      <c r="S94" s="62"/>
      <c r="X94" s="56"/>
    </row>
    <row r="95" spans="1:24">
      <c r="A95" s="38"/>
      <c r="B95" s="38"/>
      <c r="D95" s="38"/>
      <c r="E95" s="38"/>
      <c r="F95" s="38"/>
      <c r="G95" s="46"/>
      <c r="H95" s="38"/>
      <c r="I95" s="57"/>
      <c r="J95" s="38"/>
      <c r="K95" s="38"/>
      <c r="L95" s="46"/>
      <c r="M95" s="56"/>
      <c r="N95" s="56"/>
      <c r="O95" s="56"/>
      <c r="P95" s="56"/>
      <c r="Q95" s="56"/>
      <c r="R95" s="62"/>
      <c r="S95" s="62"/>
      <c r="X95" s="56"/>
    </row>
    <row r="96" spans="1:24">
      <c r="A96" s="38"/>
      <c r="B96" s="38"/>
      <c r="D96" s="38"/>
      <c r="E96" s="38"/>
      <c r="F96" s="38"/>
      <c r="G96" s="46"/>
      <c r="H96" s="38"/>
      <c r="I96" s="57"/>
      <c r="J96" s="38"/>
      <c r="K96" s="38"/>
      <c r="L96" s="46"/>
      <c r="M96" s="56"/>
      <c r="N96" s="56"/>
      <c r="O96" s="56"/>
      <c r="P96" s="56"/>
      <c r="Q96" s="56"/>
      <c r="R96" s="62"/>
      <c r="S96" s="62"/>
      <c r="X96" s="56"/>
    </row>
    <row r="97" spans="1:24">
      <c r="A97" s="38"/>
      <c r="B97" s="38"/>
      <c r="D97" s="38"/>
      <c r="E97" s="38"/>
      <c r="F97" s="38"/>
      <c r="G97" s="46"/>
      <c r="H97" s="38"/>
      <c r="I97" s="57"/>
      <c r="J97" s="38"/>
      <c r="K97" s="38"/>
      <c r="L97" s="46"/>
      <c r="M97" s="56"/>
      <c r="N97" s="56"/>
      <c r="O97" s="56"/>
      <c r="P97" s="56"/>
      <c r="Q97" s="56"/>
      <c r="R97" s="62"/>
      <c r="S97" s="62"/>
      <c r="X97" s="56"/>
    </row>
    <row r="98" spans="1:24">
      <c r="A98" s="38"/>
      <c r="B98" s="38"/>
      <c r="D98" s="38"/>
      <c r="E98" s="38"/>
      <c r="F98" s="38"/>
      <c r="G98" s="46"/>
      <c r="H98" s="38"/>
      <c r="I98" s="57"/>
      <c r="J98" s="38"/>
      <c r="K98" s="38"/>
      <c r="L98" s="46"/>
      <c r="M98" s="56"/>
      <c r="N98" s="56"/>
      <c r="O98" s="56"/>
      <c r="P98" s="56"/>
      <c r="Q98" s="56"/>
      <c r="R98" s="62"/>
      <c r="S98" s="62"/>
      <c r="X98" s="56"/>
    </row>
    <row r="99" spans="1:24">
      <c r="A99" s="38"/>
      <c r="B99" s="38"/>
      <c r="D99" s="38"/>
      <c r="E99" s="38"/>
      <c r="F99" s="38"/>
      <c r="G99" s="46"/>
      <c r="H99" s="38"/>
      <c r="I99" s="57"/>
      <c r="J99" s="38"/>
      <c r="K99" s="38"/>
      <c r="L99" s="46"/>
      <c r="M99" s="56"/>
      <c r="N99" s="56"/>
      <c r="O99" s="56"/>
      <c r="P99" s="56"/>
      <c r="Q99" s="56"/>
      <c r="R99" s="62"/>
      <c r="S99" s="62"/>
      <c r="X99" s="56"/>
    </row>
    <row r="100" spans="1:24">
      <c r="A100" s="38"/>
      <c r="B100" s="38"/>
      <c r="D100" s="38"/>
      <c r="E100" s="38"/>
      <c r="F100" s="38"/>
      <c r="G100" s="46"/>
      <c r="H100" s="38"/>
      <c r="I100" s="57"/>
      <c r="J100" s="38"/>
      <c r="K100" s="38"/>
      <c r="L100" s="46"/>
      <c r="M100" s="56"/>
      <c r="N100" s="56"/>
      <c r="O100" s="56"/>
      <c r="P100" s="56"/>
      <c r="Q100" s="56"/>
      <c r="R100" s="62"/>
      <c r="S100" s="62"/>
      <c r="X100" s="56"/>
    </row>
    <row r="101" spans="1:24">
      <c r="A101" s="38"/>
      <c r="B101" s="38"/>
      <c r="D101" s="38"/>
      <c r="E101" s="38"/>
      <c r="F101" s="38"/>
      <c r="G101" s="46"/>
      <c r="H101" s="38"/>
      <c r="I101" s="57"/>
      <c r="J101" s="38"/>
      <c r="K101" s="38"/>
      <c r="L101" s="46"/>
      <c r="M101" s="56"/>
      <c r="N101" s="56"/>
      <c r="O101" s="56"/>
      <c r="P101" s="56"/>
      <c r="Q101" s="56"/>
      <c r="R101" s="62"/>
      <c r="S101" s="62"/>
      <c r="X101" s="56"/>
    </row>
    <row r="102" spans="1:24">
      <c r="A102" s="38"/>
      <c r="B102" s="38"/>
      <c r="D102" s="38"/>
      <c r="E102" s="38"/>
      <c r="F102" s="38"/>
      <c r="G102" s="46"/>
      <c r="H102" s="38"/>
      <c r="I102" s="57"/>
      <c r="J102" s="38"/>
      <c r="K102" s="38"/>
      <c r="L102" s="46"/>
      <c r="M102" s="56"/>
      <c r="N102" s="56"/>
      <c r="O102" s="56"/>
      <c r="P102" s="56"/>
      <c r="Q102" s="56"/>
      <c r="R102" s="62"/>
      <c r="S102" s="62"/>
      <c r="X102" s="56"/>
    </row>
    <row r="103" spans="1:24">
      <c r="A103" s="38"/>
      <c r="B103" s="38"/>
      <c r="D103" s="38"/>
      <c r="E103" s="38"/>
      <c r="F103" s="38"/>
      <c r="G103" s="46"/>
      <c r="H103" s="38"/>
      <c r="I103" s="57"/>
      <c r="J103" s="38"/>
      <c r="K103" s="38"/>
      <c r="L103" s="46"/>
      <c r="M103" s="56"/>
      <c r="N103" s="56"/>
      <c r="O103" s="56"/>
      <c r="P103" s="56"/>
      <c r="Q103" s="56"/>
      <c r="R103" s="62"/>
      <c r="S103" s="62"/>
      <c r="X103" s="56"/>
    </row>
    <row r="104" spans="1:24">
      <c r="A104" s="38"/>
      <c r="B104" s="38"/>
      <c r="D104" s="38"/>
      <c r="E104" s="38"/>
      <c r="F104" s="38"/>
      <c r="G104" s="46"/>
      <c r="H104" s="38"/>
      <c r="I104" s="57"/>
      <c r="J104" s="38"/>
      <c r="K104" s="38"/>
      <c r="L104" s="46"/>
      <c r="M104" s="56"/>
      <c r="N104" s="56"/>
      <c r="O104" s="56"/>
      <c r="P104" s="56"/>
      <c r="Q104" s="56"/>
      <c r="R104" s="62"/>
      <c r="S104" s="62"/>
      <c r="X104" s="56"/>
    </row>
    <row r="105" spans="1:24">
      <c r="A105" s="38"/>
      <c r="B105" s="38"/>
      <c r="D105" s="38"/>
      <c r="E105" s="38"/>
      <c r="F105" s="38"/>
      <c r="G105" s="46"/>
      <c r="H105" s="38"/>
      <c r="I105" s="57"/>
      <c r="J105" s="38"/>
      <c r="K105" s="38"/>
      <c r="L105" s="46"/>
      <c r="M105" s="56"/>
      <c r="N105" s="56"/>
      <c r="O105" s="56"/>
      <c r="P105" s="56"/>
      <c r="Q105" s="56"/>
      <c r="R105" s="62"/>
      <c r="S105" s="62"/>
      <c r="X105" s="56"/>
    </row>
    <row r="106" spans="1:24">
      <c r="A106" s="38"/>
      <c r="B106" s="38"/>
      <c r="D106" s="38"/>
      <c r="E106" s="38"/>
      <c r="F106" s="38"/>
      <c r="G106" s="46"/>
      <c r="H106" s="38"/>
      <c r="I106" s="57"/>
      <c r="J106" s="38"/>
      <c r="K106" s="38"/>
      <c r="L106" s="46"/>
      <c r="M106" s="56"/>
      <c r="N106" s="56"/>
      <c r="O106" s="56"/>
      <c r="P106" s="56"/>
      <c r="Q106" s="56"/>
      <c r="R106" s="62"/>
      <c r="S106" s="62"/>
      <c r="X106" s="56"/>
    </row>
    <row r="107" spans="1:24">
      <c r="A107" s="38"/>
      <c r="B107" s="38"/>
      <c r="D107" s="38"/>
      <c r="E107" s="38"/>
      <c r="F107" s="38"/>
      <c r="G107" s="46"/>
      <c r="H107" s="38"/>
      <c r="I107" s="57"/>
      <c r="J107" s="38"/>
      <c r="K107" s="38"/>
      <c r="L107" s="46"/>
      <c r="M107" s="56"/>
      <c r="N107" s="56"/>
      <c r="O107" s="56"/>
      <c r="P107" s="56"/>
      <c r="Q107" s="56"/>
      <c r="R107" s="62"/>
      <c r="S107" s="62"/>
      <c r="X107" s="56"/>
    </row>
    <row r="108" spans="1:24">
      <c r="A108" s="38"/>
      <c r="B108" s="38"/>
      <c r="D108" s="38"/>
      <c r="E108" s="38"/>
      <c r="F108" s="38"/>
      <c r="G108" s="46"/>
      <c r="H108" s="38"/>
      <c r="I108" s="57"/>
      <c r="J108" s="38"/>
      <c r="K108" s="38"/>
      <c r="L108" s="46"/>
      <c r="M108" s="56"/>
      <c r="N108" s="56"/>
      <c r="O108" s="56"/>
      <c r="P108" s="56"/>
      <c r="Q108" s="56"/>
      <c r="R108" s="62"/>
      <c r="S108" s="62"/>
      <c r="X108" s="56"/>
    </row>
    <row r="109" spans="1:24">
      <c r="A109" s="38"/>
      <c r="B109" s="38"/>
      <c r="D109" s="38"/>
      <c r="E109" s="38"/>
      <c r="F109" s="38"/>
      <c r="G109" s="46"/>
      <c r="H109" s="38"/>
      <c r="I109" s="57"/>
      <c r="J109" s="38"/>
      <c r="K109" s="38"/>
      <c r="L109" s="46"/>
      <c r="M109" s="56"/>
      <c r="N109" s="56"/>
      <c r="O109" s="56"/>
      <c r="P109" s="56"/>
      <c r="Q109" s="56"/>
      <c r="R109" s="62"/>
      <c r="S109" s="62"/>
      <c r="X109" s="56"/>
    </row>
    <row r="110" spans="1:24">
      <c r="A110" s="38"/>
      <c r="B110" s="38"/>
      <c r="D110" s="38"/>
      <c r="E110" s="38"/>
      <c r="F110" s="38"/>
      <c r="G110" s="46"/>
      <c r="H110" s="38"/>
      <c r="I110" s="57"/>
      <c r="J110" s="38"/>
      <c r="K110" s="38"/>
      <c r="L110" s="46"/>
      <c r="M110" s="56"/>
      <c r="N110" s="56"/>
      <c r="O110" s="56"/>
      <c r="P110" s="56"/>
      <c r="Q110" s="56"/>
      <c r="R110" s="62"/>
      <c r="S110" s="62"/>
      <c r="X110" s="56"/>
    </row>
    <row r="111" spans="1:24">
      <c r="A111" s="38"/>
      <c r="B111" s="38"/>
      <c r="D111" s="38"/>
      <c r="E111" s="38"/>
      <c r="F111" s="38"/>
      <c r="G111" s="46"/>
      <c r="H111" s="38"/>
      <c r="I111" s="57"/>
      <c r="J111" s="38"/>
      <c r="K111" s="38"/>
      <c r="L111" s="46"/>
      <c r="M111" s="56"/>
      <c r="N111" s="56"/>
      <c r="O111" s="56"/>
      <c r="P111" s="56"/>
      <c r="Q111" s="56"/>
      <c r="R111" s="62"/>
      <c r="S111" s="62"/>
      <c r="X111" s="56"/>
    </row>
    <row r="112" spans="1:24">
      <c r="A112" s="38"/>
      <c r="B112" s="38"/>
      <c r="D112" s="38"/>
      <c r="E112" s="38"/>
      <c r="F112" s="38"/>
      <c r="G112" s="46"/>
      <c r="H112" s="38"/>
      <c r="I112" s="57"/>
      <c r="J112" s="38"/>
      <c r="K112" s="38"/>
      <c r="L112" s="46"/>
      <c r="M112" s="56"/>
      <c r="N112" s="56"/>
      <c r="O112" s="56"/>
      <c r="P112" s="56"/>
      <c r="Q112" s="56"/>
      <c r="R112" s="62"/>
      <c r="S112" s="62"/>
      <c r="X112" s="56"/>
    </row>
    <row r="113" spans="1:24">
      <c r="A113" s="38"/>
      <c r="B113" s="38"/>
      <c r="D113" s="38"/>
      <c r="E113" s="38"/>
      <c r="F113" s="38"/>
      <c r="G113" s="46"/>
      <c r="H113" s="38"/>
      <c r="I113" s="57"/>
      <c r="J113" s="38"/>
      <c r="K113" s="38"/>
      <c r="L113" s="46"/>
      <c r="M113" s="56"/>
      <c r="N113" s="56"/>
      <c r="O113" s="56"/>
      <c r="P113" s="56"/>
      <c r="Q113" s="56"/>
      <c r="R113" s="62"/>
      <c r="S113" s="62"/>
      <c r="X113" s="56"/>
    </row>
    <row r="114" spans="1:24">
      <c r="A114" s="38"/>
      <c r="B114" s="38"/>
      <c r="D114" s="38"/>
      <c r="E114" s="38"/>
      <c r="F114" s="38"/>
      <c r="G114" s="46"/>
      <c r="H114" s="38"/>
      <c r="I114" s="57"/>
      <c r="J114" s="38"/>
      <c r="K114" s="38"/>
      <c r="L114" s="46"/>
      <c r="M114" s="56"/>
      <c r="N114" s="56"/>
      <c r="O114" s="56"/>
      <c r="P114" s="56"/>
      <c r="Q114" s="56"/>
      <c r="R114" s="62"/>
      <c r="S114" s="62"/>
      <c r="X114" s="56"/>
    </row>
    <row r="115" spans="1:24">
      <c r="A115" s="38"/>
      <c r="B115" s="38"/>
      <c r="D115" s="38"/>
      <c r="E115" s="38"/>
      <c r="F115" s="38"/>
      <c r="G115" s="46"/>
      <c r="H115" s="38"/>
      <c r="I115" s="57"/>
      <c r="J115" s="38"/>
      <c r="K115" s="38"/>
      <c r="L115" s="46"/>
      <c r="M115" s="56"/>
      <c r="N115" s="56"/>
      <c r="O115" s="56"/>
      <c r="P115" s="56"/>
      <c r="Q115" s="56"/>
      <c r="R115" s="62"/>
      <c r="S115" s="62"/>
      <c r="X115" s="56"/>
    </row>
    <row r="116" spans="1:24">
      <c r="A116" s="38"/>
      <c r="B116" s="38"/>
      <c r="D116" s="38"/>
      <c r="E116" s="38"/>
      <c r="F116" s="38"/>
      <c r="G116" s="46"/>
      <c r="H116" s="38"/>
      <c r="I116" s="57"/>
      <c r="J116" s="38"/>
      <c r="K116" s="38"/>
      <c r="L116" s="46"/>
      <c r="M116" s="56"/>
      <c r="N116" s="56"/>
      <c r="O116" s="56"/>
      <c r="P116" s="56"/>
      <c r="Q116" s="56"/>
      <c r="R116" s="62"/>
      <c r="S116" s="62"/>
      <c r="X116" s="56"/>
    </row>
    <row r="117" spans="1:24">
      <c r="A117" s="38"/>
      <c r="B117" s="38"/>
      <c r="D117" s="38"/>
      <c r="E117" s="38"/>
      <c r="F117" s="38"/>
      <c r="G117" s="46"/>
      <c r="H117" s="38"/>
      <c r="I117" s="57"/>
      <c r="J117" s="38"/>
      <c r="K117" s="38"/>
      <c r="L117" s="46"/>
      <c r="M117" s="56"/>
      <c r="N117" s="56"/>
      <c r="O117" s="56"/>
      <c r="P117" s="56"/>
      <c r="Q117" s="56"/>
      <c r="R117" s="62"/>
      <c r="S117" s="62"/>
      <c r="X117" s="56"/>
    </row>
    <row r="118" spans="1:24">
      <c r="A118" s="38"/>
      <c r="B118" s="38"/>
      <c r="D118" s="38"/>
      <c r="E118" s="38"/>
      <c r="F118" s="38"/>
      <c r="G118" s="46"/>
      <c r="H118" s="38"/>
      <c r="I118" s="57"/>
      <c r="J118" s="38"/>
      <c r="K118" s="38"/>
      <c r="L118" s="46"/>
      <c r="M118" s="56"/>
      <c r="N118" s="56"/>
      <c r="O118" s="56"/>
      <c r="P118" s="56"/>
      <c r="Q118" s="56"/>
      <c r="R118" s="62"/>
      <c r="S118" s="62"/>
      <c r="X118" s="56"/>
    </row>
    <row r="119" spans="1:24">
      <c r="A119" s="38"/>
      <c r="B119" s="38"/>
      <c r="D119" s="38"/>
      <c r="E119" s="38"/>
      <c r="F119" s="38"/>
      <c r="G119" s="46"/>
      <c r="H119" s="38"/>
      <c r="I119" s="57"/>
      <c r="J119" s="38"/>
      <c r="K119" s="38"/>
      <c r="L119" s="46"/>
      <c r="M119" s="56"/>
      <c r="N119" s="56"/>
      <c r="O119" s="56"/>
      <c r="P119" s="56"/>
      <c r="Q119" s="56"/>
      <c r="R119" s="62"/>
      <c r="S119" s="62"/>
      <c r="X119" s="56"/>
    </row>
    <row r="120" spans="1:24">
      <c r="A120" s="38"/>
      <c r="B120" s="38"/>
      <c r="D120" s="38"/>
      <c r="E120" s="38"/>
      <c r="F120" s="38"/>
      <c r="G120" s="46"/>
      <c r="H120" s="38"/>
      <c r="I120" s="57"/>
      <c r="J120" s="38"/>
      <c r="K120" s="38"/>
      <c r="L120" s="46"/>
      <c r="M120" s="56"/>
      <c r="N120" s="56"/>
      <c r="O120" s="56"/>
      <c r="P120" s="56"/>
      <c r="Q120" s="56"/>
      <c r="R120" s="62"/>
      <c r="S120" s="62"/>
      <c r="X120" s="56"/>
    </row>
    <row r="121" spans="1:24">
      <c r="A121" s="38"/>
      <c r="B121" s="38"/>
      <c r="D121" s="38"/>
      <c r="E121" s="38"/>
      <c r="F121" s="38"/>
      <c r="G121" s="46"/>
      <c r="H121" s="38"/>
      <c r="I121" s="57"/>
      <c r="J121" s="38"/>
      <c r="K121" s="38"/>
      <c r="L121" s="46"/>
      <c r="M121" s="56"/>
      <c r="N121" s="56"/>
      <c r="O121" s="56"/>
      <c r="P121" s="56"/>
      <c r="Q121" s="56"/>
      <c r="R121" s="62"/>
      <c r="S121" s="62"/>
      <c r="X121" s="56"/>
    </row>
    <row r="122" spans="1:24">
      <c r="A122" s="38"/>
      <c r="B122" s="38"/>
      <c r="D122" s="38"/>
      <c r="E122" s="38"/>
      <c r="F122" s="38"/>
      <c r="G122" s="46"/>
      <c r="H122" s="38"/>
      <c r="I122" s="57"/>
      <c r="J122" s="38"/>
      <c r="K122" s="38"/>
      <c r="L122" s="46"/>
      <c r="M122" s="56"/>
      <c r="N122" s="56"/>
      <c r="O122" s="56"/>
      <c r="P122" s="56"/>
      <c r="Q122" s="56"/>
      <c r="R122" s="62"/>
      <c r="S122" s="62"/>
      <c r="X122" s="56"/>
    </row>
    <row r="123" spans="1:24">
      <c r="A123" s="38"/>
      <c r="B123" s="38"/>
      <c r="D123" s="38"/>
      <c r="E123" s="38"/>
      <c r="F123" s="38"/>
      <c r="G123" s="46"/>
      <c r="H123" s="38"/>
      <c r="I123" s="57"/>
      <c r="J123" s="38"/>
      <c r="K123" s="38"/>
      <c r="L123" s="46"/>
      <c r="M123" s="56"/>
      <c r="N123" s="56"/>
      <c r="O123" s="56"/>
      <c r="P123" s="56"/>
      <c r="Q123" s="56"/>
      <c r="R123" s="62"/>
      <c r="S123" s="62"/>
      <c r="X123" s="56"/>
    </row>
    <row r="124" spans="1:24">
      <c r="A124" s="38"/>
      <c r="B124" s="38"/>
      <c r="D124" s="38"/>
      <c r="E124" s="38"/>
      <c r="F124" s="38"/>
      <c r="G124" s="46"/>
      <c r="H124" s="38"/>
      <c r="I124" s="57"/>
      <c r="J124" s="38"/>
      <c r="K124" s="38"/>
      <c r="L124" s="46"/>
      <c r="M124" s="56"/>
      <c r="N124" s="56"/>
      <c r="O124" s="56"/>
      <c r="P124" s="56"/>
      <c r="Q124" s="56"/>
      <c r="R124" s="62"/>
      <c r="S124" s="62"/>
      <c r="X124" s="56"/>
    </row>
    <row r="125" spans="1:24">
      <c r="A125" s="38"/>
      <c r="B125" s="38"/>
      <c r="D125" s="38"/>
      <c r="E125" s="38"/>
      <c r="F125" s="38"/>
      <c r="G125" s="46"/>
      <c r="H125" s="38"/>
      <c r="I125" s="57"/>
      <c r="J125" s="38"/>
      <c r="K125" s="38"/>
      <c r="L125" s="46"/>
      <c r="M125" s="56"/>
      <c r="N125" s="56"/>
      <c r="O125" s="56"/>
      <c r="P125" s="56"/>
      <c r="Q125" s="56"/>
      <c r="R125" s="62"/>
      <c r="S125" s="62"/>
      <c r="X125" s="56"/>
    </row>
    <row r="126" spans="1:24">
      <c r="A126" s="38"/>
      <c r="B126" s="38"/>
      <c r="D126" s="38"/>
      <c r="E126" s="38"/>
      <c r="F126" s="38"/>
      <c r="G126" s="46"/>
      <c r="H126" s="38"/>
      <c r="I126" s="57"/>
      <c r="J126" s="38"/>
      <c r="K126" s="38"/>
      <c r="L126" s="46"/>
      <c r="M126" s="56"/>
      <c r="N126" s="56"/>
      <c r="O126" s="56"/>
      <c r="P126" s="56"/>
      <c r="Q126" s="56"/>
      <c r="R126" s="62"/>
      <c r="S126" s="62"/>
      <c r="X126" s="56"/>
    </row>
    <row r="127" spans="1:24">
      <c r="A127" s="38"/>
      <c r="B127" s="38"/>
      <c r="D127" s="38"/>
      <c r="E127" s="38"/>
      <c r="F127" s="38"/>
      <c r="G127" s="46"/>
      <c r="H127" s="38"/>
      <c r="I127" s="57"/>
      <c r="J127" s="38"/>
      <c r="K127" s="38"/>
      <c r="L127" s="46"/>
      <c r="M127" s="56"/>
      <c r="N127" s="56"/>
      <c r="O127" s="56"/>
      <c r="P127" s="56"/>
      <c r="Q127" s="56"/>
      <c r="R127" s="62"/>
      <c r="S127" s="62"/>
      <c r="X127" s="56"/>
    </row>
    <row r="128" spans="1:24">
      <c r="A128" s="38"/>
      <c r="B128" s="38"/>
      <c r="D128" s="38"/>
      <c r="E128" s="38"/>
      <c r="F128" s="38"/>
      <c r="G128" s="46"/>
      <c r="H128" s="38"/>
      <c r="I128" s="57"/>
      <c r="J128" s="38"/>
      <c r="K128" s="38"/>
      <c r="L128" s="46"/>
      <c r="M128" s="56"/>
      <c r="N128" s="56"/>
      <c r="O128" s="56"/>
      <c r="P128" s="56"/>
      <c r="Q128" s="56"/>
      <c r="R128" s="62"/>
      <c r="S128" s="62"/>
      <c r="X128" s="56"/>
    </row>
    <row r="129" spans="1:24">
      <c r="A129" s="38"/>
      <c r="B129" s="38"/>
      <c r="D129" s="38"/>
      <c r="E129" s="38"/>
      <c r="F129" s="38"/>
      <c r="G129" s="46"/>
      <c r="H129" s="38"/>
      <c r="I129" s="57"/>
      <c r="J129" s="38"/>
      <c r="K129" s="38"/>
      <c r="L129" s="46"/>
      <c r="M129" s="56"/>
      <c r="N129" s="56"/>
      <c r="O129" s="56"/>
      <c r="P129" s="56"/>
      <c r="Q129" s="56"/>
      <c r="R129" s="62"/>
      <c r="S129" s="62"/>
      <c r="X129" s="56"/>
    </row>
    <row r="130" spans="1:24">
      <c r="A130" s="38"/>
      <c r="B130" s="38"/>
      <c r="D130" s="38"/>
      <c r="E130" s="38"/>
      <c r="F130" s="38"/>
      <c r="G130" s="46"/>
      <c r="H130" s="38"/>
      <c r="I130" s="57"/>
      <c r="J130" s="38"/>
      <c r="K130" s="38"/>
      <c r="L130" s="46"/>
      <c r="M130" s="56"/>
      <c r="N130" s="56"/>
      <c r="O130" s="56"/>
      <c r="P130" s="56"/>
      <c r="Q130" s="56"/>
      <c r="R130" s="62"/>
      <c r="S130" s="62"/>
      <c r="X130" s="56"/>
    </row>
    <row r="131" spans="1:24">
      <c r="A131" s="38"/>
      <c r="B131" s="38"/>
      <c r="D131" s="38"/>
      <c r="E131" s="38"/>
      <c r="F131" s="38"/>
      <c r="G131" s="46"/>
      <c r="H131" s="38"/>
      <c r="I131" s="57"/>
      <c r="J131" s="38"/>
      <c r="K131" s="38"/>
      <c r="L131" s="46"/>
      <c r="M131" s="56"/>
      <c r="N131" s="56"/>
      <c r="O131" s="56"/>
      <c r="P131" s="56"/>
      <c r="Q131" s="56"/>
      <c r="R131" s="62"/>
      <c r="S131" s="62"/>
      <c r="X131" s="56"/>
    </row>
    <row r="132" spans="1:24">
      <c r="A132" s="38"/>
      <c r="B132" s="38"/>
      <c r="D132" s="38"/>
      <c r="E132" s="38"/>
      <c r="F132" s="38"/>
      <c r="G132" s="46"/>
      <c r="H132" s="38"/>
      <c r="I132" s="57"/>
      <c r="J132" s="38"/>
      <c r="K132" s="38"/>
      <c r="L132" s="46"/>
      <c r="M132" s="56"/>
      <c r="N132" s="56"/>
      <c r="O132" s="56"/>
      <c r="P132" s="56"/>
      <c r="Q132" s="56"/>
      <c r="R132" s="62"/>
      <c r="S132" s="62"/>
      <c r="X132" s="56"/>
    </row>
    <row r="133" spans="1:24">
      <c r="A133" s="38"/>
      <c r="B133" s="38"/>
      <c r="D133" s="38"/>
      <c r="E133" s="38"/>
      <c r="F133" s="38"/>
      <c r="G133" s="46"/>
      <c r="H133" s="38"/>
      <c r="I133" s="57"/>
      <c r="J133" s="38"/>
      <c r="K133" s="38"/>
      <c r="L133" s="46"/>
      <c r="M133" s="56"/>
      <c r="N133" s="56"/>
      <c r="O133" s="56"/>
      <c r="P133" s="56"/>
      <c r="Q133" s="56"/>
      <c r="R133" s="62"/>
      <c r="S133" s="62"/>
      <c r="X133" s="56"/>
    </row>
    <row r="134" spans="1:24">
      <c r="A134" s="38"/>
      <c r="B134" s="38"/>
      <c r="D134" s="38"/>
      <c r="E134" s="38"/>
      <c r="F134" s="38"/>
      <c r="G134" s="46"/>
      <c r="H134" s="38"/>
      <c r="I134" s="57"/>
      <c r="J134" s="38"/>
      <c r="K134" s="38"/>
      <c r="L134" s="46"/>
      <c r="M134" s="56"/>
      <c r="N134" s="56"/>
      <c r="O134" s="56"/>
      <c r="P134" s="56"/>
      <c r="Q134" s="56"/>
      <c r="R134" s="62"/>
      <c r="S134" s="62"/>
      <c r="X134" s="56"/>
    </row>
    <row r="135" spans="1:24">
      <c r="A135" s="38"/>
      <c r="B135" s="38"/>
      <c r="D135" s="38"/>
      <c r="E135" s="38"/>
      <c r="F135" s="38"/>
      <c r="G135" s="46"/>
      <c r="H135" s="38"/>
      <c r="I135" s="57"/>
      <c r="J135" s="38"/>
      <c r="K135" s="38"/>
      <c r="L135" s="46"/>
      <c r="M135" s="56"/>
      <c r="N135" s="56"/>
      <c r="O135" s="56"/>
      <c r="P135" s="56"/>
      <c r="Q135" s="56"/>
      <c r="R135" s="62"/>
      <c r="S135" s="62"/>
      <c r="X135" s="56"/>
    </row>
    <row r="136" spans="1:24">
      <c r="A136" s="38"/>
      <c r="B136" s="38"/>
      <c r="D136" s="38"/>
      <c r="E136" s="38"/>
      <c r="F136" s="38"/>
      <c r="G136" s="46"/>
      <c r="H136" s="38"/>
      <c r="I136" s="57"/>
      <c r="J136" s="38"/>
      <c r="K136" s="38"/>
      <c r="L136" s="46"/>
      <c r="M136" s="56"/>
      <c r="N136" s="56"/>
      <c r="O136" s="56"/>
      <c r="P136" s="56"/>
      <c r="Q136" s="56"/>
      <c r="R136" s="62"/>
      <c r="S136" s="62"/>
      <c r="X136" s="56"/>
    </row>
    <row r="137" spans="1:24">
      <c r="A137" s="38"/>
      <c r="B137" s="38"/>
      <c r="D137" s="38"/>
      <c r="E137" s="38"/>
      <c r="F137" s="38"/>
      <c r="G137" s="46"/>
      <c r="H137" s="38"/>
      <c r="I137" s="57"/>
      <c r="J137" s="38"/>
      <c r="K137" s="38"/>
      <c r="L137" s="46"/>
      <c r="M137" s="56"/>
      <c r="N137" s="56"/>
      <c r="O137" s="56"/>
      <c r="P137" s="56"/>
      <c r="Q137" s="56"/>
      <c r="R137" s="62"/>
      <c r="S137" s="62"/>
      <c r="X137" s="56"/>
    </row>
    <row r="138" spans="1:24">
      <c r="A138" s="38"/>
      <c r="B138" s="38"/>
      <c r="D138" s="38"/>
      <c r="E138" s="38"/>
      <c r="F138" s="38"/>
      <c r="G138" s="46"/>
      <c r="H138" s="38"/>
      <c r="I138" s="57"/>
      <c r="J138" s="38"/>
      <c r="K138" s="38"/>
      <c r="L138" s="46"/>
      <c r="M138" s="56"/>
      <c r="N138" s="56"/>
      <c r="O138" s="56"/>
      <c r="P138" s="56"/>
      <c r="Q138" s="56"/>
      <c r="R138" s="62"/>
      <c r="S138" s="62"/>
      <c r="X138" s="56"/>
    </row>
    <row r="139" spans="1:24">
      <c r="A139" s="38"/>
      <c r="B139" s="38"/>
      <c r="D139" s="38"/>
      <c r="E139" s="38"/>
      <c r="F139" s="38"/>
      <c r="G139" s="46"/>
      <c r="H139" s="38"/>
      <c r="I139" s="57"/>
      <c r="J139" s="38"/>
      <c r="K139" s="38"/>
      <c r="L139" s="46"/>
      <c r="M139" s="56"/>
      <c r="N139" s="56"/>
      <c r="O139" s="56"/>
      <c r="P139" s="56"/>
      <c r="Q139" s="56"/>
      <c r="R139" s="62"/>
      <c r="S139" s="62"/>
      <c r="X139" s="56"/>
    </row>
    <row r="140" spans="1:24">
      <c r="A140" s="38"/>
      <c r="B140" s="38"/>
      <c r="D140" s="38"/>
      <c r="E140" s="38"/>
      <c r="F140" s="38"/>
      <c r="G140" s="46"/>
      <c r="H140" s="38"/>
      <c r="I140" s="57"/>
      <c r="J140" s="38"/>
      <c r="K140" s="38"/>
      <c r="L140" s="46"/>
      <c r="M140" s="56"/>
      <c r="N140" s="56"/>
      <c r="O140" s="56"/>
      <c r="P140" s="56"/>
      <c r="Q140" s="56"/>
      <c r="R140" s="62"/>
      <c r="S140" s="62"/>
      <c r="X140" s="56"/>
    </row>
    <row r="141" spans="1:24">
      <c r="A141" s="38"/>
      <c r="B141" s="38"/>
      <c r="D141" s="38"/>
      <c r="E141" s="38"/>
      <c r="F141" s="38"/>
      <c r="G141" s="46"/>
      <c r="H141" s="38"/>
      <c r="I141" s="57"/>
      <c r="J141" s="38"/>
      <c r="K141" s="38"/>
      <c r="L141" s="46"/>
      <c r="M141" s="56"/>
      <c r="N141" s="56"/>
      <c r="O141" s="56"/>
      <c r="P141" s="56"/>
      <c r="Q141" s="56"/>
      <c r="R141" s="62"/>
      <c r="S141" s="62"/>
      <c r="X141" s="56"/>
    </row>
    <row r="142" spans="1:24">
      <c r="A142" s="38"/>
      <c r="B142" s="38"/>
      <c r="D142" s="38"/>
      <c r="E142" s="38"/>
      <c r="F142" s="38"/>
      <c r="G142" s="46"/>
      <c r="H142" s="38"/>
      <c r="I142" s="57"/>
      <c r="J142" s="38"/>
      <c r="K142" s="38"/>
      <c r="L142" s="46"/>
      <c r="M142" s="56"/>
      <c r="N142" s="56"/>
      <c r="O142" s="56"/>
      <c r="P142" s="56"/>
      <c r="Q142" s="56"/>
      <c r="R142" s="62"/>
      <c r="S142" s="62"/>
      <c r="X142" s="56"/>
    </row>
    <row r="143" spans="1:24">
      <c r="A143" s="38"/>
      <c r="B143" s="38"/>
      <c r="D143" s="38"/>
      <c r="E143" s="38"/>
      <c r="F143" s="38"/>
      <c r="G143" s="46"/>
      <c r="H143" s="38"/>
      <c r="I143" s="57"/>
      <c r="J143" s="38"/>
      <c r="K143" s="38"/>
      <c r="L143" s="46"/>
      <c r="M143" s="56"/>
      <c r="N143" s="56"/>
      <c r="O143" s="56"/>
      <c r="P143" s="56"/>
      <c r="Q143" s="56"/>
      <c r="R143" s="62"/>
      <c r="S143" s="62"/>
      <c r="X143" s="56"/>
    </row>
    <row r="144" spans="1:24">
      <c r="A144" s="38"/>
      <c r="B144" s="38"/>
      <c r="D144" s="38"/>
      <c r="E144" s="38"/>
      <c r="F144" s="38"/>
      <c r="G144" s="46"/>
      <c r="H144" s="38"/>
      <c r="I144" s="57"/>
      <c r="J144" s="38"/>
      <c r="K144" s="38"/>
      <c r="L144" s="46"/>
      <c r="M144" s="56"/>
      <c r="N144" s="56"/>
      <c r="O144" s="56"/>
      <c r="P144" s="56"/>
      <c r="Q144" s="56"/>
      <c r="R144" s="62"/>
      <c r="S144" s="62"/>
      <c r="X144" s="56"/>
    </row>
    <row r="145" spans="1:24">
      <c r="A145" s="38"/>
      <c r="B145" s="38"/>
      <c r="D145" s="38"/>
      <c r="E145" s="38"/>
      <c r="F145" s="38"/>
      <c r="G145" s="46"/>
      <c r="H145" s="38"/>
      <c r="I145" s="57"/>
      <c r="J145" s="38"/>
      <c r="K145" s="38"/>
      <c r="L145" s="46"/>
      <c r="M145" s="56"/>
      <c r="N145" s="56"/>
      <c r="O145" s="56"/>
      <c r="P145" s="56"/>
      <c r="Q145" s="56"/>
      <c r="R145" s="62"/>
      <c r="S145" s="62"/>
      <c r="X145" s="56"/>
    </row>
    <row r="146" spans="1:24">
      <c r="A146" s="38"/>
      <c r="B146" s="38"/>
      <c r="D146" s="38"/>
      <c r="E146" s="38"/>
      <c r="F146" s="38"/>
      <c r="G146" s="46"/>
      <c r="H146" s="38"/>
      <c r="I146" s="57"/>
      <c r="J146" s="38"/>
      <c r="K146" s="38"/>
      <c r="L146" s="46"/>
      <c r="M146" s="56"/>
      <c r="N146" s="56"/>
      <c r="O146" s="56"/>
      <c r="P146" s="56"/>
      <c r="Q146" s="56"/>
      <c r="R146" s="62"/>
      <c r="S146" s="62"/>
      <c r="X146" s="56"/>
    </row>
    <row r="147" spans="1:24">
      <c r="A147" s="38"/>
      <c r="B147" s="38"/>
      <c r="D147" s="38"/>
      <c r="E147" s="38"/>
      <c r="F147" s="38"/>
      <c r="G147" s="46"/>
      <c r="H147" s="38"/>
      <c r="I147" s="57"/>
      <c r="J147" s="38"/>
      <c r="K147" s="38"/>
      <c r="L147" s="46"/>
      <c r="M147" s="56"/>
      <c r="N147" s="56"/>
      <c r="O147" s="56"/>
      <c r="P147" s="56"/>
      <c r="Q147" s="56"/>
      <c r="R147" s="62"/>
      <c r="S147" s="62"/>
      <c r="X147" s="56"/>
    </row>
    <row r="148" spans="1:24">
      <c r="A148" s="38"/>
      <c r="B148" s="38"/>
      <c r="D148" s="38"/>
      <c r="E148" s="38"/>
      <c r="F148" s="38"/>
      <c r="G148" s="46"/>
      <c r="H148" s="38"/>
      <c r="I148" s="57"/>
      <c r="J148" s="38"/>
      <c r="K148" s="38"/>
      <c r="L148" s="46"/>
      <c r="M148" s="56"/>
      <c r="N148" s="56"/>
      <c r="O148" s="56"/>
      <c r="P148" s="56"/>
      <c r="Q148" s="56"/>
      <c r="R148" s="62"/>
      <c r="S148" s="62"/>
      <c r="X148" s="56"/>
    </row>
    <row r="149" spans="1:24">
      <c r="A149" s="38"/>
      <c r="B149" s="38"/>
      <c r="D149" s="38"/>
      <c r="E149" s="38"/>
      <c r="F149" s="38"/>
      <c r="G149" s="46"/>
      <c r="H149" s="38"/>
      <c r="I149" s="57"/>
      <c r="J149" s="38"/>
      <c r="K149" s="38"/>
      <c r="L149" s="46"/>
      <c r="M149" s="56"/>
      <c r="N149" s="56"/>
      <c r="O149" s="56"/>
      <c r="P149" s="56"/>
      <c r="Q149" s="56"/>
      <c r="R149" s="62"/>
      <c r="S149" s="62"/>
      <c r="X149" s="56"/>
    </row>
    <row r="150" spans="1:24">
      <c r="A150" s="38"/>
      <c r="B150" s="38"/>
      <c r="D150" s="38"/>
      <c r="E150" s="38"/>
      <c r="F150" s="38"/>
      <c r="G150" s="46"/>
      <c r="H150" s="38"/>
      <c r="I150" s="57"/>
      <c r="J150" s="38"/>
      <c r="K150" s="38"/>
      <c r="L150" s="46"/>
      <c r="M150" s="56"/>
      <c r="N150" s="56"/>
      <c r="O150" s="56"/>
      <c r="P150" s="56"/>
      <c r="Q150" s="56"/>
      <c r="R150" s="62"/>
      <c r="S150" s="62"/>
      <c r="X150" s="56"/>
    </row>
    <row r="151" spans="1:24">
      <c r="A151" s="38"/>
      <c r="B151" s="38"/>
      <c r="D151" s="38"/>
      <c r="E151" s="38"/>
      <c r="F151" s="38"/>
      <c r="G151" s="46"/>
      <c r="H151" s="38"/>
      <c r="I151" s="57"/>
      <c r="J151" s="38"/>
      <c r="K151" s="38"/>
      <c r="L151" s="46"/>
      <c r="M151" s="56"/>
      <c r="N151" s="56"/>
      <c r="O151" s="56"/>
      <c r="P151" s="56"/>
      <c r="Q151" s="56"/>
      <c r="R151" s="62"/>
      <c r="S151" s="62"/>
      <c r="X151" s="56"/>
    </row>
    <row r="152" spans="1:24">
      <c r="A152" s="38"/>
      <c r="B152" s="38"/>
      <c r="D152" s="38"/>
      <c r="E152" s="38"/>
      <c r="F152" s="38"/>
      <c r="G152" s="46"/>
      <c r="H152" s="38"/>
      <c r="I152" s="57"/>
      <c r="J152" s="38"/>
      <c r="K152" s="38"/>
      <c r="L152" s="46"/>
      <c r="M152" s="56"/>
      <c r="N152" s="56"/>
      <c r="O152" s="56"/>
      <c r="P152" s="56"/>
      <c r="Q152" s="56"/>
      <c r="R152" s="62"/>
      <c r="S152" s="62"/>
      <c r="X152" s="56"/>
    </row>
    <row r="153" spans="1:24">
      <c r="A153" s="38"/>
      <c r="B153" s="38"/>
      <c r="D153" s="38"/>
      <c r="E153" s="38"/>
      <c r="F153" s="38"/>
      <c r="G153" s="46"/>
      <c r="H153" s="38"/>
      <c r="I153" s="57"/>
      <c r="J153" s="38"/>
      <c r="K153" s="38"/>
      <c r="L153" s="46"/>
      <c r="M153" s="56"/>
      <c r="N153" s="56"/>
      <c r="O153" s="56"/>
      <c r="P153" s="56"/>
      <c r="Q153" s="56"/>
      <c r="R153" s="62"/>
      <c r="S153" s="62"/>
      <c r="X153" s="56"/>
    </row>
    <row r="154" spans="1:24">
      <c r="A154" s="38"/>
      <c r="B154" s="38"/>
      <c r="D154" s="38"/>
      <c r="E154" s="38"/>
      <c r="F154" s="38"/>
      <c r="G154" s="46"/>
      <c r="H154" s="38"/>
      <c r="I154" s="57"/>
      <c r="J154" s="38"/>
      <c r="K154" s="38"/>
      <c r="L154" s="46"/>
      <c r="M154" s="56"/>
      <c r="N154" s="56"/>
      <c r="O154" s="56"/>
      <c r="P154" s="56"/>
      <c r="Q154" s="56"/>
      <c r="R154" s="62"/>
      <c r="S154" s="62"/>
      <c r="X154" s="56"/>
    </row>
    <row r="155" spans="1:24">
      <c r="A155" s="38"/>
      <c r="B155" s="38"/>
      <c r="D155" s="38"/>
      <c r="E155" s="38"/>
      <c r="F155" s="38"/>
      <c r="G155" s="46"/>
      <c r="H155" s="38"/>
      <c r="I155" s="57"/>
      <c r="J155" s="38"/>
      <c r="K155" s="38"/>
      <c r="L155" s="46"/>
      <c r="M155" s="56"/>
      <c r="N155" s="56"/>
      <c r="O155" s="56"/>
      <c r="P155" s="56"/>
      <c r="Q155" s="56"/>
      <c r="R155" s="62"/>
      <c r="S155" s="62"/>
      <c r="X155" s="56"/>
    </row>
    <row r="156" spans="1:24">
      <c r="A156" s="38"/>
      <c r="B156" s="38"/>
      <c r="D156" s="38"/>
      <c r="E156" s="38"/>
      <c r="F156" s="38"/>
      <c r="G156" s="46"/>
      <c r="H156" s="38"/>
      <c r="I156" s="57"/>
      <c r="J156" s="38"/>
      <c r="K156" s="38"/>
      <c r="L156" s="46"/>
      <c r="M156" s="56"/>
      <c r="N156" s="56"/>
      <c r="O156" s="56"/>
      <c r="P156" s="56"/>
      <c r="Q156" s="56"/>
      <c r="R156" s="62"/>
      <c r="S156" s="62"/>
      <c r="X156" s="56"/>
    </row>
    <row r="157" spans="1:24">
      <c r="A157" s="38"/>
      <c r="B157" s="38"/>
      <c r="D157" s="38"/>
      <c r="E157" s="38"/>
      <c r="F157" s="38"/>
      <c r="G157" s="46"/>
      <c r="H157" s="38"/>
      <c r="I157" s="57"/>
      <c r="J157" s="38"/>
      <c r="K157" s="38"/>
      <c r="L157" s="46"/>
      <c r="M157" s="56"/>
      <c r="N157" s="56"/>
      <c r="O157" s="56"/>
      <c r="P157" s="56"/>
      <c r="Q157" s="56"/>
      <c r="R157" s="62"/>
      <c r="S157" s="62"/>
      <c r="X157" s="56"/>
    </row>
    <row r="158" spans="1:24">
      <c r="A158" s="38"/>
      <c r="B158" s="38"/>
      <c r="D158" s="38"/>
      <c r="E158" s="38"/>
      <c r="F158" s="38"/>
      <c r="G158" s="46"/>
      <c r="H158" s="38"/>
      <c r="I158" s="57"/>
      <c r="J158" s="38"/>
      <c r="K158" s="38"/>
      <c r="L158" s="46"/>
      <c r="M158" s="56"/>
      <c r="N158" s="56"/>
      <c r="O158" s="56"/>
      <c r="P158" s="56"/>
      <c r="Q158" s="56"/>
      <c r="R158" s="62"/>
      <c r="S158" s="62"/>
      <c r="X158" s="56"/>
    </row>
    <row r="159" spans="1:24">
      <c r="A159" s="38"/>
      <c r="B159" s="38"/>
      <c r="D159" s="38"/>
      <c r="E159" s="38"/>
      <c r="F159" s="38"/>
      <c r="G159" s="46"/>
      <c r="H159" s="38"/>
      <c r="I159" s="57"/>
      <c r="J159" s="38"/>
      <c r="K159" s="38"/>
      <c r="L159" s="46"/>
      <c r="M159" s="56"/>
      <c r="N159" s="56"/>
      <c r="O159" s="56"/>
      <c r="P159" s="56"/>
      <c r="Q159" s="56"/>
      <c r="R159" s="62"/>
      <c r="S159" s="62"/>
      <c r="X159" s="56"/>
    </row>
    <row r="160" spans="1:24">
      <c r="A160" s="38"/>
      <c r="B160" s="38"/>
      <c r="D160" s="38"/>
      <c r="E160" s="38"/>
      <c r="F160" s="38"/>
      <c r="G160" s="46"/>
      <c r="H160" s="38"/>
      <c r="I160" s="57"/>
      <c r="J160" s="38"/>
      <c r="K160" s="38"/>
      <c r="L160" s="46"/>
      <c r="M160" s="56"/>
      <c r="N160" s="56"/>
      <c r="O160" s="56"/>
      <c r="P160" s="56"/>
      <c r="Q160" s="56"/>
      <c r="R160" s="62"/>
      <c r="S160" s="62"/>
      <c r="X160" s="56"/>
    </row>
    <row r="161" spans="1:24">
      <c r="A161" s="38"/>
      <c r="B161" s="38"/>
      <c r="D161" s="38"/>
      <c r="E161" s="38"/>
      <c r="F161" s="38"/>
      <c r="G161" s="46"/>
      <c r="H161" s="38"/>
      <c r="I161" s="57"/>
      <c r="J161" s="38"/>
      <c r="K161" s="38"/>
      <c r="L161" s="46"/>
      <c r="M161" s="56"/>
      <c r="N161" s="56"/>
      <c r="O161" s="56"/>
      <c r="P161" s="56"/>
      <c r="Q161" s="56"/>
      <c r="R161" s="62"/>
      <c r="S161" s="62"/>
      <c r="X161" s="56"/>
    </row>
    <row r="162" spans="1:24">
      <c r="A162" s="38"/>
      <c r="B162" s="38"/>
      <c r="D162" s="38"/>
      <c r="E162" s="38"/>
      <c r="F162" s="38"/>
      <c r="G162" s="46"/>
      <c r="H162" s="38"/>
      <c r="I162" s="57"/>
      <c r="J162" s="38"/>
      <c r="K162" s="38"/>
      <c r="L162" s="46"/>
      <c r="M162" s="56"/>
      <c r="N162" s="56"/>
      <c r="O162" s="56"/>
      <c r="P162" s="56"/>
      <c r="Q162" s="56"/>
      <c r="R162" s="62"/>
      <c r="S162" s="62"/>
      <c r="X162" s="56"/>
    </row>
    <row r="163" spans="1:24">
      <c r="A163" s="38"/>
      <c r="B163" s="38"/>
      <c r="D163" s="38"/>
      <c r="E163" s="38"/>
      <c r="F163" s="38"/>
      <c r="G163" s="46"/>
      <c r="H163" s="38"/>
      <c r="I163" s="57"/>
      <c r="J163" s="38"/>
      <c r="K163" s="38"/>
      <c r="L163" s="46"/>
      <c r="M163" s="56"/>
      <c r="N163" s="56"/>
      <c r="O163" s="56"/>
      <c r="P163" s="56"/>
      <c r="Q163" s="56"/>
      <c r="R163" s="62"/>
      <c r="S163" s="62"/>
      <c r="X163" s="56"/>
    </row>
    <row r="164" spans="1:24">
      <c r="A164" s="38"/>
      <c r="B164" s="38"/>
      <c r="D164" s="38"/>
      <c r="E164" s="38"/>
      <c r="F164" s="38"/>
      <c r="G164" s="46"/>
      <c r="H164" s="38"/>
      <c r="I164" s="57"/>
      <c r="J164" s="38"/>
      <c r="K164" s="38"/>
      <c r="L164" s="46"/>
      <c r="M164" s="56"/>
      <c r="N164" s="56"/>
      <c r="O164" s="56"/>
      <c r="P164" s="56"/>
      <c r="Q164" s="56"/>
      <c r="R164" s="62"/>
      <c r="S164" s="62"/>
      <c r="X164" s="56"/>
    </row>
    <row r="165" spans="1:24">
      <c r="A165" s="38"/>
      <c r="B165" s="38"/>
      <c r="D165" s="38"/>
      <c r="E165" s="38"/>
      <c r="F165" s="38"/>
      <c r="G165" s="46"/>
      <c r="H165" s="38"/>
      <c r="I165" s="57"/>
      <c r="J165" s="38"/>
      <c r="K165" s="38"/>
      <c r="L165" s="46"/>
      <c r="M165" s="56"/>
      <c r="N165" s="56"/>
      <c r="O165" s="56"/>
      <c r="P165" s="56"/>
      <c r="Q165" s="56"/>
      <c r="R165" s="62"/>
      <c r="S165" s="62"/>
      <c r="X165" s="56"/>
    </row>
    <row r="166" spans="1:24">
      <c r="A166" s="38"/>
      <c r="B166" s="38"/>
      <c r="D166" s="38"/>
      <c r="E166" s="38"/>
      <c r="F166" s="38"/>
      <c r="G166" s="46"/>
      <c r="H166" s="38"/>
      <c r="I166" s="57"/>
      <c r="J166" s="38"/>
      <c r="K166" s="38"/>
      <c r="L166" s="46"/>
      <c r="M166" s="56"/>
      <c r="N166" s="56"/>
      <c r="O166" s="56"/>
      <c r="P166" s="56"/>
      <c r="Q166" s="56"/>
      <c r="R166" s="62"/>
      <c r="S166" s="62"/>
      <c r="X166" s="56"/>
    </row>
    <row r="167" spans="1:24">
      <c r="A167" s="38"/>
      <c r="B167" s="38"/>
      <c r="D167" s="38"/>
      <c r="E167" s="38"/>
      <c r="F167" s="38"/>
      <c r="G167" s="46"/>
      <c r="H167" s="38"/>
      <c r="I167" s="57"/>
      <c r="J167" s="38"/>
      <c r="K167" s="38"/>
      <c r="L167" s="46"/>
      <c r="M167" s="56"/>
      <c r="N167" s="56"/>
      <c r="O167" s="56"/>
      <c r="P167" s="56"/>
      <c r="Q167" s="56"/>
      <c r="R167" s="62"/>
      <c r="S167" s="62"/>
      <c r="X167" s="56"/>
    </row>
    <row r="168" spans="1:24">
      <c r="A168" s="38"/>
      <c r="B168" s="38"/>
      <c r="D168" s="38"/>
      <c r="E168" s="38"/>
      <c r="F168" s="38"/>
      <c r="G168" s="46"/>
      <c r="H168" s="38"/>
      <c r="I168" s="57"/>
      <c r="J168" s="38"/>
      <c r="K168" s="38"/>
      <c r="L168" s="46"/>
      <c r="M168" s="56"/>
      <c r="N168" s="56"/>
      <c r="O168" s="56"/>
      <c r="P168" s="56"/>
      <c r="Q168" s="56"/>
      <c r="R168" s="62"/>
      <c r="S168" s="62"/>
      <c r="X168" s="56"/>
    </row>
    <row r="169" spans="1:24">
      <c r="A169" s="38"/>
      <c r="B169" s="38"/>
      <c r="D169" s="38"/>
      <c r="E169" s="38"/>
      <c r="F169" s="38"/>
      <c r="G169" s="46"/>
      <c r="H169" s="38"/>
      <c r="I169" s="57"/>
      <c r="J169" s="38"/>
      <c r="K169" s="38"/>
      <c r="L169" s="46"/>
      <c r="M169" s="56"/>
      <c r="N169" s="56"/>
      <c r="O169" s="56"/>
      <c r="P169" s="56"/>
      <c r="Q169" s="56"/>
      <c r="R169" s="62"/>
      <c r="S169" s="62"/>
      <c r="X169" s="56"/>
    </row>
    <row r="170" spans="1:24">
      <c r="A170" s="38"/>
      <c r="B170" s="38"/>
      <c r="D170" s="38"/>
      <c r="E170" s="38"/>
      <c r="F170" s="38"/>
      <c r="G170" s="46"/>
      <c r="H170" s="38"/>
      <c r="I170" s="57"/>
      <c r="J170" s="38"/>
      <c r="K170" s="38"/>
      <c r="L170" s="46"/>
      <c r="M170" s="56"/>
      <c r="N170" s="56"/>
      <c r="O170" s="56"/>
      <c r="P170" s="56"/>
      <c r="Q170" s="56"/>
      <c r="R170" s="62"/>
      <c r="S170" s="62"/>
      <c r="X170" s="56"/>
    </row>
    <row r="171" spans="1:24">
      <c r="A171" s="38"/>
      <c r="B171" s="38"/>
      <c r="D171" s="38"/>
      <c r="E171" s="38"/>
      <c r="F171" s="38"/>
      <c r="G171" s="46"/>
      <c r="H171" s="38"/>
      <c r="I171" s="57"/>
      <c r="J171" s="38"/>
      <c r="K171" s="38"/>
      <c r="L171" s="46"/>
      <c r="M171" s="56"/>
      <c r="N171" s="56"/>
      <c r="O171" s="56"/>
      <c r="P171" s="56"/>
      <c r="Q171" s="56"/>
      <c r="R171" s="62"/>
      <c r="S171" s="62"/>
      <c r="X171" s="56"/>
    </row>
    <row r="172" spans="1:24">
      <c r="A172" s="38"/>
      <c r="B172" s="38"/>
      <c r="D172" s="38"/>
      <c r="E172" s="38"/>
      <c r="F172" s="38"/>
      <c r="G172" s="46"/>
      <c r="H172" s="38"/>
      <c r="I172" s="57"/>
      <c r="J172" s="38"/>
      <c r="K172" s="38"/>
      <c r="L172" s="46"/>
      <c r="M172" s="56"/>
      <c r="N172" s="56"/>
      <c r="O172" s="56"/>
      <c r="P172" s="56"/>
      <c r="Q172" s="56"/>
      <c r="R172" s="62"/>
      <c r="S172" s="62"/>
      <c r="X172" s="56"/>
    </row>
    <row r="173" spans="1:24">
      <c r="A173" s="38"/>
      <c r="B173" s="38"/>
      <c r="D173" s="38"/>
      <c r="E173" s="38"/>
      <c r="F173" s="38"/>
      <c r="G173" s="46"/>
      <c r="H173" s="38"/>
      <c r="I173" s="57"/>
      <c r="J173" s="38"/>
      <c r="K173" s="38"/>
      <c r="L173" s="46"/>
      <c r="M173" s="56"/>
      <c r="N173" s="56"/>
      <c r="O173" s="56"/>
      <c r="P173" s="56"/>
      <c r="Q173" s="56"/>
      <c r="R173" s="62"/>
      <c r="S173" s="62"/>
      <c r="X173" s="56"/>
    </row>
    <row r="174" spans="1:24">
      <c r="A174" s="38"/>
      <c r="B174" s="38"/>
      <c r="D174" s="38"/>
      <c r="E174" s="38"/>
      <c r="F174" s="38"/>
      <c r="G174" s="46"/>
      <c r="H174" s="38"/>
      <c r="I174" s="57"/>
      <c r="J174" s="38"/>
      <c r="K174" s="38"/>
      <c r="L174" s="46"/>
      <c r="M174" s="56"/>
      <c r="N174" s="56"/>
      <c r="O174" s="56"/>
      <c r="P174" s="56"/>
      <c r="Q174" s="56"/>
      <c r="R174" s="62"/>
      <c r="S174" s="62"/>
      <c r="X174" s="56"/>
    </row>
    <row r="175" spans="1:24">
      <c r="A175" s="38"/>
      <c r="B175" s="38"/>
      <c r="D175" s="38"/>
      <c r="E175" s="38"/>
      <c r="F175" s="38"/>
      <c r="G175" s="46"/>
      <c r="H175" s="38"/>
      <c r="I175" s="57"/>
      <c r="J175" s="38"/>
      <c r="K175" s="38"/>
      <c r="L175" s="46"/>
      <c r="M175" s="56"/>
      <c r="N175" s="56"/>
      <c r="O175" s="56"/>
      <c r="P175" s="56"/>
      <c r="Q175" s="56"/>
      <c r="R175" s="62"/>
      <c r="S175" s="62"/>
      <c r="X175" s="56"/>
    </row>
    <row r="176" spans="1:24">
      <c r="A176" s="38"/>
      <c r="B176" s="38"/>
      <c r="D176" s="38"/>
      <c r="E176" s="38"/>
      <c r="F176" s="38"/>
      <c r="G176" s="46"/>
      <c r="H176" s="38"/>
      <c r="I176" s="57"/>
      <c r="J176" s="38"/>
      <c r="K176" s="38"/>
      <c r="L176" s="46"/>
      <c r="M176" s="56"/>
      <c r="N176" s="56"/>
      <c r="O176" s="56"/>
      <c r="P176" s="56"/>
      <c r="Q176" s="56"/>
      <c r="R176" s="62"/>
      <c r="S176" s="62"/>
      <c r="X176" s="56"/>
    </row>
    <row r="177" spans="1:24">
      <c r="A177" s="38"/>
      <c r="B177" s="38"/>
      <c r="D177" s="38"/>
      <c r="E177" s="38"/>
      <c r="F177" s="38"/>
      <c r="G177" s="46"/>
      <c r="H177" s="38"/>
      <c r="I177" s="57"/>
      <c r="J177" s="38"/>
      <c r="K177" s="38"/>
      <c r="L177" s="46"/>
      <c r="M177" s="56"/>
      <c r="N177" s="56"/>
      <c r="O177" s="56"/>
      <c r="P177" s="56"/>
      <c r="Q177" s="56"/>
      <c r="R177" s="62"/>
      <c r="S177" s="62"/>
      <c r="X177" s="56"/>
    </row>
    <row r="178" spans="1:24">
      <c r="A178" s="38"/>
      <c r="B178" s="38"/>
      <c r="D178" s="38"/>
      <c r="E178" s="38"/>
      <c r="F178" s="38"/>
      <c r="G178" s="46"/>
      <c r="H178" s="38"/>
      <c r="I178" s="57"/>
      <c r="J178" s="38"/>
      <c r="K178" s="38"/>
      <c r="L178" s="46"/>
      <c r="M178" s="56"/>
      <c r="N178" s="56"/>
      <c r="O178" s="56"/>
      <c r="P178" s="56"/>
      <c r="Q178" s="56"/>
      <c r="R178" s="62"/>
      <c r="S178" s="62"/>
      <c r="X178" s="56"/>
    </row>
    <row r="179" spans="1:24">
      <c r="A179" s="38"/>
      <c r="B179" s="38"/>
      <c r="D179" s="38"/>
      <c r="E179" s="38"/>
      <c r="F179" s="38"/>
      <c r="G179" s="46"/>
      <c r="H179" s="38"/>
      <c r="I179" s="57"/>
      <c r="J179" s="38"/>
      <c r="K179" s="38"/>
      <c r="L179" s="46"/>
      <c r="M179" s="56"/>
      <c r="N179" s="56"/>
      <c r="O179" s="56"/>
      <c r="P179" s="56"/>
      <c r="Q179" s="56"/>
      <c r="R179" s="62"/>
      <c r="S179" s="62"/>
      <c r="X179" s="56"/>
    </row>
    <row r="180" spans="1:24">
      <c r="A180" s="38"/>
      <c r="B180" s="38"/>
      <c r="D180" s="38"/>
      <c r="E180" s="38"/>
      <c r="F180" s="38"/>
      <c r="G180" s="46"/>
      <c r="H180" s="38"/>
      <c r="I180" s="57"/>
      <c r="J180" s="38"/>
      <c r="K180" s="38"/>
      <c r="L180" s="46"/>
      <c r="M180" s="56"/>
      <c r="N180" s="56"/>
      <c r="O180" s="56"/>
      <c r="P180" s="56"/>
      <c r="Q180" s="56"/>
      <c r="R180" s="62"/>
      <c r="S180" s="62"/>
      <c r="X180" s="56"/>
    </row>
    <row r="181" spans="1:24">
      <c r="A181" s="38"/>
      <c r="B181" s="38"/>
      <c r="D181" s="38"/>
      <c r="E181" s="38"/>
      <c r="F181" s="38"/>
      <c r="G181" s="46"/>
      <c r="H181" s="38"/>
      <c r="I181" s="57"/>
      <c r="J181" s="38"/>
      <c r="K181" s="38"/>
      <c r="L181" s="46"/>
      <c r="M181" s="56"/>
      <c r="N181" s="56"/>
      <c r="O181" s="56"/>
      <c r="P181" s="56"/>
      <c r="Q181" s="56"/>
      <c r="R181" s="62"/>
      <c r="S181" s="62"/>
      <c r="X181" s="56"/>
    </row>
    <row r="182" spans="1:24">
      <c r="A182" s="38"/>
      <c r="B182" s="38"/>
      <c r="D182" s="38"/>
      <c r="E182" s="38"/>
      <c r="F182" s="38"/>
      <c r="G182" s="46"/>
      <c r="H182" s="38"/>
      <c r="I182" s="57"/>
      <c r="J182" s="38"/>
      <c r="K182" s="38"/>
      <c r="L182" s="46"/>
      <c r="M182" s="56"/>
      <c r="N182" s="56"/>
      <c r="O182" s="56"/>
      <c r="P182" s="56"/>
      <c r="Q182" s="56"/>
      <c r="R182" s="62"/>
      <c r="S182" s="62"/>
      <c r="X182" s="56"/>
    </row>
    <row r="183" spans="1:24">
      <c r="A183" s="38"/>
      <c r="B183" s="38"/>
      <c r="D183" s="38"/>
      <c r="E183" s="38"/>
      <c r="F183" s="38"/>
      <c r="G183" s="46"/>
      <c r="H183" s="38"/>
      <c r="I183" s="57"/>
      <c r="J183" s="38"/>
      <c r="K183" s="38"/>
      <c r="L183" s="46"/>
      <c r="M183" s="56"/>
      <c r="N183" s="56"/>
      <c r="O183" s="56"/>
      <c r="P183" s="56"/>
      <c r="Q183" s="56"/>
      <c r="R183" s="62"/>
      <c r="S183" s="62"/>
      <c r="X183" s="56"/>
    </row>
    <row r="184" spans="1:24">
      <c r="A184" s="38"/>
      <c r="B184" s="38"/>
      <c r="D184" s="38"/>
      <c r="E184" s="38"/>
      <c r="F184" s="38"/>
      <c r="G184" s="46"/>
      <c r="H184" s="38"/>
      <c r="I184" s="57"/>
      <c r="J184" s="38"/>
      <c r="K184" s="38"/>
      <c r="L184" s="46"/>
      <c r="M184" s="56"/>
      <c r="N184" s="56"/>
      <c r="O184" s="56"/>
      <c r="P184" s="56"/>
      <c r="Q184" s="56"/>
      <c r="R184" s="62"/>
      <c r="S184" s="62"/>
      <c r="X184" s="56"/>
    </row>
    <row r="185" spans="1:24">
      <c r="A185" s="38"/>
      <c r="B185" s="38"/>
      <c r="D185" s="38"/>
      <c r="E185" s="38"/>
      <c r="F185" s="38"/>
      <c r="G185" s="46"/>
      <c r="H185" s="38"/>
      <c r="I185" s="57"/>
      <c r="J185" s="38"/>
      <c r="K185" s="38"/>
      <c r="L185" s="46"/>
      <c r="M185" s="56"/>
      <c r="N185" s="56"/>
      <c r="O185" s="56"/>
      <c r="P185" s="56"/>
      <c r="Q185" s="56"/>
      <c r="R185" s="62"/>
      <c r="S185" s="62"/>
      <c r="X185" s="56"/>
    </row>
    <row r="186" spans="1:24">
      <c r="A186" s="38"/>
      <c r="B186" s="38"/>
      <c r="D186" s="38"/>
      <c r="E186" s="38"/>
      <c r="F186" s="38"/>
      <c r="G186" s="46"/>
      <c r="H186" s="38"/>
      <c r="I186" s="57"/>
      <c r="J186" s="38"/>
      <c r="K186" s="38"/>
      <c r="L186" s="46"/>
      <c r="M186" s="56"/>
      <c r="N186" s="56"/>
      <c r="O186" s="56"/>
      <c r="P186" s="56"/>
      <c r="Q186" s="56"/>
      <c r="R186" s="62"/>
      <c r="S186" s="62"/>
      <c r="X186" s="56"/>
    </row>
    <row r="187" spans="1:24">
      <c r="A187" s="38"/>
      <c r="B187" s="38"/>
      <c r="D187" s="38"/>
      <c r="E187" s="38"/>
      <c r="F187" s="38"/>
      <c r="G187" s="46"/>
      <c r="H187" s="38"/>
      <c r="I187" s="57"/>
      <c r="J187" s="38"/>
      <c r="K187" s="38"/>
      <c r="L187" s="46"/>
      <c r="M187" s="56"/>
      <c r="N187" s="56"/>
      <c r="O187" s="56"/>
      <c r="P187" s="56"/>
      <c r="Q187" s="56"/>
      <c r="R187" s="62"/>
      <c r="S187" s="62"/>
      <c r="X187" s="56"/>
    </row>
    <row r="188" spans="1:24">
      <c r="A188" s="38"/>
      <c r="B188" s="38"/>
      <c r="D188" s="38"/>
      <c r="E188" s="38"/>
      <c r="F188" s="38"/>
      <c r="G188" s="46"/>
      <c r="H188" s="38"/>
      <c r="I188" s="57"/>
      <c r="J188" s="38"/>
      <c r="K188" s="38"/>
      <c r="L188" s="46"/>
      <c r="M188" s="56"/>
      <c r="N188" s="56"/>
      <c r="O188" s="56"/>
      <c r="P188" s="56"/>
      <c r="Q188" s="56"/>
      <c r="R188" s="62"/>
      <c r="S188" s="62"/>
      <c r="X188" s="56"/>
    </row>
    <row r="189" spans="1:24">
      <c r="A189" s="38"/>
      <c r="B189" s="38"/>
      <c r="D189" s="38"/>
      <c r="E189" s="38"/>
      <c r="F189" s="38"/>
      <c r="G189" s="46"/>
      <c r="H189" s="38"/>
      <c r="I189" s="57"/>
      <c r="J189" s="38"/>
      <c r="K189" s="38"/>
      <c r="L189" s="46"/>
      <c r="M189" s="56"/>
      <c r="N189" s="56"/>
      <c r="O189" s="56"/>
      <c r="P189" s="56"/>
      <c r="Q189" s="56"/>
      <c r="R189" s="62"/>
      <c r="S189" s="62"/>
      <c r="X189" s="56"/>
    </row>
    <row r="190" spans="1:24">
      <c r="A190" s="38"/>
      <c r="B190" s="38"/>
      <c r="D190" s="38"/>
      <c r="E190" s="38"/>
      <c r="F190" s="38"/>
      <c r="G190" s="46"/>
      <c r="H190" s="38"/>
      <c r="I190" s="57"/>
      <c r="J190" s="38"/>
      <c r="K190" s="38"/>
      <c r="L190" s="46"/>
      <c r="M190" s="56"/>
      <c r="N190" s="56"/>
      <c r="O190" s="56"/>
      <c r="P190" s="56"/>
      <c r="Q190" s="56"/>
      <c r="R190" s="62"/>
      <c r="S190" s="62"/>
      <c r="X190" s="56"/>
    </row>
    <row r="191" spans="1:24">
      <c r="A191" s="38"/>
      <c r="B191" s="38"/>
      <c r="D191" s="38"/>
      <c r="E191" s="38"/>
      <c r="F191" s="38"/>
      <c r="G191" s="46"/>
      <c r="H191" s="38"/>
      <c r="I191" s="57"/>
      <c r="J191" s="38"/>
      <c r="K191" s="38"/>
      <c r="L191" s="46"/>
      <c r="M191" s="56"/>
      <c r="N191" s="56"/>
      <c r="O191" s="56"/>
      <c r="P191" s="56"/>
      <c r="Q191" s="56"/>
      <c r="R191" s="62"/>
      <c r="S191" s="62"/>
      <c r="X191" s="56"/>
    </row>
    <row r="192" spans="1:24">
      <c r="A192" s="38"/>
      <c r="B192" s="38"/>
      <c r="D192" s="38"/>
      <c r="E192" s="38"/>
      <c r="F192" s="38"/>
      <c r="G192" s="46"/>
      <c r="H192" s="38"/>
      <c r="I192" s="57"/>
      <c r="J192" s="38"/>
      <c r="K192" s="38"/>
      <c r="L192" s="46"/>
      <c r="M192" s="56"/>
      <c r="N192" s="56"/>
      <c r="O192" s="56"/>
      <c r="P192" s="56"/>
      <c r="Q192" s="56"/>
      <c r="R192" s="62"/>
      <c r="S192" s="62"/>
      <c r="X192" s="56"/>
    </row>
    <row r="193" spans="1:24">
      <c r="A193" s="38"/>
      <c r="B193" s="38"/>
      <c r="D193" s="38"/>
      <c r="E193" s="38"/>
      <c r="F193" s="38"/>
      <c r="G193" s="46"/>
      <c r="H193" s="38"/>
      <c r="I193" s="57"/>
      <c r="J193" s="38"/>
      <c r="K193" s="38"/>
      <c r="L193" s="46"/>
      <c r="M193" s="56"/>
      <c r="N193" s="56"/>
      <c r="O193" s="56"/>
      <c r="P193" s="56"/>
      <c r="Q193" s="56"/>
      <c r="R193" s="62"/>
      <c r="S193" s="62"/>
      <c r="X193" s="56"/>
    </row>
    <row r="194" spans="1:24">
      <c r="A194" s="38"/>
      <c r="B194" s="38"/>
      <c r="D194" s="38"/>
      <c r="E194" s="38"/>
      <c r="F194" s="38"/>
      <c r="G194" s="46"/>
      <c r="H194" s="38"/>
      <c r="I194" s="57"/>
      <c r="J194" s="38"/>
      <c r="K194" s="38"/>
      <c r="L194" s="46"/>
      <c r="M194" s="56"/>
      <c r="N194" s="56"/>
      <c r="O194" s="56"/>
      <c r="P194" s="56"/>
      <c r="Q194" s="56"/>
      <c r="R194" s="62"/>
      <c r="S194" s="62"/>
      <c r="X194" s="56"/>
    </row>
    <row r="195" spans="1:24">
      <c r="A195" s="38"/>
      <c r="B195" s="38"/>
      <c r="D195" s="38"/>
      <c r="E195" s="38"/>
      <c r="F195" s="38"/>
      <c r="G195" s="46"/>
      <c r="H195" s="38"/>
      <c r="I195" s="57"/>
      <c r="J195" s="38"/>
      <c r="K195" s="38"/>
      <c r="L195" s="46"/>
      <c r="M195" s="56"/>
      <c r="N195" s="56"/>
      <c r="O195" s="56"/>
      <c r="P195" s="56"/>
      <c r="Q195" s="56"/>
      <c r="R195" s="62"/>
      <c r="S195" s="62"/>
      <c r="X195" s="56"/>
    </row>
    <row r="196" spans="1:24">
      <c r="A196" s="38"/>
      <c r="B196" s="38"/>
      <c r="D196" s="38"/>
      <c r="E196" s="38"/>
      <c r="F196" s="38"/>
      <c r="G196" s="46"/>
      <c r="H196" s="38"/>
      <c r="I196" s="57"/>
      <c r="J196" s="38"/>
      <c r="K196" s="38"/>
      <c r="L196" s="46"/>
      <c r="M196" s="56"/>
      <c r="N196" s="56"/>
      <c r="O196" s="56"/>
      <c r="P196" s="56"/>
      <c r="Q196" s="56"/>
      <c r="R196" s="62"/>
      <c r="S196" s="62"/>
      <c r="X196" s="56"/>
    </row>
    <row r="197" spans="1:24">
      <c r="A197" s="38"/>
      <c r="B197" s="38"/>
      <c r="D197" s="38"/>
      <c r="E197" s="38"/>
      <c r="F197" s="38"/>
      <c r="G197" s="46"/>
      <c r="H197" s="38"/>
      <c r="I197" s="57"/>
      <c r="J197" s="38"/>
      <c r="K197" s="38"/>
      <c r="L197" s="46"/>
      <c r="M197" s="56"/>
      <c r="N197" s="56"/>
      <c r="O197" s="56"/>
      <c r="P197" s="56"/>
      <c r="Q197" s="56"/>
      <c r="R197" s="62"/>
      <c r="S197" s="62"/>
      <c r="X197" s="56"/>
    </row>
    <row r="198" spans="1:24">
      <c r="A198" s="38"/>
      <c r="B198" s="38"/>
      <c r="D198" s="38"/>
      <c r="E198" s="38"/>
      <c r="F198" s="38"/>
      <c r="G198" s="46"/>
      <c r="H198" s="38"/>
      <c r="I198" s="57"/>
      <c r="J198" s="38"/>
      <c r="K198" s="38"/>
      <c r="L198" s="46"/>
      <c r="M198" s="56"/>
      <c r="N198" s="56"/>
      <c r="O198" s="56"/>
      <c r="P198" s="56"/>
      <c r="Q198" s="56"/>
      <c r="R198" s="62"/>
      <c r="S198" s="62"/>
      <c r="X198" s="56"/>
    </row>
    <row r="199" spans="1:24">
      <c r="A199" s="38"/>
      <c r="B199" s="38"/>
      <c r="D199" s="38"/>
      <c r="E199" s="38"/>
      <c r="F199" s="38"/>
      <c r="G199" s="46"/>
      <c r="H199" s="38"/>
      <c r="I199" s="57"/>
      <c r="J199" s="38"/>
      <c r="K199" s="38"/>
      <c r="L199" s="46"/>
      <c r="M199" s="56"/>
      <c r="N199" s="56"/>
      <c r="O199" s="56"/>
      <c r="P199" s="56"/>
      <c r="Q199" s="56"/>
      <c r="R199" s="62"/>
      <c r="S199" s="62"/>
      <c r="X199" s="56"/>
    </row>
    <row r="200" spans="1:24">
      <c r="A200" s="38"/>
      <c r="B200" s="38"/>
      <c r="D200" s="38"/>
      <c r="E200" s="38"/>
      <c r="F200" s="38"/>
      <c r="G200" s="46"/>
      <c r="H200" s="38"/>
      <c r="I200" s="57"/>
      <c r="J200" s="38"/>
      <c r="K200" s="38"/>
      <c r="L200" s="46"/>
      <c r="M200" s="56"/>
      <c r="N200" s="56"/>
      <c r="O200" s="56"/>
      <c r="P200" s="56"/>
      <c r="Q200" s="56"/>
      <c r="R200" s="62"/>
      <c r="S200" s="62"/>
      <c r="X200" s="56"/>
    </row>
    <row r="201" spans="1:24">
      <c r="A201" s="38"/>
      <c r="B201" s="38"/>
      <c r="D201" s="38"/>
      <c r="E201" s="38"/>
      <c r="F201" s="38"/>
      <c r="G201" s="46"/>
      <c r="H201" s="38"/>
      <c r="I201" s="57"/>
      <c r="J201" s="38"/>
      <c r="K201" s="38"/>
      <c r="L201" s="46"/>
      <c r="M201" s="56"/>
      <c r="N201" s="56"/>
      <c r="O201" s="56"/>
      <c r="P201" s="56"/>
      <c r="Q201" s="56"/>
      <c r="R201" s="62"/>
      <c r="S201" s="62"/>
      <c r="X201" s="56"/>
    </row>
    <row r="202" spans="1:24">
      <c r="A202" s="38"/>
      <c r="B202" s="38"/>
      <c r="D202" s="38"/>
      <c r="E202" s="38"/>
      <c r="F202" s="38"/>
      <c r="G202" s="46"/>
      <c r="H202" s="38"/>
      <c r="I202" s="57"/>
      <c r="J202" s="38"/>
      <c r="K202" s="38"/>
      <c r="L202" s="46"/>
      <c r="M202" s="56"/>
      <c r="N202" s="56"/>
      <c r="O202" s="56"/>
      <c r="P202" s="56"/>
      <c r="Q202" s="56"/>
      <c r="R202" s="62"/>
      <c r="S202" s="62"/>
      <c r="X202" s="56"/>
    </row>
    <row r="203" spans="1:24">
      <c r="A203" s="38"/>
      <c r="B203" s="38"/>
      <c r="D203" s="38"/>
      <c r="E203" s="38"/>
      <c r="F203" s="38"/>
      <c r="G203" s="46"/>
      <c r="H203" s="38"/>
      <c r="I203" s="57"/>
      <c r="J203" s="38"/>
      <c r="K203" s="38"/>
      <c r="L203" s="46"/>
      <c r="M203" s="56"/>
      <c r="N203" s="56"/>
      <c r="O203" s="56"/>
      <c r="P203" s="56"/>
      <c r="Q203" s="56"/>
      <c r="R203" s="62"/>
      <c r="S203" s="62"/>
      <c r="X203" s="56"/>
    </row>
    <row r="204" spans="1:24">
      <c r="A204" s="38"/>
      <c r="B204" s="38"/>
      <c r="D204" s="38"/>
      <c r="E204" s="38"/>
      <c r="F204" s="38"/>
      <c r="G204" s="46"/>
      <c r="H204" s="38"/>
      <c r="I204" s="57"/>
      <c r="J204" s="38"/>
      <c r="K204" s="38"/>
      <c r="L204" s="46"/>
      <c r="M204" s="56"/>
      <c r="N204" s="56"/>
      <c r="O204" s="56"/>
      <c r="P204" s="56"/>
      <c r="Q204" s="56"/>
      <c r="R204" s="62"/>
      <c r="S204" s="62"/>
      <c r="X204" s="56"/>
    </row>
    <row r="205" spans="1:24">
      <c r="A205" s="38"/>
      <c r="B205" s="38"/>
      <c r="D205" s="38"/>
      <c r="E205" s="38"/>
      <c r="F205" s="38"/>
      <c r="G205" s="46"/>
      <c r="H205" s="38"/>
      <c r="I205" s="57"/>
      <c r="J205" s="38"/>
      <c r="K205" s="38"/>
      <c r="L205" s="46"/>
      <c r="M205" s="56"/>
      <c r="N205" s="56"/>
      <c r="O205" s="56"/>
      <c r="P205" s="56"/>
      <c r="Q205" s="56"/>
      <c r="R205" s="62"/>
      <c r="S205" s="62"/>
      <c r="X205" s="56"/>
    </row>
    <row r="206" spans="1:24">
      <c r="A206" s="38"/>
      <c r="B206" s="38"/>
      <c r="D206" s="38"/>
      <c r="E206" s="38"/>
      <c r="F206" s="38"/>
      <c r="G206" s="46"/>
      <c r="H206" s="38"/>
      <c r="I206" s="57"/>
      <c r="J206" s="38"/>
      <c r="K206" s="38"/>
      <c r="L206" s="46"/>
      <c r="M206" s="56"/>
      <c r="N206" s="56"/>
      <c r="O206" s="56"/>
      <c r="P206" s="56"/>
      <c r="Q206" s="56"/>
      <c r="R206" s="62"/>
      <c r="S206" s="62"/>
      <c r="X206" s="56"/>
    </row>
    <row r="207" spans="1:24">
      <c r="A207" s="38"/>
      <c r="B207" s="38"/>
      <c r="D207" s="38"/>
      <c r="E207" s="38"/>
      <c r="F207" s="38"/>
      <c r="G207" s="46"/>
      <c r="H207" s="38"/>
      <c r="I207" s="57"/>
      <c r="J207" s="38"/>
      <c r="K207" s="38"/>
      <c r="L207" s="46"/>
      <c r="M207" s="56"/>
      <c r="N207" s="56"/>
      <c r="O207" s="56"/>
      <c r="P207" s="56"/>
      <c r="Q207" s="56"/>
      <c r="R207" s="62"/>
      <c r="S207" s="62"/>
      <c r="X207" s="56"/>
    </row>
    <row r="208" spans="1:24">
      <c r="A208" s="38"/>
      <c r="B208" s="38"/>
      <c r="D208" s="38"/>
      <c r="E208" s="38"/>
      <c r="F208" s="38"/>
      <c r="G208" s="46"/>
      <c r="H208" s="38"/>
      <c r="I208" s="57"/>
      <c r="J208" s="38"/>
      <c r="K208" s="38"/>
      <c r="L208" s="46"/>
      <c r="M208" s="56"/>
      <c r="N208" s="56"/>
      <c r="O208" s="56"/>
      <c r="P208" s="56"/>
      <c r="Q208" s="56"/>
      <c r="R208" s="62"/>
      <c r="S208" s="62"/>
      <c r="X208" s="56"/>
    </row>
    <row r="209" spans="1:24">
      <c r="A209" s="38"/>
      <c r="B209" s="38"/>
      <c r="D209" s="38"/>
      <c r="E209" s="38"/>
      <c r="F209" s="38"/>
      <c r="G209" s="46"/>
      <c r="H209" s="38"/>
      <c r="I209" s="57"/>
      <c r="J209" s="38"/>
      <c r="K209" s="38"/>
      <c r="L209" s="46"/>
      <c r="M209" s="56"/>
      <c r="N209" s="56"/>
      <c r="O209" s="56"/>
      <c r="P209" s="56"/>
      <c r="Q209" s="56"/>
      <c r="R209" s="62"/>
      <c r="S209" s="62"/>
      <c r="X209" s="56"/>
    </row>
    <row r="210" spans="1:24">
      <c r="A210" s="38"/>
      <c r="B210" s="38"/>
      <c r="D210" s="38"/>
      <c r="E210" s="38"/>
      <c r="F210" s="38"/>
      <c r="G210" s="46"/>
      <c r="H210" s="38"/>
      <c r="I210" s="57"/>
      <c r="J210" s="38"/>
      <c r="K210" s="38"/>
      <c r="L210" s="46"/>
      <c r="M210" s="56"/>
      <c r="N210" s="56"/>
      <c r="O210" s="56"/>
      <c r="P210" s="56"/>
      <c r="Q210" s="56"/>
      <c r="R210" s="62"/>
      <c r="S210" s="62"/>
      <c r="X210" s="56"/>
    </row>
    <row r="211" spans="1:24">
      <c r="A211" s="38"/>
      <c r="B211" s="38"/>
      <c r="D211" s="38"/>
      <c r="E211" s="38"/>
      <c r="F211" s="38"/>
      <c r="G211" s="46"/>
      <c r="H211" s="38"/>
      <c r="I211" s="57"/>
      <c r="J211" s="38"/>
      <c r="K211" s="38"/>
      <c r="L211" s="46"/>
      <c r="M211" s="56"/>
      <c r="N211" s="56"/>
      <c r="O211" s="56"/>
      <c r="P211" s="56"/>
      <c r="Q211" s="56"/>
      <c r="R211" s="62"/>
      <c r="S211" s="62"/>
      <c r="X211" s="56"/>
    </row>
    <row r="212" spans="1:24">
      <c r="A212" s="38"/>
      <c r="B212" s="38"/>
      <c r="D212" s="38"/>
      <c r="E212" s="38"/>
      <c r="F212" s="38"/>
      <c r="G212" s="46"/>
      <c r="H212" s="38"/>
      <c r="I212" s="57"/>
      <c r="J212" s="38"/>
      <c r="K212" s="38"/>
      <c r="L212" s="46"/>
      <c r="M212" s="56"/>
      <c r="N212" s="56"/>
      <c r="O212" s="56"/>
      <c r="P212" s="56"/>
      <c r="Q212" s="56"/>
      <c r="R212" s="62"/>
      <c r="S212" s="62"/>
      <c r="X212" s="56"/>
    </row>
    <row r="213" spans="1:24">
      <c r="A213" s="38"/>
      <c r="B213" s="38"/>
      <c r="D213" s="38"/>
      <c r="E213" s="38"/>
      <c r="F213" s="38"/>
      <c r="G213" s="46"/>
      <c r="H213" s="38"/>
      <c r="I213" s="57"/>
      <c r="J213" s="38"/>
      <c r="K213" s="38"/>
      <c r="L213" s="46"/>
      <c r="M213" s="56"/>
      <c r="N213" s="56"/>
      <c r="O213" s="56"/>
      <c r="P213" s="56"/>
      <c r="Q213" s="56"/>
      <c r="R213" s="62"/>
      <c r="S213" s="62"/>
      <c r="X213" s="56"/>
    </row>
    <row r="214" spans="1:24">
      <c r="A214" s="38"/>
      <c r="B214" s="38"/>
      <c r="D214" s="38"/>
      <c r="E214" s="38"/>
      <c r="F214" s="38"/>
      <c r="G214" s="46"/>
      <c r="H214" s="38"/>
      <c r="I214" s="57"/>
      <c r="J214" s="38"/>
      <c r="K214" s="38"/>
      <c r="L214" s="46"/>
      <c r="M214" s="56"/>
      <c r="N214" s="56"/>
      <c r="O214" s="56"/>
      <c r="P214" s="56"/>
      <c r="Q214" s="56"/>
      <c r="R214" s="62"/>
      <c r="S214" s="62"/>
      <c r="X214" s="56"/>
    </row>
    <row r="215" spans="1:24">
      <c r="A215" s="38"/>
      <c r="B215" s="38"/>
      <c r="D215" s="38"/>
      <c r="E215" s="38"/>
      <c r="F215" s="38"/>
      <c r="G215" s="46"/>
      <c r="H215" s="38"/>
      <c r="I215" s="57"/>
      <c r="J215" s="38"/>
      <c r="K215" s="38"/>
      <c r="L215" s="46"/>
      <c r="M215" s="56"/>
      <c r="N215" s="56"/>
      <c r="O215" s="56"/>
      <c r="P215" s="56"/>
      <c r="Q215" s="56"/>
      <c r="R215" s="62"/>
      <c r="S215" s="62"/>
      <c r="X215" s="56"/>
    </row>
  </sheetData>
  <dataValidations count="1">
    <dataValidation type="list" allowBlank="1" showInputMessage="1" showErrorMessage="1" sqref="U2:U33" xr:uid="{A4AEC88F-F295-4C71-996E-F095DC977334}">
      <formula1>"Yes, No"</formula1>
    </dataValidation>
  </dataValidations>
  <hyperlinks>
    <hyperlink ref="E2" r:id="rId1" xr:uid="{51C2C753-65B4-4430-912F-B99E8BEC6E96}"/>
    <hyperlink ref="F2" r:id="rId2" xr:uid="{79540AF3-3137-49E8-8660-B6A671BA0B61}"/>
    <hyperlink ref="E6" r:id="rId3" xr:uid="{8882F740-50AA-4249-B927-ED237909FFEB}"/>
    <hyperlink ref="F6" r:id="rId4" xr:uid="{F3DF04CF-2C1E-4410-8E27-91E1983E3C68}"/>
    <hyperlink ref="E13" r:id="rId5" xr:uid="{0BCF212C-49BB-4D67-A94D-5EEEA7674F17}"/>
    <hyperlink ref="F13" r:id="rId6" xr:uid="{73FFACA9-A13F-40E7-A162-C5F04140704C}"/>
    <hyperlink ref="E17" r:id="rId7" xr:uid="{C1A9AC45-272F-4C9D-98D2-111FC61FD497}"/>
    <hyperlink ref="F17" r:id="rId8" xr:uid="{7DDA37F5-E49D-4734-94F1-B81B838976A2}"/>
    <hyperlink ref="E22" r:id="rId9" xr:uid="{D2622DC8-1845-45CE-A049-BBBE3155B6EF}"/>
    <hyperlink ref="F22" r:id="rId10" xr:uid="{D8070643-3519-4918-8805-FFED5E700E62}"/>
    <hyperlink ref="E23" r:id="rId11" xr:uid="{D79961F7-2911-4024-A2FA-D7898902DF03}"/>
    <hyperlink ref="F23" r:id="rId12" xr:uid="{3CF6D09E-33A4-4A08-8F91-031C2990094C}"/>
    <hyperlink ref="E28" r:id="rId13" xr:uid="{F90CAF29-38A7-4475-9404-35B5F1F200C8}"/>
    <hyperlink ref="F28" r:id="rId14" xr:uid="{FBB89AE2-7DDC-41D6-A0E8-96CBF3383D12}"/>
    <hyperlink ref="B1" location="Fields!E1" display="Content Owner" xr:uid="{7413C10C-3AFE-4958-869B-08D937E0D81F}"/>
    <hyperlink ref="W1" location="Fields!A12" display="Re-Replay" xr:uid="{13DB24DB-101A-43B9-9564-04C951752B74}"/>
    <hyperlink ref="I1" location="Final!A13" display="Description" xr:uid="{6BB0D1DF-EC18-4F78-86AF-837ADF7D627F}"/>
  </hyperlinks>
  <pageMargins left="0.7" right="0.7" top="0.75" bottom="0.75" header="0.3" footer="0.3"/>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AB2D9B59-F4F7-449D-9EB4-561BB61AA1E0}">
          <x14:formula1>
            <xm:f>Fields!$D$2:$D$5</xm:f>
          </x14:formula1>
          <xm:sqref>B2:B33</xm:sqref>
        </x14:dataValidation>
        <x14:dataValidation type="list" allowBlank="1" showInputMessage="1" showErrorMessage="1" xr:uid="{C48690FB-7BA9-45B3-9771-03C53400FCAB}">
          <x14:formula1>
            <xm:f>Fields!$C$2:$C$4</xm:f>
          </x14:formula1>
          <xm:sqref>T2:T33</xm:sqref>
        </x14:dataValidation>
        <x14:dataValidation type="list" allowBlank="1" showInputMessage="1" showErrorMessage="1" xr:uid="{BE9AF40A-673B-44BD-931A-B04DE5C656FF}">
          <x14:formula1>
            <xm:f>Fields!$B$2:$B$4</xm:f>
          </x14:formula1>
          <xm:sqref>R2:S33</xm:sqref>
        </x14:dataValidation>
        <x14:dataValidation type="list" allowBlank="1" showInputMessage="1" showErrorMessage="1" xr:uid="{9686AE59-E978-455A-964E-CC4B0EB899CC}">
          <x14:formula1>
            <xm:f>Fields!$A$2:$A$8</xm:f>
          </x14:formula1>
          <xm:sqref>C2:C33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1000"/>
  <sheetViews>
    <sheetView workbookViewId="0">
      <selection activeCell="E1" sqref="E1"/>
    </sheetView>
  </sheetViews>
  <sheetFormatPr defaultColWidth="12.5703125" defaultRowHeight="15" customHeight="1"/>
  <cols>
    <col min="1" max="1" width="5.85546875" style="33" customWidth="1"/>
    <col min="2" max="2" width="7.140625" style="33" customWidth="1"/>
    <col min="3" max="3" width="12.85546875" style="33" customWidth="1"/>
    <col min="4" max="4" width="3.5703125" style="33" customWidth="1"/>
    <col min="5" max="5" width="49.7109375" style="33" customWidth="1"/>
    <col min="6" max="6" width="8.42578125" style="33" hidden="1" customWidth="1"/>
    <col min="7" max="7" width="14.28515625" style="33" hidden="1" customWidth="1"/>
    <col min="8" max="8" width="28.42578125" style="33" customWidth="1"/>
    <col min="9" max="9" width="14.28515625" style="33" customWidth="1"/>
    <col min="10" max="10" width="8.42578125" style="33" customWidth="1"/>
    <col min="11" max="11" width="7.42578125" style="33" customWidth="1"/>
    <col min="12" max="12" width="9.7109375" style="33" customWidth="1"/>
    <col min="13" max="13" width="6.140625" style="33" customWidth="1"/>
    <col min="14" max="14" width="7.5703125" style="33" customWidth="1"/>
    <col min="15" max="16" width="8.42578125" style="33" customWidth="1"/>
    <col min="17" max="17" width="20.85546875" style="33" customWidth="1"/>
    <col min="18" max="18" width="6.5703125" style="35" customWidth="1"/>
    <col min="19" max="19" width="6.42578125" style="35" customWidth="1"/>
    <col min="20" max="20" width="7.5703125" style="35" customWidth="1"/>
    <col min="21" max="21" width="7.85546875" style="37" customWidth="1"/>
    <col min="22" max="22" width="8.85546875" style="34" customWidth="1"/>
    <col min="23" max="23" width="7.5703125" style="36" customWidth="1"/>
    <col min="24" max="24" width="49" style="33" customWidth="1"/>
  </cols>
  <sheetData>
    <row r="1" spans="1:24" ht="45" customHeight="1">
      <c r="A1" s="64" t="s">
        <v>2</v>
      </c>
      <c r="B1" s="65" t="s">
        <v>2503</v>
      </c>
      <c r="C1" s="66" t="s">
        <v>115</v>
      </c>
      <c r="D1" s="67" t="s">
        <v>40</v>
      </c>
      <c r="E1" s="64" t="s">
        <v>44</v>
      </c>
      <c r="F1" s="64" t="s">
        <v>49</v>
      </c>
      <c r="G1" s="64" t="s">
        <v>51</v>
      </c>
      <c r="H1" s="64" t="s">
        <v>63</v>
      </c>
      <c r="I1" s="65" t="s">
        <v>46</v>
      </c>
      <c r="J1" s="64" t="s">
        <v>67</v>
      </c>
      <c r="K1" s="68" t="s">
        <v>68</v>
      </c>
      <c r="L1" s="64" t="s">
        <v>74</v>
      </c>
      <c r="M1" s="64" t="s">
        <v>75</v>
      </c>
      <c r="N1" s="64" t="s">
        <v>76</v>
      </c>
      <c r="O1" s="64" t="s">
        <v>77</v>
      </c>
      <c r="P1" s="64" t="s">
        <v>78</v>
      </c>
      <c r="Q1" s="64" t="s">
        <v>80</v>
      </c>
      <c r="R1" s="69" t="s">
        <v>81</v>
      </c>
      <c r="S1" s="69" t="s">
        <v>82</v>
      </c>
      <c r="T1" s="69" t="s">
        <v>83</v>
      </c>
      <c r="U1" s="70" t="s">
        <v>114</v>
      </c>
      <c r="V1" s="71" t="s">
        <v>116</v>
      </c>
      <c r="W1" s="72" t="s">
        <v>88</v>
      </c>
      <c r="X1" s="64" t="s">
        <v>89</v>
      </c>
    </row>
    <row r="2" spans="1:24">
      <c r="A2" s="38"/>
      <c r="B2" s="38"/>
      <c r="C2" s="39"/>
      <c r="D2" s="38"/>
      <c r="E2" s="40"/>
      <c r="F2" s="41"/>
      <c r="G2" s="42"/>
      <c r="H2" s="43"/>
      <c r="I2" s="44"/>
      <c r="J2" s="38"/>
      <c r="K2" s="45"/>
      <c r="L2" s="46"/>
      <c r="M2" s="38"/>
      <c r="N2" s="38"/>
      <c r="O2" s="38"/>
      <c r="P2" s="47"/>
      <c r="Q2" s="38"/>
      <c r="R2" s="48"/>
      <c r="S2" s="48"/>
      <c r="T2" s="48"/>
      <c r="U2" s="49"/>
      <c r="V2" s="50"/>
      <c r="W2" s="51"/>
      <c r="X2" s="38"/>
    </row>
    <row r="3" spans="1:24">
      <c r="A3" s="38"/>
      <c r="B3" s="38"/>
      <c r="C3" s="39"/>
      <c r="D3" s="38"/>
      <c r="E3" s="40"/>
      <c r="F3" s="41"/>
      <c r="G3" s="42"/>
      <c r="H3" s="43"/>
      <c r="I3" s="44"/>
      <c r="J3" s="38"/>
      <c r="K3" s="45"/>
      <c r="L3" s="46"/>
      <c r="M3" s="38"/>
      <c r="N3" s="38"/>
      <c r="O3" s="38"/>
      <c r="P3" s="47"/>
      <c r="Q3" s="38"/>
      <c r="R3" s="48"/>
      <c r="S3" s="48"/>
      <c r="T3" s="48"/>
      <c r="U3" s="49"/>
      <c r="V3" s="50"/>
      <c r="W3" s="51"/>
      <c r="X3" s="38"/>
    </row>
    <row r="4" spans="1:24">
      <c r="A4" s="38"/>
      <c r="B4" s="38"/>
      <c r="C4" s="39"/>
      <c r="D4" s="38"/>
      <c r="E4" s="40"/>
      <c r="F4" s="41"/>
      <c r="G4" s="42"/>
      <c r="H4" s="43"/>
      <c r="I4" s="44"/>
      <c r="J4" s="38"/>
      <c r="K4" s="45"/>
      <c r="L4" s="46"/>
      <c r="M4" s="38"/>
      <c r="N4" s="38"/>
      <c r="O4" s="38"/>
      <c r="P4" s="47"/>
      <c r="Q4" s="38"/>
      <c r="R4" s="48"/>
      <c r="S4" s="48"/>
      <c r="T4" s="48"/>
      <c r="U4" s="52"/>
      <c r="V4" s="50"/>
      <c r="W4" s="51"/>
      <c r="X4" s="38"/>
    </row>
    <row r="5" spans="1:24">
      <c r="A5" s="38"/>
      <c r="B5" s="38"/>
      <c r="C5" s="39"/>
      <c r="D5" s="38"/>
      <c r="E5" s="40"/>
      <c r="F5" s="41"/>
      <c r="G5" s="42"/>
      <c r="H5" s="43"/>
      <c r="I5" s="44"/>
      <c r="J5" s="38"/>
      <c r="K5" s="45"/>
      <c r="L5" s="46"/>
      <c r="M5" s="38"/>
      <c r="N5" s="38"/>
      <c r="O5" s="38"/>
      <c r="P5" s="47"/>
      <c r="Q5" s="38"/>
      <c r="R5" s="48"/>
      <c r="S5" s="48"/>
      <c r="T5" s="48"/>
      <c r="U5" s="52"/>
      <c r="V5" s="50"/>
      <c r="W5" s="51"/>
      <c r="X5" s="38"/>
    </row>
    <row r="6" spans="1:24">
      <c r="A6" s="38"/>
      <c r="B6" s="38"/>
      <c r="C6" s="39"/>
      <c r="D6" s="38"/>
      <c r="E6" s="40"/>
      <c r="F6" s="41"/>
      <c r="G6" s="42"/>
      <c r="H6" s="43"/>
      <c r="I6" s="44"/>
      <c r="J6" s="38"/>
      <c r="K6" s="45"/>
      <c r="L6" s="46"/>
      <c r="M6" s="38"/>
      <c r="N6" s="38"/>
      <c r="O6" s="38"/>
      <c r="P6" s="47"/>
      <c r="Q6" s="38"/>
      <c r="R6" s="48"/>
      <c r="S6" s="48"/>
      <c r="T6" s="48"/>
      <c r="U6" s="52"/>
      <c r="V6" s="50"/>
      <c r="W6" s="51"/>
      <c r="X6" s="38"/>
    </row>
    <row r="7" spans="1:24">
      <c r="A7" s="38"/>
      <c r="B7" s="38"/>
      <c r="C7" s="39"/>
      <c r="D7" s="38"/>
      <c r="E7" s="40"/>
      <c r="F7" s="41"/>
      <c r="G7" s="42"/>
      <c r="H7" s="53"/>
      <c r="I7" s="44"/>
      <c r="J7" s="38"/>
      <c r="K7" s="45"/>
      <c r="L7" s="46"/>
      <c r="M7" s="38"/>
      <c r="N7" s="38"/>
      <c r="O7" s="38"/>
      <c r="P7" s="47"/>
      <c r="Q7" s="38"/>
      <c r="R7" s="48"/>
      <c r="S7" s="48"/>
      <c r="T7" s="48"/>
      <c r="U7" s="52"/>
      <c r="V7" s="50"/>
      <c r="W7" s="51"/>
      <c r="X7" s="38"/>
    </row>
    <row r="8" spans="1:24">
      <c r="A8" s="38"/>
      <c r="B8" s="38"/>
      <c r="C8" s="39"/>
      <c r="D8" s="38"/>
      <c r="E8" s="40"/>
      <c r="F8" s="41"/>
      <c r="G8" s="42"/>
      <c r="H8" s="43"/>
      <c r="I8" s="44"/>
      <c r="J8" s="38"/>
      <c r="K8" s="45"/>
      <c r="L8" s="46"/>
      <c r="M8" s="38"/>
      <c r="N8" s="38"/>
      <c r="O8" s="38"/>
      <c r="P8" s="47"/>
      <c r="Q8" s="38"/>
      <c r="R8" s="48"/>
      <c r="S8" s="48"/>
      <c r="T8" s="48"/>
      <c r="U8" s="52"/>
      <c r="V8" s="50"/>
      <c r="W8" s="51"/>
      <c r="X8" s="38"/>
    </row>
    <row r="9" spans="1:24">
      <c r="A9" s="38"/>
      <c r="B9" s="38"/>
      <c r="C9" s="39"/>
      <c r="D9" s="38"/>
      <c r="E9" s="40"/>
      <c r="F9" s="41"/>
      <c r="G9" s="42"/>
      <c r="H9" s="43"/>
      <c r="I9" s="44"/>
      <c r="J9" s="38"/>
      <c r="K9" s="45"/>
      <c r="L9" s="46"/>
      <c r="M9" s="38"/>
      <c r="N9" s="38"/>
      <c r="O9" s="38"/>
      <c r="P9" s="47"/>
      <c r="Q9" s="38"/>
      <c r="R9" s="48"/>
      <c r="S9" s="48"/>
      <c r="T9" s="48"/>
      <c r="U9" s="52"/>
      <c r="V9" s="50"/>
      <c r="W9" s="51"/>
      <c r="X9" s="38"/>
    </row>
    <row r="10" spans="1:24">
      <c r="A10" s="38"/>
      <c r="B10" s="38"/>
      <c r="C10" s="39"/>
      <c r="D10" s="38"/>
      <c r="E10" s="40"/>
      <c r="F10" s="41"/>
      <c r="G10" s="42"/>
      <c r="H10" s="43"/>
      <c r="I10" s="44"/>
      <c r="J10" s="38"/>
      <c r="K10" s="45"/>
      <c r="L10" s="46"/>
      <c r="M10" s="45"/>
      <c r="N10" s="45"/>
      <c r="O10" s="45"/>
      <c r="P10" s="47"/>
      <c r="Q10" s="54"/>
      <c r="R10" s="48"/>
      <c r="S10" s="48"/>
      <c r="T10" s="48"/>
      <c r="U10" s="52"/>
      <c r="V10" s="50"/>
      <c r="W10" s="51"/>
      <c r="X10" s="38"/>
    </row>
    <row r="11" spans="1:24">
      <c r="A11" s="38"/>
      <c r="B11" s="38"/>
      <c r="C11" s="39"/>
      <c r="D11" s="38"/>
      <c r="E11" s="40"/>
      <c r="F11" s="41"/>
      <c r="G11" s="42"/>
      <c r="H11" s="43"/>
      <c r="I11" s="44"/>
      <c r="J11" s="38"/>
      <c r="K11" s="45"/>
      <c r="L11" s="46"/>
      <c r="M11" s="38"/>
      <c r="N11" s="38"/>
      <c r="O11" s="38"/>
      <c r="P11" s="47"/>
      <c r="Q11" s="54"/>
      <c r="R11" s="48"/>
      <c r="S11" s="48"/>
      <c r="T11" s="48"/>
      <c r="U11" s="52"/>
      <c r="V11" s="50"/>
      <c r="W11" s="51"/>
      <c r="X11" s="38"/>
    </row>
    <row r="12" spans="1:24">
      <c r="A12" s="38"/>
      <c r="B12" s="38"/>
      <c r="C12" s="39"/>
      <c r="D12" s="38"/>
      <c r="E12" s="40"/>
      <c r="F12" s="41"/>
      <c r="G12" s="42"/>
      <c r="H12" s="43"/>
      <c r="I12" s="44"/>
      <c r="J12" s="38"/>
      <c r="K12" s="45"/>
      <c r="L12" s="46"/>
      <c r="M12" s="38"/>
      <c r="N12" s="38"/>
      <c r="O12" s="38"/>
      <c r="P12" s="47"/>
      <c r="Q12" s="38"/>
      <c r="R12" s="48"/>
      <c r="S12" s="48"/>
      <c r="T12" s="48"/>
      <c r="U12" s="52"/>
      <c r="V12" s="50"/>
      <c r="W12" s="51"/>
      <c r="X12" s="38"/>
    </row>
    <row r="13" spans="1:24">
      <c r="A13" s="38"/>
      <c r="B13" s="38"/>
      <c r="C13" s="39"/>
      <c r="D13" s="38"/>
      <c r="E13" s="40"/>
      <c r="F13" s="41"/>
      <c r="G13" s="42"/>
      <c r="H13" s="43"/>
      <c r="I13" s="44"/>
      <c r="J13" s="38"/>
      <c r="K13" s="45"/>
      <c r="L13" s="46"/>
      <c r="M13" s="45"/>
      <c r="N13" s="45"/>
      <c r="O13" s="45"/>
      <c r="P13" s="47"/>
      <c r="Q13" s="54"/>
      <c r="R13" s="48"/>
      <c r="S13" s="48"/>
      <c r="T13" s="48"/>
      <c r="U13" s="52"/>
      <c r="V13" s="50"/>
      <c r="W13" s="51"/>
      <c r="X13" s="38"/>
    </row>
    <row r="14" spans="1:24">
      <c r="A14" s="38"/>
      <c r="B14" s="38"/>
      <c r="C14" s="39"/>
      <c r="D14" s="38"/>
      <c r="E14" s="40"/>
      <c r="F14" s="41"/>
      <c r="G14" s="42"/>
      <c r="H14" s="43"/>
      <c r="I14" s="44"/>
      <c r="J14" s="38"/>
      <c r="K14" s="45"/>
      <c r="L14" s="46"/>
      <c r="M14" s="38"/>
      <c r="N14" s="38"/>
      <c r="O14" s="38"/>
      <c r="P14" s="47"/>
      <c r="Q14" s="38"/>
      <c r="R14" s="48"/>
      <c r="S14" s="48"/>
      <c r="T14" s="48"/>
      <c r="U14" s="52"/>
      <c r="V14" s="50"/>
      <c r="W14" s="51"/>
      <c r="X14" s="38"/>
    </row>
    <row r="15" spans="1:24">
      <c r="A15" s="38"/>
      <c r="B15" s="38"/>
      <c r="C15" s="39"/>
      <c r="D15" s="38"/>
      <c r="E15" s="40"/>
      <c r="F15" s="41"/>
      <c r="G15" s="42"/>
      <c r="H15" s="44"/>
      <c r="I15" s="43"/>
      <c r="J15" s="43"/>
      <c r="K15" s="45"/>
      <c r="L15" s="46"/>
      <c r="M15" s="38"/>
      <c r="N15" s="38"/>
      <c r="O15" s="38"/>
      <c r="P15" s="47"/>
      <c r="Q15" s="38"/>
      <c r="R15" s="48"/>
      <c r="S15" s="48"/>
      <c r="T15" s="48"/>
      <c r="U15" s="52"/>
      <c r="V15" s="50"/>
      <c r="W15" s="51"/>
      <c r="X15" s="38"/>
    </row>
    <row r="16" spans="1:24">
      <c r="A16" s="38"/>
      <c r="B16" s="38"/>
      <c r="C16" s="39"/>
      <c r="D16" s="38"/>
      <c r="E16" s="40"/>
      <c r="F16" s="41"/>
      <c r="G16" s="42"/>
      <c r="H16" s="38"/>
      <c r="I16" s="44"/>
      <c r="J16" s="38"/>
      <c r="K16" s="45"/>
      <c r="L16" s="46"/>
      <c r="M16" s="38"/>
      <c r="N16" s="38"/>
      <c r="O16" s="38"/>
      <c r="P16" s="47"/>
      <c r="Q16" s="38"/>
      <c r="R16" s="48"/>
      <c r="S16" s="48"/>
      <c r="T16" s="48"/>
      <c r="U16" s="52"/>
      <c r="V16" s="50"/>
      <c r="W16" s="51"/>
      <c r="X16" s="38"/>
    </row>
    <row r="17" spans="1:24">
      <c r="A17" s="38"/>
      <c r="B17" s="38"/>
      <c r="C17" s="39"/>
      <c r="D17" s="38"/>
      <c r="E17" s="40"/>
      <c r="F17" s="41"/>
      <c r="G17" s="42"/>
      <c r="H17" s="43"/>
      <c r="I17" s="44"/>
      <c r="J17" s="38"/>
      <c r="K17" s="45"/>
      <c r="L17" s="46"/>
      <c r="M17" s="38"/>
      <c r="N17" s="38"/>
      <c r="O17" s="38"/>
      <c r="P17" s="47"/>
      <c r="Q17" s="38"/>
      <c r="R17" s="48"/>
      <c r="S17" s="48"/>
      <c r="T17" s="48"/>
      <c r="U17" s="52"/>
      <c r="V17" s="50"/>
      <c r="W17" s="51"/>
      <c r="X17" s="38"/>
    </row>
    <row r="18" spans="1:24">
      <c r="A18" s="38"/>
      <c r="B18" s="38"/>
      <c r="C18" s="39"/>
      <c r="D18" s="38"/>
      <c r="E18" s="40"/>
      <c r="F18" s="41"/>
      <c r="G18" s="42"/>
      <c r="H18" s="43"/>
      <c r="I18" s="44"/>
      <c r="J18" s="38"/>
      <c r="K18" s="45"/>
      <c r="L18" s="46"/>
      <c r="M18" s="38"/>
      <c r="N18" s="38"/>
      <c r="O18" s="38"/>
      <c r="P18" s="47"/>
      <c r="Q18" s="38"/>
      <c r="R18" s="48"/>
      <c r="S18" s="48"/>
      <c r="T18" s="48"/>
      <c r="U18" s="52"/>
      <c r="V18" s="50"/>
      <c r="W18" s="51"/>
      <c r="X18" s="38"/>
    </row>
    <row r="19" spans="1:24">
      <c r="A19" s="38"/>
      <c r="B19" s="38"/>
      <c r="C19" s="39"/>
      <c r="D19" s="38"/>
      <c r="E19" s="40"/>
      <c r="F19" s="41"/>
      <c r="G19" s="42"/>
      <c r="H19" s="43"/>
      <c r="I19" s="44"/>
      <c r="J19" s="38"/>
      <c r="K19" s="45"/>
      <c r="L19" s="46"/>
      <c r="M19" s="38"/>
      <c r="N19" s="38"/>
      <c r="O19" s="38"/>
      <c r="P19" s="47"/>
      <c r="Q19" s="38"/>
      <c r="R19" s="48"/>
      <c r="S19" s="48"/>
      <c r="T19" s="48"/>
      <c r="U19" s="52"/>
      <c r="V19" s="50"/>
      <c r="W19" s="51"/>
      <c r="X19" s="38"/>
    </row>
    <row r="20" spans="1:24">
      <c r="A20" s="38"/>
      <c r="B20" s="38"/>
      <c r="C20" s="38"/>
      <c r="D20" s="38"/>
      <c r="E20" s="40"/>
      <c r="F20" s="41"/>
      <c r="G20" s="42"/>
      <c r="H20" s="43"/>
      <c r="I20" s="44"/>
      <c r="J20" s="38"/>
      <c r="K20" s="45"/>
      <c r="L20" s="46"/>
      <c r="M20" s="38"/>
      <c r="N20" s="38"/>
      <c r="O20" s="38"/>
      <c r="P20" s="38"/>
      <c r="Q20" s="38"/>
      <c r="R20" s="48"/>
      <c r="S20" s="48"/>
      <c r="T20" s="48"/>
      <c r="U20" s="52"/>
      <c r="V20" s="50"/>
      <c r="W20" s="51"/>
      <c r="X20" s="38"/>
    </row>
    <row r="21" spans="1:24">
      <c r="A21" s="38"/>
      <c r="B21" s="38"/>
      <c r="C21" s="38"/>
      <c r="D21" s="38"/>
      <c r="E21" s="40"/>
      <c r="F21" s="41"/>
      <c r="G21" s="42"/>
      <c r="H21" s="43"/>
      <c r="I21" s="44"/>
      <c r="J21" s="38"/>
      <c r="K21" s="45"/>
      <c r="L21" s="46"/>
      <c r="M21" s="38"/>
      <c r="N21" s="38"/>
      <c r="O21" s="38"/>
      <c r="P21" s="38"/>
      <c r="Q21" s="38"/>
      <c r="R21" s="48"/>
      <c r="S21" s="48"/>
      <c r="T21" s="48"/>
      <c r="U21" s="52"/>
      <c r="V21" s="50"/>
      <c r="W21" s="51"/>
      <c r="X21" s="38"/>
    </row>
    <row r="22" spans="1:24">
      <c r="A22" s="38"/>
      <c r="B22" s="38"/>
      <c r="C22" s="38"/>
      <c r="D22" s="38"/>
      <c r="E22" s="40"/>
      <c r="F22" s="41"/>
      <c r="G22" s="42"/>
      <c r="H22" s="43"/>
      <c r="I22" s="44"/>
      <c r="J22" s="38"/>
      <c r="K22" s="45"/>
      <c r="L22" s="46"/>
      <c r="M22" s="38"/>
      <c r="N22" s="38"/>
      <c r="O22" s="38"/>
      <c r="P22" s="38"/>
      <c r="Q22" s="38"/>
      <c r="R22" s="48"/>
      <c r="S22" s="48"/>
      <c r="T22" s="48"/>
      <c r="U22" s="52"/>
      <c r="V22" s="50"/>
      <c r="W22" s="51"/>
      <c r="X22" s="38"/>
    </row>
    <row r="23" spans="1:24">
      <c r="A23" s="38"/>
      <c r="B23" s="38"/>
      <c r="C23" s="38"/>
      <c r="D23" s="38"/>
      <c r="E23" s="40"/>
      <c r="F23" s="41"/>
      <c r="G23" s="42"/>
      <c r="H23" s="43"/>
      <c r="I23" s="44"/>
      <c r="J23" s="38"/>
      <c r="K23" s="45"/>
      <c r="L23" s="46"/>
      <c r="M23" s="38"/>
      <c r="N23" s="38"/>
      <c r="O23" s="38"/>
      <c r="P23" s="38"/>
      <c r="Q23" s="38"/>
      <c r="R23" s="48"/>
      <c r="S23" s="48"/>
      <c r="T23" s="48"/>
      <c r="U23" s="52"/>
      <c r="V23" s="50"/>
      <c r="W23" s="51"/>
      <c r="X23" s="38"/>
    </row>
    <row r="24" spans="1:24">
      <c r="A24" s="38"/>
      <c r="B24" s="38"/>
      <c r="C24" s="38"/>
      <c r="D24" s="38"/>
      <c r="E24" s="40"/>
      <c r="F24" s="41"/>
      <c r="G24" s="42"/>
      <c r="H24" s="43"/>
      <c r="I24" s="44"/>
      <c r="J24" s="38"/>
      <c r="K24" s="45"/>
      <c r="L24" s="46"/>
      <c r="M24" s="45"/>
      <c r="N24" s="45"/>
      <c r="O24" s="45"/>
      <c r="P24" s="38"/>
      <c r="Q24" s="55"/>
      <c r="R24" s="48"/>
      <c r="S24" s="48"/>
      <c r="T24" s="48"/>
      <c r="U24" s="52"/>
      <c r="V24" s="50"/>
      <c r="W24" s="51"/>
      <c r="X24" s="38"/>
    </row>
    <row r="25" spans="1:24">
      <c r="A25" s="38"/>
      <c r="B25" s="38"/>
      <c r="C25" s="38"/>
      <c r="D25" s="38"/>
      <c r="E25" s="40"/>
      <c r="F25" s="41"/>
      <c r="G25" s="42"/>
      <c r="H25" s="43"/>
      <c r="I25" s="44"/>
      <c r="J25" s="38"/>
      <c r="K25" s="45"/>
      <c r="L25" s="46"/>
      <c r="M25" s="45"/>
      <c r="N25" s="45"/>
      <c r="O25" s="45"/>
      <c r="P25" s="38"/>
      <c r="Q25" s="55"/>
      <c r="R25" s="48"/>
      <c r="S25" s="48"/>
      <c r="T25" s="48"/>
      <c r="U25" s="52"/>
      <c r="V25" s="50"/>
      <c r="W25" s="51"/>
      <c r="X25" s="38"/>
    </row>
    <row r="26" spans="1:24">
      <c r="A26" s="38"/>
      <c r="B26" s="38"/>
      <c r="C26" s="38"/>
      <c r="D26" s="38"/>
      <c r="E26" s="40"/>
      <c r="F26" s="41"/>
      <c r="G26" s="42"/>
      <c r="H26" s="43"/>
      <c r="I26" s="44"/>
      <c r="J26" s="38"/>
      <c r="K26" s="45"/>
      <c r="L26" s="46"/>
      <c r="M26" s="45"/>
      <c r="N26" s="45"/>
      <c r="O26" s="45"/>
      <c r="P26" s="38"/>
      <c r="Q26" s="55"/>
      <c r="R26" s="48"/>
      <c r="S26" s="48"/>
      <c r="T26" s="48"/>
      <c r="U26" s="52"/>
      <c r="V26" s="50"/>
      <c r="W26" s="51"/>
      <c r="X26" s="38"/>
    </row>
    <row r="27" spans="1:24">
      <c r="A27" s="38"/>
      <c r="B27" s="38"/>
      <c r="C27" s="38"/>
      <c r="D27" s="38"/>
      <c r="E27" s="40"/>
      <c r="F27" s="41"/>
      <c r="G27" s="42"/>
      <c r="H27" s="43"/>
      <c r="I27" s="44"/>
      <c r="J27" s="38"/>
      <c r="K27" s="45"/>
      <c r="L27" s="46"/>
      <c r="M27" s="45"/>
      <c r="N27" s="45"/>
      <c r="O27" s="38"/>
      <c r="P27" s="38"/>
      <c r="Q27" s="38"/>
      <c r="R27" s="48"/>
      <c r="S27" s="48"/>
      <c r="T27" s="48"/>
      <c r="U27" s="52"/>
      <c r="V27" s="50"/>
      <c r="W27" s="51"/>
      <c r="X27" s="38"/>
    </row>
    <row r="28" spans="1:24">
      <c r="A28" s="38"/>
      <c r="B28" s="38"/>
      <c r="C28" s="38"/>
      <c r="D28" s="38"/>
      <c r="E28" s="40"/>
      <c r="F28" s="41"/>
      <c r="G28" s="42"/>
      <c r="H28" s="43"/>
      <c r="I28" s="44"/>
      <c r="J28" s="38"/>
      <c r="K28" s="45"/>
      <c r="L28" s="46"/>
      <c r="M28" s="45"/>
      <c r="N28" s="45"/>
      <c r="O28" s="38"/>
      <c r="P28" s="38"/>
      <c r="Q28" s="38"/>
      <c r="R28" s="48"/>
      <c r="S28" s="48"/>
      <c r="T28" s="48"/>
      <c r="U28" s="52"/>
      <c r="V28" s="50"/>
      <c r="W28" s="51"/>
      <c r="X28" s="38"/>
    </row>
    <row r="29" spans="1:24">
      <c r="A29" s="38"/>
      <c r="B29" s="38"/>
      <c r="C29" s="38"/>
      <c r="D29" s="38"/>
      <c r="E29" s="40"/>
      <c r="F29" s="41"/>
      <c r="G29" s="42"/>
      <c r="H29" s="43"/>
      <c r="I29" s="44"/>
      <c r="J29" s="38"/>
      <c r="K29" s="45"/>
      <c r="L29" s="46"/>
      <c r="M29" s="45"/>
      <c r="N29" s="45"/>
      <c r="O29" s="45"/>
      <c r="P29" s="38"/>
      <c r="Q29" s="55"/>
      <c r="R29" s="48"/>
      <c r="S29" s="48"/>
      <c r="T29" s="48"/>
      <c r="U29" s="52"/>
      <c r="V29" s="50"/>
      <c r="W29" s="51"/>
      <c r="X29" s="38"/>
    </row>
    <row r="30" spans="1:24">
      <c r="A30" s="38"/>
      <c r="B30" s="38"/>
      <c r="C30" s="38"/>
      <c r="D30" s="38"/>
      <c r="E30" s="40"/>
      <c r="F30" s="41"/>
      <c r="G30" s="42"/>
      <c r="H30" s="43"/>
      <c r="I30" s="44"/>
      <c r="J30" s="38"/>
      <c r="K30" s="45"/>
      <c r="L30" s="46"/>
      <c r="M30" s="45"/>
      <c r="N30" s="45"/>
      <c r="O30" s="45"/>
      <c r="P30" s="38"/>
      <c r="Q30" s="55"/>
      <c r="R30" s="48"/>
      <c r="S30" s="48"/>
      <c r="T30" s="48"/>
      <c r="U30" s="52"/>
      <c r="V30" s="50"/>
      <c r="W30" s="51"/>
      <c r="X30" s="38"/>
    </row>
    <row r="31" spans="1:24">
      <c r="A31" s="38"/>
      <c r="B31" s="38"/>
      <c r="C31" s="38"/>
      <c r="D31" s="38"/>
      <c r="E31" s="40"/>
      <c r="F31" s="41"/>
      <c r="G31" s="42"/>
      <c r="H31" s="43"/>
      <c r="I31" s="44"/>
      <c r="J31" s="38"/>
      <c r="K31" s="45"/>
      <c r="L31" s="46"/>
      <c r="M31" s="45"/>
      <c r="N31" s="45"/>
      <c r="O31" s="45"/>
      <c r="P31" s="38"/>
      <c r="Q31" s="55"/>
      <c r="R31" s="48"/>
      <c r="S31" s="48"/>
      <c r="T31" s="48"/>
      <c r="U31" s="52"/>
      <c r="V31" s="50"/>
      <c r="W31" s="51"/>
      <c r="X31" s="53"/>
    </row>
    <row r="32" spans="1:24">
      <c r="A32" s="38"/>
      <c r="B32" s="38"/>
      <c r="C32" s="38"/>
      <c r="D32" s="38"/>
      <c r="E32" s="40"/>
      <c r="F32" s="41"/>
      <c r="G32" s="42"/>
      <c r="H32" s="43"/>
      <c r="I32" s="44"/>
      <c r="J32" s="38"/>
      <c r="K32" s="45"/>
      <c r="L32" s="46"/>
      <c r="M32" s="45"/>
      <c r="N32" s="45"/>
      <c r="O32" s="45"/>
      <c r="P32" s="38"/>
      <c r="Q32" s="55"/>
      <c r="R32" s="48"/>
      <c r="S32" s="48"/>
      <c r="T32" s="48"/>
      <c r="U32" s="52"/>
      <c r="V32" s="50"/>
      <c r="W32" s="51"/>
      <c r="X32" s="53"/>
    </row>
    <row r="33" spans="1:24">
      <c r="A33" s="38"/>
      <c r="B33" s="38"/>
      <c r="C33" s="38"/>
      <c r="D33" s="38"/>
      <c r="E33" s="40"/>
      <c r="F33" s="41"/>
      <c r="G33" s="42"/>
      <c r="H33" s="43"/>
      <c r="I33" s="44"/>
      <c r="J33" s="38"/>
      <c r="K33" s="45"/>
      <c r="L33" s="46"/>
      <c r="M33" s="45"/>
      <c r="N33" s="45"/>
      <c r="O33" s="45"/>
      <c r="P33" s="38"/>
      <c r="Q33" s="55"/>
      <c r="R33" s="48"/>
      <c r="S33" s="48"/>
      <c r="T33" s="48"/>
      <c r="U33" s="52"/>
      <c r="V33" s="50"/>
      <c r="W33" s="51"/>
      <c r="X33" s="53"/>
    </row>
    <row r="34" spans="1:24">
      <c r="A34" s="38"/>
      <c r="B34" s="38"/>
      <c r="C34" s="38"/>
      <c r="D34" s="38"/>
      <c r="E34" s="40"/>
      <c r="F34" s="41"/>
      <c r="G34" s="42"/>
      <c r="H34" s="43"/>
      <c r="I34" s="44"/>
      <c r="J34" s="38"/>
      <c r="K34" s="45"/>
      <c r="L34" s="46"/>
      <c r="M34" s="45"/>
      <c r="N34" s="45"/>
      <c r="O34" s="45"/>
      <c r="P34" s="38"/>
      <c r="Q34" s="55"/>
      <c r="R34" s="48"/>
      <c r="S34" s="48"/>
      <c r="T34" s="48"/>
      <c r="U34" s="52"/>
      <c r="V34" s="50"/>
      <c r="W34" s="51"/>
      <c r="X34" s="53"/>
    </row>
    <row r="35" spans="1:24">
      <c r="A35" s="38"/>
      <c r="B35" s="38"/>
      <c r="C35" s="38"/>
      <c r="D35" s="38"/>
      <c r="E35" s="40"/>
      <c r="F35" s="41"/>
      <c r="G35" s="42"/>
      <c r="H35" s="43"/>
      <c r="I35" s="44"/>
      <c r="J35" s="38"/>
      <c r="K35" s="45"/>
      <c r="L35" s="46"/>
      <c r="M35" s="45"/>
      <c r="N35" s="45"/>
      <c r="O35" s="56"/>
      <c r="P35" s="38"/>
      <c r="Q35" s="38"/>
      <c r="R35" s="48"/>
      <c r="S35" s="48"/>
      <c r="T35" s="48"/>
      <c r="U35" s="52"/>
      <c r="V35" s="50"/>
      <c r="W35" s="51"/>
      <c r="X35" s="38"/>
    </row>
    <row r="36" spans="1:24">
      <c r="A36" s="38"/>
      <c r="B36" s="38"/>
      <c r="C36" s="38"/>
      <c r="D36" s="38"/>
      <c r="E36" s="40"/>
      <c r="F36" s="41"/>
      <c r="G36" s="42"/>
      <c r="H36" s="43"/>
      <c r="I36" s="57"/>
      <c r="J36" s="38"/>
      <c r="K36" s="45"/>
      <c r="L36" s="46"/>
      <c r="M36" s="45"/>
      <c r="N36" s="45"/>
      <c r="O36" s="45"/>
      <c r="P36" s="38"/>
      <c r="Q36" s="55"/>
      <c r="R36" s="48"/>
      <c r="S36" s="48"/>
      <c r="T36" s="48"/>
      <c r="U36" s="52"/>
      <c r="V36" s="50"/>
      <c r="W36" s="51"/>
      <c r="X36" s="38"/>
    </row>
    <row r="37" spans="1:24">
      <c r="A37" s="38"/>
      <c r="B37" s="38"/>
      <c r="C37" s="38"/>
      <c r="D37" s="38"/>
      <c r="E37" s="40"/>
      <c r="F37" s="41"/>
      <c r="G37" s="42"/>
      <c r="H37" s="43"/>
      <c r="I37" s="57"/>
      <c r="J37" s="38"/>
      <c r="K37" s="45"/>
      <c r="L37" s="46"/>
      <c r="M37" s="45"/>
      <c r="N37" s="45"/>
      <c r="O37" s="45"/>
      <c r="P37" s="38"/>
      <c r="Q37" s="55"/>
      <c r="R37" s="48"/>
      <c r="S37" s="48"/>
      <c r="T37" s="48"/>
      <c r="U37" s="52"/>
      <c r="V37" s="50"/>
      <c r="W37" s="51"/>
      <c r="X37" s="38"/>
    </row>
    <row r="38" spans="1:24">
      <c r="A38" s="38"/>
      <c r="B38" s="38"/>
      <c r="C38" s="38"/>
      <c r="D38" s="38"/>
      <c r="E38" s="40"/>
      <c r="F38" s="41"/>
      <c r="G38" s="42"/>
      <c r="H38" s="43"/>
      <c r="I38" s="57"/>
      <c r="J38" s="38"/>
      <c r="K38" s="45"/>
      <c r="L38" s="46"/>
      <c r="M38" s="45"/>
      <c r="N38" s="45"/>
      <c r="O38" s="45"/>
      <c r="P38" s="38"/>
      <c r="Q38" s="55"/>
      <c r="R38" s="48"/>
      <c r="S38" s="48"/>
      <c r="T38" s="48"/>
      <c r="U38" s="52"/>
      <c r="V38" s="50"/>
      <c r="W38" s="51"/>
      <c r="X38" s="38"/>
    </row>
    <row r="39" spans="1:24">
      <c r="A39" s="38"/>
      <c r="B39" s="38"/>
      <c r="C39" s="38"/>
      <c r="D39" s="38"/>
      <c r="E39" s="40"/>
      <c r="F39" s="41"/>
      <c r="G39" s="42"/>
      <c r="H39" s="43"/>
      <c r="I39" s="44"/>
      <c r="J39" s="38"/>
      <c r="K39" s="45"/>
      <c r="L39" s="46"/>
      <c r="M39" s="45"/>
      <c r="N39" s="45"/>
      <c r="O39" s="56"/>
      <c r="P39" s="38"/>
      <c r="Q39" s="38"/>
      <c r="R39" s="48"/>
      <c r="S39" s="48"/>
      <c r="T39" s="48"/>
      <c r="U39" s="52"/>
      <c r="V39" s="50"/>
      <c r="W39" s="51"/>
      <c r="X39" s="38"/>
    </row>
    <row r="40" spans="1:24">
      <c r="A40" s="38"/>
      <c r="B40" s="38"/>
      <c r="C40" s="38"/>
      <c r="D40" s="38"/>
      <c r="E40" s="40"/>
      <c r="F40" s="41"/>
      <c r="G40" s="42"/>
      <c r="H40" s="43"/>
      <c r="I40" s="44"/>
      <c r="J40" s="38"/>
      <c r="K40" s="45"/>
      <c r="L40" s="46"/>
      <c r="M40" s="45"/>
      <c r="N40" s="45"/>
      <c r="O40" s="56"/>
      <c r="P40" s="38"/>
      <c r="Q40" s="38"/>
      <c r="R40" s="48"/>
      <c r="S40" s="48"/>
      <c r="T40" s="48"/>
      <c r="U40" s="52"/>
      <c r="V40" s="50"/>
      <c r="W40" s="51"/>
      <c r="X40" s="38"/>
    </row>
    <row r="41" spans="1:24">
      <c r="A41" s="38"/>
      <c r="B41" s="38"/>
      <c r="C41" s="38"/>
      <c r="D41" s="38"/>
      <c r="E41" s="40"/>
      <c r="F41" s="41"/>
      <c r="G41" s="42"/>
      <c r="H41" s="43"/>
      <c r="I41" s="44"/>
      <c r="J41" s="38"/>
      <c r="K41" s="45"/>
      <c r="L41" s="46"/>
      <c r="M41" s="45"/>
      <c r="N41" s="45"/>
      <c r="O41" s="56"/>
      <c r="P41" s="38"/>
      <c r="Q41" s="38"/>
      <c r="R41" s="48"/>
      <c r="S41" s="48"/>
      <c r="T41" s="48"/>
      <c r="U41" s="52"/>
      <c r="V41" s="50"/>
      <c r="W41" s="51"/>
      <c r="X41" s="38"/>
    </row>
    <row r="42" spans="1:24">
      <c r="A42" s="38"/>
      <c r="B42" s="38"/>
      <c r="C42" s="38"/>
      <c r="D42" s="38"/>
      <c r="E42" s="40"/>
      <c r="F42" s="41"/>
      <c r="G42" s="42"/>
      <c r="H42" s="43"/>
      <c r="I42" s="44"/>
      <c r="J42" s="38"/>
      <c r="K42" s="45"/>
      <c r="L42" s="46"/>
      <c r="M42" s="45"/>
      <c r="N42" s="45"/>
      <c r="O42" s="45"/>
      <c r="P42" s="38"/>
      <c r="Q42" s="55"/>
      <c r="R42" s="48"/>
      <c r="S42" s="48"/>
      <c r="T42" s="48"/>
      <c r="U42" s="52"/>
      <c r="V42" s="50"/>
      <c r="W42" s="51"/>
      <c r="X42" s="53"/>
    </row>
    <row r="43" spans="1:24">
      <c r="A43" s="38"/>
      <c r="B43" s="38"/>
      <c r="C43" s="38"/>
      <c r="D43" s="38"/>
      <c r="E43" s="40"/>
      <c r="F43" s="41"/>
      <c r="G43" s="42"/>
      <c r="H43" s="43"/>
      <c r="I43" s="44"/>
      <c r="J43" s="38"/>
      <c r="K43" s="45"/>
      <c r="L43" s="46"/>
      <c r="M43" s="45"/>
      <c r="N43" s="45"/>
      <c r="O43" s="45"/>
      <c r="P43" s="38"/>
      <c r="Q43" s="55"/>
      <c r="R43" s="48"/>
      <c r="S43" s="48"/>
      <c r="T43" s="48"/>
      <c r="U43" s="52"/>
      <c r="V43" s="50"/>
      <c r="W43" s="51"/>
      <c r="X43" s="53"/>
    </row>
    <row r="44" spans="1:24">
      <c r="A44" s="38"/>
      <c r="B44" s="38"/>
      <c r="C44" s="38"/>
      <c r="D44" s="38"/>
      <c r="E44" s="40"/>
      <c r="F44" s="41"/>
      <c r="G44" s="42"/>
      <c r="H44" s="43"/>
      <c r="I44" s="44"/>
      <c r="J44" s="38"/>
      <c r="K44" s="45"/>
      <c r="L44" s="46"/>
      <c r="M44" s="45"/>
      <c r="N44" s="45"/>
      <c r="O44" s="45"/>
      <c r="P44" s="38"/>
      <c r="Q44" s="55"/>
      <c r="R44" s="48"/>
      <c r="S44" s="48"/>
      <c r="T44" s="48"/>
      <c r="U44" s="52"/>
      <c r="V44" s="50"/>
      <c r="W44" s="51"/>
      <c r="X44" s="53"/>
    </row>
    <row r="45" spans="1:24">
      <c r="A45" s="38"/>
      <c r="B45" s="38"/>
      <c r="C45" s="38"/>
      <c r="D45" s="38"/>
      <c r="E45" s="40"/>
      <c r="F45" s="41"/>
      <c r="G45" s="42"/>
      <c r="H45" s="43"/>
      <c r="I45" s="44"/>
      <c r="J45" s="38"/>
      <c r="K45" s="45"/>
      <c r="L45" s="46"/>
      <c r="M45" s="45"/>
      <c r="N45" s="45"/>
      <c r="O45" s="45"/>
      <c r="P45" s="38"/>
      <c r="Q45" s="55"/>
      <c r="R45" s="48"/>
      <c r="S45" s="48"/>
      <c r="T45" s="48"/>
      <c r="U45" s="52"/>
      <c r="V45" s="50"/>
      <c r="W45" s="51"/>
      <c r="X45" s="53"/>
    </row>
    <row r="46" spans="1:24">
      <c r="A46" s="38"/>
      <c r="B46" s="38"/>
      <c r="C46" s="38"/>
      <c r="D46" s="38"/>
      <c r="E46" s="40"/>
      <c r="F46" s="41"/>
      <c r="G46" s="42"/>
      <c r="H46" s="43"/>
      <c r="I46" s="44"/>
      <c r="J46" s="38"/>
      <c r="K46" s="45"/>
      <c r="L46" s="46"/>
      <c r="M46" s="45"/>
      <c r="N46" s="45"/>
      <c r="O46" s="56"/>
      <c r="P46" s="38"/>
      <c r="Q46" s="38"/>
      <c r="R46" s="48"/>
      <c r="S46" s="48"/>
      <c r="T46" s="48"/>
      <c r="U46" s="52"/>
      <c r="V46" s="50"/>
      <c r="W46" s="51"/>
      <c r="X46" s="53"/>
    </row>
    <row r="47" spans="1:24">
      <c r="A47" s="38"/>
      <c r="B47" s="38"/>
      <c r="C47" s="38"/>
      <c r="D47" s="38"/>
      <c r="E47" s="40"/>
      <c r="F47" s="41"/>
      <c r="G47" s="42"/>
      <c r="H47" s="43"/>
      <c r="I47" s="44"/>
      <c r="J47" s="38"/>
      <c r="K47" s="45"/>
      <c r="L47" s="46"/>
      <c r="M47" s="45"/>
      <c r="N47" s="45"/>
      <c r="O47" s="56"/>
      <c r="P47" s="38"/>
      <c r="Q47" s="38"/>
      <c r="R47" s="48"/>
      <c r="S47" s="48"/>
      <c r="T47" s="48"/>
      <c r="U47" s="52"/>
      <c r="V47" s="50"/>
      <c r="W47" s="51"/>
      <c r="X47" s="38"/>
    </row>
    <row r="48" spans="1:24">
      <c r="A48" s="38"/>
      <c r="B48" s="38"/>
      <c r="C48" s="38"/>
      <c r="D48" s="38"/>
      <c r="E48" s="40"/>
      <c r="F48" s="41"/>
      <c r="G48" s="42"/>
      <c r="H48" s="43"/>
      <c r="I48" s="44"/>
      <c r="J48" s="38"/>
      <c r="K48" s="45"/>
      <c r="L48" s="46"/>
      <c r="M48" s="45"/>
      <c r="N48" s="45"/>
      <c r="O48" s="45"/>
      <c r="P48" s="38"/>
      <c r="Q48" s="55"/>
      <c r="R48" s="48"/>
      <c r="S48" s="48"/>
      <c r="T48" s="48"/>
      <c r="U48" s="52"/>
      <c r="V48" s="50"/>
      <c r="W48" s="51"/>
      <c r="X48" s="53"/>
    </row>
    <row r="49" spans="1:24">
      <c r="A49" s="38"/>
      <c r="B49" s="38"/>
      <c r="C49" s="38"/>
      <c r="D49" s="38"/>
      <c r="E49" s="40"/>
      <c r="F49" s="41"/>
      <c r="G49" s="42"/>
      <c r="H49" s="43"/>
      <c r="I49" s="44"/>
      <c r="J49" s="38"/>
      <c r="K49" s="45"/>
      <c r="L49" s="46"/>
      <c r="M49" s="45"/>
      <c r="N49" s="45"/>
      <c r="O49" s="45"/>
      <c r="P49" s="38"/>
      <c r="Q49" s="55"/>
      <c r="R49" s="48"/>
      <c r="S49" s="48"/>
      <c r="T49" s="48"/>
      <c r="U49" s="52"/>
      <c r="V49" s="50"/>
      <c r="W49" s="51"/>
      <c r="X49" s="53"/>
    </row>
    <row r="50" spans="1:24">
      <c r="A50" s="38"/>
      <c r="B50" s="38"/>
      <c r="C50" s="38"/>
      <c r="D50" s="38"/>
      <c r="E50" s="40"/>
      <c r="F50" s="41"/>
      <c r="G50" s="42"/>
      <c r="H50" s="43"/>
      <c r="I50" s="44"/>
      <c r="J50" s="38"/>
      <c r="K50" s="45"/>
      <c r="L50" s="46"/>
      <c r="M50" s="45"/>
      <c r="N50" s="45"/>
      <c r="O50" s="45"/>
      <c r="P50" s="38"/>
      <c r="Q50" s="55"/>
      <c r="R50" s="48"/>
      <c r="S50" s="48"/>
      <c r="T50" s="48"/>
      <c r="U50" s="52"/>
      <c r="V50" s="50"/>
      <c r="W50" s="51"/>
      <c r="X50" s="53"/>
    </row>
    <row r="51" spans="1:24">
      <c r="A51" s="38"/>
      <c r="B51" s="38"/>
      <c r="C51" s="38"/>
      <c r="D51" s="38"/>
      <c r="E51" s="40"/>
      <c r="F51" s="41"/>
      <c r="G51" s="42"/>
      <c r="H51" s="43"/>
      <c r="I51" s="44"/>
      <c r="J51" s="38"/>
      <c r="K51" s="45"/>
      <c r="L51" s="46"/>
      <c r="M51" s="45"/>
      <c r="N51" s="45"/>
      <c r="O51" s="45"/>
      <c r="P51" s="38"/>
      <c r="Q51" s="55"/>
      <c r="R51" s="48"/>
      <c r="S51" s="48"/>
      <c r="T51" s="48"/>
      <c r="U51" s="52"/>
      <c r="V51" s="50"/>
      <c r="W51" s="51"/>
      <c r="X51" s="53"/>
    </row>
    <row r="52" spans="1:24">
      <c r="A52" s="38"/>
      <c r="B52" s="38"/>
      <c r="C52" s="38"/>
      <c r="D52" s="38"/>
      <c r="E52" s="40"/>
      <c r="F52" s="41"/>
      <c r="G52" s="42"/>
      <c r="H52" s="43"/>
      <c r="I52" s="44"/>
      <c r="J52" s="38"/>
      <c r="K52" s="45"/>
      <c r="L52" s="46"/>
      <c r="M52" s="45"/>
      <c r="N52" s="45"/>
      <c r="O52" s="38"/>
      <c r="P52" s="38"/>
      <c r="Q52" s="38"/>
      <c r="R52" s="48"/>
      <c r="S52" s="48"/>
      <c r="T52" s="48"/>
      <c r="U52" s="52"/>
      <c r="V52" s="50"/>
      <c r="W52" s="51"/>
      <c r="X52" s="38"/>
    </row>
    <row r="53" spans="1:24">
      <c r="A53" s="38"/>
      <c r="B53" s="38"/>
      <c r="C53" s="38"/>
      <c r="D53" s="38"/>
      <c r="E53" s="40"/>
      <c r="F53" s="41"/>
      <c r="G53" s="42"/>
      <c r="H53" s="43"/>
      <c r="I53" s="44"/>
      <c r="J53" s="38"/>
      <c r="K53" s="45"/>
      <c r="L53" s="46"/>
      <c r="M53" s="45"/>
      <c r="N53" s="45"/>
      <c r="O53" s="45"/>
      <c r="P53" s="38"/>
      <c r="Q53" s="55"/>
      <c r="R53" s="48"/>
      <c r="S53" s="48"/>
      <c r="T53" s="48"/>
      <c r="U53" s="52"/>
      <c r="V53" s="50"/>
      <c r="W53" s="51"/>
      <c r="X53" s="38"/>
    </row>
    <row r="54" spans="1:24">
      <c r="A54" s="38"/>
      <c r="B54" s="38"/>
      <c r="C54" s="38"/>
      <c r="D54" s="38"/>
      <c r="E54" s="40"/>
      <c r="F54" s="41"/>
      <c r="G54" s="42"/>
      <c r="H54" s="43"/>
      <c r="I54" s="44"/>
      <c r="J54" s="38"/>
      <c r="K54" s="45"/>
      <c r="L54" s="46"/>
      <c r="M54" s="45"/>
      <c r="N54" s="45"/>
      <c r="O54" s="45"/>
      <c r="P54" s="38"/>
      <c r="Q54" s="55"/>
      <c r="R54" s="48"/>
      <c r="S54" s="48"/>
      <c r="T54" s="48"/>
      <c r="U54" s="52"/>
      <c r="V54" s="50"/>
      <c r="W54" s="51"/>
      <c r="X54" s="38"/>
    </row>
    <row r="55" spans="1:24">
      <c r="A55" s="38"/>
      <c r="B55" s="38"/>
      <c r="C55" s="38"/>
      <c r="D55" s="38"/>
      <c r="E55" s="40"/>
      <c r="F55" s="41"/>
      <c r="G55" s="42"/>
      <c r="H55" s="43"/>
      <c r="I55" s="44"/>
      <c r="J55" s="38"/>
      <c r="K55" s="45"/>
      <c r="L55" s="46"/>
      <c r="M55" s="45"/>
      <c r="N55" s="45"/>
      <c r="O55" s="45"/>
      <c r="P55" s="38"/>
      <c r="Q55" s="55"/>
      <c r="R55" s="48"/>
      <c r="S55" s="48"/>
      <c r="T55" s="48"/>
      <c r="U55" s="52"/>
      <c r="V55" s="50"/>
      <c r="W55" s="51"/>
      <c r="X55" s="38"/>
    </row>
    <row r="56" spans="1:24">
      <c r="A56" s="38"/>
      <c r="B56" s="38"/>
      <c r="C56" s="38"/>
      <c r="D56" s="38"/>
      <c r="E56" s="40"/>
      <c r="F56" s="41"/>
      <c r="G56" s="42"/>
      <c r="H56" s="43"/>
      <c r="I56" s="44"/>
      <c r="J56" s="38"/>
      <c r="K56" s="45"/>
      <c r="L56" s="46"/>
      <c r="M56" s="45"/>
      <c r="N56" s="45"/>
      <c r="O56" s="45"/>
      <c r="P56" s="38"/>
      <c r="Q56" s="55"/>
      <c r="R56" s="48"/>
      <c r="S56" s="48"/>
      <c r="T56" s="48"/>
      <c r="U56" s="52"/>
      <c r="V56" s="50"/>
      <c r="W56" s="51"/>
      <c r="X56" s="38"/>
    </row>
    <row r="57" spans="1:24">
      <c r="A57" s="38"/>
      <c r="B57" s="38"/>
      <c r="C57" s="38"/>
      <c r="D57" s="38"/>
      <c r="E57" s="40"/>
      <c r="F57" s="41"/>
      <c r="G57" s="42"/>
      <c r="H57" s="43"/>
      <c r="I57" s="44"/>
      <c r="J57" s="38"/>
      <c r="K57" s="45"/>
      <c r="L57" s="46"/>
      <c r="M57" s="45"/>
      <c r="N57" s="45"/>
      <c r="O57" s="45"/>
      <c r="P57" s="38"/>
      <c r="Q57" s="55"/>
      <c r="R57" s="48"/>
      <c r="S57" s="48"/>
      <c r="T57" s="48"/>
      <c r="U57" s="52"/>
      <c r="V57" s="50"/>
      <c r="W57" s="51"/>
      <c r="X57" s="38"/>
    </row>
    <row r="58" spans="1:24">
      <c r="A58" s="38"/>
      <c r="B58" s="38"/>
      <c r="C58" s="38"/>
      <c r="D58" s="38"/>
      <c r="E58" s="40"/>
      <c r="F58" s="41"/>
      <c r="G58" s="42"/>
      <c r="H58" s="43"/>
      <c r="I58" s="44"/>
      <c r="J58" s="38"/>
      <c r="K58" s="45"/>
      <c r="L58" s="46"/>
      <c r="M58" s="45"/>
      <c r="N58" s="45"/>
      <c r="O58" s="38"/>
      <c r="P58" s="38"/>
      <c r="Q58" s="38"/>
      <c r="R58" s="48"/>
      <c r="S58" s="48"/>
      <c r="T58" s="48"/>
      <c r="U58" s="52"/>
      <c r="V58" s="50"/>
      <c r="W58" s="51"/>
      <c r="X58" s="38"/>
    </row>
    <row r="59" spans="1:24">
      <c r="A59" s="38"/>
      <c r="B59" s="38"/>
      <c r="C59" s="38"/>
      <c r="D59" s="38"/>
      <c r="E59" s="40"/>
      <c r="F59" s="41"/>
      <c r="G59" s="42"/>
      <c r="H59" s="43"/>
      <c r="I59" s="44"/>
      <c r="J59" s="38"/>
      <c r="K59" s="45"/>
      <c r="L59" s="46"/>
      <c r="M59" s="45"/>
      <c r="N59" s="45"/>
      <c r="O59" s="38"/>
      <c r="P59" s="38"/>
      <c r="Q59" s="38"/>
      <c r="R59" s="48"/>
      <c r="S59" s="48"/>
      <c r="T59" s="48"/>
      <c r="U59" s="52"/>
      <c r="V59" s="50"/>
      <c r="W59" s="51"/>
      <c r="X59" s="38"/>
    </row>
    <row r="60" spans="1:24">
      <c r="A60" s="38"/>
      <c r="B60" s="38"/>
      <c r="C60" s="38"/>
      <c r="D60" s="38"/>
      <c r="E60" s="40"/>
      <c r="F60" s="41"/>
      <c r="G60" s="42"/>
      <c r="H60" s="43"/>
      <c r="I60" s="44"/>
      <c r="J60" s="38"/>
      <c r="K60" s="45"/>
      <c r="L60" s="46"/>
      <c r="M60" s="45"/>
      <c r="N60" s="45"/>
      <c r="O60" s="38"/>
      <c r="P60" s="38"/>
      <c r="Q60" s="38"/>
      <c r="R60" s="48"/>
      <c r="S60" s="48"/>
      <c r="T60" s="48"/>
      <c r="U60" s="52"/>
      <c r="V60" s="50"/>
      <c r="W60" s="51"/>
      <c r="X60" s="38"/>
    </row>
    <row r="61" spans="1:24">
      <c r="A61" s="38"/>
      <c r="B61" s="38"/>
      <c r="C61" s="38"/>
      <c r="D61" s="38"/>
      <c r="E61" s="40"/>
      <c r="F61" s="41"/>
      <c r="G61" s="42"/>
      <c r="H61" s="43"/>
      <c r="I61" s="44"/>
      <c r="J61" s="38"/>
      <c r="K61" s="45"/>
      <c r="L61" s="46"/>
      <c r="M61" s="45"/>
      <c r="N61" s="45"/>
      <c r="O61" s="38"/>
      <c r="P61" s="38"/>
      <c r="Q61" s="38"/>
      <c r="R61" s="48"/>
      <c r="S61" s="48"/>
      <c r="T61" s="48"/>
      <c r="U61" s="52"/>
      <c r="V61" s="50"/>
      <c r="W61" s="51"/>
      <c r="X61" s="38"/>
    </row>
    <row r="62" spans="1:24">
      <c r="A62" s="38"/>
      <c r="B62" s="38"/>
      <c r="C62" s="38"/>
      <c r="D62" s="38"/>
      <c r="E62" s="40"/>
      <c r="F62" s="41"/>
      <c r="G62" s="42"/>
      <c r="H62" s="43"/>
      <c r="I62" s="44"/>
      <c r="J62" s="38"/>
      <c r="K62" s="45"/>
      <c r="L62" s="46"/>
      <c r="M62" s="45"/>
      <c r="N62" s="45"/>
      <c r="O62" s="38"/>
      <c r="P62" s="38"/>
      <c r="Q62" s="38"/>
      <c r="R62" s="48"/>
      <c r="S62" s="48"/>
      <c r="T62" s="48"/>
      <c r="U62" s="52"/>
      <c r="V62" s="50"/>
      <c r="W62" s="51"/>
      <c r="X62" s="38"/>
    </row>
    <row r="63" spans="1:24">
      <c r="A63" s="38"/>
      <c r="B63" s="38"/>
      <c r="C63" s="38"/>
      <c r="D63" s="38"/>
      <c r="E63" s="40"/>
      <c r="F63" s="41"/>
      <c r="G63" s="42"/>
      <c r="H63" s="43"/>
      <c r="I63" s="44"/>
      <c r="J63" s="38"/>
      <c r="K63" s="45"/>
      <c r="L63" s="46"/>
      <c r="M63" s="45"/>
      <c r="N63" s="45"/>
      <c r="O63" s="38"/>
      <c r="P63" s="38"/>
      <c r="Q63" s="38"/>
      <c r="R63" s="48"/>
      <c r="S63" s="48"/>
      <c r="T63" s="48"/>
      <c r="U63" s="52"/>
      <c r="V63" s="50"/>
      <c r="W63" s="51"/>
      <c r="X63" s="38"/>
    </row>
    <row r="64" spans="1:24">
      <c r="A64" s="38"/>
      <c r="B64" s="38"/>
      <c r="C64" s="38"/>
      <c r="D64" s="38"/>
      <c r="E64" s="40"/>
      <c r="F64" s="41"/>
      <c r="G64" s="42"/>
      <c r="H64" s="43"/>
      <c r="I64" s="44"/>
      <c r="J64" s="38"/>
      <c r="K64" s="45"/>
      <c r="L64" s="46"/>
      <c r="M64" s="45"/>
      <c r="N64" s="45"/>
      <c r="O64" s="38"/>
      <c r="P64" s="38"/>
      <c r="Q64" s="38"/>
      <c r="R64" s="48"/>
      <c r="S64" s="48"/>
      <c r="T64" s="48"/>
      <c r="U64" s="52"/>
      <c r="V64" s="50"/>
      <c r="W64" s="51"/>
      <c r="X64" s="38"/>
    </row>
    <row r="65" spans="1:24">
      <c r="A65" s="38"/>
      <c r="B65" s="38"/>
      <c r="C65" s="38"/>
      <c r="D65" s="38"/>
      <c r="E65" s="40"/>
      <c r="F65" s="41"/>
      <c r="G65" s="42"/>
      <c r="H65" s="43"/>
      <c r="I65" s="44"/>
      <c r="J65" s="38"/>
      <c r="K65" s="45"/>
      <c r="L65" s="46"/>
      <c r="M65" s="45"/>
      <c r="N65" s="45"/>
      <c r="O65" s="38"/>
      <c r="P65" s="38"/>
      <c r="Q65" s="38"/>
      <c r="R65" s="48"/>
      <c r="S65" s="48"/>
      <c r="T65" s="48"/>
      <c r="U65" s="52"/>
      <c r="V65" s="50"/>
      <c r="W65" s="51"/>
      <c r="X65" s="38"/>
    </row>
    <row r="66" spans="1:24">
      <c r="A66" s="38"/>
      <c r="B66" s="38"/>
      <c r="C66" s="38"/>
      <c r="D66" s="38"/>
      <c r="E66" s="40"/>
      <c r="F66" s="41"/>
      <c r="G66" s="42"/>
      <c r="H66" s="43"/>
      <c r="I66" s="44"/>
      <c r="J66" s="38"/>
      <c r="K66" s="45"/>
      <c r="L66" s="46"/>
      <c r="M66" s="45"/>
      <c r="N66" s="45"/>
      <c r="O66" s="38"/>
      <c r="P66" s="38"/>
      <c r="Q66" s="38"/>
      <c r="R66" s="48"/>
      <c r="S66" s="48"/>
      <c r="T66" s="48"/>
      <c r="U66" s="52"/>
      <c r="V66" s="50"/>
      <c r="W66" s="51"/>
      <c r="X66" s="38"/>
    </row>
    <row r="67" spans="1:24">
      <c r="A67" s="38"/>
      <c r="B67" s="38"/>
      <c r="C67" s="38"/>
      <c r="D67" s="38"/>
      <c r="E67" s="40"/>
      <c r="F67" s="41"/>
      <c r="G67" s="42"/>
      <c r="H67" s="43"/>
      <c r="I67" s="44"/>
      <c r="J67" s="38"/>
      <c r="K67" s="45"/>
      <c r="L67" s="46"/>
      <c r="M67" s="45"/>
      <c r="N67" s="45"/>
      <c r="O67" s="38"/>
      <c r="P67" s="38"/>
      <c r="Q67" s="38"/>
      <c r="R67" s="48"/>
      <c r="S67" s="48"/>
      <c r="T67" s="48"/>
      <c r="U67" s="52"/>
      <c r="V67" s="50"/>
      <c r="W67" s="51"/>
      <c r="X67" s="38"/>
    </row>
    <row r="68" spans="1:24">
      <c r="A68" s="38"/>
      <c r="B68" s="38"/>
      <c r="C68" s="38"/>
      <c r="D68" s="38"/>
      <c r="E68" s="40"/>
      <c r="F68" s="41"/>
      <c r="G68" s="42"/>
      <c r="H68" s="43"/>
      <c r="I68" s="44"/>
      <c r="J68" s="38"/>
      <c r="K68" s="45"/>
      <c r="L68" s="46"/>
      <c r="M68" s="45"/>
      <c r="N68" s="45"/>
      <c r="O68" s="38"/>
      <c r="P68" s="38"/>
      <c r="Q68" s="38"/>
      <c r="R68" s="48"/>
      <c r="S68" s="48"/>
      <c r="T68" s="48"/>
      <c r="U68" s="52"/>
      <c r="V68" s="50"/>
      <c r="W68" s="51"/>
      <c r="X68" s="38"/>
    </row>
    <row r="69" spans="1:24">
      <c r="A69" s="38"/>
      <c r="B69" s="38"/>
      <c r="C69" s="38"/>
      <c r="D69" s="38"/>
      <c r="E69" s="40"/>
      <c r="F69" s="41"/>
      <c r="G69" s="42"/>
      <c r="H69" s="43"/>
      <c r="I69" s="44"/>
      <c r="J69" s="38"/>
      <c r="K69" s="45"/>
      <c r="L69" s="46"/>
      <c r="M69" s="45"/>
      <c r="N69" s="45"/>
      <c r="O69" s="38"/>
      <c r="P69" s="38"/>
      <c r="Q69" s="38"/>
      <c r="R69" s="48"/>
      <c r="S69" s="48"/>
      <c r="T69" s="48"/>
      <c r="U69" s="52"/>
      <c r="V69" s="50"/>
      <c r="W69" s="51"/>
      <c r="X69" s="38"/>
    </row>
    <row r="70" spans="1:24">
      <c r="A70" s="38"/>
      <c r="B70" s="38"/>
      <c r="C70" s="38"/>
      <c r="D70" s="38"/>
      <c r="E70" s="40"/>
      <c r="F70" s="41"/>
      <c r="G70" s="42"/>
      <c r="H70" s="43"/>
      <c r="I70" s="44"/>
      <c r="J70" s="38"/>
      <c r="K70" s="45"/>
      <c r="L70" s="46"/>
      <c r="M70" s="45"/>
      <c r="N70" s="45"/>
      <c r="O70" s="38"/>
      <c r="P70" s="38"/>
      <c r="Q70" s="38"/>
      <c r="R70" s="48"/>
      <c r="S70" s="48"/>
      <c r="T70" s="48"/>
      <c r="U70" s="52"/>
      <c r="V70" s="50"/>
      <c r="W70" s="51"/>
      <c r="X70" s="38"/>
    </row>
    <row r="71" spans="1:24">
      <c r="A71" s="38"/>
      <c r="B71" s="38"/>
      <c r="C71" s="38"/>
      <c r="D71" s="38"/>
      <c r="E71" s="40"/>
      <c r="F71" s="41"/>
      <c r="G71" s="42"/>
      <c r="H71" s="43"/>
      <c r="I71" s="44"/>
      <c r="J71" s="38"/>
      <c r="K71" s="45"/>
      <c r="L71" s="46"/>
      <c r="M71" s="45"/>
      <c r="N71" s="45"/>
      <c r="O71" s="38"/>
      <c r="P71" s="38"/>
      <c r="Q71" s="38"/>
      <c r="R71" s="48"/>
      <c r="S71" s="48"/>
      <c r="T71" s="48"/>
      <c r="U71" s="52"/>
      <c r="V71" s="50"/>
      <c r="W71" s="51"/>
      <c r="X71" s="38"/>
    </row>
    <row r="72" spans="1:24">
      <c r="A72" s="38"/>
      <c r="B72" s="38"/>
      <c r="C72" s="38"/>
      <c r="D72" s="38"/>
      <c r="E72" s="40"/>
      <c r="F72" s="41"/>
      <c r="G72" s="42"/>
      <c r="H72" s="43"/>
      <c r="I72" s="44"/>
      <c r="J72" s="38"/>
      <c r="K72" s="45"/>
      <c r="L72" s="46"/>
      <c r="M72" s="45"/>
      <c r="N72" s="45"/>
      <c r="O72" s="38"/>
      <c r="P72" s="38"/>
      <c r="Q72" s="38"/>
      <c r="R72" s="48"/>
      <c r="S72" s="48"/>
      <c r="T72" s="48"/>
      <c r="U72" s="52"/>
      <c r="V72" s="50"/>
      <c r="W72" s="51"/>
      <c r="X72" s="38"/>
    </row>
    <row r="73" spans="1:24">
      <c r="A73" s="38"/>
      <c r="B73" s="38"/>
      <c r="C73" s="38"/>
      <c r="D73" s="38"/>
      <c r="E73" s="40"/>
      <c r="F73" s="41"/>
      <c r="G73" s="42"/>
      <c r="H73" s="43"/>
      <c r="I73" s="44"/>
      <c r="J73" s="38"/>
      <c r="K73" s="45"/>
      <c r="L73" s="46"/>
      <c r="M73" s="45"/>
      <c r="N73" s="45"/>
      <c r="O73" s="38"/>
      <c r="P73" s="38"/>
      <c r="Q73" s="38"/>
      <c r="R73" s="48"/>
      <c r="S73" s="48"/>
      <c r="T73" s="48"/>
      <c r="U73" s="52"/>
      <c r="V73" s="50"/>
      <c r="W73" s="51"/>
      <c r="X73" s="38"/>
    </row>
    <row r="74" spans="1:24">
      <c r="A74" s="38"/>
      <c r="B74" s="38"/>
      <c r="C74" s="38"/>
      <c r="D74" s="38"/>
      <c r="E74" s="40"/>
      <c r="F74" s="41"/>
      <c r="G74" s="42"/>
      <c r="H74" s="43"/>
      <c r="I74" s="44"/>
      <c r="J74" s="38"/>
      <c r="K74" s="45"/>
      <c r="L74" s="46"/>
      <c r="M74" s="45"/>
      <c r="N74" s="45"/>
      <c r="O74" s="38"/>
      <c r="P74" s="38"/>
      <c r="Q74" s="38"/>
      <c r="R74" s="48"/>
      <c r="S74" s="48"/>
      <c r="T74" s="48"/>
      <c r="U74" s="52"/>
      <c r="V74" s="50"/>
      <c r="W74" s="51"/>
      <c r="X74" s="38"/>
    </row>
    <row r="75" spans="1:24">
      <c r="A75" s="38"/>
      <c r="B75" s="38"/>
      <c r="C75" s="38"/>
      <c r="D75" s="38"/>
      <c r="E75" s="40"/>
      <c r="F75" s="41"/>
      <c r="G75" s="42"/>
      <c r="H75" s="43"/>
      <c r="I75" s="44"/>
      <c r="J75" s="38"/>
      <c r="K75" s="45"/>
      <c r="L75" s="46"/>
      <c r="M75" s="45"/>
      <c r="N75" s="45"/>
      <c r="O75" s="38"/>
      <c r="P75" s="38"/>
      <c r="Q75" s="38"/>
      <c r="R75" s="48"/>
      <c r="S75" s="48"/>
      <c r="T75" s="48"/>
      <c r="U75" s="52"/>
      <c r="V75" s="50"/>
      <c r="W75" s="51"/>
      <c r="X75" s="38"/>
    </row>
    <row r="76" spans="1:24">
      <c r="A76" s="38"/>
      <c r="B76" s="38"/>
      <c r="C76" s="38"/>
      <c r="D76" s="38"/>
      <c r="E76" s="40"/>
      <c r="F76" s="41"/>
      <c r="G76" s="42"/>
      <c r="H76" s="43"/>
      <c r="I76" s="44"/>
      <c r="J76" s="38"/>
      <c r="K76" s="45"/>
      <c r="L76" s="46"/>
      <c r="M76" s="45"/>
      <c r="N76" s="45"/>
      <c r="O76" s="38"/>
      <c r="P76" s="38"/>
      <c r="Q76" s="38"/>
      <c r="R76" s="48"/>
      <c r="S76" s="48"/>
      <c r="T76" s="48"/>
      <c r="U76" s="52"/>
      <c r="V76" s="50"/>
      <c r="W76" s="51"/>
      <c r="X76" s="38"/>
    </row>
    <row r="77" spans="1:24">
      <c r="A77" s="38"/>
      <c r="B77" s="38"/>
      <c r="C77" s="38"/>
      <c r="D77" s="38"/>
      <c r="E77" s="40"/>
      <c r="F77" s="41"/>
      <c r="G77" s="42"/>
      <c r="H77" s="43"/>
      <c r="I77" s="44"/>
      <c r="J77" s="38"/>
      <c r="K77" s="45"/>
      <c r="L77" s="46"/>
      <c r="M77" s="45"/>
      <c r="N77" s="45"/>
      <c r="O77" s="38"/>
      <c r="P77" s="38"/>
      <c r="Q77" s="38"/>
      <c r="R77" s="48"/>
      <c r="S77" s="48"/>
      <c r="T77" s="48"/>
      <c r="U77" s="52"/>
      <c r="V77" s="50"/>
      <c r="W77" s="51"/>
      <c r="X77" s="38"/>
    </row>
    <row r="78" spans="1:24">
      <c r="A78" s="38"/>
      <c r="B78" s="38"/>
      <c r="C78" s="38"/>
      <c r="D78" s="38"/>
      <c r="E78" s="40"/>
      <c r="F78" s="41"/>
      <c r="G78" s="42"/>
      <c r="H78" s="43"/>
      <c r="I78" s="44"/>
      <c r="J78" s="38"/>
      <c r="K78" s="45"/>
      <c r="L78" s="46"/>
      <c r="M78" s="45"/>
      <c r="N78" s="45"/>
      <c r="O78" s="38"/>
      <c r="P78" s="38"/>
      <c r="Q78" s="38"/>
      <c r="R78" s="48"/>
      <c r="S78" s="48"/>
      <c r="T78" s="48"/>
      <c r="U78" s="52"/>
      <c r="V78" s="50"/>
      <c r="W78" s="51"/>
      <c r="X78" s="38"/>
    </row>
    <row r="79" spans="1:24">
      <c r="A79" s="38"/>
      <c r="B79" s="38"/>
      <c r="C79" s="38"/>
      <c r="D79" s="38"/>
      <c r="E79" s="40"/>
      <c r="F79" s="41"/>
      <c r="G79" s="42"/>
      <c r="H79" s="43"/>
      <c r="I79" s="44"/>
      <c r="J79" s="38"/>
      <c r="K79" s="45"/>
      <c r="L79" s="46"/>
      <c r="M79" s="45"/>
      <c r="N79" s="45"/>
      <c r="O79" s="38"/>
      <c r="P79" s="38"/>
      <c r="Q79" s="38"/>
      <c r="R79" s="48"/>
      <c r="S79" s="48"/>
      <c r="T79" s="48"/>
      <c r="U79" s="52"/>
      <c r="V79" s="50"/>
      <c r="W79" s="51"/>
      <c r="X79" s="38"/>
    </row>
    <row r="80" spans="1:24">
      <c r="A80" s="38"/>
      <c r="B80" s="38"/>
      <c r="C80" s="38"/>
      <c r="D80" s="38"/>
      <c r="E80" s="40"/>
      <c r="F80" s="41"/>
      <c r="G80" s="42"/>
      <c r="H80" s="43"/>
      <c r="I80" s="44"/>
      <c r="J80" s="38"/>
      <c r="K80" s="45"/>
      <c r="L80" s="46"/>
      <c r="M80" s="45"/>
      <c r="N80" s="45"/>
      <c r="O80" s="38"/>
      <c r="P80" s="38"/>
      <c r="Q80" s="38"/>
      <c r="R80" s="48"/>
      <c r="S80" s="48"/>
      <c r="T80" s="48"/>
      <c r="U80" s="52"/>
      <c r="V80" s="50"/>
      <c r="W80" s="51"/>
      <c r="X80" s="38"/>
    </row>
    <row r="81" spans="1:24">
      <c r="A81" s="38"/>
      <c r="B81" s="38"/>
      <c r="C81" s="38"/>
      <c r="D81" s="38"/>
      <c r="E81" s="40"/>
      <c r="F81" s="41"/>
      <c r="G81" s="42"/>
      <c r="H81" s="43"/>
      <c r="I81" s="44"/>
      <c r="J81" s="38"/>
      <c r="K81" s="45"/>
      <c r="L81" s="46"/>
      <c r="M81" s="45"/>
      <c r="N81" s="45"/>
      <c r="O81" s="38"/>
      <c r="P81" s="38"/>
      <c r="Q81" s="38"/>
      <c r="R81" s="48"/>
      <c r="S81" s="48"/>
      <c r="T81" s="48"/>
      <c r="U81" s="52"/>
      <c r="V81" s="50"/>
      <c r="W81" s="51"/>
      <c r="X81" s="38"/>
    </row>
    <row r="82" spans="1:24">
      <c r="A82" s="38"/>
      <c r="B82" s="38"/>
      <c r="C82" s="38"/>
      <c r="D82" s="38"/>
      <c r="E82" s="40"/>
      <c r="F82" s="41"/>
      <c r="G82" s="42"/>
      <c r="H82" s="43"/>
      <c r="I82" s="44"/>
      <c r="J82" s="38"/>
      <c r="K82" s="45"/>
      <c r="L82" s="46"/>
      <c r="M82" s="45"/>
      <c r="N82" s="45"/>
      <c r="O82" s="38"/>
      <c r="P82" s="38"/>
      <c r="Q82" s="38"/>
      <c r="R82" s="48"/>
      <c r="S82" s="48"/>
      <c r="T82" s="48"/>
      <c r="U82" s="52"/>
      <c r="V82" s="50"/>
      <c r="W82" s="51"/>
      <c r="X82" s="38"/>
    </row>
    <row r="83" spans="1:24">
      <c r="A83" s="38"/>
      <c r="B83" s="38"/>
      <c r="C83" s="38"/>
      <c r="D83" s="38"/>
      <c r="E83" s="40"/>
      <c r="F83" s="41"/>
      <c r="G83" s="42"/>
      <c r="H83" s="43"/>
      <c r="I83" s="44"/>
      <c r="J83" s="38"/>
      <c r="K83" s="45"/>
      <c r="L83" s="46"/>
      <c r="M83" s="45"/>
      <c r="N83" s="45"/>
      <c r="O83" s="38"/>
      <c r="P83" s="38"/>
      <c r="Q83" s="38"/>
      <c r="R83" s="48"/>
      <c r="S83" s="48"/>
      <c r="T83" s="48"/>
      <c r="U83" s="52"/>
      <c r="V83" s="50"/>
      <c r="W83" s="51"/>
      <c r="X83" s="38"/>
    </row>
    <row r="84" spans="1:24">
      <c r="A84" s="38"/>
      <c r="B84" s="38"/>
      <c r="C84" s="38"/>
      <c r="D84" s="38"/>
      <c r="E84" s="40"/>
      <c r="F84" s="41"/>
      <c r="G84" s="42"/>
      <c r="H84" s="43"/>
      <c r="I84" s="44"/>
      <c r="J84" s="38"/>
      <c r="K84" s="45"/>
      <c r="L84" s="46"/>
      <c r="M84" s="45"/>
      <c r="N84" s="45"/>
      <c r="O84" s="38"/>
      <c r="P84" s="38"/>
      <c r="Q84" s="38"/>
      <c r="R84" s="48"/>
      <c r="S84" s="48"/>
      <c r="T84" s="48"/>
      <c r="U84" s="52"/>
      <c r="V84" s="50"/>
      <c r="W84" s="51"/>
      <c r="X84" s="38"/>
    </row>
    <row r="85" spans="1:24">
      <c r="A85" s="38"/>
      <c r="B85" s="38"/>
      <c r="C85" s="38"/>
      <c r="D85" s="38"/>
      <c r="E85" s="40"/>
      <c r="F85" s="41"/>
      <c r="G85" s="42"/>
      <c r="H85" s="43"/>
      <c r="I85" s="44"/>
      <c r="J85" s="38"/>
      <c r="K85" s="45"/>
      <c r="L85" s="46"/>
      <c r="M85" s="45"/>
      <c r="N85" s="45"/>
      <c r="O85" s="38"/>
      <c r="P85" s="38"/>
      <c r="Q85" s="38"/>
      <c r="R85" s="48"/>
      <c r="S85" s="48"/>
      <c r="T85" s="48"/>
      <c r="U85" s="52"/>
      <c r="V85" s="50"/>
      <c r="W85" s="51"/>
      <c r="X85" s="38"/>
    </row>
    <row r="86" spans="1:24">
      <c r="A86" s="38"/>
      <c r="B86" s="38"/>
      <c r="C86" s="38"/>
      <c r="D86" s="38"/>
      <c r="E86" s="40"/>
      <c r="F86" s="41"/>
      <c r="G86" s="42"/>
      <c r="H86" s="43"/>
      <c r="I86" s="44"/>
      <c r="J86" s="38"/>
      <c r="K86" s="45"/>
      <c r="L86" s="46"/>
      <c r="M86" s="45"/>
      <c r="N86" s="45"/>
      <c r="O86" s="38"/>
      <c r="P86" s="38"/>
      <c r="Q86" s="38"/>
      <c r="R86" s="48"/>
      <c r="S86" s="48"/>
      <c r="T86" s="48"/>
      <c r="U86" s="52"/>
      <c r="V86" s="50"/>
      <c r="W86" s="51"/>
      <c r="X86" s="38"/>
    </row>
    <row r="87" spans="1:24">
      <c r="A87" s="38"/>
      <c r="B87" s="38"/>
      <c r="C87" s="38"/>
      <c r="D87" s="38"/>
      <c r="E87" s="40"/>
      <c r="F87" s="58"/>
      <c r="G87" s="42"/>
      <c r="H87" s="43"/>
      <c r="I87" s="44"/>
      <c r="J87" s="38"/>
      <c r="K87" s="45"/>
      <c r="L87" s="46"/>
      <c r="M87" s="38"/>
      <c r="N87" s="38"/>
      <c r="O87" s="38"/>
      <c r="P87" s="47"/>
      <c r="Q87" s="47"/>
      <c r="R87" s="59"/>
      <c r="S87" s="48"/>
      <c r="T87" s="48"/>
      <c r="U87" s="52"/>
      <c r="V87" s="50"/>
      <c r="W87" s="51"/>
      <c r="X87" s="38"/>
    </row>
    <row r="88" spans="1:24">
      <c r="A88" s="60"/>
      <c r="B88" s="38"/>
      <c r="C88" s="38"/>
      <c r="D88" s="38"/>
      <c r="E88" s="38"/>
      <c r="F88" s="58"/>
      <c r="G88" s="42"/>
      <c r="H88" s="38"/>
      <c r="I88" s="44"/>
      <c r="J88" s="38"/>
      <c r="K88" s="45"/>
      <c r="L88" s="46"/>
      <c r="M88" s="45"/>
      <c r="N88" s="45"/>
      <c r="O88" s="45"/>
      <c r="P88" s="47"/>
      <c r="Q88" s="54"/>
      <c r="R88" s="59"/>
      <c r="S88" s="48"/>
      <c r="T88" s="48"/>
      <c r="U88" s="52"/>
      <c r="V88" s="50"/>
      <c r="W88" s="51"/>
      <c r="X88" s="38"/>
    </row>
    <row r="89" spans="1:24">
      <c r="A89" s="60"/>
      <c r="B89" s="38"/>
      <c r="C89" s="38"/>
      <c r="D89" s="38"/>
      <c r="E89" s="38"/>
      <c r="F89" s="58"/>
      <c r="G89" s="42"/>
      <c r="H89" s="38"/>
      <c r="I89" s="44"/>
      <c r="J89" s="38"/>
      <c r="K89" s="45"/>
      <c r="L89" s="46"/>
      <c r="M89" s="45"/>
      <c r="N89" s="45"/>
      <c r="O89" s="45"/>
      <c r="P89" s="47"/>
      <c r="Q89" s="54"/>
      <c r="R89" s="59"/>
      <c r="S89" s="48"/>
      <c r="T89" s="48"/>
      <c r="U89" s="52"/>
      <c r="V89" s="50"/>
      <c r="W89" s="51"/>
      <c r="X89" s="38"/>
    </row>
    <row r="90" spans="1:24">
      <c r="A90" s="60"/>
      <c r="B90" s="38"/>
      <c r="C90" s="38"/>
      <c r="D90" s="38"/>
      <c r="E90" s="38"/>
      <c r="F90" s="58"/>
      <c r="G90" s="42"/>
      <c r="H90" s="38"/>
      <c r="I90" s="57"/>
      <c r="J90" s="38"/>
      <c r="K90" s="45"/>
      <c r="L90" s="46"/>
      <c r="M90" s="45"/>
      <c r="N90" s="45"/>
      <c r="O90" s="45"/>
      <c r="P90" s="47"/>
      <c r="Q90" s="54"/>
      <c r="R90" s="59"/>
      <c r="S90" s="48"/>
      <c r="T90" s="48"/>
      <c r="U90" s="52"/>
      <c r="V90" s="50"/>
      <c r="W90" s="51"/>
      <c r="X90" s="38"/>
    </row>
    <row r="91" spans="1:24">
      <c r="A91" s="60"/>
      <c r="B91" s="38"/>
      <c r="C91" s="38"/>
      <c r="D91" s="38"/>
      <c r="E91" s="38"/>
      <c r="F91" s="58"/>
      <c r="G91" s="42"/>
      <c r="H91" s="38"/>
      <c r="I91" s="44"/>
      <c r="J91" s="38"/>
      <c r="K91" s="45"/>
      <c r="L91" s="46"/>
      <c r="M91" s="45"/>
      <c r="N91" s="45"/>
      <c r="O91" s="45"/>
      <c r="P91" s="47"/>
      <c r="Q91" s="54"/>
      <c r="R91" s="59"/>
      <c r="S91" s="48"/>
      <c r="T91" s="48"/>
      <c r="U91" s="52"/>
      <c r="V91" s="50"/>
      <c r="W91" s="51"/>
      <c r="X91" s="38"/>
    </row>
    <row r="92" spans="1:24">
      <c r="A92" s="60"/>
      <c r="B92" s="38"/>
      <c r="C92" s="38"/>
      <c r="D92" s="38"/>
      <c r="E92" s="38"/>
      <c r="F92" s="58"/>
      <c r="G92" s="42"/>
      <c r="H92" s="38"/>
      <c r="I92" s="57"/>
      <c r="J92" s="38"/>
      <c r="K92" s="45"/>
      <c r="L92" s="46"/>
      <c r="M92" s="45"/>
      <c r="N92" s="45"/>
      <c r="O92" s="45"/>
      <c r="P92" s="47"/>
      <c r="Q92" s="54"/>
      <c r="R92" s="59"/>
      <c r="S92" s="48"/>
      <c r="T92" s="48"/>
      <c r="U92" s="52"/>
      <c r="V92" s="50"/>
      <c r="W92" s="51"/>
      <c r="X92" s="38"/>
    </row>
    <row r="93" spans="1:24">
      <c r="A93" s="60"/>
      <c r="B93" s="38"/>
      <c r="C93" s="38"/>
      <c r="D93" s="38"/>
      <c r="E93" s="38"/>
      <c r="F93" s="58"/>
      <c r="G93" s="42"/>
      <c r="H93" s="38"/>
      <c r="I93" s="57"/>
      <c r="J93" s="38"/>
      <c r="K93" s="45"/>
      <c r="L93" s="46"/>
      <c r="M93" s="45"/>
      <c r="N93" s="45"/>
      <c r="O93" s="45"/>
      <c r="P93" s="47"/>
      <c r="Q93" s="54"/>
      <c r="R93" s="59"/>
      <c r="S93" s="48"/>
      <c r="T93" s="48"/>
      <c r="U93" s="52"/>
      <c r="V93" s="50"/>
      <c r="W93" s="51"/>
      <c r="X93" s="38"/>
    </row>
    <row r="94" spans="1:24">
      <c r="A94" s="60"/>
      <c r="B94" s="38"/>
      <c r="C94" s="38"/>
      <c r="D94" s="38"/>
      <c r="E94" s="38"/>
      <c r="F94" s="58"/>
      <c r="G94" s="42"/>
      <c r="H94" s="38"/>
      <c r="I94" s="44"/>
      <c r="J94" s="38"/>
      <c r="K94" s="45"/>
      <c r="L94" s="46"/>
      <c r="M94" s="45"/>
      <c r="N94" s="45"/>
      <c r="O94" s="45"/>
      <c r="P94" s="47"/>
      <c r="Q94" s="54"/>
      <c r="R94" s="59"/>
      <c r="S94" s="48"/>
      <c r="T94" s="48"/>
      <c r="U94" s="52"/>
      <c r="V94" s="50"/>
      <c r="W94" s="51"/>
      <c r="X94" s="38"/>
    </row>
    <row r="95" spans="1:24">
      <c r="A95" s="60"/>
      <c r="B95" s="38"/>
      <c r="C95" s="38"/>
      <c r="D95" s="38"/>
      <c r="E95" s="38"/>
      <c r="F95" s="58"/>
      <c r="G95" s="42"/>
      <c r="H95" s="38"/>
      <c r="I95" s="44"/>
      <c r="J95" s="38"/>
      <c r="K95" s="45"/>
      <c r="L95" s="46"/>
      <c r="M95" s="45"/>
      <c r="N95" s="45"/>
      <c r="O95" s="45"/>
      <c r="P95" s="47"/>
      <c r="Q95" s="54"/>
      <c r="R95" s="59"/>
      <c r="S95" s="48"/>
      <c r="T95" s="48"/>
      <c r="U95" s="52"/>
      <c r="V95" s="50"/>
      <c r="W95" s="51"/>
      <c r="X95" s="38"/>
    </row>
    <row r="96" spans="1:24">
      <c r="A96" s="60"/>
      <c r="B96" s="38"/>
      <c r="C96" s="38"/>
      <c r="D96" s="38"/>
      <c r="E96" s="38"/>
      <c r="F96" s="58"/>
      <c r="G96" s="42"/>
      <c r="H96" s="38"/>
      <c r="I96" s="44"/>
      <c r="J96" s="38"/>
      <c r="K96" s="45"/>
      <c r="L96" s="46"/>
      <c r="M96" s="45"/>
      <c r="N96" s="45"/>
      <c r="O96" s="45"/>
      <c r="P96" s="47"/>
      <c r="Q96" s="54"/>
      <c r="R96" s="59"/>
      <c r="S96" s="48"/>
      <c r="T96" s="48"/>
      <c r="U96" s="52"/>
      <c r="V96" s="50"/>
      <c r="W96" s="51"/>
      <c r="X96" s="38"/>
    </row>
    <row r="97" spans="1:24">
      <c r="A97" s="60"/>
      <c r="B97" s="38"/>
      <c r="C97" s="38"/>
      <c r="D97" s="38"/>
      <c r="E97" s="38"/>
      <c r="F97" s="58"/>
      <c r="G97" s="42"/>
      <c r="H97" s="38"/>
      <c r="I97" s="44"/>
      <c r="J97" s="38"/>
      <c r="K97" s="45"/>
      <c r="L97" s="46"/>
      <c r="M97" s="45"/>
      <c r="N97" s="45"/>
      <c r="O97" s="45"/>
      <c r="P97" s="47"/>
      <c r="Q97" s="54"/>
      <c r="R97" s="59"/>
      <c r="S97" s="48"/>
      <c r="T97" s="48"/>
      <c r="U97" s="52"/>
      <c r="V97" s="50"/>
      <c r="W97" s="51"/>
      <c r="X97" s="38"/>
    </row>
    <row r="98" spans="1:24">
      <c r="A98" s="60"/>
      <c r="B98" s="38"/>
      <c r="C98" s="38"/>
      <c r="D98" s="38"/>
      <c r="E98" s="38"/>
      <c r="F98" s="58"/>
      <c r="G98" s="42"/>
      <c r="H98" s="38"/>
      <c r="I98" s="44"/>
      <c r="J98" s="38"/>
      <c r="K98" s="45"/>
      <c r="L98" s="46"/>
      <c r="M98" s="45"/>
      <c r="N98" s="45"/>
      <c r="O98" s="45"/>
      <c r="P98" s="47"/>
      <c r="Q98" s="54"/>
      <c r="R98" s="59"/>
      <c r="S98" s="48"/>
      <c r="T98" s="48"/>
      <c r="U98" s="52"/>
      <c r="V98" s="50"/>
      <c r="W98" s="51"/>
      <c r="X98" s="38"/>
    </row>
    <row r="99" spans="1:24">
      <c r="A99" s="60"/>
      <c r="B99" s="38"/>
      <c r="C99" s="38"/>
      <c r="D99" s="38"/>
      <c r="E99" s="38"/>
      <c r="F99" s="58"/>
      <c r="G99" s="42"/>
      <c r="H99" s="38"/>
      <c r="I99" s="44"/>
      <c r="J99" s="38"/>
      <c r="K99" s="45"/>
      <c r="L99" s="46"/>
      <c r="M99" s="45"/>
      <c r="N99" s="45"/>
      <c r="O99" s="45"/>
      <c r="P99" s="47"/>
      <c r="Q99" s="54"/>
      <c r="R99" s="59"/>
      <c r="S99" s="48"/>
      <c r="T99" s="48"/>
      <c r="U99" s="52"/>
      <c r="V99" s="50"/>
      <c r="W99" s="51"/>
      <c r="X99" s="38"/>
    </row>
    <row r="100" spans="1:24">
      <c r="A100" s="60"/>
      <c r="B100" s="38"/>
      <c r="C100" s="38"/>
      <c r="D100" s="38"/>
      <c r="E100" s="38"/>
      <c r="F100" s="58"/>
      <c r="G100" s="42"/>
      <c r="H100" s="38"/>
      <c r="I100" s="44"/>
      <c r="J100" s="38"/>
      <c r="K100" s="45"/>
      <c r="L100" s="46"/>
      <c r="M100" s="45"/>
      <c r="N100" s="45"/>
      <c r="O100" s="45"/>
      <c r="P100" s="47"/>
      <c r="Q100" s="54"/>
      <c r="R100" s="59"/>
      <c r="S100" s="48"/>
      <c r="T100" s="48"/>
      <c r="U100" s="52"/>
      <c r="V100" s="50"/>
      <c r="W100" s="51"/>
      <c r="X100" s="38"/>
    </row>
    <row r="101" spans="1:24">
      <c r="A101" s="60"/>
      <c r="B101" s="38"/>
      <c r="C101" s="38"/>
      <c r="D101" s="38"/>
      <c r="E101" s="38"/>
      <c r="F101" s="58"/>
      <c r="G101" s="42"/>
      <c r="H101" s="38"/>
      <c r="I101" s="44"/>
      <c r="J101" s="38"/>
      <c r="K101" s="45"/>
      <c r="L101" s="46"/>
      <c r="M101" s="45"/>
      <c r="N101" s="45"/>
      <c r="O101" s="45"/>
      <c r="P101" s="47"/>
      <c r="Q101" s="54"/>
      <c r="R101" s="59"/>
      <c r="S101" s="48"/>
      <c r="T101" s="48"/>
      <c r="U101" s="52"/>
      <c r="V101" s="50"/>
      <c r="W101" s="51"/>
      <c r="X101" s="38"/>
    </row>
    <row r="102" spans="1:24">
      <c r="A102" s="38"/>
      <c r="B102" s="38"/>
      <c r="C102" s="38"/>
      <c r="D102" s="38"/>
      <c r="E102" s="40"/>
      <c r="F102" s="41"/>
      <c r="G102" s="42"/>
      <c r="H102" s="43"/>
      <c r="I102" s="44"/>
      <c r="J102" s="38"/>
      <c r="K102" s="45"/>
      <c r="L102" s="46"/>
      <c r="M102" s="38"/>
      <c r="N102" s="38"/>
      <c r="O102" s="38"/>
      <c r="P102" s="38"/>
      <c r="Q102" s="38"/>
      <c r="R102" s="48"/>
      <c r="S102" s="48"/>
      <c r="T102" s="48"/>
      <c r="U102" s="52"/>
      <c r="V102" s="50"/>
      <c r="W102" s="51"/>
      <c r="X102" s="38"/>
    </row>
    <row r="103" spans="1:24">
      <c r="A103" s="38"/>
      <c r="B103" s="38"/>
      <c r="C103" s="38"/>
      <c r="D103" s="38"/>
      <c r="E103" s="40"/>
      <c r="F103" s="41"/>
      <c r="G103" s="42"/>
      <c r="H103" s="43"/>
      <c r="I103" s="44"/>
      <c r="J103" s="38"/>
      <c r="K103" s="45"/>
      <c r="L103" s="46"/>
      <c r="M103" s="38"/>
      <c r="N103" s="38"/>
      <c r="O103" s="38"/>
      <c r="P103" s="38"/>
      <c r="Q103" s="38"/>
      <c r="R103" s="48"/>
      <c r="S103" s="48"/>
      <c r="T103" s="48"/>
      <c r="U103" s="52"/>
      <c r="V103" s="50"/>
      <c r="W103" s="51"/>
      <c r="X103" s="38"/>
    </row>
    <row r="104" spans="1:24">
      <c r="A104" s="38"/>
      <c r="B104" s="38"/>
      <c r="C104" s="38"/>
      <c r="D104" s="38"/>
      <c r="E104" s="40"/>
      <c r="F104" s="58"/>
      <c r="G104" s="42"/>
      <c r="H104" s="43"/>
      <c r="I104" s="44"/>
      <c r="J104" s="38"/>
      <c r="K104" s="45"/>
      <c r="L104" s="46"/>
      <c r="M104" s="38"/>
      <c r="N104" s="38"/>
      <c r="O104" s="38"/>
      <c r="P104" s="47"/>
      <c r="Q104" s="38"/>
      <c r="R104" s="48"/>
      <c r="S104" s="48"/>
      <c r="T104" s="48"/>
      <c r="U104" s="52"/>
      <c r="V104" s="50"/>
      <c r="W104" s="51"/>
      <c r="X104" s="38"/>
    </row>
    <row r="105" spans="1:24">
      <c r="A105" s="38"/>
      <c r="B105" s="38"/>
      <c r="C105" s="38"/>
      <c r="D105" s="38"/>
      <c r="E105" s="40"/>
      <c r="F105" s="58"/>
      <c r="G105" s="42"/>
      <c r="H105" s="43"/>
      <c r="I105" s="44"/>
      <c r="J105" s="38"/>
      <c r="K105" s="45"/>
      <c r="L105" s="46"/>
      <c r="M105" s="45"/>
      <c r="N105" s="45"/>
      <c r="O105" s="45"/>
      <c r="P105" s="47"/>
      <c r="Q105" s="54"/>
      <c r="R105" s="48"/>
      <c r="S105" s="48"/>
      <c r="T105" s="48"/>
      <c r="U105" s="52"/>
      <c r="V105" s="50"/>
      <c r="W105" s="51"/>
      <c r="X105" s="38"/>
    </row>
    <row r="106" spans="1:24">
      <c r="A106" s="38"/>
      <c r="B106" s="38"/>
      <c r="C106" s="38"/>
      <c r="D106" s="38"/>
      <c r="E106" s="40"/>
      <c r="F106" s="58"/>
      <c r="G106" s="42"/>
      <c r="H106" s="43"/>
      <c r="I106" s="44"/>
      <c r="J106" s="38"/>
      <c r="K106" s="45"/>
      <c r="L106" s="46"/>
      <c r="M106" s="45"/>
      <c r="N106" s="45"/>
      <c r="O106" s="45"/>
      <c r="P106" s="47"/>
      <c r="Q106" s="54"/>
      <c r="R106" s="48"/>
      <c r="S106" s="48"/>
      <c r="T106" s="48"/>
      <c r="U106" s="52"/>
      <c r="V106" s="50"/>
      <c r="W106" s="51"/>
      <c r="X106" s="38"/>
    </row>
    <row r="107" spans="1:24">
      <c r="A107" s="38"/>
      <c r="B107" s="38"/>
      <c r="C107" s="38"/>
      <c r="D107" s="38"/>
      <c r="E107" s="40"/>
      <c r="F107" s="58"/>
      <c r="G107" s="42"/>
      <c r="H107" s="43"/>
      <c r="I107" s="44"/>
      <c r="J107" s="38"/>
      <c r="K107" s="45"/>
      <c r="L107" s="46"/>
      <c r="M107" s="45"/>
      <c r="N107" s="45"/>
      <c r="O107" s="45"/>
      <c r="P107" s="47"/>
      <c r="Q107" s="54"/>
      <c r="R107" s="48"/>
      <c r="S107" s="48"/>
      <c r="T107" s="48"/>
      <c r="U107" s="52"/>
      <c r="V107" s="50"/>
      <c r="W107" s="51"/>
      <c r="X107" s="38"/>
    </row>
    <row r="108" spans="1:24">
      <c r="A108" s="38"/>
      <c r="B108" s="38"/>
      <c r="C108" s="38"/>
      <c r="D108" s="38"/>
      <c r="E108" s="40"/>
      <c r="F108" s="58"/>
      <c r="G108" s="42"/>
      <c r="H108" s="43"/>
      <c r="I108" s="44"/>
      <c r="J108" s="38"/>
      <c r="K108" s="45"/>
      <c r="L108" s="46"/>
      <c r="M108" s="45"/>
      <c r="N108" s="45"/>
      <c r="O108" s="45"/>
      <c r="P108" s="47"/>
      <c r="Q108" s="54"/>
      <c r="R108" s="48"/>
      <c r="S108" s="48"/>
      <c r="T108" s="48"/>
      <c r="U108" s="52"/>
      <c r="V108" s="50"/>
      <c r="W108" s="51"/>
      <c r="X108" s="38"/>
    </row>
    <row r="109" spans="1:24">
      <c r="A109" s="38"/>
      <c r="B109" s="38"/>
      <c r="C109" s="38"/>
      <c r="D109" s="38"/>
      <c r="E109" s="40"/>
      <c r="F109" s="58"/>
      <c r="G109" s="42"/>
      <c r="H109" s="43"/>
      <c r="I109" s="44"/>
      <c r="J109" s="38"/>
      <c r="K109" s="45"/>
      <c r="L109" s="46"/>
      <c r="M109" s="45"/>
      <c r="N109" s="45"/>
      <c r="O109" s="45"/>
      <c r="P109" s="47"/>
      <c r="Q109" s="54"/>
      <c r="R109" s="48"/>
      <c r="S109" s="48"/>
      <c r="T109" s="48"/>
      <c r="U109" s="52"/>
      <c r="V109" s="50"/>
      <c r="W109" s="51"/>
      <c r="X109" s="38"/>
    </row>
    <row r="110" spans="1:24">
      <c r="A110" s="38"/>
      <c r="B110" s="38"/>
      <c r="C110" s="38"/>
      <c r="D110" s="38"/>
      <c r="E110" s="40"/>
      <c r="F110" s="58"/>
      <c r="G110" s="42"/>
      <c r="H110" s="43"/>
      <c r="I110" s="44"/>
      <c r="J110" s="38"/>
      <c r="K110" s="45"/>
      <c r="L110" s="46"/>
      <c r="M110" s="45"/>
      <c r="N110" s="45"/>
      <c r="O110" s="45"/>
      <c r="P110" s="47"/>
      <c r="Q110" s="54"/>
      <c r="R110" s="48"/>
      <c r="S110" s="48"/>
      <c r="T110" s="48"/>
      <c r="U110" s="52"/>
      <c r="V110" s="50"/>
      <c r="W110" s="51"/>
      <c r="X110" s="38"/>
    </row>
    <row r="111" spans="1:24">
      <c r="A111" s="38"/>
      <c r="B111" s="38"/>
      <c r="C111" s="38"/>
      <c r="D111" s="38"/>
      <c r="E111" s="40"/>
      <c r="F111" s="58"/>
      <c r="G111" s="42"/>
      <c r="H111" s="43"/>
      <c r="I111" s="44"/>
      <c r="J111" s="38"/>
      <c r="K111" s="45"/>
      <c r="L111" s="46"/>
      <c r="M111" s="45"/>
      <c r="N111" s="45"/>
      <c r="O111" s="45"/>
      <c r="P111" s="47"/>
      <c r="Q111" s="54"/>
      <c r="R111" s="48"/>
      <c r="S111" s="48"/>
      <c r="T111" s="48"/>
      <c r="U111" s="52"/>
      <c r="V111" s="50"/>
      <c r="W111" s="51"/>
      <c r="X111" s="38"/>
    </row>
    <row r="112" spans="1:24">
      <c r="A112" s="38"/>
      <c r="B112" s="38"/>
      <c r="C112" s="38"/>
      <c r="D112" s="38"/>
      <c r="E112" s="40"/>
      <c r="F112" s="41"/>
      <c r="G112" s="42"/>
      <c r="H112" s="43"/>
      <c r="I112" s="44"/>
      <c r="J112" s="38"/>
      <c r="K112" s="45"/>
      <c r="L112" s="46"/>
      <c r="M112" s="38"/>
      <c r="N112" s="38"/>
      <c r="O112" s="38"/>
      <c r="P112" s="38"/>
      <c r="Q112" s="38"/>
      <c r="R112" s="48"/>
      <c r="S112" s="48"/>
      <c r="T112" s="48"/>
      <c r="U112" s="52"/>
      <c r="V112" s="50"/>
      <c r="W112" s="51"/>
      <c r="X112" s="38"/>
    </row>
    <row r="113" spans="1:24">
      <c r="A113" s="38"/>
      <c r="B113" s="38"/>
      <c r="C113" s="38"/>
      <c r="D113" s="38"/>
      <c r="E113" s="40"/>
      <c r="F113" s="41"/>
      <c r="G113" s="42"/>
      <c r="H113" s="43"/>
      <c r="I113" s="44"/>
      <c r="J113" s="38"/>
      <c r="K113" s="45"/>
      <c r="L113" s="46"/>
      <c r="M113" s="38"/>
      <c r="N113" s="38"/>
      <c r="O113" s="38"/>
      <c r="P113" s="38"/>
      <c r="Q113" s="38"/>
      <c r="R113" s="48"/>
      <c r="S113" s="48"/>
      <c r="T113" s="48"/>
      <c r="U113" s="52"/>
      <c r="V113" s="50"/>
      <c r="W113" s="51"/>
      <c r="X113" s="38"/>
    </row>
    <row r="114" spans="1:24">
      <c r="A114" s="38"/>
      <c r="B114" s="38"/>
      <c r="C114" s="38"/>
      <c r="D114" s="38"/>
      <c r="E114" s="40"/>
      <c r="F114" s="41"/>
      <c r="G114" s="42"/>
      <c r="H114" s="43"/>
      <c r="I114" s="44"/>
      <c r="J114" s="38"/>
      <c r="K114" s="45"/>
      <c r="L114" s="46"/>
      <c r="M114" s="38"/>
      <c r="N114" s="38"/>
      <c r="O114" s="38"/>
      <c r="P114" s="38"/>
      <c r="Q114" s="38"/>
      <c r="R114" s="48"/>
      <c r="S114" s="48"/>
      <c r="T114" s="48"/>
      <c r="U114" s="52"/>
      <c r="V114" s="50"/>
      <c r="W114" s="51"/>
      <c r="X114" s="38"/>
    </row>
    <row r="115" spans="1:24">
      <c r="A115" s="38"/>
      <c r="B115" s="38"/>
      <c r="C115" s="38"/>
      <c r="D115" s="38"/>
      <c r="E115" s="40"/>
      <c r="F115" s="58"/>
      <c r="G115" s="42"/>
      <c r="H115" s="43"/>
      <c r="I115" s="44"/>
      <c r="J115" s="38"/>
      <c r="K115" s="45"/>
      <c r="L115" s="46"/>
      <c r="M115" s="38"/>
      <c r="N115" s="38"/>
      <c r="O115" s="38"/>
      <c r="P115" s="38"/>
      <c r="Q115" s="38"/>
      <c r="R115" s="48"/>
      <c r="S115" s="48"/>
      <c r="T115" s="48"/>
      <c r="U115" s="52"/>
      <c r="V115" s="50"/>
      <c r="W115" s="51"/>
      <c r="X115" s="38"/>
    </row>
    <row r="116" spans="1:24">
      <c r="A116" s="38"/>
      <c r="B116" s="38"/>
      <c r="C116" s="38"/>
      <c r="D116" s="38"/>
      <c r="E116" s="40"/>
      <c r="F116" s="41"/>
      <c r="G116" s="42"/>
      <c r="H116" s="43"/>
      <c r="I116" s="44"/>
      <c r="J116" s="38"/>
      <c r="K116" s="45"/>
      <c r="L116" s="46"/>
      <c r="M116" s="38"/>
      <c r="N116" s="38"/>
      <c r="O116" s="38"/>
      <c r="P116" s="38"/>
      <c r="Q116" s="38"/>
      <c r="R116" s="48"/>
      <c r="S116" s="48"/>
      <c r="T116" s="48"/>
      <c r="U116" s="52"/>
      <c r="V116" s="50"/>
      <c r="W116" s="51"/>
      <c r="X116" s="38"/>
    </row>
    <row r="117" spans="1:24">
      <c r="A117" s="38"/>
      <c r="B117" s="38"/>
      <c r="C117" s="38"/>
      <c r="D117" s="38"/>
      <c r="E117" s="40"/>
      <c r="F117" s="58"/>
      <c r="G117" s="42"/>
      <c r="H117" s="43"/>
      <c r="I117" s="44"/>
      <c r="J117" s="38"/>
      <c r="K117" s="45"/>
      <c r="L117" s="46"/>
      <c r="M117" s="38"/>
      <c r="N117" s="38"/>
      <c r="O117" s="38"/>
      <c r="P117" s="38"/>
      <c r="Q117" s="38"/>
      <c r="R117" s="48"/>
      <c r="S117" s="48"/>
      <c r="T117" s="48"/>
      <c r="U117" s="52"/>
      <c r="V117" s="50"/>
      <c r="W117" s="51"/>
      <c r="X117" s="38"/>
    </row>
    <row r="118" spans="1:24">
      <c r="A118" s="38"/>
      <c r="B118" s="38"/>
      <c r="C118" s="38"/>
      <c r="D118" s="38"/>
      <c r="E118" s="40"/>
      <c r="F118" s="58"/>
      <c r="G118" s="42"/>
      <c r="H118" s="43"/>
      <c r="I118" s="44"/>
      <c r="J118" s="38"/>
      <c r="K118" s="45"/>
      <c r="L118" s="46"/>
      <c r="M118" s="38"/>
      <c r="N118" s="38"/>
      <c r="O118" s="38"/>
      <c r="P118" s="38"/>
      <c r="Q118" s="38"/>
      <c r="R118" s="48"/>
      <c r="S118" s="48"/>
      <c r="T118" s="48"/>
      <c r="U118" s="52"/>
      <c r="V118" s="50"/>
      <c r="W118" s="51"/>
      <c r="X118" s="38"/>
    </row>
    <row r="119" spans="1:24">
      <c r="A119" s="38"/>
      <c r="B119" s="38"/>
      <c r="C119" s="38"/>
      <c r="D119" s="38"/>
      <c r="E119" s="40"/>
      <c r="F119" s="41"/>
      <c r="G119" s="42"/>
      <c r="H119" s="43"/>
      <c r="I119" s="44"/>
      <c r="J119" s="38"/>
      <c r="K119" s="45"/>
      <c r="L119" s="46"/>
      <c r="M119" s="38"/>
      <c r="N119" s="38"/>
      <c r="O119" s="38"/>
      <c r="P119" s="38"/>
      <c r="Q119" s="38"/>
      <c r="R119" s="48"/>
      <c r="S119" s="48"/>
      <c r="T119" s="48"/>
      <c r="U119" s="52"/>
      <c r="V119" s="50"/>
      <c r="W119" s="51"/>
      <c r="X119" s="38"/>
    </row>
    <row r="120" spans="1:24">
      <c r="A120" s="38"/>
      <c r="B120" s="38"/>
      <c r="C120" s="38"/>
      <c r="D120" s="38"/>
      <c r="E120" s="40"/>
      <c r="F120" s="41"/>
      <c r="G120" s="42"/>
      <c r="H120" s="43"/>
      <c r="I120" s="44"/>
      <c r="J120" s="38"/>
      <c r="K120" s="45"/>
      <c r="L120" s="46"/>
      <c r="M120" s="38"/>
      <c r="N120" s="38"/>
      <c r="O120" s="38"/>
      <c r="P120" s="38"/>
      <c r="Q120" s="38"/>
      <c r="R120" s="48"/>
      <c r="S120" s="48"/>
      <c r="T120" s="48"/>
      <c r="U120" s="52"/>
      <c r="V120" s="50"/>
      <c r="W120" s="51"/>
      <c r="X120" s="38"/>
    </row>
    <row r="121" spans="1:24">
      <c r="A121" s="38"/>
      <c r="B121" s="38"/>
      <c r="C121" s="38"/>
      <c r="D121" s="38"/>
      <c r="E121" s="40"/>
      <c r="F121" s="41"/>
      <c r="G121" s="42"/>
      <c r="H121" s="43"/>
      <c r="I121" s="44"/>
      <c r="J121" s="38"/>
      <c r="K121" s="45"/>
      <c r="L121" s="46"/>
      <c r="M121" s="38"/>
      <c r="N121" s="38"/>
      <c r="O121" s="38"/>
      <c r="P121" s="38"/>
      <c r="Q121" s="38"/>
      <c r="R121" s="48"/>
      <c r="S121" s="48"/>
      <c r="T121" s="48"/>
      <c r="U121" s="52"/>
      <c r="V121" s="50"/>
      <c r="W121" s="51"/>
      <c r="X121" s="38"/>
    </row>
    <row r="122" spans="1:24">
      <c r="A122" s="38"/>
      <c r="B122" s="38"/>
      <c r="C122" s="38"/>
      <c r="D122" s="38"/>
      <c r="E122" s="40"/>
      <c r="F122" s="61"/>
      <c r="G122" s="42"/>
      <c r="H122" s="43"/>
      <c r="I122" s="44"/>
      <c r="J122" s="38"/>
      <c r="K122" s="45"/>
      <c r="L122" s="46"/>
      <c r="M122" s="38"/>
      <c r="N122" s="38"/>
      <c r="O122" s="38"/>
      <c r="P122" s="38"/>
      <c r="Q122" s="38"/>
      <c r="R122" s="48"/>
      <c r="S122" s="48"/>
      <c r="T122" s="48"/>
      <c r="U122" s="52"/>
      <c r="V122" s="50"/>
      <c r="W122" s="51"/>
      <c r="X122" s="38"/>
    </row>
    <row r="123" spans="1:24">
      <c r="A123" s="38"/>
      <c r="B123" s="38"/>
      <c r="C123" s="38"/>
      <c r="D123" s="38"/>
      <c r="E123" s="40"/>
      <c r="F123" s="61"/>
      <c r="G123" s="42"/>
      <c r="H123" s="43"/>
      <c r="I123" s="44"/>
      <c r="J123" s="38"/>
      <c r="K123" s="45"/>
      <c r="L123" s="46"/>
      <c r="M123" s="38"/>
      <c r="N123" s="38"/>
      <c r="O123" s="38"/>
      <c r="P123" s="38"/>
      <c r="Q123" s="38"/>
      <c r="R123" s="48"/>
      <c r="S123" s="48"/>
      <c r="T123" s="48"/>
      <c r="U123" s="52"/>
      <c r="V123" s="50"/>
      <c r="W123" s="51"/>
      <c r="X123" s="38"/>
    </row>
    <row r="124" spans="1:24">
      <c r="A124" s="38"/>
      <c r="B124" s="38"/>
      <c r="C124" s="38"/>
      <c r="D124" s="38"/>
      <c r="E124" s="40"/>
      <c r="F124" s="61"/>
      <c r="G124" s="42"/>
      <c r="H124" s="43"/>
      <c r="I124" s="44"/>
      <c r="J124" s="38"/>
      <c r="K124" s="45"/>
      <c r="L124" s="46"/>
      <c r="M124" s="45"/>
      <c r="N124" s="45"/>
      <c r="O124" s="45"/>
      <c r="P124" s="47"/>
      <c r="Q124" s="54"/>
      <c r="R124" s="48"/>
      <c r="S124" s="48"/>
      <c r="T124" s="48"/>
      <c r="U124" s="52"/>
      <c r="V124" s="50"/>
      <c r="W124" s="51"/>
      <c r="X124" s="38"/>
    </row>
    <row r="125" spans="1:24">
      <c r="A125" s="38"/>
      <c r="B125" s="38"/>
      <c r="C125" s="38"/>
      <c r="D125" s="38"/>
      <c r="E125" s="40"/>
      <c r="F125" s="61"/>
      <c r="G125" s="42"/>
      <c r="H125" s="43"/>
      <c r="I125" s="44"/>
      <c r="J125" s="38"/>
      <c r="K125" s="45"/>
      <c r="L125" s="46"/>
      <c r="M125" s="45"/>
      <c r="N125" s="45"/>
      <c r="O125" s="45"/>
      <c r="P125" s="47"/>
      <c r="Q125" s="54"/>
      <c r="R125" s="48"/>
      <c r="S125" s="48"/>
      <c r="T125" s="48"/>
      <c r="U125" s="52"/>
      <c r="V125" s="50"/>
      <c r="W125" s="51"/>
      <c r="X125" s="38"/>
    </row>
    <row r="126" spans="1:24">
      <c r="A126" s="38"/>
      <c r="B126" s="38"/>
      <c r="C126" s="38"/>
      <c r="D126" s="38"/>
      <c r="E126" s="40"/>
      <c r="F126" s="61"/>
      <c r="G126" s="42"/>
      <c r="H126" s="43"/>
      <c r="I126" s="44"/>
      <c r="J126" s="38"/>
      <c r="K126" s="45"/>
      <c r="L126" s="46"/>
      <c r="M126" s="45"/>
      <c r="N126" s="45"/>
      <c r="O126" s="45"/>
      <c r="P126" s="47"/>
      <c r="Q126" s="54"/>
      <c r="R126" s="48"/>
      <c r="S126" s="48"/>
      <c r="T126" s="48"/>
      <c r="U126" s="52"/>
      <c r="V126" s="50"/>
      <c r="W126" s="51"/>
      <c r="X126" s="38"/>
    </row>
    <row r="127" spans="1:24">
      <c r="A127" s="38"/>
      <c r="B127" s="38"/>
      <c r="C127" s="38"/>
      <c r="D127" s="38"/>
      <c r="E127" s="40"/>
      <c r="F127" s="61"/>
      <c r="G127" s="42"/>
      <c r="H127" s="43"/>
      <c r="I127" s="44"/>
      <c r="J127" s="38"/>
      <c r="K127" s="45"/>
      <c r="L127" s="46"/>
      <c r="M127" s="45"/>
      <c r="N127" s="45"/>
      <c r="O127" s="45"/>
      <c r="P127" s="47"/>
      <c r="Q127" s="54"/>
      <c r="R127" s="48"/>
      <c r="S127" s="48"/>
      <c r="T127" s="48"/>
      <c r="U127" s="52"/>
      <c r="V127" s="50"/>
      <c r="W127" s="51"/>
      <c r="X127" s="38"/>
    </row>
    <row r="128" spans="1:24">
      <c r="A128" s="38"/>
      <c r="B128" s="38"/>
      <c r="C128" s="38"/>
      <c r="D128" s="38"/>
      <c r="E128" s="40"/>
      <c r="F128" s="61"/>
      <c r="G128" s="42"/>
      <c r="H128" s="43"/>
      <c r="I128" s="44"/>
      <c r="J128" s="38"/>
      <c r="K128" s="45"/>
      <c r="L128" s="46"/>
      <c r="M128" s="45"/>
      <c r="N128" s="45"/>
      <c r="O128" s="45"/>
      <c r="P128" s="47"/>
      <c r="Q128" s="54"/>
      <c r="R128" s="48"/>
      <c r="S128" s="48"/>
      <c r="T128" s="48"/>
      <c r="U128" s="52"/>
      <c r="V128" s="50"/>
      <c r="W128" s="51"/>
      <c r="X128" s="38"/>
    </row>
    <row r="129" spans="1:24">
      <c r="A129" s="38"/>
      <c r="B129" s="38"/>
      <c r="C129" s="38"/>
      <c r="D129" s="38"/>
      <c r="E129" s="40"/>
      <c r="F129" s="61"/>
      <c r="G129" s="42"/>
      <c r="H129" s="43"/>
      <c r="I129" s="44"/>
      <c r="J129" s="38"/>
      <c r="K129" s="45"/>
      <c r="L129" s="46"/>
      <c r="M129" s="45"/>
      <c r="N129" s="45"/>
      <c r="O129" s="45"/>
      <c r="P129" s="47"/>
      <c r="Q129" s="54"/>
      <c r="R129" s="48"/>
      <c r="S129" s="48"/>
      <c r="T129" s="48"/>
      <c r="U129" s="52"/>
      <c r="V129" s="50"/>
      <c r="W129" s="51"/>
      <c r="X129" s="38"/>
    </row>
    <row r="130" spans="1:24">
      <c r="A130" s="38"/>
      <c r="B130" s="38"/>
      <c r="C130" s="38"/>
      <c r="D130" s="38"/>
      <c r="E130" s="40"/>
      <c r="F130" s="61"/>
      <c r="G130" s="42"/>
      <c r="H130" s="43"/>
      <c r="I130" s="44"/>
      <c r="J130" s="38"/>
      <c r="K130" s="45"/>
      <c r="L130" s="46"/>
      <c r="M130" s="45"/>
      <c r="N130" s="45"/>
      <c r="O130" s="45"/>
      <c r="P130" s="47"/>
      <c r="Q130" s="54"/>
      <c r="R130" s="48"/>
      <c r="S130" s="48"/>
      <c r="T130" s="48"/>
      <c r="U130" s="52"/>
      <c r="V130" s="50"/>
      <c r="W130" s="51"/>
      <c r="X130" s="38"/>
    </row>
    <row r="131" spans="1:24">
      <c r="A131" s="38"/>
      <c r="B131" s="38"/>
      <c r="C131" s="38"/>
      <c r="D131" s="38"/>
      <c r="E131" s="40"/>
      <c r="F131" s="61"/>
      <c r="G131" s="42"/>
      <c r="H131" s="43"/>
      <c r="I131" s="44"/>
      <c r="J131" s="38"/>
      <c r="K131" s="45"/>
      <c r="L131" s="46"/>
      <c r="M131" s="45"/>
      <c r="N131" s="45"/>
      <c r="O131" s="45"/>
      <c r="P131" s="47"/>
      <c r="Q131" s="54"/>
      <c r="R131" s="48"/>
      <c r="S131" s="48"/>
      <c r="T131" s="48"/>
      <c r="U131" s="52"/>
      <c r="V131" s="50"/>
      <c r="W131" s="51"/>
      <c r="X131" s="38"/>
    </row>
    <row r="132" spans="1:24">
      <c r="A132" s="38"/>
      <c r="B132" s="38"/>
      <c r="C132" s="38"/>
      <c r="D132" s="38"/>
      <c r="E132" s="40"/>
      <c r="F132" s="61"/>
      <c r="G132" s="42"/>
      <c r="H132" s="43"/>
      <c r="I132" s="44"/>
      <c r="J132" s="38"/>
      <c r="K132" s="45"/>
      <c r="L132" s="46"/>
      <c r="M132" s="45"/>
      <c r="N132" s="45"/>
      <c r="O132" s="45"/>
      <c r="P132" s="47"/>
      <c r="Q132" s="54"/>
      <c r="R132" s="48"/>
      <c r="S132" s="48"/>
      <c r="T132" s="48"/>
      <c r="U132" s="52"/>
      <c r="V132" s="50"/>
      <c r="W132" s="51"/>
      <c r="X132" s="38"/>
    </row>
    <row r="133" spans="1:24">
      <c r="A133" s="38"/>
      <c r="B133" s="38"/>
      <c r="C133" s="38"/>
      <c r="D133" s="38"/>
      <c r="E133" s="40"/>
      <c r="F133" s="61"/>
      <c r="G133" s="42"/>
      <c r="H133" s="43"/>
      <c r="I133" s="44"/>
      <c r="J133" s="38"/>
      <c r="K133" s="45"/>
      <c r="L133" s="46"/>
      <c r="M133" s="45"/>
      <c r="N133" s="45"/>
      <c r="O133" s="45"/>
      <c r="P133" s="47"/>
      <c r="Q133" s="54"/>
      <c r="R133" s="48"/>
      <c r="S133" s="48"/>
      <c r="T133" s="48"/>
      <c r="U133" s="52"/>
      <c r="V133" s="50"/>
      <c r="W133" s="51"/>
      <c r="X133" s="38"/>
    </row>
    <row r="134" spans="1:24">
      <c r="A134" s="38"/>
      <c r="B134" s="38"/>
      <c r="C134" s="38"/>
      <c r="D134" s="38"/>
      <c r="E134" s="38"/>
      <c r="F134" s="38"/>
      <c r="G134" s="46"/>
      <c r="H134" s="38"/>
      <c r="I134" s="57"/>
      <c r="J134" s="38"/>
      <c r="K134" s="38"/>
      <c r="L134" s="46"/>
      <c r="M134" s="45"/>
      <c r="N134" s="45"/>
      <c r="O134" s="45"/>
      <c r="P134" s="47"/>
      <c r="Q134" s="54"/>
      <c r="R134" s="48"/>
      <c r="S134" s="48"/>
      <c r="T134" s="48"/>
      <c r="U134" s="52"/>
      <c r="V134" s="50"/>
      <c r="W134" s="51"/>
      <c r="X134" s="38"/>
    </row>
    <row r="135" spans="1:24">
      <c r="A135" s="38"/>
      <c r="B135" s="38"/>
      <c r="C135" s="38"/>
      <c r="D135" s="38"/>
      <c r="E135" s="40"/>
      <c r="F135" s="61"/>
      <c r="G135" s="42"/>
      <c r="H135" s="43"/>
      <c r="I135" s="44"/>
      <c r="J135" s="38"/>
      <c r="K135" s="45"/>
      <c r="L135" s="46"/>
      <c r="M135" s="38"/>
      <c r="N135" s="38"/>
      <c r="O135" s="38"/>
      <c r="P135" s="38"/>
      <c r="Q135" s="38"/>
      <c r="R135" s="48"/>
      <c r="S135" s="48"/>
      <c r="T135" s="48"/>
      <c r="U135" s="52"/>
      <c r="V135" s="50"/>
      <c r="W135" s="51"/>
      <c r="X135" s="38"/>
    </row>
    <row r="136" spans="1:24">
      <c r="A136" s="38"/>
      <c r="B136" s="38"/>
      <c r="C136" s="38"/>
      <c r="D136" s="38"/>
      <c r="E136" s="40"/>
      <c r="F136" s="58"/>
      <c r="G136" s="42"/>
      <c r="H136" s="43"/>
      <c r="I136" s="44"/>
      <c r="J136" s="38"/>
      <c r="K136" s="45"/>
      <c r="L136" s="46"/>
      <c r="M136" s="38"/>
      <c r="N136" s="38"/>
      <c r="O136" s="38"/>
      <c r="P136" s="38"/>
      <c r="Q136" s="38"/>
      <c r="R136" s="48"/>
      <c r="S136" s="48"/>
      <c r="T136" s="48"/>
      <c r="U136" s="52"/>
      <c r="V136" s="50"/>
      <c r="W136" s="51"/>
      <c r="X136" s="38"/>
    </row>
    <row r="137" spans="1:24">
      <c r="A137" s="38"/>
      <c r="B137" s="38"/>
      <c r="C137" s="38"/>
      <c r="D137" s="38"/>
      <c r="E137" s="40"/>
      <c r="F137" s="58"/>
      <c r="G137" s="42"/>
      <c r="H137" s="43"/>
      <c r="I137" s="44"/>
      <c r="J137" s="38"/>
      <c r="K137" s="45"/>
      <c r="L137" s="46"/>
      <c r="M137" s="38"/>
      <c r="N137" s="38"/>
      <c r="O137" s="38"/>
      <c r="P137" s="38"/>
      <c r="Q137" s="38"/>
      <c r="R137" s="48"/>
      <c r="S137" s="48"/>
      <c r="T137" s="48"/>
      <c r="U137" s="52"/>
      <c r="V137" s="50"/>
      <c r="W137" s="51"/>
      <c r="X137" s="38"/>
    </row>
    <row r="138" spans="1:24">
      <c r="A138" s="38"/>
      <c r="B138" s="38"/>
      <c r="C138" s="38"/>
      <c r="D138" s="38"/>
      <c r="E138" s="40"/>
      <c r="F138" s="58"/>
      <c r="G138" s="42"/>
      <c r="H138" s="43"/>
      <c r="I138" s="44"/>
      <c r="J138" s="38"/>
      <c r="K138" s="45"/>
      <c r="L138" s="46"/>
      <c r="M138" s="38"/>
      <c r="N138" s="38"/>
      <c r="O138" s="38"/>
      <c r="P138" s="38"/>
      <c r="Q138" s="38"/>
      <c r="R138" s="48"/>
      <c r="S138" s="48"/>
      <c r="T138" s="48"/>
      <c r="U138" s="52"/>
      <c r="V138" s="50"/>
      <c r="W138" s="51"/>
      <c r="X138" s="38"/>
    </row>
    <row r="139" spans="1:24">
      <c r="A139" s="38"/>
      <c r="B139" s="38"/>
      <c r="C139" s="38"/>
      <c r="D139" s="38"/>
      <c r="E139" s="40"/>
      <c r="F139" s="58"/>
      <c r="G139" s="42"/>
      <c r="H139" s="43"/>
      <c r="I139" s="44"/>
      <c r="J139" s="38"/>
      <c r="K139" s="45"/>
      <c r="L139" s="46"/>
      <c r="M139" s="38"/>
      <c r="N139" s="38"/>
      <c r="O139" s="38"/>
      <c r="P139" s="38"/>
      <c r="Q139" s="38"/>
      <c r="R139" s="48"/>
      <c r="S139" s="48"/>
      <c r="T139" s="48"/>
      <c r="U139" s="52"/>
      <c r="V139" s="50"/>
      <c r="W139" s="51"/>
      <c r="X139" s="38"/>
    </row>
    <row r="140" spans="1:24">
      <c r="A140" s="38"/>
      <c r="B140" s="38"/>
      <c r="C140" s="38"/>
      <c r="D140" s="38"/>
      <c r="E140" s="40"/>
      <c r="F140" s="41"/>
      <c r="G140" s="42"/>
      <c r="H140" s="43"/>
      <c r="I140" s="44"/>
      <c r="J140" s="38"/>
      <c r="K140" s="45"/>
      <c r="L140" s="46"/>
      <c r="M140" s="38"/>
      <c r="N140" s="38"/>
      <c r="O140" s="38"/>
      <c r="P140" s="38"/>
      <c r="Q140" s="38"/>
      <c r="R140" s="48"/>
      <c r="S140" s="48"/>
      <c r="T140" s="48"/>
      <c r="U140" s="52"/>
      <c r="V140" s="50"/>
      <c r="W140" s="51"/>
      <c r="X140" s="38"/>
    </row>
    <row r="141" spans="1:24">
      <c r="A141" s="38"/>
      <c r="B141" s="38"/>
      <c r="C141" s="38"/>
      <c r="D141" s="38"/>
      <c r="E141" s="40"/>
      <c r="F141" s="41"/>
      <c r="G141" s="42"/>
      <c r="H141" s="43"/>
      <c r="I141" s="44"/>
      <c r="J141" s="38"/>
      <c r="K141" s="45"/>
      <c r="L141" s="46"/>
      <c r="M141" s="38"/>
      <c r="N141" s="38"/>
      <c r="O141" s="38"/>
      <c r="P141" s="38"/>
      <c r="Q141" s="38"/>
      <c r="R141" s="48"/>
      <c r="S141" s="48"/>
      <c r="T141" s="48"/>
      <c r="U141" s="52"/>
      <c r="V141" s="50"/>
      <c r="W141" s="51"/>
      <c r="X141" s="38"/>
    </row>
    <row r="142" spans="1:24">
      <c r="A142" s="38"/>
      <c r="B142" s="38"/>
      <c r="C142" s="38"/>
      <c r="D142" s="38"/>
      <c r="E142" s="40"/>
      <c r="F142" s="41"/>
      <c r="G142" s="42"/>
      <c r="H142" s="43"/>
      <c r="I142" s="44"/>
      <c r="J142" s="38"/>
      <c r="K142" s="45"/>
      <c r="L142" s="46"/>
      <c r="M142" s="38"/>
      <c r="N142" s="38"/>
      <c r="O142" s="38"/>
      <c r="P142" s="38"/>
      <c r="Q142" s="38"/>
      <c r="R142" s="48"/>
      <c r="S142" s="48"/>
      <c r="T142" s="48"/>
      <c r="U142" s="52"/>
      <c r="V142" s="50"/>
      <c r="W142" s="51"/>
      <c r="X142" s="38"/>
    </row>
    <row r="143" spans="1:24">
      <c r="A143" s="38"/>
      <c r="B143" s="38"/>
      <c r="C143" s="38"/>
      <c r="D143" s="38"/>
      <c r="E143" s="40"/>
      <c r="F143" s="41"/>
      <c r="G143" s="42"/>
      <c r="H143" s="43"/>
      <c r="I143" s="44"/>
      <c r="J143" s="38"/>
      <c r="K143" s="45"/>
      <c r="L143" s="46"/>
      <c r="M143" s="38"/>
      <c r="N143" s="38"/>
      <c r="O143" s="38"/>
      <c r="P143" s="38"/>
      <c r="Q143" s="38"/>
      <c r="R143" s="48"/>
      <c r="S143" s="48"/>
      <c r="T143" s="48"/>
      <c r="U143" s="52"/>
      <c r="V143" s="50"/>
      <c r="W143" s="51"/>
      <c r="X143" s="38"/>
    </row>
    <row r="144" spans="1:24">
      <c r="A144" s="38"/>
      <c r="B144" s="38"/>
      <c r="C144" s="38"/>
      <c r="D144" s="38"/>
      <c r="E144" s="40"/>
      <c r="F144" s="61"/>
      <c r="G144" s="42"/>
      <c r="H144" s="43"/>
      <c r="I144" s="44"/>
      <c r="J144" s="38"/>
      <c r="K144" s="45"/>
      <c r="L144" s="46"/>
      <c r="M144" s="38"/>
      <c r="N144" s="38"/>
      <c r="O144" s="38"/>
      <c r="P144" s="38"/>
      <c r="Q144" s="38"/>
      <c r="R144" s="48"/>
      <c r="S144" s="48"/>
      <c r="T144" s="48"/>
      <c r="U144" s="52"/>
      <c r="V144" s="50"/>
      <c r="W144" s="51"/>
      <c r="X144" s="38"/>
    </row>
    <row r="145" spans="1:24">
      <c r="A145" s="38"/>
      <c r="B145" s="38"/>
      <c r="C145" s="38"/>
      <c r="D145" s="38"/>
      <c r="E145" s="40"/>
      <c r="F145" s="41"/>
      <c r="G145" s="42"/>
      <c r="H145" s="43"/>
      <c r="I145" s="44"/>
      <c r="J145" s="38"/>
      <c r="K145" s="45"/>
      <c r="L145" s="46"/>
      <c r="M145" s="38"/>
      <c r="N145" s="38"/>
      <c r="O145" s="38"/>
      <c r="P145" s="38"/>
      <c r="Q145" s="38"/>
      <c r="R145" s="48"/>
      <c r="S145" s="48"/>
      <c r="T145" s="48"/>
      <c r="U145" s="52"/>
      <c r="V145" s="50"/>
      <c r="W145" s="51"/>
      <c r="X145" s="38"/>
    </row>
    <row r="146" spans="1:24">
      <c r="A146" s="38"/>
      <c r="B146" s="38"/>
      <c r="C146" s="38"/>
      <c r="D146" s="38"/>
      <c r="E146" s="40"/>
      <c r="F146" s="58"/>
      <c r="G146" s="42"/>
      <c r="H146" s="43"/>
      <c r="I146" s="44"/>
      <c r="J146" s="38"/>
      <c r="K146" s="45"/>
      <c r="L146" s="46"/>
      <c r="M146" s="38"/>
      <c r="N146" s="38"/>
      <c r="O146" s="38"/>
      <c r="P146" s="38"/>
      <c r="Q146" s="38"/>
      <c r="R146" s="48"/>
      <c r="S146" s="48"/>
      <c r="T146" s="48"/>
      <c r="U146" s="52"/>
      <c r="V146" s="50"/>
      <c r="W146" s="51"/>
      <c r="X146" s="38"/>
    </row>
    <row r="147" spans="1:24">
      <c r="A147" s="38"/>
      <c r="B147" s="38"/>
      <c r="C147" s="38"/>
      <c r="D147" s="38"/>
      <c r="E147" s="40"/>
      <c r="F147" s="41"/>
      <c r="G147" s="42"/>
      <c r="H147" s="43"/>
      <c r="I147" s="44"/>
      <c r="J147" s="38"/>
      <c r="K147" s="45"/>
      <c r="L147" s="46"/>
      <c r="M147" s="38"/>
      <c r="N147" s="38"/>
      <c r="O147" s="38"/>
      <c r="P147" s="38"/>
      <c r="Q147" s="38"/>
      <c r="R147" s="48"/>
      <c r="S147" s="48"/>
      <c r="T147" s="48"/>
      <c r="U147" s="52"/>
      <c r="V147" s="50"/>
      <c r="W147" s="51"/>
      <c r="X147" s="38"/>
    </row>
    <row r="148" spans="1:24">
      <c r="A148" s="38"/>
      <c r="B148" s="38"/>
      <c r="C148" s="38"/>
      <c r="D148" s="38"/>
      <c r="E148" s="40"/>
      <c r="F148" s="58"/>
      <c r="G148" s="42"/>
      <c r="H148" s="43"/>
      <c r="I148" s="44"/>
      <c r="J148" s="38"/>
      <c r="K148" s="45"/>
      <c r="L148" s="46"/>
      <c r="M148" s="38"/>
      <c r="N148" s="38"/>
      <c r="O148" s="38"/>
      <c r="P148" s="38"/>
      <c r="Q148" s="38"/>
      <c r="R148" s="48"/>
      <c r="S148" s="48"/>
      <c r="T148" s="48"/>
      <c r="U148" s="52"/>
      <c r="V148" s="50"/>
      <c r="W148" s="51"/>
      <c r="X148" s="38"/>
    </row>
    <row r="149" spans="1:24">
      <c r="A149" s="38"/>
      <c r="B149" s="38"/>
      <c r="C149" s="38"/>
      <c r="D149" s="38"/>
      <c r="E149" s="40"/>
      <c r="F149" s="58"/>
      <c r="G149" s="42"/>
      <c r="H149" s="43"/>
      <c r="I149" s="44"/>
      <c r="J149" s="38"/>
      <c r="K149" s="45"/>
      <c r="L149" s="46"/>
      <c r="M149" s="38"/>
      <c r="N149" s="38"/>
      <c r="O149" s="38"/>
      <c r="P149" s="38"/>
      <c r="Q149" s="38"/>
      <c r="R149" s="48"/>
      <c r="S149" s="48"/>
      <c r="T149" s="48"/>
      <c r="U149" s="52"/>
      <c r="V149" s="50"/>
      <c r="W149" s="51"/>
      <c r="X149" s="38"/>
    </row>
    <row r="150" spans="1:24">
      <c r="A150" s="38"/>
      <c r="B150" s="38"/>
      <c r="C150" s="38"/>
      <c r="D150" s="38"/>
      <c r="E150" s="40"/>
      <c r="F150" s="41"/>
      <c r="G150" s="42"/>
      <c r="H150" s="43"/>
      <c r="I150" s="44"/>
      <c r="J150" s="38"/>
      <c r="K150" s="45"/>
      <c r="L150" s="46"/>
      <c r="M150" s="38"/>
      <c r="N150" s="38"/>
      <c r="O150" s="38"/>
      <c r="P150" s="38"/>
      <c r="Q150" s="38"/>
      <c r="R150" s="48"/>
      <c r="S150" s="48"/>
      <c r="T150" s="48"/>
      <c r="U150" s="52"/>
      <c r="V150" s="50"/>
      <c r="W150" s="51"/>
      <c r="X150" s="56"/>
    </row>
    <row r="151" spans="1:24">
      <c r="A151" s="38"/>
      <c r="B151" s="38"/>
      <c r="C151" s="38"/>
      <c r="D151" s="38"/>
      <c r="E151" s="40"/>
      <c r="F151" s="58"/>
      <c r="G151" s="42"/>
      <c r="H151" s="43"/>
      <c r="I151" s="44"/>
      <c r="J151" s="38"/>
      <c r="K151" s="45"/>
      <c r="L151" s="46"/>
      <c r="M151" s="38"/>
      <c r="N151" s="38"/>
      <c r="O151" s="38"/>
      <c r="P151" s="38"/>
      <c r="Q151" s="38"/>
      <c r="R151" s="48"/>
      <c r="S151" s="48"/>
      <c r="T151" s="48"/>
      <c r="U151" s="52"/>
      <c r="V151" s="50"/>
      <c r="W151" s="51"/>
      <c r="X151" s="56"/>
    </row>
    <row r="152" spans="1:24">
      <c r="A152" s="38"/>
      <c r="B152" s="38"/>
      <c r="C152" s="38"/>
      <c r="D152" s="38"/>
      <c r="E152" s="40"/>
      <c r="F152" s="58"/>
      <c r="G152" s="42"/>
      <c r="H152" s="43"/>
      <c r="I152" s="44"/>
      <c r="J152" s="38"/>
      <c r="K152" s="45"/>
      <c r="L152" s="46"/>
      <c r="M152" s="38"/>
      <c r="N152" s="38"/>
      <c r="O152" s="38"/>
      <c r="P152" s="38"/>
      <c r="Q152" s="38"/>
      <c r="R152" s="48"/>
      <c r="S152" s="48"/>
      <c r="T152" s="48"/>
      <c r="U152" s="52"/>
      <c r="V152" s="50"/>
      <c r="W152" s="51"/>
      <c r="X152" s="56"/>
    </row>
    <row r="153" spans="1:24">
      <c r="A153" s="38"/>
      <c r="B153" s="38"/>
      <c r="C153" s="38"/>
      <c r="D153" s="38"/>
      <c r="E153" s="40"/>
      <c r="F153" s="58"/>
      <c r="G153" s="42"/>
      <c r="H153" s="43"/>
      <c r="I153" s="44"/>
      <c r="J153" s="38"/>
      <c r="K153" s="45"/>
      <c r="L153" s="46"/>
      <c r="M153" s="38"/>
      <c r="N153" s="38"/>
      <c r="O153" s="38"/>
      <c r="P153" s="38"/>
      <c r="Q153" s="38"/>
      <c r="R153" s="48"/>
      <c r="S153" s="48"/>
      <c r="T153" s="48"/>
      <c r="U153" s="52"/>
      <c r="V153" s="50"/>
      <c r="W153" s="51"/>
      <c r="X153" s="56"/>
    </row>
    <row r="154" spans="1:24">
      <c r="A154" s="38"/>
      <c r="B154" s="38"/>
      <c r="C154" s="38"/>
      <c r="D154" s="38"/>
      <c r="E154" s="40"/>
      <c r="F154" s="61"/>
      <c r="G154" s="42"/>
      <c r="H154" s="43"/>
      <c r="I154" s="44"/>
      <c r="J154" s="38"/>
      <c r="K154" s="45"/>
      <c r="L154" s="46"/>
      <c r="M154" s="38"/>
      <c r="N154" s="38"/>
      <c r="O154" s="38"/>
      <c r="P154" s="38"/>
      <c r="Q154" s="38"/>
      <c r="R154" s="48"/>
      <c r="S154" s="48"/>
      <c r="T154" s="48"/>
      <c r="U154" s="52"/>
      <c r="V154" s="50"/>
      <c r="W154" s="51"/>
      <c r="X154" s="56"/>
    </row>
    <row r="155" spans="1:24">
      <c r="A155" s="38"/>
      <c r="B155" s="38"/>
      <c r="C155" s="38"/>
      <c r="D155" s="38"/>
      <c r="E155" s="40"/>
      <c r="F155" s="41"/>
      <c r="G155" s="42"/>
      <c r="H155" s="43"/>
      <c r="I155" s="44"/>
      <c r="J155" s="38"/>
      <c r="K155" s="45"/>
      <c r="L155" s="46"/>
      <c r="M155" s="38"/>
      <c r="N155" s="38"/>
      <c r="O155" s="38"/>
      <c r="P155" s="38"/>
      <c r="Q155" s="38"/>
      <c r="R155" s="48"/>
      <c r="S155" s="48"/>
      <c r="T155" s="48"/>
      <c r="U155" s="52"/>
      <c r="V155" s="50"/>
      <c r="W155" s="51"/>
      <c r="X155" s="56"/>
    </row>
    <row r="156" spans="1:24">
      <c r="A156" s="38"/>
      <c r="B156" s="38"/>
      <c r="C156" s="38"/>
      <c r="D156" s="38"/>
      <c r="E156" s="40"/>
      <c r="F156" s="41"/>
      <c r="G156" s="42"/>
      <c r="H156" s="43"/>
      <c r="I156" s="44"/>
      <c r="J156" s="38"/>
      <c r="K156" s="45"/>
      <c r="L156" s="46"/>
      <c r="M156" s="38"/>
      <c r="N156" s="38"/>
      <c r="O156" s="38"/>
      <c r="P156" s="38"/>
      <c r="Q156" s="38"/>
      <c r="R156" s="48"/>
      <c r="S156" s="48"/>
      <c r="T156" s="48"/>
      <c r="U156" s="52"/>
      <c r="V156" s="50"/>
      <c r="W156" s="51"/>
      <c r="X156" s="56"/>
    </row>
    <row r="157" spans="1:24">
      <c r="A157" s="38"/>
      <c r="B157" s="38"/>
      <c r="C157" s="38"/>
      <c r="D157" s="38"/>
      <c r="E157" s="40"/>
      <c r="F157" s="58"/>
      <c r="G157" s="42"/>
      <c r="H157" s="43"/>
      <c r="I157" s="44"/>
      <c r="J157" s="38"/>
      <c r="K157" s="45"/>
      <c r="L157" s="46"/>
      <c r="M157" s="38"/>
      <c r="N157" s="38"/>
      <c r="O157" s="38"/>
      <c r="P157" s="38"/>
      <c r="Q157" s="38"/>
      <c r="R157" s="48"/>
      <c r="S157" s="48"/>
      <c r="T157" s="48"/>
      <c r="U157" s="52"/>
      <c r="V157" s="50"/>
      <c r="W157" s="51"/>
      <c r="X157" s="56"/>
    </row>
    <row r="158" spans="1:24">
      <c r="A158" s="38"/>
      <c r="B158" s="38"/>
      <c r="C158" s="38"/>
      <c r="D158" s="38"/>
      <c r="E158" s="40"/>
      <c r="F158" s="58"/>
      <c r="G158" s="42"/>
      <c r="H158" s="43"/>
      <c r="I158" s="44"/>
      <c r="J158" s="38"/>
      <c r="K158" s="45"/>
      <c r="L158" s="46"/>
      <c r="M158" s="38"/>
      <c r="N158" s="38"/>
      <c r="O158" s="38"/>
      <c r="P158" s="38"/>
      <c r="Q158" s="38"/>
      <c r="R158" s="48"/>
      <c r="S158" s="48"/>
      <c r="T158" s="48"/>
      <c r="U158" s="52"/>
      <c r="V158" s="50"/>
      <c r="W158" s="51"/>
      <c r="X158" s="56"/>
    </row>
    <row r="159" spans="1:24">
      <c r="A159" s="38"/>
      <c r="B159" s="38"/>
      <c r="C159" s="38"/>
      <c r="D159" s="38"/>
      <c r="E159" s="40"/>
      <c r="F159" s="58"/>
      <c r="G159" s="42"/>
      <c r="H159" s="43"/>
      <c r="I159" s="44"/>
      <c r="J159" s="38"/>
      <c r="K159" s="45"/>
      <c r="L159" s="46"/>
      <c r="M159" s="38"/>
      <c r="N159" s="38"/>
      <c r="O159" s="38"/>
      <c r="P159" s="38"/>
      <c r="Q159" s="38"/>
      <c r="R159" s="48"/>
      <c r="S159" s="48"/>
      <c r="T159" s="48"/>
      <c r="U159" s="52"/>
      <c r="V159" s="50"/>
      <c r="W159" s="51"/>
      <c r="X159" s="56"/>
    </row>
    <row r="160" spans="1:24">
      <c r="A160" s="38"/>
      <c r="B160" s="38"/>
      <c r="C160" s="38"/>
      <c r="D160" s="38"/>
      <c r="E160" s="40"/>
      <c r="F160" s="58"/>
      <c r="G160" s="42"/>
      <c r="H160" s="43"/>
      <c r="I160" s="44"/>
      <c r="J160" s="38"/>
      <c r="K160" s="45"/>
      <c r="L160" s="46"/>
      <c r="M160" s="38"/>
      <c r="N160" s="38"/>
      <c r="O160" s="38"/>
      <c r="P160" s="38"/>
      <c r="Q160" s="38"/>
      <c r="R160" s="48"/>
      <c r="S160" s="48"/>
      <c r="T160" s="48"/>
      <c r="U160" s="52"/>
      <c r="V160" s="50"/>
      <c r="W160" s="51"/>
      <c r="X160" s="56"/>
    </row>
    <row r="161" spans="1:24">
      <c r="A161" s="38"/>
      <c r="B161" s="38"/>
      <c r="C161" s="38"/>
      <c r="D161" s="38"/>
      <c r="E161" s="40"/>
      <c r="F161" s="61"/>
      <c r="G161" s="42"/>
      <c r="H161" s="43"/>
      <c r="I161" s="44"/>
      <c r="J161" s="38"/>
      <c r="K161" s="45"/>
      <c r="L161" s="46"/>
      <c r="M161" s="38"/>
      <c r="N161" s="38"/>
      <c r="O161" s="38"/>
      <c r="P161" s="38"/>
      <c r="Q161" s="38"/>
      <c r="R161" s="48"/>
      <c r="S161" s="48"/>
      <c r="T161" s="48"/>
      <c r="U161" s="52"/>
      <c r="V161" s="50"/>
      <c r="W161" s="51"/>
      <c r="X161" s="56"/>
    </row>
    <row r="162" spans="1:24">
      <c r="A162" s="38"/>
      <c r="B162" s="38"/>
      <c r="C162" s="38"/>
      <c r="D162" s="38"/>
      <c r="E162" s="40"/>
      <c r="F162" s="41"/>
      <c r="G162" s="42"/>
      <c r="H162" s="43"/>
      <c r="I162" s="44"/>
      <c r="J162" s="38"/>
      <c r="K162" s="45"/>
      <c r="L162" s="46"/>
      <c r="M162" s="38"/>
      <c r="N162" s="38"/>
      <c r="O162" s="38"/>
      <c r="P162" s="38"/>
      <c r="Q162" s="38"/>
      <c r="R162" s="48"/>
      <c r="S162" s="48"/>
      <c r="T162" s="48"/>
      <c r="U162" s="52"/>
      <c r="V162" s="50"/>
      <c r="W162" s="51"/>
      <c r="X162" s="56"/>
    </row>
    <row r="163" spans="1:24">
      <c r="A163" s="38"/>
      <c r="B163" s="38"/>
      <c r="C163" s="38"/>
      <c r="D163" s="38"/>
      <c r="E163" s="40"/>
      <c r="F163" s="61"/>
      <c r="G163" s="42"/>
      <c r="H163" s="43"/>
      <c r="I163" s="44"/>
      <c r="J163" s="38"/>
      <c r="K163" s="45"/>
      <c r="L163" s="46"/>
      <c r="M163" s="38"/>
      <c r="N163" s="38"/>
      <c r="O163" s="38"/>
      <c r="P163" s="38"/>
      <c r="Q163" s="38"/>
      <c r="R163" s="48"/>
      <c r="S163" s="48"/>
      <c r="T163" s="48"/>
      <c r="U163" s="52"/>
      <c r="V163" s="50"/>
      <c r="W163" s="51"/>
      <c r="X163" s="56"/>
    </row>
    <row r="164" spans="1:24">
      <c r="A164" s="38"/>
      <c r="B164" s="38"/>
      <c r="C164" s="38"/>
      <c r="D164" s="38"/>
      <c r="E164" s="40"/>
      <c r="F164" s="58"/>
      <c r="G164" s="42"/>
      <c r="H164" s="43"/>
      <c r="I164" s="44"/>
      <c r="J164" s="38"/>
      <c r="K164" s="45"/>
      <c r="L164" s="46"/>
      <c r="M164" s="38"/>
      <c r="N164" s="38"/>
      <c r="O164" s="38"/>
      <c r="P164" s="38"/>
      <c r="Q164" s="38"/>
      <c r="R164" s="48"/>
      <c r="S164" s="48"/>
      <c r="T164" s="48"/>
      <c r="U164" s="52"/>
      <c r="V164" s="50"/>
      <c r="W164" s="51"/>
      <c r="X164" s="56"/>
    </row>
    <row r="165" spans="1:24">
      <c r="A165" s="38"/>
      <c r="B165" s="38"/>
      <c r="C165" s="38"/>
      <c r="D165" s="38"/>
      <c r="E165" s="40"/>
      <c r="F165" s="61"/>
      <c r="G165" s="42"/>
      <c r="H165" s="43"/>
      <c r="I165" s="44"/>
      <c r="J165" s="38"/>
      <c r="K165" s="45"/>
      <c r="L165" s="46"/>
      <c r="M165" s="38"/>
      <c r="N165" s="38"/>
      <c r="O165" s="38"/>
      <c r="P165" s="38"/>
      <c r="Q165" s="38"/>
      <c r="R165" s="48"/>
      <c r="S165" s="48"/>
      <c r="T165" s="48"/>
      <c r="U165" s="52"/>
      <c r="V165" s="50"/>
      <c r="W165" s="51"/>
      <c r="X165" s="56"/>
    </row>
    <row r="166" spans="1:24">
      <c r="A166" s="38"/>
      <c r="B166" s="38"/>
      <c r="C166" s="38"/>
      <c r="D166" s="38"/>
      <c r="E166" s="40"/>
      <c r="F166" s="61"/>
      <c r="G166" s="42"/>
      <c r="H166" s="43"/>
      <c r="I166" s="44"/>
      <c r="J166" s="38"/>
      <c r="K166" s="45"/>
      <c r="L166" s="46"/>
      <c r="M166" s="38"/>
      <c r="N166" s="38"/>
      <c r="O166" s="38"/>
      <c r="P166" s="38"/>
      <c r="Q166" s="38"/>
      <c r="R166" s="48"/>
      <c r="S166" s="48"/>
      <c r="T166" s="48"/>
      <c r="U166" s="52"/>
      <c r="V166" s="50"/>
      <c r="W166" s="51"/>
      <c r="X166" s="56"/>
    </row>
    <row r="167" spans="1:24">
      <c r="A167" s="38"/>
      <c r="B167" s="38"/>
      <c r="C167" s="38"/>
      <c r="D167" s="38"/>
      <c r="E167" s="40"/>
      <c r="F167" s="61"/>
      <c r="G167" s="42"/>
      <c r="H167" s="43"/>
      <c r="I167" s="44"/>
      <c r="J167" s="38"/>
      <c r="K167" s="45"/>
      <c r="L167" s="46"/>
      <c r="M167" s="38"/>
      <c r="N167" s="38"/>
      <c r="O167" s="38"/>
      <c r="P167" s="38"/>
      <c r="Q167" s="38"/>
      <c r="R167" s="48"/>
      <c r="S167" s="48"/>
      <c r="T167" s="48"/>
      <c r="U167" s="52"/>
      <c r="V167" s="50"/>
      <c r="W167" s="51"/>
      <c r="X167" s="56"/>
    </row>
    <row r="168" spans="1:24">
      <c r="A168" s="38"/>
      <c r="B168" s="38"/>
      <c r="C168" s="38"/>
      <c r="D168" s="38"/>
      <c r="E168" s="40"/>
      <c r="F168" s="61"/>
      <c r="G168" s="42"/>
      <c r="H168" s="43"/>
      <c r="I168" s="44"/>
      <c r="J168" s="38"/>
      <c r="K168" s="45"/>
      <c r="L168" s="46"/>
      <c r="M168" s="38"/>
      <c r="N168" s="38"/>
      <c r="O168" s="38"/>
      <c r="P168" s="38"/>
      <c r="Q168" s="38"/>
      <c r="R168" s="48"/>
      <c r="S168" s="48"/>
      <c r="T168" s="48"/>
      <c r="U168" s="52"/>
      <c r="V168" s="50"/>
      <c r="W168" s="51"/>
      <c r="X168" s="56"/>
    </row>
    <row r="169" spans="1:24">
      <c r="A169" s="38"/>
      <c r="B169" s="38"/>
      <c r="C169" s="38"/>
      <c r="D169" s="38"/>
      <c r="E169" s="40"/>
      <c r="F169" s="58"/>
      <c r="G169" s="42"/>
      <c r="H169" s="43"/>
      <c r="I169" s="44"/>
      <c r="J169" s="38"/>
      <c r="K169" s="45"/>
      <c r="L169" s="46"/>
      <c r="M169" s="38"/>
      <c r="N169" s="38"/>
      <c r="O169" s="38"/>
      <c r="P169" s="38"/>
      <c r="Q169" s="38"/>
      <c r="R169" s="48"/>
      <c r="S169" s="48"/>
      <c r="T169" s="48"/>
      <c r="U169" s="52"/>
      <c r="V169" s="50"/>
      <c r="W169" s="51"/>
      <c r="X169" s="56"/>
    </row>
    <row r="170" spans="1:24">
      <c r="A170" s="38"/>
      <c r="B170" s="38"/>
      <c r="C170" s="38"/>
      <c r="D170" s="38"/>
      <c r="E170" s="40"/>
      <c r="F170" s="61"/>
      <c r="G170" s="42"/>
      <c r="H170" s="43"/>
      <c r="I170" s="44"/>
      <c r="J170" s="38"/>
      <c r="K170" s="45"/>
      <c r="L170" s="46"/>
      <c r="M170" s="38"/>
      <c r="N170" s="38"/>
      <c r="O170" s="38"/>
      <c r="P170" s="38"/>
      <c r="Q170" s="38"/>
      <c r="R170" s="48"/>
      <c r="S170" s="48"/>
      <c r="T170" s="48"/>
      <c r="U170" s="52"/>
      <c r="V170" s="50"/>
      <c r="W170" s="51"/>
      <c r="X170" s="56"/>
    </row>
    <row r="171" spans="1:24">
      <c r="A171" s="38"/>
      <c r="B171" s="38"/>
      <c r="C171" s="38"/>
      <c r="D171" s="38"/>
      <c r="E171" s="40"/>
      <c r="F171" s="41"/>
      <c r="G171" s="42"/>
      <c r="H171" s="43"/>
      <c r="I171" s="44"/>
      <c r="J171" s="38"/>
      <c r="K171" s="45"/>
      <c r="L171" s="46"/>
      <c r="M171" s="38"/>
      <c r="N171" s="38"/>
      <c r="O171" s="38"/>
      <c r="P171" s="38"/>
      <c r="Q171" s="38"/>
      <c r="R171" s="48"/>
      <c r="S171" s="48"/>
      <c r="T171" s="48"/>
      <c r="U171" s="52"/>
      <c r="V171" s="50"/>
      <c r="W171" s="51"/>
      <c r="X171" s="56"/>
    </row>
    <row r="172" spans="1:24">
      <c r="A172" s="38"/>
      <c r="B172" s="38"/>
      <c r="C172" s="38"/>
      <c r="D172" s="38"/>
      <c r="E172" s="40"/>
      <c r="F172" s="58"/>
      <c r="G172" s="42"/>
      <c r="H172" s="43"/>
      <c r="I172" s="44"/>
      <c r="J172" s="38"/>
      <c r="K172" s="45"/>
      <c r="L172" s="46"/>
      <c r="M172" s="38"/>
      <c r="N172" s="38"/>
      <c r="O172" s="38"/>
      <c r="P172" s="38"/>
      <c r="Q172" s="38"/>
      <c r="R172" s="48"/>
      <c r="S172" s="48"/>
      <c r="T172" s="48"/>
      <c r="U172" s="52"/>
      <c r="V172" s="50"/>
      <c r="W172" s="51"/>
      <c r="X172" s="56"/>
    </row>
    <row r="173" spans="1:24">
      <c r="A173" s="38"/>
      <c r="B173" s="38"/>
      <c r="C173" s="38"/>
      <c r="D173" s="38"/>
      <c r="E173" s="40"/>
      <c r="F173" s="58"/>
      <c r="G173" s="42"/>
      <c r="H173" s="43"/>
      <c r="I173" s="44"/>
      <c r="J173" s="38"/>
      <c r="K173" s="45"/>
      <c r="L173" s="46"/>
      <c r="M173" s="38"/>
      <c r="N173" s="38"/>
      <c r="O173" s="38"/>
      <c r="P173" s="38"/>
      <c r="Q173" s="38"/>
      <c r="R173" s="48"/>
      <c r="S173" s="48"/>
      <c r="T173" s="48"/>
      <c r="U173" s="52"/>
      <c r="V173" s="50"/>
      <c r="W173" s="51"/>
      <c r="X173" s="56"/>
    </row>
    <row r="174" spans="1:24">
      <c r="A174" s="38"/>
      <c r="B174" s="38"/>
      <c r="C174" s="38"/>
      <c r="D174" s="38"/>
      <c r="E174" s="40"/>
      <c r="F174" s="41"/>
      <c r="G174" s="42"/>
      <c r="H174" s="43"/>
      <c r="I174" s="44"/>
      <c r="J174" s="38"/>
      <c r="K174" s="45"/>
      <c r="L174" s="46"/>
      <c r="M174" s="38"/>
      <c r="N174" s="38"/>
      <c r="O174" s="38"/>
      <c r="P174" s="38"/>
      <c r="Q174" s="38"/>
      <c r="R174" s="48"/>
      <c r="S174" s="48"/>
      <c r="T174" s="48"/>
      <c r="U174" s="52"/>
      <c r="V174" s="50"/>
      <c r="W174" s="51"/>
      <c r="X174" s="56"/>
    </row>
    <row r="175" spans="1:24">
      <c r="A175" s="38"/>
      <c r="B175" s="38"/>
      <c r="C175" s="38"/>
      <c r="D175" s="38"/>
      <c r="E175" s="40"/>
      <c r="F175" s="58"/>
      <c r="G175" s="42"/>
      <c r="H175" s="43"/>
      <c r="I175" s="44"/>
      <c r="J175" s="38"/>
      <c r="K175" s="45"/>
      <c r="L175" s="46"/>
      <c r="M175" s="38"/>
      <c r="N175" s="38"/>
      <c r="O175" s="38"/>
      <c r="P175" s="38"/>
      <c r="Q175" s="38"/>
      <c r="R175" s="48"/>
      <c r="S175" s="48"/>
      <c r="T175" s="48"/>
      <c r="U175" s="52"/>
      <c r="V175" s="50"/>
      <c r="W175" s="51"/>
      <c r="X175" s="56"/>
    </row>
    <row r="176" spans="1:24">
      <c r="A176" s="38"/>
      <c r="B176" s="38"/>
      <c r="C176" s="38"/>
      <c r="D176" s="38"/>
      <c r="E176" s="40"/>
      <c r="F176" s="58"/>
      <c r="G176" s="42"/>
      <c r="H176" s="43"/>
      <c r="I176" s="44"/>
      <c r="J176" s="38"/>
      <c r="K176" s="45"/>
      <c r="L176" s="46"/>
      <c r="M176" s="38"/>
      <c r="N176" s="38"/>
      <c r="O176" s="38"/>
      <c r="P176" s="38"/>
      <c r="Q176" s="38"/>
      <c r="R176" s="48"/>
      <c r="S176" s="48"/>
      <c r="T176" s="48"/>
      <c r="U176" s="52"/>
      <c r="V176" s="50"/>
      <c r="W176" s="51"/>
      <c r="X176" s="56"/>
    </row>
    <row r="177" spans="1:24">
      <c r="A177" s="38"/>
      <c r="B177" s="38"/>
      <c r="C177" s="38"/>
      <c r="D177" s="38"/>
      <c r="E177" s="40"/>
      <c r="F177" s="41"/>
      <c r="G177" s="42"/>
      <c r="H177" s="43"/>
      <c r="I177" s="44"/>
      <c r="J177" s="38"/>
      <c r="K177" s="45"/>
      <c r="L177" s="46"/>
      <c r="M177" s="38"/>
      <c r="N177" s="38"/>
      <c r="O177" s="38"/>
      <c r="P177" s="38"/>
      <c r="Q177" s="38"/>
      <c r="R177" s="48"/>
      <c r="S177" s="48"/>
      <c r="T177" s="48"/>
      <c r="U177" s="52"/>
      <c r="V177" s="50"/>
      <c r="W177" s="51"/>
      <c r="X177" s="56"/>
    </row>
    <row r="178" spans="1:24">
      <c r="A178" s="38"/>
      <c r="B178" s="38"/>
      <c r="C178" s="38"/>
      <c r="D178" s="38"/>
      <c r="E178" s="40"/>
      <c r="F178" s="41"/>
      <c r="G178" s="42"/>
      <c r="H178" s="43"/>
      <c r="I178" s="44"/>
      <c r="J178" s="38"/>
      <c r="K178" s="45"/>
      <c r="L178" s="46"/>
      <c r="M178" s="38"/>
      <c r="N178" s="38"/>
      <c r="O178" s="38"/>
      <c r="P178" s="38"/>
      <c r="Q178" s="38"/>
      <c r="R178" s="48"/>
      <c r="S178" s="48"/>
      <c r="T178" s="48"/>
      <c r="U178" s="52"/>
      <c r="V178" s="50"/>
      <c r="W178" s="51"/>
      <c r="X178" s="56"/>
    </row>
    <row r="179" spans="1:24">
      <c r="A179" s="38"/>
      <c r="B179" s="38"/>
      <c r="C179" s="38"/>
      <c r="D179" s="38"/>
      <c r="E179" s="40"/>
      <c r="F179" s="58"/>
      <c r="G179" s="42"/>
      <c r="H179" s="43"/>
      <c r="I179" s="44"/>
      <c r="J179" s="38"/>
      <c r="K179" s="45"/>
      <c r="L179" s="46"/>
      <c r="M179" s="38"/>
      <c r="N179" s="38"/>
      <c r="O179" s="38"/>
      <c r="P179" s="38"/>
      <c r="Q179" s="38"/>
      <c r="R179" s="48"/>
      <c r="S179" s="48"/>
      <c r="T179" s="48"/>
      <c r="U179" s="52"/>
      <c r="V179" s="50"/>
      <c r="W179" s="51"/>
      <c r="X179" s="56"/>
    </row>
    <row r="180" spans="1:24">
      <c r="A180" s="38"/>
      <c r="B180" s="38"/>
      <c r="C180" s="38"/>
      <c r="D180" s="38"/>
      <c r="E180" s="40"/>
      <c r="F180" s="58"/>
      <c r="G180" s="42"/>
      <c r="H180" s="43"/>
      <c r="I180" s="44"/>
      <c r="J180" s="38"/>
      <c r="K180" s="45"/>
      <c r="L180" s="46"/>
      <c r="M180" s="38"/>
      <c r="N180" s="38"/>
      <c r="O180" s="38"/>
      <c r="P180" s="38"/>
      <c r="Q180" s="38"/>
      <c r="R180" s="48"/>
      <c r="S180" s="48"/>
      <c r="T180" s="48"/>
      <c r="U180" s="52"/>
      <c r="V180" s="50"/>
      <c r="W180" s="51"/>
      <c r="X180" s="56"/>
    </row>
    <row r="181" spans="1:24">
      <c r="A181" s="38"/>
      <c r="B181" s="38"/>
      <c r="C181" s="38"/>
      <c r="D181" s="38"/>
      <c r="E181" s="40"/>
      <c r="F181" s="58"/>
      <c r="G181" s="42"/>
      <c r="H181" s="43"/>
      <c r="I181" s="44"/>
      <c r="J181" s="38"/>
      <c r="K181" s="45"/>
      <c r="L181" s="46"/>
      <c r="M181" s="38"/>
      <c r="N181" s="38"/>
      <c r="O181" s="38"/>
      <c r="P181" s="38"/>
      <c r="Q181" s="38"/>
      <c r="R181" s="48"/>
      <c r="S181" s="48"/>
      <c r="T181" s="48"/>
      <c r="U181" s="52"/>
      <c r="V181" s="50"/>
      <c r="W181" s="51"/>
      <c r="X181" s="56"/>
    </row>
    <row r="182" spans="1:24">
      <c r="A182" s="38"/>
      <c r="B182" s="38"/>
      <c r="C182" s="38"/>
      <c r="D182" s="38"/>
      <c r="E182" s="40"/>
      <c r="F182" s="61"/>
      <c r="G182" s="42"/>
      <c r="H182" s="43"/>
      <c r="I182" s="44"/>
      <c r="J182" s="38"/>
      <c r="K182" s="45"/>
      <c r="L182" s="46"/>
      <c r="M182" s="38"/>
      <c r="N182" s="38"/>
      <c r="O182" s="38"/>
      <c r="P182" s="38"/>
      <c r="Q182" s="38"/>
      <c r="R182" s="48"/>
      <c r="S182" s="48"/>
      <c r="T182" s="48"/>
      <c r="U182" s="52"/>
      <c r="V182" s="50"/>
      <c r="W182" s="51"/>
      <c r="X182" s="56"/>
    </row>
    <row r="183" spans="1:24">
      <c r="A183" s="38"/>
      <c r="B183" s="38"/>
      <c r="C183" s="38"/>
      <c r="D183" s="38"/>
      <c r="E183" s="40"/>
      <c r="F183" s="61"/>
      <c r="G183" s="42"/>
      <c r="H183" s="43"/>
      <c r="I183" s="44"/>
      <c r="J183" s="38"/>
      <c r="K183" s="45"/>
      <c r="L183" s="46"/>
      <c r="M183" s="38"/>
      <c r="N183" s="38"/>
      <c r="O183" s="38"/>
      <c r="P183" s="38"/>
      <c r="Q183" s="38"/>
      <c r="R183" s="48"/>
      <c r="S183" s="48"/>
      <c r="T183" s="48"/>
      <c r="U183" s="52"/>
      <c r="V183" s="50"/>
      <c r="W183" s="51"/>
      <c r="X183" s="56"/>
    </row>
    <row r="184" spans="1:24">
      <c r="A184" s="38"/>
      <c r="B184" s="38"/>
      <c r="C184" s="38"/>
      <c r="D184" s="38"/>
      <c r="E184" s="40"/>
      <c r="F184" s="41"/>
      <c r="G184" s="42"/>
      <c r="H184" s="43"/>
      <c r="I184" s="44"/>
      <c r="J184" s="38"/>
      <c r="K184" s="45"/>
      <c r="L184" s="46"/>
      <c r="M184" s="38"/>
      <c r="N184" s="38"/>
      <c r="O184" s="38"/>
      <c r="P184" s="38"/>
      <c r="Q184" s="38"/>
      <c r="R184" s="48"/>
      <c r="S184" s="48"/>
      <c r="T184" s="48"/>
      <c r="U184" s="52"/>
      <c r="V184" s="50"/>
      <c r="W184" s="51"/>
      <c r="X184" s="56"/>
    </row>
    <row r="185" spans="1:24">
      <c r="A185" s="38"/>
      <c r="B185" s="38"/>
      <c r="C185" s="38"/>
      <c r="D185" s="38"/>
      <c r="E185" s="40"/>
      <c r="F185" s="61"/>
      <c r="G185" s="42"/>
      <c r="H185" s="43"/>
      <c r="I185" s="44"/>
      <c r="J185" s="38"/>
      <c r="K185" s="45"/>
      <c r="L185" s="46"/>
      <c r="M185" s="38"/>
      <c r="N185" s="38"/>
      <c r="O185" s="38"/>
      <c r="P185" s="38"/>
      <c r="Q185" s="38"/>
      <c r="R185" s="48"/>
      <c r="S185" s="48"/>
      <c r="T185" s="48"/>
      <c r="U185" s="52"/>
      <c r="V185" s="50"/>
      <c r="W185" s="51"/>
      <c r="X185" s="56"/>
    </row>
    <row r="186" spans="1:24">
      <c r="A186" s="38"/>
      <c r="B186" s="38"/>
      <c r="C186" s="38"/>
      <c r="D186" s="38"/>
      <c r="E186" s="40"/>
      <c r="F186" s="58"/>
      <c r="G186" s="42"/>
      <c r="H186" s="43"/>
      <c r="I186" s="44"/>
      <c r="J186" s="38"/>
      <c r="K186" s="45"/>
      <c r="L186" s="46"/>
      <c r="M186" s="38"/>
      <c r="N186" s="38"/>
      <c r="O186" s="38"/>
      <c r="P186" s="38"/>
      <c r="Q186" s="38"/>
      <c r="R186" s="48"/>
      <c r="S186" s="48"/>
      <c r="T186" s="48"/>
      <c r="U186" s="52"/>
      <c r="V186" s="50"/>
      <c r="W186" s="51"/>
      <c r="X186" s="56"/>
    </row>
    <row r="187" spans="1:24">
      <c r="A187" s="38"/>
      <c r="B187" s="38"/>
      <c r="C187" s="38"/>
      <c r="D187" s="38"/>
      <c r="E187" s="40"/>
      <c r="F187" s="58"/>
      <c r="G187" s="42"/>
      <c r="H187" s="43"/>
      <c r="I187" s="44"/>
      <c r="J187" s="38"/>
      <c r="K187" s="45"/>
      <c r="L187" s="46"/>
      <c r="M187" s="38"/>
      <c r="N187" s="38"/>
      <c r="O187" s="38"/>
      <c r="P187" s="38"/>
      <c r="Q187" s="38"/>
      <c r="R187" s="48"/>
      <c r="S187" s="48"/>
      <c r="T187" s="48"/>
      <c r="U187" s="52"/>
      <c r="V187" s="50"/>
      <c r="W187" s="51"/>
      <c r="X187" s="56"/>
    </row>
    <row r="188" spans="1:24">
      <c r="A188" s="38"/>
      <c r="B188" s="38"/>
      <c r="C188" s="38"/>
      <c r="D188" s="38"/>
      <c r="E188" s="40"/>
      <c r="F188" s="58"/>
      <c r="G188" s="42"/>
      <c r="H188" s="43"/>
      <c r="I188" s="44"/>
      <c r="J188" s="38"/>
      <c r="K188" s="45"/>
      <c r="L188" s="46"/>
      <c r="M188" s="38"/>
      <c r="N188" s="38"/>
      <c r="O188" s="38"/>
      <c r="P188" s="38"/>
      <c r="Q188" s="38"/>
      <c r="R188" s="48"/>
      <c r="S188" s="48"/>
      <c r="T188" s="48"/>
      <c r="U188" s="52"/>
      <c r="V188" s="50"/>
      <c r="W188" s="51"/>
      <c r="X188" s="56"/>
    </row>
    <row r="189" spans="1:24">
      <c r="A189" s="38"/>
      <c r="B189" s="38"/>
      <c r="C189" s="38"/>
      <c r="D189" s="38"/>
      <c r="E189" s="40"/>
      <c r="F189" s="41"/>
      <c r="G189" s="42"/>
      <c r="H189" s="43"/>
      <c r="I189" s="44"/>
      <c r="J189" s="38"/>
      <c r="K189" s="45"/>
      <c r="L189" s="46"/>
      <c r="M189" s="38"/>
      <c r="N189" s="38"/>
      <c r="O189" s="38"/>
      <c r="P189" s="38"/>
      <c r="Q189" s="38"/>
      <c r="R189" s="48"/>
      <c r="S189" s="48"/>
      <c r="T189" s="48"/>
      <c r="U189" s="52"/>
      <c r="V189" s="50"/>
      <c r="W189" s="51"/>
      <c r="X189" s="56"/>
    </row>
    <row r="190" spans="1:24">
      <c r="A190" s="38"/>
      <c r="B190" s="38"/>
      <c r="C190" s="38"/>
      <c r="D190" s="38"/>
      <c r="E190" s="40"/>
      <c r="F190" s="41"/>
      <c r="G190" s="42"/>
      <c r="H190" s="43"/>
      <c r="I190" s="44"/>
      <c r="J190" s="38"/>
      <c r="K190" s="45"/>
      <c r="L190" s="46"/>
      <c r="M190" s="38"/>
      <c r="N190" s="38"/>
      <c r="O190" s="38"/>
      <c r="P190" s="38"/>
      <c r="Q190" s="38"/>
      <c r="R190" s="48"/>
      <c r="S190" s="48"/>
      <c r="T190" s="48"/>
      <c r="U190" s="52"/>
      <c r="V190" s="50"/>
      <c r="W190" s="51"/>
      <c r="X190" s="56"/>
    </row>
    <row r="191" spans="1:24">
      <c r="A191" s="38"/>
      <c r="B191" s="38"/>
      <c r="C191" s="38"/>
      <c r="D191" s="38"/>
      <c r="E191" s="40"/>
      <c r="F191" s="41"/>
      <c r="G191" s="42"/>
      <c r="H191" s="43"/>
      <c r="I191" s="44"/>
      <c r="J191" s="38"/>
      <c r="K191" s="45"/>
      <c r="L191" s="46"/>
      <c r="M191" s="38"/>
      <c r="N191" s="38"/>
      <c r="O191" s="38"/>
      <c r="P191" s="38"/>
      <c r="Q191" s="38"/>
      <c r="R191" s="48"/>
      <c r="S191" s="48"/>
      <c r="T191" s="48"/>
      <c r="U191" s="52"/>
      <c r="V191" s="50"/>
      <c r="W191" s="51"/>
      <c r="X191" s="56"/>
    </row>
    <row r="192" spans="1:24">
      <c r="A192" s="38"/>
      <c r="B192" s="38"/>
      <c r="C192" s="38"/>
      <c r="D192" s="38"/>
      <c r="E192" s="40"/>
      <c r="F192" s="41"/>
      <c r="G192" s="42"/>
      <c r="H192" s="43"/>
      <c r="I192" s="44"/>
      <c r="J192" s="38"/>
      <c r="K192" s="45"/>
      <c r="L192" s="46"/>
      <c r="M192" s="38"/>
      <c r="N192" s="38"/>
      <c r="O192" s="38"/>
      <c r="P192" s="38"/>
      <c r="Q192" s="38"/>
      <c r="R192" s="48"/>
      <c r="S192" s="48"/>
      <c r="T192" s="48"/>
      <c r="U192" s="52"/>
      <c r="V192" s="50"/>
      <c r="W192" s="51"/>
      <c r="X192" s="56"/>
    </row>
    <row r="193" spans="1:24">
      <c r="A193" s="38"/>
      <c r="B193" s="38"/>
      <c r="C193" s="38"/>
      <c r="D193" s="38"/>
      <c r="E193" s="40"/>
      <c r="F193" s="58"/>
      <c r="G193" s="42"/>
      <c r="H193" s="43"/>
      <c r="I193" s="44"/>
      <c r="J193" s="38"/>
      <c r="K193" s="45"/>
      <c r="L193" s="46"/>
      <c r="M193" s="38"/>
      <c r="N193" s="38"/>
      <c r="O193" s="38"/>
      <c r="P193" s="38"/>
      <c r="Q193" s="38"/>
      <c r="R193" s="48"/>
      <c r="S193" s="48"/>
      <c r="T193" s="48"/>
      <c r="U193" s="52"/>
      <c r="V193" s="50"/>
      <c r="W193" s="51"/>
      <c r="X193" s="56"/>
    </row>
    <row r="194" spans="1:24">
      <c r="A194" s="38"/>
      <c r="B194" s="38"/>
      <c r="C194" s="38"/>
      <c r="D194" s="38"/>
      <c r="E194" s="40"/>
      <c r="F194" s="58"/>
      <c r="G194" s="42"/>
      <c r="H194" s="43"/>
      <c r="I194" s="44"/>
      <c r="J194" s="38"/>
      <c r="K194" s="45"/>
      <c r="L194" s="46"/>
      <c r="M194" s="38"/>
      <c r="N194" s="38"/>
      <c r="O194" s="38"/>
      <c r="P194" s="38"/>
      <c r="Q194" s="38"/>
      <c r="R194" s="48"/>
      <c r="S194" s="48"/>
      <c r="T194" s="48"/>
      <c r="U194" s="52"/>
      <c r="V194" s="50"/>
      <c r="W194" s="51"/>
      <c r="X194" s="56"/>
    </row>
    <row r="195" spans="1:24">
      <c r="A195" s="38"/>
      <c r="B195" s="38"/>
      <c r="C195" s="38"/>
      <c r="D195" s="38"/>
      <c r="E195" s="40"/>
      <c r="F195" s="41"/>
      <c r="G195" s="42"/>
      <c r="H195" s="43"/>
      <c r="I195" s="44"/>
      <c r="J195" s="38"/>
      <c r="K195" s="45"/>
      <c r="L195" s="46"/>
      <c r="M195" s="38"/>
      <c r="N195" s="38"/>
      <c r="O195" s="38"/>
      <c r="P195" s="38"/>
      <c r="Q195" s="38"/>
      <c r="R195" s="48"/>
      <c r="S195" s="48"/>
      <c r="T195" s="48"/>
      <c r="U195" s="52"/>
      <c r="V195" s="50"/>
      <c r="W195" s="51"/>
      <c r="X195" s="56"/>
    </row>
    <row r="196" spans="1:24">
      <c r="A196" s="38"/>
      <c r="B196" s="38"/>
      <c r="C196" s="38"/>
      <c r="D196" s="38"/>
      <c r="E196" s="40"/>
      <c r="F196" s="41"/>
      <c r="G196" s="42"/>
      <c r="H196" s="43"/>
      <c r="I196" s="44"/>
      <c r="J196" s="38"/>
      <c r="K196" s="45"/>
      <c r="L196" s="46"/>
      <c r="M196" s="38"/>
      <c r="N196" s="38"/>
      <c r="O196" s="38"/>
      <c r="P196" s="38"/>
      <c r="Q196" s="38"/>
      <c r="R196" s="48"/>
      <c r="S196" s="48"/>
      <c r="T196" s="48"/>
      <c r="U196" s="52"/>
      <c r="V196" s="50"/>
      <c r="W196" s="51"/>
      <c r="X196" s="56"/>
    </row>
    <row r="197" spans="1:24">
      <c r="A197" s="38"/>
      <c r="B197" s="38"/>
      <c r="C197" s="38"/>
      <c r="D197" s="38"/>
      <c r="E197" s="40"/>
      <c r="F197" s="58"/>
      <c r="G197" s="42"/>
      <c r="H197" s="43"/>
      <c r="I197" s="44"/>
      <c r="J197" s="38"/>
      <c r="K197" s="45"/>
      <c r="L197" s="46"/>
      <c r="M197" s="38"/>
      <c r="N197" s="38"/>
      <c r="O197" s="38"/>
      <c r="P197" s="38"/>
      <c r="Q197" s="38"/>
      <c r="R197" s="48"/>
      <c r="S197" s="48"/>
      <c r="T197" s="48"/>
      <c r="U197" s="52"/>
      <c r="V197" s="50"/>
      <c r="W197" s="51"/>
      <c r="X197" s="56"/>
    </row>
    <row r="198" spans="1:24">
      <c r="A198" s="38"/>
      <c r="B198" s="38"/>
      <c r="C198" s="38"/>
      <c r="D198" s="38"/>
      <c r="E198" s="40"/>
      <c r="F198" s="41"/>
      <c r="G198" s="42"/>
      <c r="H198" s="43"/>
      <c r="I198" s="44"/>
      <c r="J198" s="38"/>
      <c r="K198" s="45"/>
      <c r="L198" s="46"/>
      <c r="M198" s="38"/>
      <c r="N198" s="38"/>
      <c r="O198" s="38"/>
      <c r="P198" s="38"/>
      <c r="Q198" s="38"/>
      <c r="R198" s="48"/>
      <c r="S198" s="48"/>
      <c r="T198" s="48"/>
      <c r="U198" s="52"/>
      <c r="V198" s="50"/>
      <c r="W198" s="51"/>
      <c r="X198" s="56"/>
    </row>
    <row r="199" spans="1:24">
      <c r="A199" s="38"/>
      <c r="B199" s="38"/>
      <c r="C199" s="38"/>
      <c r="D199" s="38"/>
      <c r="E199" s="40"/>
      <c r="F199" s="58"/>
      <c r="G199" s="42"/>
      <c r="H199" s="43"/>
      <c r="I199" s="44"/>
      <c r="J199" s="38"/>
      <c r="K199" s="45"/>
      <c r="L199" s="46"/>
      <c r="M199" s="38"/>
      <c r="N199" s="38"/>
      <c r="O199" s="38"/>
      <c r="P199" s="38"/>
      <c r="Q199" s="38"/>
      <c r="R199" s="48"/>
      <c r="S199" s="48"/>
      <c r="T199" s="48"/>
      <c r="U199" s="52"/>
      <c r="V199" s="50"/>
      <c r="W199" s="51"/>
      <c r="X199" s="56"/>
    </row>
    <row r="200" spans="1:24">
      <c r="A200" s="38"/>
      <c r="B200" s="38"/>
      <c r="C200" s="38"/>
      <c r="D200" s="38"/>
      <c r="E200" s="40"/>
      <c r="F200" s="58"/>
      <c r="G200" s="42"/>
      <c r="H200" s="43"/>
      <c r="I200" s="44"/>
      <c r="J200" s="38"/>
      <c r="K200" s="45"/>
      <c r="L200" s="46"/>
      <c r="M200" s="38"/>
      <c r="N200" s="38"/>
      <c r="O200" s="38"/>
      <c r="P200" s="38"/>
      <c r="Q200" s="38"/>
      <c r="R200" s="48"/>
      <c r="S200" s="48"/>
      <c r="T200" s="48"/>
      <c r="U200" s="52"/>
      <c r="V200" s="50"/>
      <c r="W200" s="51"/>
      <c r="X200" s="56"/>
    </row>
    <row r="201" spans="1:24">
      <c r="A201" s="38"/>
      <c r="B201" s="38"/>
      <c r="C201" s="38"/>
      <c r="D201" s="38"/>
      <c r="E201" s="40"/>
      <c r="F201" s="58"/>
      <c r="G201" s="42"/>
      <c r="H201" s="43"/>
      <c r="I201" s="44"/>
      <c r="J201" s="38"/>
      <c r="K201" s="45"/>
      <c r="L201" s="46"/>
      <c r="M201" s="38"/>
      <c r="N201" s="38"/>
      <c r="O201" s="38"/>
      <c r="P201" s="38"/>
      <c r="Q201" s="38"/>
      <c r="R201" s="48"/>
      <c r="S201" s="48"/>
      <c r="T201" s="48"/>
      <c r="U201" s="52"/>
      <c r="V201" s="50"/>
      <c r="W201" s="51"/>
      <c r="X201" s="56"/>
    </row>
    <row r="202" spans="1:24">
      <c r="A202" s="38"/>
      <c r="B202" s="38"/>
      <c r="C202" s="38"/>
      <c r="D202" s="38"/>
      <c r="E202" s="40"/>
      <c r="F202" s="58"/>
      <c r="G202" s="42"/>
      <c r="H202" s="43"/>
      <c r="I202" s="44"/>
      <c r="J202" s="38"/>
      <c r="K202" s="45"/>
      <c r="L202" s="46"/>
      <c r="M202" s="38"/>
      <c r="N202" s="38"/>
      <c r="O202" s="38"/>
      <c r="P202" s="38"/>
      <c r="Q202" s="38"/>
      <c r="R202" s="48"/>
      <c r="S202" s="48"/>
      <c r="T202" s="48"/>
      <c r="U202" s="52"/>
      <c r="V202" s="50"/>
      <c r="W202" s="51"/>
      <c r="X202" s="56"/>
    </row>
    <row r="203" spans="1:24">
      <c r="A203" s="38"/>
      <c r="B203" s="38"/>
      <c r="C203" s="38"/>
      <c r="D203" s="38"/>
      <c r="E203" s="40"/>
      <c r="F203" s="41"/>
      <c r="G203" s="42"/>
      <c r="H203" s="43"/>
      <c r="I203" s="44"/>
      <c r="J203" s="38"/>
      <c r="K203" s="45"/>
      <c r="L203" s="46"/>
      <c r="M203" s="38"/>
      <c r="N203" s="38"/>
      <c r="O203" s="38"/>
      <c r="P203" s="38"/>
      <c r="Q203" s="38"/>
      <c r="R203" s="48"/>
      <c r="S203" s="48"/>
      <c r="T203" s="48"/>
      <c r="U203" s="52"/>
      <c r="V203" s="50"/>
      <c r="W203" s="51"/>
      <c r="X203" s="56"/>
    </row>
    <row r="204" spans="1:24">
      <c r="A204" s="38"/>
      <c r="B204" s="38"/>
      <c r="C204" s="38"/>
      <c r="D204" s="38"/>
      <c r="E204" s="40"/>
      <c r="F204" s="41"/>
      <c r="G204" s="42"/>
      <c r="H204" s="43"/>
      <c r="I204" s="44"/>
      <c r="J204" s="38"/>
      <c r="K204" s="45"/>
      <c r="L204" s="46"/>
      <c r="M204" s="38"/>
      <c r="N204" s="38"/>
      <c r="O204" s="38"/>
      <c r="P204" s="38"/>
      <c r="Q204" s="38"/>
      <c r="R204" s="48"/>
      <c r="S204" s="48"/>
      <c r="T204" s="48"/>
      <c r="U204" s="52"/>
      <c r="V204" s="50"/>
      <c r="W204" s="51"/>
      <c r="X204" s="56"/>
    </row>
    <row r="205" spans="1:24">
      <c r="A205" s="38"/>
      <c r="B205" s="38"/>
      <c r="C205" s="38"/>
      <c r="D205" s="38"/>
      <c r="E205" s="40"/>
      <c r="F205" s="58"/>
      <c r="G205" s="42"/>
      <c r="H205" s="43"/>
      <c r="I205" s="44"/>
      <c r="J205" s="38"/>
      <c r="K205" s="45"/>
      <c r="L205" s="46"/>
      <c r="M205" s="38"/>
      <c r="N205" s="38"/>
      <c r="O205" s="38"/>
      <c r="P205" s="38"/>
      <c r="Q205" s="38"/>
      <c r="R205" s="48"/>
      <c r="S205" s="48"/>
      <c r="T205" s="48"/>
      <c r="U205" s="52"/>
      <c r="V205" s="50"/>
      <c r="W205" s="51"/>
      <c r="X205" s="56"/>
    </row>
    <row r="206" spans="1:24">
      <c r="A206" s="38"/>
      <c r="B206" s="38"/>
      <c r="C206" s="38"/>
      <c r="D206" s="38"/>
      <c r="E206" s="40"/>
      <c r="F206" s="41"/>
      <c r="G206" s="42"/>
      <c r="H206" s="43"/>
      <c r="I206" s="44"/>
      <c r="J206" s="38"/>
      <c r="K206" s="45"/>
      <c r="L206" s="46"/>
      <c r="M206" s="38"/>
      <c r="N206" s="38"/>
      <c r="O206" s="38"/>
      <c r="P206" s="38"/>
      <c r="Q206" s="38"/>
      <c r="R206" s="48"/>
      <c r="S206" s="48"/>
      <c r="T206" s="48"/>
      <c r="U206" s="52"/>
      <c r="V206" s="50"/>
      <c r="W206" s="51"/>
      <c r="X206" s="56"/>
    </row>
    <row r="207" spans="1:24">
      <c r="A207" s="38"/>
      <c r="B207" s="38"/>
      <c r="C207" s="38"/>
      <c r="D207" s="38"/>
      <c r="E207" s="40"/>
      <c r="F207" s="58"/>
      <c r="G207" s="42"/>
      <c r="H207" s="43"/>
      <c r="I207" s="44"/>
      <c r="J207" s="38"/>
      <c r="K207" s="45"/>
      <c r="L207" s="46"/>
      <c r="M207" s="38"/>
      <c r="N207" s="38"/>
      <c r="O207" s="38"/>
      <c r="P207" s="38"/>
      <c r="Q207" s="38"/>
      <c r="R207" s="48"/>
      <c r="S207" s="48"/>
      <c r="T207" s="48"/>
      <c r="U207" s="52"/>
      <c r="V207" s="50"/>
      <c r="W207" s="51"/>
      <c r="X207" s="56"/>
    </row>
    <row r="208" spans="1:24">
      <c r="A208" s="38"/>
      <c r="B208" s="38"/>
      <c r="C208" s="38"/>
      <c r="D208" s="38"/>
      <c r="E208" s="40"/>
      <c r="F208" s="58"/>
      <c r="G208" s="42"/>
      <c r="H208" s="43"/>
      <c r="I208" s="44"/>
      <c r="J208" s="38"/>
      <c r="K208" s="45"/>
      <c r="L208" s="46"/>
      <c r="M208" s="38"/>
      <c r="N208" s="38"/>
      <c r="O208" s="38"/>
      <c r="P208" s="38"/>
      <c r="Q208" s="38"/>
      <c r="R208" s="48"/>
      <c r="S208" s="48"/>
      <c r="T208" s="48"/>
      <c r="U208" s="52"/>
      <c r="V208" s="50"/>
      <c r="W208" s="51"/>
      <c r="X208" s="56"/>
    </row>
    <row r="209" spans="1:24">
      <c r="A209" s="38"/>
      <c r="B209" s="38"/>
      <c r="C209" s="38"/>
      <c r="D209" s="38"/>
      <c r="E209" s="40"/>
      <c r="F209" s="61"/>
      <c r="G209" s="42"/>
      <c r="H209" s="43"/>
      <c r="I209" s="44"/>
      <c r="J209" s="38"/>
      <c r="K209" s="45"/>
      <c r="L209" s="46"/>
      <c r="M209" s="38"/>
      <c r="N209" s="38"/>
      <c r="O209" s="38"/>
      <c r="P209" s="38"/>
      <c r="Q209" s="38"/>
      <c r="R209" s="48"/>
      <c r="S209" s="48"/>
      <c r="T209" s="48"/>
      <c r="U209" s="52"/>
      <c r="V209" s="50"/>
      <c r="W209" s="51"/>
      <c r="X209" s="56"/>
    </row>
    <row r="210" spans="1:24">
      <c r="A210" s="38"/>
      <c r="B210" s="38"/>
      <c r="C210" s="38"/>
      <c r="D210" s="38"/>
      <c r="E210" s="40"/>
      <c r="F210" s="61"/>
      <c r="G210" s="42"/>
      <c r="H210" s="43"/>
      <c r="I210" s="44"/>
      <c r="J210" s="38"/>
      <c r="K210" s="45"/>
      <c r="L210" s="46"/>
      <c r="M210" s="38"/>
      <c r="N210" s="38"/>
      <c r="O210" s="38"/>
      <c r="P210" s="38"/>
      <c r="Q210" s="38"/>
      <c r="R210" s="48"/>
      <c r="S210" s="48"/>
      <c r="T210" s="48"/>
      <c r="U210" s="52"/>
      <c r="V210" s="50"/>
      <c r="W210" s="51"/>
      <c r="X210" s="56"/>
    </row>
    <row r="211" spans="1:24">
      <c r="A211" s="38"/>
      <c r="B211" s="38"/>
      <c r="C211" s="38"/>
      <c r="D211" s="38"/>
      <c r="E211" s="40"/>
      <c r="F211" s="58"/>
      <c r="G211" s="42"/>
      <c r="H211" s="43"/>
      <c r="I211" s="44"/>
      <c r="J211" s="38"/>
      <c r="K211" s="45"/>
      <c r="L211" s="46"/>
      <c r="M211" s="38"/>
      <c r="N211" s="38"/>
      <c r="O211" s="38"/>
      <c r="P211" s="38"/>
      <c r="Q211" s="38"/>
      <c r="R211" s="48"/>
      <c r="S211" s="48"/>
      <c r="T211" s="48"/>
      <c r="U211" s="52"/>
      <c r="V211" s="50"/>
      <c r="W211" s="51"/>
      <c r="X211" s="56"/>
    </row>
    <row r="212" spans="1:24">
      <c r="A212" s="38"/>
      <c r="B212" s="38"/>
      <c r="C212" s="38"/>
      <c r="D212" s="38"/>
      <c r="E212" s="40"/>
      <c r="F212" s="61"/>
      <c r="G212" s="42"/>
      <c r="H212" s="43"/>
      <c r="I212" s="44"/>
      <c r="J212" s="38"/>
      <c r="K212" s="45"/>
      <c r="L212" s="46"/>
      <c r="M212" s="38"/>
      <c r="N212" s="38"/>
      <c r="O212" s="38"/>
      <c r="P212" s="38"/>
      <c r="Q212" s="38"/>
      <c r="R212" s="48"/>
      <c r="S212" s="48"/>
      <c r="T212" s="48"/>
      <c r="U212" s="52"/>
      <c r="V212" s="50"/>
      <c r="W212" s="51"/>
      <c r="X212" s="56"/>
    </row>
    <row r="213" spans="1:24">
      <c r="A213" s="38"/>
      <c r="B213" s="38"/>
      <c r="C213" s="38"/>
      <c r="D213" s="38"/>
      <c r="E213" s="40"/>
      <c r="F213" s="58"/>
      <c r="G213" s="42"/>
      <c r="H213" s="43"/>
      <c r="I213" s="44"/>
      <c r="J213" s="38"/>
      <c r="K213" s="45"/>
      <c r="L213" s="46"/>
      <c r="M213" s="38"/>
      <c r="N213" s="38"/>
      <c r="O213" s="38"/>
      <c r="P213" s="38"/>
      <c r="Q213" s="38"/>
      <c r="R213" s="48"/>
      <c r="S213" s="48"/>
      <c r="T213" s="48"/>
      <c r="U213" s="52"/>
      <c r="V213" s="50"/>
      <c r="W213" s="51"/>
      <c r="X213" s="56"/>
    </row>
    <row r="214" spans="1:24">
      <c r="A214" s="38"/>
      <c r="B214" s="38"/>
      <c r="C214" s="38"/>
      <c r="D214" s="38"/>
      <c r="E214" s="40"/>
      <c r="F214" s="61"/>
      <c r="G214" s="42"/>
      <c r="H214" s="43"/>
      <c r="I214" s="44"/>
      <c r="J214" s="38"/>
      <c r="K214" s="45"/>
      <c r="L214" s="46"/>
      <c r="M214" s="38"/>
      <c r="N214" s="38"/>
      <c r="O214" s="38"/>
      <c r="P214" s="38"/>
      <c r="Q214" s="38"/>
      <c r="R214" s="48"/>
      <c r="S214" s="48"/>
      <c r="T214" s="48"/>
      <c r="U214" s="52"/>
      <c r="V214" s="50"/>
      <c r="W214" s="51"/>
      <c r="X214" s="56"/>
    </row>
    <row r="215" spans="1:24">
      <c r="A215" s="38"/>
      <c r="B215" s="38"/>
      <c r="C215" s="38"/>
      <c r="D215" s="38"/>
      <c r="E215" s="40"/>
      <c r="F215" s="41"/>
      <c r="G215" s="42"/>
      <c r="H215" s="43"/>
      <c r="I215" s="44"/>
      <c r="J215" s="38"/>
      <c r="K215" s="45"/>
      <c r="L215" s="46"/>
      <c r="M215" s="38"/>
      <c r="N215" s="38"/>
      <c r="O215" s="38"/>
      <c r="P215" s="38"/>
      <c r="Q215" s="38"/>
      <c r="R215" s="48"/>
      <c r="S215" s="48"/>
      <c r="T215" s="48"/>
      <c r="U215" s="52"/>
      <c r="V215" s="50"/>
      <c r="W215" s="51"/>
      <c r="X215" s="56"/>
    </row>
    <row r="216" spans="1:24">
      <c r="A216" s="38"/>
      <c r="B216" s="38"/>
      <c r="C216" s="38"/>
      <c r="D216" s="38"/>
      <c r="E216" s="40"/>
      <c r="F216" s="41"/>
      <c r="G216" s="42"/>
      <c r="H216" s="43"/>
      <c r="I216" s="44"/>
      <c r="J216" s="38"/>
      <c r="K216" s="45"/>
      <c r="L216" s="46"/>
      <c r="M216" s="38"/>
      <c r="N216" s="38"/>
      <c r="O216" s="38"/>
      <c r="P216" s="38"/>
      <c r="Q216" s="38"/>
      <c r="R216" s="48"/>
      <c r="S216" s="48"/>
      <c r="T216" s="48"/>
      <c r="U216" s="52"/>
      <c r="V216" s="50"/>
      <c r="W216" s="51"/>
      <c r="X216" s="56"/>
    </row>
    <row r="217" spans="1:24">
      <c r="A217" s="38"/>
      <c r="B217" s="38"/>
      <c r="C217" s="38"/>
      <c r="D217" s="38"/>
      <c r="E217" s="40"/>
      <c r="F217" s="41"/>
      <c r="G217" s="42"/>
      <c r="H217" s="43"/>
      <c r="I217" s="44"/>
      <c r="J217" s="38"/>
      <c r="K217" s="45"/>
      <c r="L217" s="46"/>
      <c r="M217" s="38"/>
      <c r="N217" s="38"/>
      <c r="O217" s="38"/>
      <c r="P217" s="38"/>
      <c r="Q217" s="38"/>
      <c r="R217" s="48"/>
      <c r="S217" s="48"/>
      <c r="T217" s="48"/>
      <c r="U217" s="52"/>
      <c r="V217" s="50"/>
      <c r="W217" s="51"/>
      <c r="X217" s="56"/>
    </row>
    <row r="218" spans="1:24">
      <c r="A218" s="38"/>
      <c r="B218" s="38"/>
      <c r="C218" s="38"/>
      <c r="D218" s="38"/>
      <c r="E218" s="40"/>
      <c r="F218" s="41"/>
      <c r="G218" s="42"/>
      <c r="H218" s="43"/>
      <c r="I218" s="44"/>
      <c r="J218" s="38"/>
      <c r="K218" s="45"/>
      <c r="L218" s="46"/>
      <c r="M218" s="38"/>
      <c r="N218" s="38"/>
      <c r="O218" s="38"/>
      <c r="P218" s="38"/>
      <c r="Q218" s="38"/>
      <c r="R218" s="48"/>
      <c r="S218" s="48"/>
      <c r="T218" s="48"/>
      <c r="U218" s="52"/>
      <c r="V218" s="50"/>
      <c r="W218" s="51"/>
      <c r="X218" s="56"/>
    </row>
    <row r="219" spans="1:24">
      <c r="A219" s="38"/>
      <c r="B219" s="38"/>
      <c r="C219" s="38"/>
      <c r="D219" s="38"/>
      <c r="E219" s="40"/>
      <c r="F219" s="41"/>
      <c r="G219" s="42"/>
      <c r="H219" s="43"/>
      <c r="I219" s="44"/>
      <c r="J219" s="38"/>
      <c r="K219" s="45"/>
      <c r="L219" s="46"/>
      <c r="M219" s="38"/>
      <c r="N219" s="38"/>
      <c r="O219" s="38"/>
      <c r="P219" s="38"/>
      <c r="Q219" s="38"/>
      <c r="R219" s="48"/>
      <c r="S219" s="48"/>
      <c r="T219" s="48"/>
      <c r="U219" s="52"/>
      <c r="V219" s="50"/>
      <c r="W219" s="51"/>
      <c r="X219" s="56"/>
    </row>
    <row r="220" spans="1:24">
      <c r="A220" s="38"/>
      <c r="B220" s="38"/>
      <c r="C220" s="38"/>
      <c r="D220" s="38"/>
      <c r="E220" s="40"/>
      <c r="F220" s="41"/>
      <c r="G220" s="42"/>
      <c r="H220" s="43"/>
      <c r="I220" s="44"/>
      <c r="J220" s="38"/>
      <c r="K220" s="45"/>
      <c r="L220" s="46"/>
      <c r="M220" s="38"/>
      <c r="N220" s="38"/>
      <c r="O220" s="38"/>
      <c r="P220" s="38"/>
      <c r="Q220" s="38"/>
      <c r="R220" s="48"/>
      <c r="S220" s="48"/>
      <c r="T220" s="48"/>
      <c r="U220" s="52"/>
      <c r="V220" s="50"/>
      <c r="W220" s="51"/>
      <c r="X220" s="56"/>
    </row>
    <row r="221" spans="1:24">
      <c r="A221" s="38"/>
      <c r="B221" s="38"/>
      <c r="C221" s="38"/>
      <c r="D221" s="38"/>
      <c r="E221" s="40"/>
      <c r="F221" s="41"/>
      <c r="G221" s="42"/>
      <c r="H221" s="43"/>
      <c r="I221" s="44"/>
      <c r="J221" s="38"/>
      <c r="K221" s="45"/>
      <c r="L221" s="46"/>
      <c r="M221" s="38"/>
      <c r="N221" s="38"/>
      <c r="O221" s="38"/>
      <c r="P221" s="38"/>
      <c r="Q221" s="38"/>
      <c r="R221" s="48"/>
      <c r="S221" s="48"/>
      <c r="T221" s="48"/>
      <c r="U221" s="52"/>
      <c r="V221" s="50"/>
      <c r="W221" s="51"/>
      <c r="X221" s="56"/>
    </row>
    <row r="222" spans="1:24">
      <c r="A222" s="38"/>
      <c r="B222" s="38"/>
      <c r="C222" s="38"/>
      <c r="D222" s="38"/>
      <c r="E222" s="40"/>
      <c r="F222" s="41"/>
      <c r="G222" s="42"/>
      <c r="H222" s="43"/>
      <c r="I222" s="44"/>
      <c r="J222" s="38"/>
      <c r="K222" s="45"/>
      <c r="L222" s="46"/>
      <c r="M222" s="38"/>
      <c r="N222" s="38"/>
      <c r="O222" s="38"/>
      <c r="P222" s="38"/>
      <c r="Q222" s="38"/>
      <c r="R222" s="48"/>
      <c r="S222" s="48"/>
      <c r="T222" s="48"/>
      <c r="U222" s="52"/>
      <c r="V222" s="50"/>
      <c r="W222" s="51"/>
      <c r="X222" s="56"/>
    </row>
    <row r="223" spans="1:24">
      <c r="A223" s="38"/>
      <c r="B223" s="38"/>
      <c r="C223" s="38"/>
      <c r="D223" s="38"/>
      <c r="E223" s="40"/>
      <c r="F223" s="41"/>
      <c r="G223" s="42"/>
      <c r="H223" s="43"/>
      <c r="I223" s="44"/>
      <c r="J223" s="38"/>
      <c r="K223" s="45"/>
      <c r="L223" s="46"/>
      <c r="M223" s="38"/>
      <c r="N223" s="38"/>
      <c r="O223" s="38"/>
      <c r="P223" s="38"/>
      <c r="Q223" s="38"/>
      <c r="R223" s="48"/>
      <c r="S223" s="48"/>
      <c r="T223" s="48"/>
      <c r="U223" s="52"/>
      <c r="V223" s="50"/>
      <c r="W223" s="51"/>
      <c r="X223" s="56"/>
    </row>
    <row r="224" spans="1:24">
      <c r="A224" s="38"/>
      <c r="B224" s="38"/>
      <c r="C224" s="38"/>
      <c r="D224" s="38"/>
      <c r="E224" s="40"/>
      <c r="F224" s="41"/>
      <c r="G224" s="42"/>
      <c r="H224" s="43"/>
      <c r="I224" s="44"/>
      <c r="J224" s="38"/>
      <c r="K224" s="45"/>
      <c r="L224" s="46"/>
      <c r="M224" s="38"/>
      <c r="N224" s="38"/>
      <c r="O224" s="38"/>
      <c r="P224" s="38"/>
      <c r="Q224" s="38"/>
      <c r="R224" s="48"/>
      <c r="S224" s="48"/>
      <c r="T224" s="48"/>
      <c r="U224" s="52"/>
      <c r="V224" s="50"/>
      <c r="W224" s="51"/>
      <c r="X224" s="56"/>
    </row>
    <row r="225" spans="1:24">
      <c r="A225" s="38"/>
      <c r="B225" s="38"/>
      <c r="C225" s="38"/>
      <c r="D225" s="38"/>
      <c r="E225" s="40"/>
      <c r="F225" s="41"/>
      <c r="G225" s="42"/>
      <c r="H225" s="43"/>
      <c r="I225" s="44"/>
      <c r="J225" s="38"/>
      <c r="K225" s="45"/>
      <c r="L225" s="46"/>
      <c r="M225" s="38"/>
      <c r="N225" s="38"/>
      <c r="O225" s="38"/>
      <c r="P225" s="38"/>
      <c r="Q225" s="38"/>
      <c r="R225" s="48"/>
      <c r="S225" s="48"/>
      <c r="T225" s="48"/>
      <c r="U225" s="52"/>
      <c r="V225" s="50"/>
      <c r="W225" s="51"/>
      <c r="X225" s="56"/>
    </row>
    <row r="226" spans="1:24">
      <c r="A226" s="38"/>
      <c r="B226" s="38"/>
      <c r="C226" s="38"/>
      <c r="D226" s="38"/>
      <c r="E226" s="40"/>
      <c r="F226" s="61"/>
      <c r="G226" s="42"/>
      <c r="H226" s="43"/>
      <c r="I226" s="44"/>
      <c r="J226" s="38"/>
      <c r="K226" s="45"/>
      <c r="L226" s="46"/>
      <c r="M226" s="38"/>
      <c r="N226" s="38"/>
      <c r="O226" s="38"/>
      <c r="P226" s="38"/>
      <c r="Q226" s="38"/>
      <c r="R226" s="48"/>
      <c r="S226" s="48"/>
      <c r="T226" s="48"/>
      <c r="U226" s="52"/>
      <c r="V226" s="50"/>
      <c r="W226" s="51"/>
      <c r="X226" s="56"/>
    </row>
    <row r="227" spans="1:24">
      <c r="A227" s="38"/>
      <c r="B227" s="38"/>
      <c r="C227" s="38"/>
      <c r="D227" s="38"/>
      <c r="E227" s="40"/>
      <c r="F227" s="61"/>
      <c r="G227" s="42"/>
      <c r="H227" s="43"/>
      <c r="I227" s="44"/>
      <c r="J227" s="38"/>
      <c r="K227" s="45"/>
      <c r="L227" s="46"/>
      <c r="M227" s="38"/>
      <c r="N227" s="38"/>
      <c r="O227" s="38"/>
      <c r="P227" s="38"/>
      <c r="Q227" s="38"/>
      <c r="R227" s="48"/>
      <c r="S227" s="48"/>
      <c r="T227" s="48"/>
      <c r="U227" s="52"/>
      <c r="V227" s="50"/>
      <c r="W227" s="51"/>
      <c r="X227" s="56"/>
    </row>
    <row r="228" spans="1:24">
      <c r="A228" s="38"/>
      <c r="B228" s="38"/>
      <c r="C228" s="38"/>
      <c r="D228" s="38"/>
      <c r="E228" s="40"/>
      <c r="F228" s="61"/>
      <c r="G228" s="42"/>
      <c r="H228" s="43"/>
      <c r="I228" s="44"/>
      <c r="J228" s="38"/>
      <c r="K228" s="45"/>
      <c r="L228" s="46"/>
      <c r="M228" s="38"/>
      <c r="N228" s="38"/>
      <c r="O228" s="38"/>
      <c r="P228" s="38"/>
      <c r="Q228" s="38"/>
      <c r="R228" s="48"/>
      <c r="S228" s="48"/>
      <c r="T228" s="48"/>
      <c r="U228" s="52"/>
      <c r="V228" s="50"/>
      <c r="W228" s="51"/>
      <c r="X228" s="56"/>
    </row>
    <row r="229" spans="1:24">
      <c r="A229" s="38"/>
      <c r="B229" s="38"/>
      <c r="C229" s="38"/>
      <c r="D229" s="38"/>
      <c r="E229" s="40"/>
      <c r="F229" s="41"/>
      <c r="G229" s="42"/>
      <c r="H229" s="43"/>
      <c r="I229" s="44"/>
      <c r="J229" s="38"/>
      <c r="K229" s="45"/>
      <c r="L229" s="46"/>
      <c r="M229" s="38"/>
      <c r="N229" s="38"/>
      <c r="O229" s="38"/>
      <c r="P229" s="38"/>
      <c r="Q229" s="38"/>
      <c r="R229" s="48"/>
      <c r="S229" s="48"/>
      <c r="T229" s="48"/>
      <c r="U229" s="52"/>
      <c r="V229" s="50"/>
      <c r="W229" s="51"/>
      <c r="X229" s="56"/>
    </row>
    <row r="230" spans="1:24">
      <c r="A230" s="38"/>
      <c r="B230" s="38"/>
      <c r="C230" s="38"/>
      <c r="D230" s="38"/>
      <c r="E230" s="40"/>
      <c r="F230" s="61"/>
      <c r="G230" s="42"/>
      <c r="H230" s="43"/>
      <c r="I230" s="44"/>
      <c r="J230" s="38"/>
      <c r="K230" s="45"/>
      <c r="L230" s="46"/>
      <c r="M230" s="38"/>
      <c r="N230" s="38"/>
      <c r="O230" s="38"/>
      <c r="P230" s="38"/>
      <c r="Q230" s="38"/>
      <c r="R230" s="48"/>
      <c r="S230" s="48"/>
      <c r="T230" s="48"/>
      <c r="U230" s="52"/>
      <c r="V230" s="50"/>
      <c r="W230" s="51"/>
      <c r="X230" s="56"/>
    </row>
    <row r="231" spans="1:24">
      <c r="A231" s="38"/>
      <c r="B231" s="38"/>
      <c r="C231" s="38"/>
      <c r="D231" s="38"/>
      <c r="E231" s="40"/>
      <c r="F231" s="58"/>
      <c r="G231" s="42"/>
      <c r="H231" s="43"/>
      <c r="I231" s="44"/>
      <c r="J231" s="38"/>
      <c r="K231" s="45"/>
      <c r="L231" s="46"/>
      <c r="M231" s="38"/>
      <c r="N231" s="38"/>
      <c r="O231" s="38"/>
      <c r="P231" s="38"/>
      <c r="Q231" s="38"/>
      <c r="R231" s="48"/>
      <c r="S231" s="48"/>
      <c r="T231" s="48"/>
      <c r="U231" s="52"/>
      <c r="V231" s="50"/>
      <c r="W231" s="51"/>
      <c r="X231" s="56"/>
    </row>
    <row r="232" spans="1:24">
      <c r="A232" s="38"/>
      <c r="B232" s="38"/>
      <c r="C232" s="38"/>
      <c r="D232" s="38"/>
      <c r="E232" s="40"/>
      <c r="F232" s="61"/>
      <c r="G232" s="42"/>
      <c r="H232" s="43"/>
      <c r="I232" s="44"/>
      <c r="J232" s="38"/>
      <c r="K232" s="45"/>
      <c r="L232" s="46"/>
      <c r="M232" s="38"/>
      <c r="N232" s="38"/>
      <c r="O232" s="38"/>
      <c r="P232" s="38"/>
      <c r="Q232" s="38"/>
      <c r="R232" s="48"/>
      <c r="S232" s="48"/>
      <c r="T232" s="48"/>
      <c r="U232" s="52"/>
      <c r="V232" s="50"/>
      <c r="W232" s="51"/>
      <c r="X232" s="56"/>
    </row>
    <row r="233" spans="1:24">
      <c r="A233" s="38"/>
      <c r="B233" s="38"/>
      <c r="C233" s="38"/>
      <c r="D233" s="38"/>
      <c r="E233" s="40"/>
      <c r="F233" s="58"/>
      <c r="G233" s="42"/>
      <c r="H233" s="43"/>
      <c r="I233" s="44"/>
      <c r="J233" s="38"/>
      <c r="K233" s="45"/>
      <c r="L233" s="46"/>
      <c r="M233" s="38"/>
      <c r="N233" s="38"/>
      <c r="O233" s="38"/>
      <c r="P233" s="38"/>
      <c r="Q233" s="38"/>
      <c r="R233" s="48"/>
      <c r="S233" s="48"/>
      <c r="T233" s="48"/>
      <c r="U233" s="52"/>
      <c r="V233" s="50"/>
      <c r="W233" s="51"/>
      <c r="X233" s="56"/>
    </row>
    <row r="234" spans="1:24">
      <c r="A234" s="38"/>
      <c r="B234" s="38"/>
      <c r="C234" s="38"/>
      <c r="D234" s="38"/>
      <c r="E234" s="40"/>
      <c r="F234" s="58"/>
      <c r="G234" s="42"/>
      <c r="H234" s="43"/>
      <c r="I234" s="44"/>
      <c r="J234" s="38"/>
      <c r="K234" s="45"/>
      <c r="L234" s="46"/>
      <c r="M234" s="38"/>
      <c r="N234" s="38"/>
      <c r="O234" s="38"/>
      <c r="P234" s="38"/>
      <c r="Q234" s="38"/>
      <c r="R234" s="48"/>
      <c r="S234" s="48"/>
      <c r="T234" s="48"/>
      <c r="U234" s="52"/>
      <c r="V234" s="50"/>
      <c r="W234" s="51"/>
      <c r="X234" s="56"/>
    </row>
    <row r="235" spans="1:24">
      <c r="A235" s="38"/>
      <c r="B235" s="38"/>
      <c r="C235" s="38"/>
      <c r="D235" s="38"/>
      <c r="E235" s="40"/>
      <c r="F235" s="61"/>
      <c r="G235" s="42"/>
      <c r="H235" s="43"/>
      <c r="I235" s="44"/>
      <c r="J235" s="38"/>
      <c r="K235" s="45"/>
      <c r="L235" s="46"/>
      <c r="M235" s="38"/>
      <c r="N235" s="38"/>
      <c r="O235" s="38"/>
      <c r="P235" s="38"/>
      <c r="Q235" s="38"/>
      <c r="R235" s="48"/>
      <c r="S235" s="48"/>
      <c r="T235" s="48"/>
      <c r="U235" s="52"/>
      <c r="V235" s="50"/>
      <c r="W235" s="51"/>
      <c r="X235" s="56"/>
    </row>
    <row r="236" spans="1:24">
      <c r="A236" s="38"/>
      <c r="B236" s="38"/>
      <c r="C236" s="38"/>
      <c r="D236" s="38"/>
      <c r="E236" s="40"/>
      <c r="F236" s="61"/>
      <c r="G236" s="42"/>
      <c r="H236" s="43"/>
      <c r="I236" s="44"/>
      <c r="J236" s="38"/>
      <c r="K236" s="45"/>
      <c r="L236" s="46"/>
      <c r="M236" s="38"/>
      <c r="N236" s="38"/>
      <c r="O236" s="38"/>
      <c r="P236" s="38"/>
      <c r="Q236" s="38"/>
      <c r="R236" s="48"/>
      <c r="S236" s="48"/>
      <c r="T236" s="48"/>
      <c r="U236" s="52"/>
      <c r="V236" s="50"/>
      <c r="W236" s="51"/>
      <c r="X236" s="56"/>
    </row>
    <row r="237" spans="1:24">
      <c r="A237" s="38"/>
      <c r="B237" s="38"/>
      <c r="C237" s="38"/>
      <c r="D237" s="38"/>
      <c r="E237" s="40"/>
      <c r="F237" s="58"/>
      <c r="G237" s="42"/>
      <c r="H237" s="43"/>
      <c r="I237" s="44"/>
      <c r="J237" s="38"/>
      <c r="K237" s="45"/>
      <c r="L237" s="46"/>
      <c r="M237" s="38"/>
      <c r="N237" s="38"/>
      <c r="O237" s="38"/>
      <c r="P237" s="38"/>
      <c r="Q237" s="38"/>
      <c r="R237" s="48"/>
      <c r="S237" s="48"/>
      <c r="T237" s="48"/>
      <c r="U237" s="52"/>
      <c r="V237" s="50"/>
      <c r="W237" s="51"/>
      <c r="X237" s="56"/>
    </row>
    <row r="238" spans="1:24">
      <c r="A238" s="38"/>
      <c r="B238" s="38"/>
      <c r="C238" s="38"/>
      <c r="D238" s="38"/>
      <c r="E238" s="40"/>
      <c r="F238" s="61"/>
      <c r="G238" s="42"/>
      <c r="H238" s="43"/>
      <c r="I238" s="44"/>
      <c r="J238" s="38"/>
      <c r="K238" s="45"/>
      <c r="L238" s="46"/>
      <c r="M238" s="38"/>
      <c r="N238" s="38"/>
      <c r="O238" s="38"/>
      <c r="P238" s="38"/>
      <c r="Q238" s="38"/>
      <c r="R238" s="48"/>
      <c r="S238" s="48"/>
      <c r="T238" s="48"/>
      <c r="U238" s="52"/>
      <c r="V238" s="50"/>
      <c r="W238" s="51"/>
      <c r="X238" s="56"/>
    </row>
    <row r="239" spans="1:24">
      <c r="A239" s="38"/>
      <c r="B239" s="38"/>
      <c r="C239" s="38"/>
      <c r="D239" s="38"/>
      <c r="E239" s="40"/>
      <c r="F239" s="41"/>
      <c r="G239" s="42"/>
      <c r="H239" s="43"/>
      <c r="I239" s="44"/>
      <c r="J239" s="38"/>
      <c r="K239" s="45"/>
      <c r="L239" s="46"/>
      <c r="M239" s="38"/>
      <c r="N239" s="38"/>
      <c r="O239" s="38"/>
      <c r="P239" s="38"/>
      <c r="Q239" s="38"/>
      <c r="R239" s="48"/>
      <c r="S239" s="48"/>
      <c r="T239" s="48"/>
      <c r="U239" s="52"/>
      <c r="V239" s="50"/>
      <c r="W239" s="51"/>
      <c r="X239" s="56"/>
    </row>
    <row r="240" spans="1:24">
      <c r="A240" s="38"/>
      <c r="B240" s="38"/>
      <c r="C240" s="38"/>
      <c r="D240" s="38"/>
      <c r="E240" s="40"/>
      <c r="F240" s="41"/>
      <c r="G240" s="42"/>
      <c r="H240" s="43"/>
      <c r="I240" s="44"/>
      <c r="J240" s="38"/>
      <c r="K240" s="45"/>
      <c r="L240" s="46"/>
      <c r="M240" s="38"/>
      <c r="N240" s="38"/>
      <c r="O240" s="38"/>
      <c r="P240" s="38"/>
      <c r="Q240" s="38"/>
      <c r="R240" s="48"/>
      <c r="S240" s="48"/>
      <c r="T240" s="48"/>
      <c r="U240" s="52"/>
      <c r="V240" s="50"/>
      <c r="W240" s="51"/>
      <c r="X240" s="56"/>
    </row>
    <row r="241" spans="1:24">
      <c r="A241" s="38"/>
      <c r="B241" s="38"/>
      <c r="C241" s="38"/>
      <c r="D241" s="38"/>
      <c r="E241" s="40"/>
      <c r="F241" s="58"/>
      <c r="G241" s="42"/>
      <c r="H241" s="43"/>
      <c r="I241" s="44"/>
      <c r="J241" s="38"/>
      <c r="K241" s="45"/>
      <c r="L241" s="46"/>
      <c r="M241" s="38"/>
      <c r="N241" s="38"/>
      <c r="O241" s="38"/>
      <c r="P241" s="38"/>
      <c r="Q241" s="38"/>
      <c r="R241" s="48"/>
      <c r="S241" s="48"/>
      <c r="T241" s="48"/>
      <c r="U241" s="52"/>
      <c r="V241" s="50"/>
      <c r="W241" s="51"/>
      <c r="X241" s="56"/>
    </row>
    <row r="242" spans="1:24">
      <c r="A242" s="38"/>
      <c r="B242" s="38"/>
      <c r="C242" s="38"/>
      <c r="D242" s="38"/>
      <c r="E242" s="40"/>
      <c r="F242" s="41"/>
      <c r="G242" s="42"/>
      <c r="H242" s="43"/>
      <c r="I242" s="44"/>
      <c r="J242" s="38"/>
      <c r="K242" s="45"/>
      <c r="L242" s="46"/>
      <c r="M242" s="38"/>
      <c r="N242" s="38"/>
      <c r="O242" s="38"/>
      <c r="P242" s="38"/>
      <c r="Q242" s="38"/>
      <c r="R242" s="48"/>
      <c r="S242" s="48"/>
      <c r="T242" s="48"/>
      <c r="U242" s="52"/>
      <c r="V242" s="50"/>
      <c r="W242" s="51"/>
      <c r="X242" s="56"/>
    </row>
    <row r="243" spans="1:24">
      <c r="A243" s="38"/>
      <c r="B243" s="38"/>
      <c r="C243" s="38"/>
      <c r="D243" s="38"/>
      <c r="E243" s="40"/>
      <c r="F243" s="41"/>
      <c r="G243" s="42"/>
      <c r="H243" s="43"/>
      <c r="I243" s="44"/>
      <c r="J243" s="38"/>
      <c r="K243" s="45"/>
      <c r="L243" s="46"/>
      <c r="M243" s="38"/>
      <c r="N243" s="38"/>
      <c r="O243" s="38"/>
      <c r="P243" s="38"/>
      <c r="Q243" s="38"/>
      <c r="R243" s="48"/>
      <c r="S243" s="48"/>
      <c r="T243" s="48"/>
      <c r="U243" s="52"/>
      <c r="V243" s="50"/>
      <c r="W243" s="51"/>
      <c r="X243" s="56"/>
    </row>
    <row r="244" spans="1:24">
      <c r="A244" s="38"/>
      <c r="B244" s="38"/>
      <c r="C244" s="38"/>
      <c r="D244" s="38"/>
      <c r="E244" s="40"/>
      <c r="F244" s="41"/>
      <c r="G244" s="42"/>
      <c r="H244" s="43"/>
      <c r="I244" s="44"/>
      <c r="J244" s="38"/>
      <c r="K244" s="45"/>
      <c r="L244" s="46"/>
      <c r="M244" s="38"/>
      <c r="N244" s="38"/>
      <c r="O244" s="38"/>
      <c r="P244" s="38"/>
      <c r="Q244" s="38"/>
      <c r="R244" s="48"/>
      <c r="S244" s="48"/>
      <c r="T244" s="48"/>
      <c r="U244" s="52"/>
      <c r="V244" s="50"/>
      <c r="W244" s="51"/>
      <c r="X244" s="56"/>
    </row>
    <row r="245" spans="1:24">
      <c r="A245" s="38"/>
      <c r="B245" s="38"/>
      <c r="C245" s="38"/>
      <c r="D245" s="38"/>
      <c r="E245" s="40"/>
      <c r="F245" s="41"/>
      <c r="G245" s="42"/>
      <c r="H245" s="43"/>
      <c r="I245" s="44"/>
      <c r="J245" s="38"/>
      <c r="K245" s="45"/>
      <c r="L245" s="46"/>
      <c r="M245" s="38"/>
      <c r="N245" s="38"/>
      <c r="O245" s="38"/>
      <c r="P245" s="38"/>
      <c r="Q245" s="38"/>
      <c r="R245" s="48"/>
      <c r="S245" s="48"/>
      <c r="T245" s="48"/>
      <c r="U245" s="52"/>
      <c r="V245" s="50"/>
      <c r="W245" s="51"/>
      <c r="X245" s="56"/>
    </row>
    <row r="246" spans="1:24">
      <c r="A246" s="38"/>
      <c r="B246" s="38"/>
      <c r="C246" s="38"/>
      <c r="D246" s="38"/>
      <c r="E246" s="40"/>
      <c r="F246" s="41"/>
      <c r="G246" s="42"/>
      <c r="H246" s="43"/>
      <c r="I246" s="44"/>
      <c r="J246" s="38"/>
      <c r="K246" s="45"/>
      <c r="L246" s="46"/>
      <c r="M246" s="38"/>
      <c r="N246" s="38"/>
      <c r="O246" s="38"/>
      <c r="P246" s="38"/>
      <c r="Q246" s="38"/>
      <c r="R246" s="48"/>
      <c r="S246" s="48"/>
      <c r="T246" s="48"/>
      <c r="U246" s="52"/>
      <c r="V246" s="50"/>
      <c r="W246" s="51"/>
      <c r="X246" s="56"/>
    </row>
    <row r="247" spans="1:24">
      <c r="A247" s="38"/>
      <c r="B247" s="38"/>
      <c r="C247" s="38"/>
      <c r="D247" s="38"/>
      <c r="E247" s="40"/>
      <c r="F247" s="41"/>
      <c r="G247" s="42"/>
      <c r="H247" s="43"/>
      <c r="I247" s="44"/>
      <c r="J247" s="38"/>
      <c r="K247" s="45"/>
      <c r="L247" s="46"/>
      <c r="M247" s="38"/>
      <c r="N247" s="38"/>
      <c r="O247" s="38"/>
      <c r="P247" s="38"/>
      <c r="Q247" s="38"/>
      <c r="R247" s="48"/>
      <c r="S247" s="48"/>
      <c r="T247" s="48"/>
      <c r="U247" s="52"/>
      <c r="V247" s="50"/>
      <c r="W247" s="51"/>
      <c r="X247" s="56"/>
    </row>
    <row r="248" spans="1:24">
      <c r="A248" s="38"/>
      <c r="B248" s="38"/>
      <c r="C248" s="38"/>
      <c r="D248" s="38"/>
      <c r="E248" s="40"/>
      <c r="F248" s="41"/>
      <c r="G248" s="42"/>
      <c r="H248" s="43"/>
      <c r="I248" s="44"/>
      <c r="J248" s="38"/>
      <c r="K248" s="45"/>
      <c r="L248" s="46"/>
      <c r="M248" s="38"/>
      <c r="N248" s="38"/>
      <c r="O248" s="38"/>
      <c r="P248" s="38"/>
      <c r="Q248" s="38"/>
      <c r="R248" s="48"/>
      <c r="S248" s="48"/>
      <c r="T248" s="48"/>
      <c r="U248" s="52"/>
      <c r="V248" s="50"/>
      <c r="W248" s="51"/>
      <c r="X248" s="56"/>
    </row>
    <row r="249" spans="1:24">
      <c r="A249" s="38"/>
      <c r="B249" s="38"/>
      <c r="C249" s="38"/>
      <c r="D249" s="38"/>
      <c r="E249" s="40"/>
      <c r="F249" s="41"/>
      <c r="G249" s="42"/>
      <c r="H249" s="43"/>
      <c r="I249" s="44"/>
      <c r="J249" s="38"/>
      <c r="K249" s="45"/>
      <c r="L249" s="46"/>
      <c r="M249" s="38"/>
      <c r="N249" s="38"/>
      <c r="O249" s="38"/>
      <c r="P249" s="38"/>
      <c r="Q249" s="38"/>
      <c r="R249" s="48"/>
      <c r="S249" s="48"/>
      <c r="T249" s="48"/>
      <c r="U249" s="52"/>
      <c r="V249" s="50"/>
      <c r="W249" s="51"/>
      <c r="X249" s="56"/>
    </row>
    <row r="250" spans="1:24">
      <c r="A250" s="38"/>
      <c r="B250" s="38"/>
      <c r="C250" s="38"/>
      <c r="D250" s="38"/>
      <c r="E250" s="40"/>
      <c r="F250" s="58"/>
      <c r="G250" s="42"/>
      <c r="H250" s="43"/>
      <c r="I250" s="44"/>
      <c r="J250" s="38"/>
      <c r="K250" s="45"/>
      <c r="L250" s="46"/>
      <c r="M250" s="38"/>
      <c r="N250" s="38"/>
      <c r="O250" s="38"/>
      <c r="P250" s="38"/>
      <c r="Q250" s="38"/>
      <c r="R250" s="48"/>
      <c r="S250" s="48"/>
      <c r="T250" s="48"/>
      <c r="U250" s="52"/>
      <c r="V250" s="50"/>
      <c r="W250" s="51"/>
      <c r="X250" s="56"/>
    </row>
    <row r="251" spans="1:24">
      <c r="A251" s="38"/>
      <c r="B251" s="38"/>
      <c r="C251" s="38"/>
      <c r="D251" s="38"/>
      <c r="E251" s="40"/>
      <c r="F251" s="58"/>
      <c r="G251" s="42"/>
      <c r="H251" s="43"/>
      <c r="I251" s="44"/>
      <c r="J251" s="38"/>
      <c r="K251" s="45"/>
      <c r="L251" s="46"/>
      <c r="M251" s="38"/>
      <c r="N251" s="38"/>
      <c r="O251" s="38"/>
      <c r="P251" s="38"/>
      <c r="Q251" s="38"/>
      <c r="R251" s="48"/>
      <c r="S251" s="48"/>
      <c r="T251" s="48"/>
      <c r="U251" s="52"/>
      <c r="V251" s="50"/>
      <c r="W251" s="51"/>
      <c r="X251" s="56"/>
    </row>
    <row r="252" spans="1:24">
      <c r="A252" s="38"/>
      <c r="B252" s="38"/>
      <c r="C252" s="38"/>
      <c r="D252" s="38"/>
      <c r="E252" s="40"/>
      <c r="F252" s="41"/>
      <c r="G252" s="42"/>
      <c r="H252" s="43"/>
      <c r="I252" s="44"/>
      <c r="J252" s="38"/>
      <c r="K252" s="45"/>
      <c r="L252" s="46"/>
      <c r="M252" s="38"/>
      <c r="N252" s="38"/>
      <c r="O252" s="38"/>
      <c r="P252" s="38"/>
      <c r="Q252" s="38"/>
      <c r="R252" s="48"/>
      <c r="S252" s="48"/>
      <c r="T252" s="48"/>
      <c r="U252" s="52"/>
      <c r="V252" s="50"/>
      <c r="W252" s="51"/>
      <c r="X252" s="56"/>
    </row>
    <row r="253" spans="1:24">
      <c r="A253" s="38"/>
      <c r="B253" s="38"/>
      <c r="C253" s="38"/>
      <c r="D253" s="38"/>
      <c r="E253" s="40"/>
      <c r="F253" s="41"/>
      <c r="G253" s="42"/>
      <c r="H253" s="43"/>
      <c r="I253" s="44"/>
      <c r="J253" s="38"/>
      <c r="K253" s="45"/>
      <c r="L253" s="46"/>
      <c r="M253" s="38"/>
      <c r="N253" s="38"/>
      <c r="O253" s="38"/>
      <c r="P253" s="38"/>
      <c r="Q253" s="38"/>
      <c r="R253" s="48"/>
      <c r="S253" s="48"/>
      <c r="T253" s="48"/>
      <c r="U253" s="52"/>
      <c r="V253" s="50"/>
      <c r="W253" s="51"/>
      <c r="X253" s="56"/>
    </row>
    <row r="254" spans="1:24">
      <c r="A254" s="38"/>
      <c r="B254" s="38"/>
      <c r="C254" s="38"/>
      <c r="D254" s="38"/>
      <c r="E254" s="40"/>
      <c r="F254" s="58"/>
      <c r="G254" s="42"/>
      <c r="H254" s="43"/>
      <c r="I254" s="44"/>
      <c r="J254" s="38"/>
      <c r="K254" s="45"/>
      <c r="L254" s="46"/>
      <c r="M254" s="38"/>
      <c r="N254" s="38"/>
      <c r="O254" s="38"/>
      <c r="P254" s="38"/>
      <c r="Q254" s="38"/>
      <c r="R254" s="48"/>
      <c r="S254" s="48"/>
      <c r="T254" s="48"/>
      <c r="U254" s="52"/>
      <c r="V254" s="50"/>
      <c r="W254" s="51"/>
      <c r="X254" s="56"/>
    </row>
    <row r="255" spans="1:24">
      <c r="A255" s="38"/>
      <c r="B255" s="38"/>
      <c r="C255" s="38"/>
      <c r="D255" s="38"/>
      <c r="E255" s="40"/>
      <c r="F255" s="41"/>
      <c r="G255" s="42"/>
      <c r="H255" s="43"/>
      <c r="I255" s="44"/>
      <c r="J255" s="38"/>
      <c r="K255" s="45"/>
      <c r="L255" s="46"/>
      <c r="M255" s="38"/>
      <c r="N255" s="38"/>
      <c r="O255" s="38"/>
      <c r="P255" s="38"/>
      <c r="Q255" s="38"/>
      <c r="R255" s="48"/>
      <c r="S255" s="48"/>
      <c r="T255" s="48"/>
      <c r="U255" s="52"/>
      <c r="V255" s="50"/>
      <c r="W255" s="51"/>
      <c r="X255" s="56"/>
    </row>
    <row r="256" spans="1:24">
      <c r="A256" s="38"/>
      <c r="B256" s="38"/>
      <c r="C256" s="38"/>
      <c r="D256" s="38"/>
      <c r="E256" s="40"/>
      <c r="F256" s="41"/>
      <c r="G256" s="42"/>
      <c r="H256" s="43"/>
      <c r="I256" s="44"/>
      <c r="J256" s="38"/>
      <c r="K256" s="45"/>
      <c r="L256" s="46"/>
      <c r="M256" s="38"/>
      <c r="N256" s="38"/>
      <c r="O256" s="38"/>
      <c r="P256" s="38"/>
      <c r="Q256" s="38"/>
      <c r="R256" s="48"/>
      <c r="S256" s="48"/>
      <c r="T256" s="48"/>
      <c r="U256" s="52"/>
      <c r="V256" s="50"/>
      <c r="W256" s="51"/>
      <c r="X256" s="56"/>
    </row>
    <row r="257" spans="1:24">
      <c r="A257" s="38"/>
      <c r="B257" s="38"/>
      <c r="C257" s="38"/>
      <c r="D257" s="38"/>
      <c r="E257" s="40"/>
      <c r="F257" s="41"/>
      <c r="G257" s="42"/>
      <c r="H257" s="43"/>
      <c r="I257" s="44"/>
      <c r="J257" s="38"/>
      <c r="K257" s="45"/>
      <c r="L257" s="46"/>
      <c r="M257" s="38"/>
      <c r="N257" s="38"/>
      <c r="O257" s="38"/>
      <c r="P257" s="38"/>
      <c r="Q257" s="38"/>
      <c r="R257" s="48"/>
      <c r="S257" s="48"/>
      <c r="T257" s="48"/>
      <c r="U257" s="52"/>
      <c r="V257" s="50"/>
      <c r="W257" s="51"/>
      <c r="X257" s="56"/>
    </row>
    <row r="258" spans="1:24">
      <c r="A258" s="38"/>
      <c r="B258" s="38"/>
      <c r="C258" s="38"/>
      <c r="D258" s="38"/>
      <c r="E258" s="40"/>
      <c r="F258" s="41"/>
      <c r="G258" s="42"/>
      <c r="H258" s="43"/>
      <c r="I258" s="44"/>
      <c r="J258" s="38"/>
      <c r="K258" s="45"/>
      <c r="L258" s="46"/>
      <c r="M258" s="38"/>
      <c r="N258" s="38"/>
      <c r="O258" s="38"/>
      <c r="P258" s="38"/>
      <c r="Q258" s="38"/>
      <c r="R258" s="48"/>
      <c r="S258" s="48"/>
      <c r="T258" s="48"/>
      <c r="U258" s="52"/>
      <c r="V258" s="50"/>
      <c r="W258" s="51"/>
      <c r="X258" s="56"/>
    </row>
    <row r="259" spans="1:24">
      <c r="A259" s="38"/>
      <c r="B259" s="38"/>
      <c r="C259" s="38"/>
      <c r="D259" s="38"/>
      <c r="E259" s="40"/>
      <c r="F259" s="41"/>
      <c r="G259" s="42"/>
      <c r="H259" s="43"/>
      <c r="I259" s="44"/>
      <c r="J259" s="38"/>
      <c r="K259" s="45"/>
      <c r="L259" s="46"/>
      <c r="M259" s="38"/>
      <c r="N259" s="38"/>
      <c r="O259" s="38"/>
      <c r="P259" s="38"/>
      <c r="Q259" s="38"/>
      <c r="R259" s="48"/>
      <c r="S259" s="48"/>
      <c r="T259" s="48"/>
      <c r="U259" s="52"/>
      <c r="V259" s="50"/>
      <c r="W259" s="51"/>
      <c r="X259" s="56"/>
    </row>
    <row r="260" spans="1:24">
      <c r="A260" s="38"/>
      <c r="B260" s="38"/>
      <c r="C260" s="38"/>
      <c r="D260" s="38"/>
      <c r="E260" s="40"/>
      <c r="F260" s="41"/>
      <c r="G260" s="42"/>
      <c r="H260" s="43"/>
      <c r="I260" s="44"/>
      <c r="J260" s="38"/>
      <c r="K260" s="45"/>
      <c r="L260" s="46"/>
      <c r="M260" s="38"/>
      <c r="N260" s="38"/>
      <c r="O260" s="38"/>
      <c r="P260" s="38"/>
      <c r="Q260" s="38"/>
      <c r="R260" s="48"/>
      <c r="S260" s="48"/>
      <c r="T260" s="48"/>
      <c r="U260" s="52"/>
      <c r="V260" s="50"/>
      <c r="W260" s="51"/>
      <c r="X260" s="56"/>
    </row>
    <row r="261" spans="1:24">
      <c r="A261" s="38"/>
      <c r="B261" s="38"/>
      <c r="C261" s="38"/>
      <c r="D261" s="38"/>
      <c r="E261" s="40"/>
      <c r="F261" s="41"/>
      <c r="G261" s="42"/>
      <c r="H261" s="43"/>
      <c r="I261" s="44"/>
      <c r="J261" s="38"/>
      <c r="K261" s="45"/>
      <c r="L261" s="46"/>
      <c r="M261" s="38"/>
      <c r="N261" s="38"/>
      <c r="O261" s="38"/>
      <c r="P261" s="38"/>
      <c r="Q261" s="38"/>
      <c r="R261" s="48"/>
      <c r="S261" s="48"/>
      <c r="T261" s="48"/>
      <c r="U261" s="52"/>
      <c r="V261" s="50"/>
      <c r="W261" s="51"/>
      <c r="X261" s="56"/>
    </row>
    <row r="262" spans="1:24">
      <c r="A262" s="38"/>
      <c r="B262" s="38"/>
      <c r="C262" s="38"/>
      <c r="D262" s="38"/>
      <c r="E262" s="40"/>
      <c r="F262" s="41"/>
      <c r="G262" s="42"/>
      <c r="H262" s="43"/>
      <c r="I262" s="44"/>
      <c r="J262" s="38"/>
      <c r="K262" s="45"/>
      <c r="L262" s="46"/>
      <c r="M262" s="38"/>
      <c r="N262" s="38"/>
      <c r="O262" s="38"/>
      <c r="P262" s="38"/>
      <c r="Q262" s="38"/>
      <c r="R262" s="48"/>
      <c r="S262" s="48"/>
      <c r="T262" s="48"/>
      <c r="U262" s="52"/>
      <c r="V262" s="50"/>
      <c r="W262" s="51"/>
      <c r="X262" s="56"/>
    </row>
    <row r="263" spans="1:24">
      <c r="A263" s="38"/>
      <c r="B263" s="38"/>
      <c r="C263" s="38"/>
      <c r="D263" s="38"/>
      <c r="E263" s="40"/>
      <c r="F263" s="41"/>
      <c r="G263" s="42"/>
      <c r="H263" s="43"/>
      <c r="I263" s="44"/>
      <c r="J263" s="38"/>
      <c r="K263" s="45"/>
      <c r="L263" s="46"/>
      <c r="M263" s="38"/>
      <c r="N263" s="38"/>
      <c r="O263" s="38"/>
      <c r="P263" s="38"/>
      <c r="Q263" s="38"/>
      <c r="R263" s="48"/>
      <c r="S263" s="48"/>
      <c r="T263" s="48"/>
      <c r="U263" s="52"/>
      <c r="V263" s="50"/>
      <c r="W263" s="51"/>
      <c r="X263" s="56"/>
    </row>
    <row r="264" spans="1:24">
      <c r="A264" s="38"/>
      <c r="B264" s="38"/>
      <c r="C264" s="38"/>
      <c r="D264" s="38"/>
      <c r="E264" s="40"/>
      <c r="F264" s="41"/>
      <c r="G264" s="42"/>
      <c r="H264" s="43"/>
      <c r="I264" s="44"/>
      <c r="J264" s="38"/>
      <c r="K264" s="45"/>
      <c r="L264" s="46"/>
      <c r="M264" s="38"/>
      <c r="N264" s="38"/>
      <c r="O264" s="38"/>
      <c r="P264" s="38"/>
      <c r="Q264" s="38"/>
      <c r="R264" s="48"/>
      <c r="S264" s="48"/>
      <c r="T264" s="48"/>
      <c r="U264" s="52"/>
      <c r="V264" s="50"/>
      <c r="W264" s="51"/>
      <c r="X264" s="56"/>
    </row>
    <row r="265" spans="1:24">
      <c r="A265" s="38"/>
      <c r="B265" s="38"/>
      <c r="C265" s="38"/>
      <c r="D265" s="38"/>
      <c r="E265" s="40"/>
      <c r="F265" s="41"/>
      <c r="G265" s="42"/>
      <c r="H265" s="43"/>
      <c r="I265" s="44"/>
      <c r="J265" s="38"/>
      <c r="K265" s="45"/>
      <c r="L265" s="46"/>
      <c r="M265" s="38"/>
      <c r="N265" s="38"/>
      <c r="O265" s="38"/>
      <c r="P265" s="38"/>
      <c r="Q265" s="38"/>
      <c r="R265" s="48"/>
      <c r="S265" s="48"/>
      <c r="T265" s="48"/>
      <c r="U265" s="52"/>
      <c r="V265" s="50"/>
      <c r="W265" s="51"/>
      <c r="X265" s="56"/>
    </row>
    <row r="266" spans="1:24">
      <c r="A266" s="38"/>
      <c r="B266" s="38"/>
      <c r="C266" s="38"/>
      <c r="D266" s="38"/>
      <c r="E266" s="40"/>
      <c r="F266" s="41"/>
      <c r="G266" s="42"/>
      <c r="H266" s="43"/>
      <c r="I266" s="44"/>
      <c r="J266" s="38"/>
      <c r="K266" s="45"/>
      <c r="L266" s="46"/>
      <c r="M266" s="38"/>
      <c r="N266" s="38"/>
      <c r="O266" s="38"/>
      <c r="P266" s="38"/>
      <c r="Q266" s="38"/>
      <c r="R266" s="48"/>
      <c r="S266" s="48"/>
      <c r="T266" s="48"/>
      <c r="U266" s="52"/>
      <c r="V266" s="50"/>
      <c r="W266" s="51"/>
      <c r="X266" s="56"/>
    </row>
    <row r="267" spans="1:24">
      <c r="A267" s="38"/>
      <c r="B267" s="38"/>
      <c r="C267" s="38"/>
      <c r="D267" s="38"/>
      <c r="E267" s="40"/>
      <c r="F267" s="41"/>
      <c r="G267" s="42"/>
      <c r="H267" s="43"/>
      <c r="I267" s="44"/>
      <c r="J267" s="38"/>
      <c r="K267" s="45"/>
      <c r="L267" s="46"/>
      <c r="M267" s="38"/>
      <c r="N267" s="38"/>
      <c r="O267" s="38"/>
      <c r="P267" s="38"/>
      <c r="Q267" s="38"/>
      <c r="R267" s="48"/>
      <c r="S267" s="48"/>
      <c r="T267" s="48"/>
      <c r="U267" s="52"/>
      <c r="V267" s="50"/>
      <c r="W267" s="51"/>
      <c r="X267" s="56"/>
    </row>
    <row r="268" spans="1:24">
      <c r="A268" s="38"/>
      <c r="B268" s="38"/>
      <c r="C268" s="38"/>
      <c r="D268" s="38"/>
      <c r="E268" s="40"/>
      <c r="F268" s="41"/>
      <c r="G268" s="42"/>
      <c r="H268" s="43"/>
      <c r="I268" s="44"/>
      <c r="J268" s="38"/>
      <c r="K268" s="45"/>
      <c r="L268" s="46"/>
      <c r="M268" s="38"/>
      <c r="N268" s="38"/>
      <c r="O268" s="38"/>
      <c r="P268" s="38"/>
      <c r="Q268" s="38"/>
      <c r="R268" s="48"/>
      <c r="S268" s="48"/>
      <c r="T268" s="48"/>
      <c r="U268" s="52"/>
      <c r="V268" s="50"/>
      <c r="W268" s="51"/>
      <c r="X268" s="56"/>
    </row>
    <row r="269" spans="1:24">
      <c r="A269" s="38"/>
      <c r="B269" s="38"/>
      <c r="C269" s="38"/>
      <c r="D269" s="38"/>
      <c r="E269" s="40"/>
      <c r="F269" s="41"/>
      <c r="G269" s="42"/>
      <c r="H269" s="43"/>
      <c r="I269" s="44"/>
      <c r="J269" s="38"/>
      <c r="K269" s="45"/>
      <c r="L269" s="46"/>
      <c r="M269" s="38"/>
      <c r="N269" s="38"/>
      <c r="O269" s="38"/>
      <c r="P269" s="38"/>
      <c r="Q269" s="38"/>
      <c r="R269" s="48"/>
      <c r="S269" s="48"/>
      <c r="T269" s="48"/>
      <c r="U269" s="52"/>
      <c r="V269" s="50"/>
      <c r="W269" s="51"/>
      <c r="X269" s="56"/>
    </row>
    <row r="270" spans="1:24">
      <c r="A270" s="38"/>
      <c r="B270" s="38"/>
      <c r="C270" s="38"/>
      <c r="D270" s="38"/>
      <c r="E270" s="40"/>
      <c r="F270" s="41"/>
      <c r="G270" s="42"/>
      <c r="H270" s="43"/>
      <c r="I270" s="44"/>
      <c r="J270" s="38"/>
      <c r="K270" s="45"/>
      <c r="L270" s="46"/>
      <c r="M270" s="38"/>
      <c r="N270" s="38"/>
      <c r="O270" s="38"/>
      <c r="P270" s="38"/>
      <c r="Q270" s="38"/>
      <c r="R270" s="48"/>
      <c r="S270" s="48"/>
      <c r="T270" s="48"/>
      <c r="U270" s="52"/>
      <c r="V270" s="50"/>
      <c r="W270" s="51"/>
      <c r="X270" s="56"/>
    </row>
    <row r="271" spans="1:24">
      <c r="A271" s="38"/>
      <c r="B271" s="38"/>
      <c r="C271" s="38"/>
      <c r="D271" s="38"/>
      <c r="E271" s="40"/>
      <c r="F271" s="41"/>
      <c r="G271" s="42"/>
      <c r="H271" s="43"/>
      <c r="I271" s="44"/>
      <c r="J271" s="38"/>
      <c r="K271" s="45"/>
      <c r="L271" s="46"/>
      <c r="M271" s="38"/>
      <c r="N271" s="38"/>
      <c r="O271" s="38"/>
      <c r="P271" s="38"/>
      <c r="Q271" s="38"/>
      <c r="R271" s="48"/>
      <c r="S271" s="48"/>
      <c r="T271" s="48"/>
      <c r="U271" s="52"/>
      <c r="V271" s="50"/>
      <c r="W271" s="51"/>
      <c r="X271" s="56"/>
    </row>
    <row r="272" spans="1:24">
      <c r="A272" s="38"/>
      <c r="B272" s="38"/>
      <c r="C272" s="38"/>
      <c r="D272" s="38"/>
      <c r="E272" s="40"/>
      <c r="F272" s="41"/>
      <c r="G272" s="42"/>
      <c r="H272" s="43"/>
      <c r="I272" s="44"/>
      <c r="J272" s="38"/>
      <c r="K272" s="45"/>
      <c r="L272" s="46"/>
      <c r="M272" s="38"/>
      <c r="N272" s="38"/>
      <c r="O272" s="38"/>
      <c r="P272" s="38"/>
      <c r="Q272" s="38"/>
      <c r="R272" s="48"/>
      <c r="S272" s="48"/>
      <c r="T272" s="48"/>
      <c r="U272" s="52"/>
      <c r="V272" s="50"/>
      <c r="W272" s="51"/>
      <c r="X272" s="56"/>
    </row>
    <row r="273" spans="1:24">
      <c r="A273" s="38"/>
      <c r="B273" s="38"/>
      <c r="C273" s="38"/>
      <c r="D273" s="38"/>
      <c r="E273" s="40"/>
      <c r="F273" s="41"/>
      <c r="G273" s="42"/>
      <c r="H273" s="43"/>
      <c r="I273" s="44"/>
      <c r="J273" s="38"/>
      <c r="K273" s="45"/>
      <c r="L273" s="46"/>
      <c r="M273" s="38"/>
      <c r="N273" s="38"/>
      <c r="O273" s="38"/>
      <c r="P273" s="38"/>
      <c r="Q273" s="38"/>
      <c r="R273" s="48"/>
      <c r="S273" s="48"/>
      <c r="T273" s="48"/>
      <c r="U273" s="52"/>
      <c r="V273" s="50"/>
      <c r="W273" s="51"/>
      <c r="X273" s="56"/>
    </row>
    <row r="274" spans="1:24">
      <c r="A274" s="38"/>
      <c r="B274" s="38"/>
      <c r="C274" s="38"/>
      <c r="D274" s="38"/>
      <c r="E274" s="40"/>
      <c r="F274" s="58"/>
      <c r="G274" s="42"/>
      <c r="H274" s="43"/>
      <c r="I274" s="44"/>
      <c r="J274" s="38"/>
      <c r="K274" s="45"/>
      <c r="L274" s="46"/>
      <c r="M274" s="38"/>
      <c r="N274" s="38"/>
      <c r="O274" s="38"/>
      <c r="P274" s="38"/>
      <c r="Q274" s="38"/>
      <c r="R274" s="48"/>
      <c r="S274" s="48"/>
      <c r="T274" s="48"/>
      <c r="U274" s="52"/>
      <c r="V274" s="50"/>
      <c r="W274" s="51"/>
      <c r="X274" s="56"/>
    </row>
    <row r="275" spans="1:24">
      <c r="A275" s="38"/>
      <c r="B275" s="38"/>
      <c r="C275" s="38"/>
      <c r="D275" s="38"/>
      <c r="E275" s="40"/>
      <c r="F275" s="41"/>
      <c r="G275" s="42"/>
      <c r="H275" s="43"/>
      <c r="I275" s="44"/>
      <c r="J275" s="38"/>
      <c r="K275" s="45"/>
      <c r="L275" s="46"/>
      <c r="M275" s="38"/>
      <c r="N275" s="38"/>
      <c r="O275" s="38"/>
      <c r="P275" s="38"/>
      <c r="Q275" s="38"/>
      <c r="R275" s="48"/>
      <c r="S275" s="48"/>
      <c r="T275" s="48"/>
      <c r="U275" s="52"/>
      <c r="V275" s="50"/>
      <c r="W275" s="51"/>
      <c r="X275" s="56"/>
    </row>
    <row r="276" spans="1:24">
      <c r="A276" s="38"/>
      <c r="B276" s="38"/>
      <c r="C276" s="38"/>
      <c r="D276" s="38"/>
      <c r="E276" s="40"/>
      <c r="F276" s="41"/>
      <c r="G276" s="42"/>
      <c r="H276" s="43"/>
      <c r="I276" s="44"/>
      <c r="J276" s="38"/>
      <c r="K276" s="45"/>
      <c r="L276" s="46"/>
      <c r="M276" s="38"/>
      <c r="N276" s="38"/>
      <c r="O276" s="38"/>
      <c r="P276" s="38"/>
      <c r="Q276" s="38"/>
      <c r="R276" s="48"/>
      <c r="S276" s="48"/>
      <c r="T276" s="48"/>
      <c r="U276" s="52"/>
      <c r="V276" s="50"/>
      <c r="W276" s="51"/>
      <c r="X276" s="56"/>
    </row>
    <row r="277" spans="1:24">
      <c r="A277" s="38"/>
      <c r="B277" s="38"/>
      <c r="C277" s="38"/>
      <c r="D277" s="38"/>
      <c r="E277" s="40"/>
      <c r="F277" s="41"/>
      <c r="G277" s="42"/>
      <c r="H277" s="43"/>
      <c r="I277" s="44"/>
      <c r="J277" s="38"/>
      <c r="K277" s="45"/>
      <c r="L277" s="46"/>
      <c r="M277" s="38"/>
      <c r="N277" s="38"/>
      <c r="O277" s="38"/>
      <c r="P277" s="38"/>
      <c r="Q277" s="38"/>
      <c r="R277" s="48"/>
      <c r="S277" s="48"/>
      <c r="T277" s="48"/>
      <c r="U277" s="52"/>
      <c r="V277" s="50"/>
      <c r="W277" s="51"/>
      <c r="X277" s="56"/>
    </row>
    <row r="278" spans="1:24">
      <c r="A278" s="38"/>
      <c r="B278" s="38"/>
      <c r="C278" s="38"/>
      <c r="D278" s="38"/>
      <c r="E278" s="40"/>
      <c r="F278" s="58"/>
      <c r="G278" s="42"/>
      <c r="H278" s="43"/>
      <c r="I278" s="44"/>
      <c r="J278" s="38"/>
      <c r="K278" s="45"/>
      <c r="L278" s="46"/>
      <c r="M278" s="38"/>
      <c r="N278" s="38"/>
      <c r="O278" s="38"/>
      <c r="P278" s="38"/>
      <c r="Q278" s="38"/>
      <c r="R278" s="48"/>
      <c r="S278" s="48"/>
      <c r="T278" s="48"/>
      <c r="U278" s="52"/>
      <c r="V278" s="50"/>
      <c r="W278" s="51"/>
      <c r="X278" s="56"/>
    </row>
    <row r="279" spans="1:24">
      <c r="A279" s="38"/>
      <c r="B279" s="38"/>
      <c r="C279" s="38"/>
      <c r="D279" s="38"/>
      <c r="E279" s="40"/>
      <c r="F279" s="58"/>
      <c r="G279" s="42"/>
      <c r="H279" s="43"/>
      <c r="I279" s="44"/>
      <c r="J279" s="38"/>
      <c r="K279" s="45"/>
      <c r="L279" s="46"/>
      <c r="M279" s="38"/>
      <c r="N279" s="38"/>
      <c r="O279" s="38"/>
      <c r="P279" s="38"/>
      <c r="Q279" s="38"/>
      <c r="R279" s="48"/>
      <c r="S279" s="48"/>
      <c r="T279" s="48"/>
      <c r="U279" s="52"/>
      <c r="V279" s="50"/>
      <c r="W279" s="51"/>
      <c r="X279" s="56"/>
    </row>
    <row r="280" spans="1:24">
      <c r="A280" s="38"/>
      <c r="B280" s="38"/>
      <c r="C280" s="38"/>
      <c r="D280" s="38"/>
      <c r="E280" s="40"/>
      <c r="F280" s="41"/>
      <c r="G280" s="42"/>
      <c r="H280" s="43"/>
      <c r="I280" s="44"/>
      <c r="J280" s="38"/>
      <c r="K280" s="45"/>
      <c r="L280" s="46"/>
      <c r="M280" s="38"/>
      <c r="N280" s="38"/>
      <c r="O280" s="38"/>
      <c r="P280" s="38"/>
      <c r="Q280" s="38"/>
      <c r="R280" s="48"/>
      <c r="S280" s="48"/>
      <c r="T280" s="48"/>
      <c r="U280" s="52"/>
      <c r="V280" s="50"/>
      <c r="W280" s="51"/>
      <c r="X280" s="56"/>
    </row>
    <row r="281" spans="1:24">
      <c r="A281" s="38"/>
      <c r="B281" s="38"/>
      <c r="C281" s="38"/>
      <c r="D281" s="38"/>
      <c r="E281" s="40"/>
      <c r="F281" s="41"/>
      <c r="G281" s="42"/>
      <c r="H281" s="43"/>
      <c r="I281" s="44"/>
      <c r="J281" s="38"/>
      <c r="K281" s="45"/>
      <c r="L281" s="46"/>
      <c r="M281" s="38"/>
      <c r="N281" s="38"/>
      <c r="O281" s="38"/>
      <c r="P281" s="38"/>
      <c r="Q281" s="38"/>
      <c r="R281" s="48"/>
      <c r="S281" s="48"/>
      <c r="T281" s="48"/>
      <c r="U281" s="52"/>
      <c r="V281" s="50"/>
      <c r="W281" s="51"/>
      <c r="X281" s="56"/>
    </row>
    <row r="282" spans="1:24">
      <c r="A282" s="38"/>
      <c r="B282" s="38"/>
      <c r="C282" s="38"/>
      <c r="D282" s="38"/>
      <c r="E282" s="40"/>
      <c r="F282" s="41"/>
      <c r="G282" s="42"/>
      <c r="H282" s="43"/>
      <c r="I282" s="44"/>
      <c r="J282" s="38"/>
      <c r="K282" s="45"/>
      <c r="L282" s="46"/>
      <c r="M282" s="38"/>
      <c r="N282" s="38"/>
      <c r="O282" s="38"/>
      <c r="P282" s="38"/>
      <c r="Q282" s="38"/>
      <c r="R282" s="48"/>
      <c r="S282" s="48"/>
      <c r="T282" s="48"/>
      <c r="U282" s="52"/>
      <c r="V282" s="50"/>
      <c r="W282" s="51"/>
      <c r="X282" s="56"/>
    </row>
    <row r="283" spans="1:24">
      <c r="A283" s="38"/>
      <c r="B283" s="38"/>
      <c r="C283" s="38"/>
      <c r="D283" s="38"/>
      <c r="E283" s="40"/>
      <c r="F283" s="41"/>
      <c r="G283" s="42"/>
      <c r="H283" s="43"/>
      <c r="I283" s="44"/>
      <c r="J283" s="38"/>
      <c r="K283" s="45"/>
      <c r="L283" s="46"/>
      <c r="M283" s="38"/>
      <c r="N283" s="38"/>
      <c r="O283" s="38"/>
      <c r="P283" s="38"/>
      <c r="Q283" s="38"/>
      <c r="R283" s="48"/>
      <c r="S283" s="48"/>
      <c r="T283" s="48"/>
      <c r="U283" s="52"/>
      <c r="V283" s="50"/>
      <c r="W283" s="51"/>
      <c r="X283" s="56"/>
    </row>
    <row r="284" spans="1:24">
      <c r="A284" s="38"/>
      <c r="B284" s="38"/>
      <c r="C284" s="38"/>
      <c r="D284" s="38"/>
      <c r="E284" s="40"/>
      <c r="F284" s="41"/>
      <c r="G284" s="42"/>
      <c r="H284" s="43"/>
      <c r="I284" s="44"/>
      <c r="J284" s="38"/>
      <c r="K284" s="45"/>
      <c r="L284" s="46"/>
      <c r="M284" s="38"/>
      <c r="N284" s="38"/>
      <c r="O284" s="38"/>
      <c r="P284" s="38"/>
      <c r="Q284" s="38"/>
      <c r="R284" s="48"/>
      <c r="S284" s="48"/>
      <c r="T284" s="48"/>
      <c r="U284" s="52"/>
      <c r="V284" s="50"/>
      <c r="W284" s="51"/>
      <c r="X284" s="56"/>
    </row>
    <row r="285" spans="1:24">
      <c r="A285" s="38"/>
      <c r="B285" s="38"/>
      <c r="C285" s="38"/>
      <c r="D285" s="38"/>
      <c r="E285" s="40"/>
      <c r="F285" s="41"/>
      <c r="G285" s="42"/>
      <c r="H285" s="43"/>
      <c r="I285" s="44"/>
      <c r="J285" s="38"/>
      <c r="K285" s="45"/>
      <c r="L285" s="46"/>
      <c r="M285" s="38"/>
      <c r="N285" s="38"/>
      <c r="O285" s="38"/>
      <c r="P285" s="38"/>
      <c r="Q285" s="38"/>
      <c r="R285" s="48"/>
      <c r="S285" s="48"/>
      <c r="T285" s="48"/>
      <c r="U285" s="52"/>
      <c r="V285" s="50"/>
      <c r="W285" s="51"/>
      <c r="X285" s="56"/>
    </row>
    <row r="286" spans="1:24">
      <c r="A286" s="38"/>
      <c r="B286" s="38"/>
      <c r="C286" s="38"/>
      <c r="D286" s="38"/>
      <c r="E286" s="40"/>
      <c r="F286" s="41"/>
      <c r="G286" s="42"/>
      <c r="H286" s="43"/>
      <c r="I286" s="44"/>
      <c r="J286" s="38"/>
      <c r="K286" s="45"/>
      <c r="L286" s="46"/>
      <c r="M286" s="38"/>
      <c r="N286" s="38"/>
      <c r="O286" s="38"/>
      <c r="P286" s="38"/>
      <c r="Q286" s="38"/>
      <c r="R286" s="48"/>
      <c r="S286" s="48"/>
      <c r="T286" s="48"/>
      <c r="U286" s="52"/>
      <c r="V286" s="50"/>
      <c r="W286" s="51"/>
      <c r="X286" s="56"/>
    </row>
    <row r="287" spans="1:24">
      <c r="A287" s="38"/>
      <c r="B287" s="38"/>
      <c r="C287" s="38"/>
      <c r="D287" s="38"/>
      <c r="E287" s="40"/>
      <c r="F287" s="41"/>
      <c r="G287" s="42"/>
      <c r="H287" s="43"/>
      <c r="I287" s="44"/>
      <c r="J287" s="38"/>
      <c r="K287" s="45"/>
      <c r="L287" s="46"/>
      <c r="M287" s="38"/>
      <c r="N287" s="38"/>
      <c r="O287" s="38"/>
      <c r="P287" s="38"/>
      <c r="Q287" s="38"/>
      <c r="R287" s="48"/>
      <c r="S287" s="48"/>
      <c r="T287" s="48"/>
      <c r="U287" s="52"/>
      <c r="V287" s="50"/>
      <c r="W287" s="51"/>
      <c r="X287" s="56"/>
    </row>
    <row r="288" spans="1:24">
      <c r="A288" s="38"/>
      <c r="B288" s="38"/>
      <c r="C288" s="38"/>
      <c r="D288" s="38"/>
      <c r="E288" s="40"/>
      <c r="F288" s="41"/>
      <c r="G288" s="42"/>
      <c r="H288" s="43"/>
      <c r="I288" s="44"/>
      <c r="J288" s="38"/>
      <c r="K288" s="45"/>
      <c r="L288" s="46"/>
      <c r="M288" s="38"/>
      <c r="N288" s="38"/>
      <c r="O288" s="38"/>
      <c r="P288" s="38"/>
      <c r="Q288" s="38"/>
      <c r="R288" s="48"/>
      <c r="S288" s="48"/>
      <c r="T288" s="48"/>
      <c r="U288" s="52"/>
      <c r="V288" s="50"/>
      <c r="W288" s="51"/>
      <c r="X288" s="56"/>
    </row>
    <row r="289" spans="1:24">
      <c r="A289" s="38"/>
      <c r="B289" s="38"/>
      <c r="C289" s="38"/>
      <c r="D289" s="38"/>
      <c r="E289" s="40"/>
      <c r="F289" s="58"/>
      <c r="G289" s="42"/>
      <c r="H289" s="43"/>
      <c r="I289" s="44"/>
      <c r="J289" s="38"/>
      <c r="K289" s="45"/>
      <c r="L289" s="46"/>
      <c r="M289" s="38"/>
      <c r="N289" s="38"/>
      <c r="O289" s="38"/>
      <c r="P289" s="38"/>
      <c r="Q289" s="38"/>
      <c r="R289" s="48"/>
      <c r="S289" s="48"/>
      <c r="T289" s="48"/>
      <c r="U289" s="52"/>
      <c r="V289" s="50"/>
      <c r="W289" s="51"/>
      <c r="X289" s="56"/>
    </row>
    <row r="290" spans="1:24">
      <c r="A290" s="38"/>
      <c r="B290" s="38"/>
      <c r="C290" s="38"/>
      <c r="D290" s="38"/>
      <c r="E290" s="40"/>
      <c r="F290" s="41"/>
      <c r="G290" s="42"/>
      <c r="H290" s="43"/>
      <c r="I290" s="44"/>
      <c r="J290" s="38"/>
      <c r="K290" s="45"/>
      <c r="L290" s="46"/>
      <c r="M290" s="38"/>
      <c r="N290" s="38"/>
      <c r="O290" s="38"/>
      <c r="P290" s="38"/>
      <c r="Q290" s="38"/>
      <c r="R290" s="48"/>
      <c r="S290" s="48"/>
      <c r="T290" s="48"/>
      <c r="U290" s="52"/>
      <c r="V290" s="50"/>
      <c r="W290" s="51"/>
      <c r="X290" s="56"/>
    </row>
    <row r="291" spans="1:24">
      <c r="A291" s="38"/>
      <c r="B291" s="38"/>
      <c r="C291" s="38"/>
      <c r="D291" s="38"/>
      <c r="E291" s="40"/>
      <c r="F291" s="41"/>
      <c r="G291" s="42"/>
      <c r="H291" s="43"/>
      <c r="I291" s="44"/>
      <c r="J291" s="38"/>
      <c r="K291" s="45"/>
      <c r="L291" s="46"/>
      <c r="M291" s="38"/>
      <c r="N291" s="38"/>
      <c r="O291" s="38"/>
      <c r="P291" s="38"/>
      <c r="Q291" s="38"/>
      <c r="R291" s="48"/>
      <c r="S291" s="48"/>
      <c r="T291" s="48"/>
      <c r="U291" s="52"/>
      <c r="V291" s="50"/>
      <c r="W291" s="51"/>
      <c r="X291" s="56"/>
    </row>
    <row r="292" spans="1:24">
      <c r="A292" s="38"/>
      <c r="B292" s="38"/>
      <c r="C292" s="38"/>
      <c r="D292" s="38"/>
      <c r="E292" s="40"/>
      <c r="F292" s="41"/>
      <c r="G292" s="42"/>
      <c r="H292" s="43"/>
      <c r="I292" s="44"/>
      <c r="J292" s="38"/>
      <c r="K292" s="45"/>
      <c r="L292" s="46"/>
      <c r="M292" s="38"/>
      <c r="N292" s="38"/>
      <c r="O292" s="38"/>
      <c r="P292" s="38"/>
      <c r="Q292" s="38"/>
      <c r="R292" s="48"/>
      <c r="S292" s="48"/>
      <c r="T292" s="48"/>
      <c r="U292" s="52"/>
      <c r="V292" s="50"/>
      <c r="W292" s="51"/>
      <c r="X292" s="56"/>
    </row>
    <row r="293" spans="1:24">
      <c r="A293" s="38"/>
      <c r="B293" s="38"/>
      <c r="C293" s="38"/>
      <c r="D293" s="38"/>
      <c r="E293" s="40"/>
      <c r="F293" s="41"/>
      <c r="G293" s="42"/>
      <c r="H293" s="43"/>
      <c r="I293" s="44"/>
      <c r="J293" s="38"/>
      <c r="K293" s="45"/>
      <c r="L293" s="46"/>
      <c r="M293" s="38"/>
      <c r="N293" s="38"/>
      <c r="O293" s="38"/>
      <c r="P293" s="38"/>
      <c r="Q293" s="38"/>
      <c r="R293" s="48"/>
      <c r="S293" s="48"/>
      <c r="T293" s="48"/>
      <c r="U293" s="52"/>
      <c r="V293" s="50"/>
      <c r="W293" s="51"/>
      <c r="X293" s="56"/>
    </row>
    <row r="294" spans="1:24">
      <c r="A294" s="38"/>
      <c r="B294" s="38"/>
      <c r="C294" s="38"/>
      <c r="D294" s="38"/>
      <c r="E294" s="40"/>
      <c r="F294" s="41"/>
      <c r="G294" s="42"/>
      <c r="H294" s="43"/>
      <c r="I294" s="44"/>
      <c r="J294" s="38"/>
      <c r="K294" s="45"/>
      <c r="L294" s="46"/>
      <c r="M294" s="38"/>
      <c r="N294" s="38"/>
      <c r="O294" s="38"/>
      <c r="P294" s="38"/>
      <c r="Q294" s="38"/>
      <c r="R294" s="48"/>
      <c r="S294" s="48"/>
      <c r="T294" s="48"/>
      <c r="U294" s="52"/>
      <c r="V294" s="50"/>
      <c r="W294" s="51"/>
      <c r="X294" s="56"/>
    </row>
    <row r="295" spans="1:24">
      <c r="A295" s="38"/>
      <c r="B295" s="38"/>
      <c r="C295" s="38"/>
      <c r="D295" s="38"/>
      <c r="E295" s="40"/>
      <c r="F295" s="41"/>
      <c r="G295" s="42"/>
      <c r="H295" s="43"/>
      <c r="I295" s="44"/>
      <c r="J295" s="38"/>
      <c r="K295" s="45"/>
      <c r="L295" s="46"/>
      <c r="M295" s="38"/>
      <c r="N295" s="38"/>
      <c r="O295" s="38"/>
      <c r="P295" s="38"/>
      <c r="Q295" s="38"/>
      <c r="R295" s="48"/>
      <c r="S295" s="48"/>
      <c r="T295" s="48"/>
      <c r="U295" s="52"/>
      <c r="V295" s="50"/>
      <c r="W295" s="51"/>
      <c r="X295" s="56"/>
    </row>
    <row r="296" spans="1:24">
      <c r="A296" s="38"/>
      <c r="B296" s="38"/>
      <c r="C296" s="38"/>
      <c r="D296" s="38"/>
      <c r="E296" s="40"/>
      <c r="F296" s="41"/>
      <c r="G296" s="42"/>
      <c r="H296" s="43"/>
      <c r="I296" s="44"/>
      <c r="J296" s="38"/>
      <c r="K296" s="45"/>
      <c r="L296" s="46"/>
      <c r="M296" s="38"/>
      <c r="N296" s="38"/>
      <c r="O296" s="38"/>
      <c r="P296" s="38"/>
      <c r="Q296" s="38"/>
      <c r="R296" s="48"/>
      <c r="S296" s="48"/>
      <c r="T296" s="48"/>
      <c r="U296" s="52"/>
      <c r="V296" s="50"/>
      <c r="W296" s="51"/>
      <c r="X296" s="56"/>
    </row>
    <row r="297" spans="1:24">
      <c r="A297" s="38"/>
      <c r="B297" s="38"/>
      <c r="C297" s="38"/>
      <c r="D297" s="38"/>
      <c r="E297" s="40"/>
      <c r="F297" s="58"/>
      <c r="G297" s="42"/>
      <c r="H297" s="43"/>
      <c r="I297" s="44"/>
      <c r="J297" s="38"/>
      <c r="K297" s="45"/>
      <c r="L297" s="46"/>
      <c r="M297" s="38"/>
      <c r="N297" s="38"/>
      <c r="O297" s="38"/>
      <c r="P297" s="38"/>
      <c r="Q297" s="38"/>
      <c r="R297" s="48"/>
      <c r="S297" s="48"/>
      <c r="T297" s="48"/>
      <c r="U297" s="52"/>
      <c r="V297" s="50"/>
      <c r="W297" s="51"/>
      <c r="X297" s="56"/>
    </row>
    <row r="298" spans="1:24">
      <c r="A298" s="38"/>
      <c r="B298" s="38"/>
      <c r="C298" s="38"/>
      <c r="D298" s="38"/>
      <c r="E298" s="40"/>
      <c r="F298" s="41"/>
      <c r="G298" s="42"/>
      <c r="H298" s="43"/>
      <c r="I298" s="44"/>
      <c r="J298" s="38"/>
      <c r="K298" s="45"/>
      <c r="L298" s="46"/>
      <c r="M298" s="38"/>
      <c r="N298" s="38"/>
      <c r="O298" s="38"/>
      <c r="P298" s="38"/>
      <c r="Q298" s="38"/>
      <c r="R298" s="48"/>
      <c r="S298" s="48"/>
      <c r="T298" s="48"/>
      <c r="U298" s="52"/>
      <c r="V298" s="50"/>
      <c r="W298" s="51"/>
      <c r="X298" s="56"/>
    </row>
    <row r="299" spans="1:24">
      <c r="A299" s="38"/>
      <c r="B299" s="38"/>
      <c r="C299" s="38"/>
      <c r="D299" s="38"/>
      <c r="E299" s="40"/>
      <c r="F299" s="41"/>
      <c r="G299" s="42"/>
      <c r="H299" s="43"/>
      <c r="I299" s="44"/>
      <c r="J299" s="38"/>
      <c r="K299" s="45"/>
      <c r="L299" s="46"/>
      <c r="M299" s="38"/>
      <c r="N299" s="38"/>
      <c r="O299" s="38"/>
      <c r="P299" s="38"/>
      <c r="Q299" s="38"/>
      <c r="R299" s="48"/>
      <c r="S299" s="48"/>
      <c r="T299" s="48"/>
      <c r="U299" s="52"/>
      <c r="V299" s="50"/>
      <c r="W299" s="51"/>
      <c r="X299" s="56"/>
    </row>
    <row r="300" spans="1:24">
      <c r="A300" s="38"/>
      <c r="B300" s="38"/>
      <c r="C300" s="38"/>
      <c r="D300" s="38"/>
      <c r="E300" s="40"/>
      <c r="F300" s="58"/>
      <c r="G300" s="42"/>
      <c r="H300" s="43"/>
      <c r="I300" s="44"/>
      <c r="J300" s="38"/>
      <c r="K300" s="45"/>
      <c r="L300" s="46"/>
      <c r="M300" s="38"/>
      <c r="N300" s="38"/>
      <c r="O300" s="38"/>
      <c r="P300" s="38"/>
      <c r="Q300" s="38"/>
      <c r="R300" s="48"/>
      <c r="S300" s="48"/>
      <c r="T300" s="48"/>
      <c r="U300" s="52"/>
      <c r="V300" s="50"/>
      <c r="W300" s="51"/>
      <c r="X300" s="56"/>
    </row>
    <row r="301" spans="1:24">
      <c r="A301" s="38"/>
      <c r="B301" s="38"/>
      <c r="C301" s="38"/>
      <c r="D301" s="38"/>
      <c r="E301" s="40"/>
      <c r="F301" s="41"/>
      <c r="G301" s="42"/>
      <c r="H301" s="43"/>
      <c r="I301" s="44"/>
      <c r="J301" s="38"/>
      <c r="K301" s="45"/>
      <c r="L301" s="46"/>
      <c r="M301" s="38"/>
      <c r="N301" s="38"/>
      <c r="O301" s="38"/>
      <c r="P301" s="38"/>
      <c r="Q301" s="38"/>
      <c r="R301" s="48"/>
      <c r="S301" s="48"/>
      <c r="T301" s="48"/>
      <c r="U301" s="52"/>
      <c r="V301" s="50"/>
      <c r="W301" s="51"/>
      <c r="X301" s="56"/>
    </row>
    <row r="302" spans="1:24">
      <c r="A302" s="38"/>
      <c r="B302" s="38"/>
      <c r="C302" s="38"/>
      <c r="D302" s="38"/>
      <c r="E302" s="40"/>
      <c r="F302" s="41"/>
      <c r="G302" s="42"/>
      <c r="H302" s="43"/>
      <c r="I302" s="44"/>
      <c r="J302" s="38"/>
      <c r="K302" s="45"/>
      <c r="L302" s="46"/>
      <c r="M302" s="38"/>
      <c r="N302" s="38"/>
      <c r="O302" s="38"/>
      <c r="P302" s="38"/>
      <c r="Q302" s="38"/>
      <c r="R302" s="48"/>
      <c r="S302" s="48"/>
      <c r="T302" s="48"/>
      <c r="U302" s="52"/>
      <c r="V302" s="50"/>
      <c r="W302" s="51"/>
      <c r="X302" s="56"/>
    </row>
    <row r="303" spans="1:24">
      <c r="A303" s="38"/>
      <c r="B303" s="38"/>
      <c r="C303" s="38"/>
      <c r="D303" s="38"/>
      <c r="E303" s="40"/>
      <c r="F303" s="41"/>
      <c r="G303" s="42"/>
      <c r="H303" s="43"/>
      <c r="I303" s="44"/>
      <c r="J303" s="38"/>
      <c r="K303" s="45"/>
      <c r="L303" s="46"/>
      <c r="M303" s="38"/>
      <c r="N303" s="38"/>
      <c r="O303" s="38"/>
      <c r="P303" s="38"/>
      <c r="Q303" s="38"/>
      <c r="R303" s="48"/>
      <c r="S303" s="48"/>
      <c r="T303" s="48"/>
      <c r="U303" s="52"/>
      <c r="V303" s="50"/>
      <c r="W303" s="51"/>
      <c r="X303" s="56"/>
    </row>
    <row r="304" spans="1:24">
      <c r="A304" s="38"/>
      <c r="B304" s="38"/>
      <c r="C304" s="38"/>
      <c r="D304" s="38"/>
      <c r="E304" s="40"/>
      <c r="F304" s="41"/>
      <c r="G304" s="42"/>
      <c r="H304" s="43"/>
      <c r="I304" s="44"/>
      <c r="J304" s="38"/>
      <c r="K304" s="45"/>
      <c r="L304" s="46"/>
      <c r="M304" s="38"/>
      <c r="N304" s="38"/>
      <c r="O304" s="38"/>
      <c r="P304" s="38"/>
      <c r="Q304" s="38"/>
      <c r="R304" s="48"/>
      <c r="S304" s="48"/>
      <c r="T304" s="48"/>
      <c r="U304" s="52"/>
      <c r="V304" s="50"/>
      <c r="W304" s="51"/>
      <c r="X304" s="56"/>
    </row>
    <row r="305" spans="1:24">
      <c r="A305" s="38"/>
      <c r="B305" s="38"/>
      <c r="C305" s="38"/>
      <c r="D305" s="38"/>
      <c r="E305" s="40"/>
      <c r="F305" s="58"/>
      <c r="G305" s="42"/>
      <c r="H305" s="43"/>
      <c r="I305" s="44"/>
      <c r="J305" s="38"/>
      <c r="K305" s="45"/>
      <c r="L305" s="46"/>
      <c r="M305" s="38"/>
      <c r="N305" s="38"/>
      <c r="O305" s="38"/>
      <c r="P305" s="38"/>
      <c r="Q305" s="38"/>
      <c r="R305" s="48"/>
      <c r="S305" s="48"/>
      <c r="T305" s="48"/>
      <c r="U305" s="52"/>
      <c r="V305" s="50"/>
      <c r="W305" s="51"/>
      <c r="X305" s="56"/>
    </row>
    <row r="306" spans="1:24">
      <c r="A306" s="38"/>
      <c r="B306" s="38"/>
      <c r="C306" s="38"/>
      <c r="D306" s="38"/>
      <c r="E306" s="40"/>
      <c r="F306" s="41"/>
      <c r="G306" s="42"/>
      <c r="H306" s="43"/>
      <c r="I306" s="44"/>
      <c r="J306" s="38"/>
      <c r="K306" s="45"/>
      <c r="L306" s="46"/>
      <c r="M306" s="38"/>
      <c r="N306" s="38"/>
      <c r="O306" s="38"/>
      <c r="P306" s="38"/>
      <c r="Q306" s="38"/>
      <c r="R306" s="48"/>
      <c r="S306" s="48"/>
      <c r="T306" s="48"/>
      <c r="U306" s="52"/>
      <c r="V306" s="50"/>
      <c r="W306" s="51"/>
      <c r="X306" s="56"/>
    </row>
    <row r="307" spans="1:24">
      <c r="A307" s="38"/>
      <c r="B307" s="38"/>
      <c r="C307" s="38"/>
      <c r="D307" s="38"/>
      <c r="E307" s="40"/>
      <c r="F307" s="41"/>
      <c r="G307" s="42"/>
      <c r="H307" s="43"/>
      <c r="I307" s="44"/>
      <c r="J307" s="38"/>
      <c r="K307" s="45"/>
      <c r="L307" s="46"/>
      <c r="M307" s="38"/>
      <c r="N307" s="38"/>
      <c r="O307" s="38"/>
      <c r="P307" s="38"/>
      <c r="Q307" s="38"/>
      <c r="R307" s="48"/>
      <c r="S307" s="48"/>
      <c r="T307" s="48"/>
      <c r="U307" s="52"/>
      <c r="V307" s="50"/>
      <c r="W307" s="51"/>
      <c r="X307" s="56"/>
    </row>
    <row r="308" spans="1:24">
      <c r="A308" s="38"/>
      <c r="B308" s="38"/>
      <c r="C308" s="38"/>
      <c r="D308" s="38"/>
      <c r="E308" s="40"/>
      <c r="F308" s="58"/>
      <c r="G308" s="42"/>
      <c r="H308" s="43"/>
      <c r="I308" s="44"/>
      <c r="J308" s="38"/>
      <c r="K308" s="45"/>
      <c r="L308" s="46"/>
      <c r="M308" s="38"/>
      <c r="N308" s="38"/>
      <c r="O308" s="38"/>
      <c r="P308" s="38"/>
      <c r="Q308" s="38"/>
      <c r="R308" s="48"/>
      <c r="S308" s="48"/>
      <c r="T308" s="48"/>
      <c r="U308" s="52"/>
      <c r="V308" s="50"/>
      <c r="W308" s="51"/>
      <c r="X308" s="56"/>
    </row>
    <row r="309" spans="1:24">
      <c r="A309" s="38"/>
      <c r="B309" s="38"/>
      <c r="C309" s="38"/>
      <c r="D309" s="38"/>
      <c r="E309" s="40"/>
      <c r="F309" s="58"/>
      <c r="G309" s="42"/>
      <c r="H309" s="43"/>
      <c r="I309" s="44"/>
      <c r="J309" s="38"/>
      <c r="K309" s="45"/>
      <c r="L309" s="46"/>
      <c r="M309" s="38"/>
      <c r="N309" s="38"/>
      <c r="O309" s="38"/>
      <c r="P309" s="38"/>
      <c r="Q309" s="38"/>
      <c r="R309" s="48"/>
      <c r="S309" s="48"/>
      <c r="T309" s="48"/>
      <c r="U309" s="52"/>
      <c r="V309" s="50"/>
      <c r="W309" s="51"/>
      <c r="X309" s="56"/>
    </row>
    <row r="310" spans="1:24">
      <c r="A310" s="38"/>
      <c r="B310" s="38"/>
      <c r="C310" s="38"/>
      <c r="D310" s="38"/>
      <c r="E310" s="40"/>
      <c r="F310" s="58"/>
      <c r="G310" s="42"/>
      <c r="H310" s="43"/>
      <c r="I310" s="44"/>
      <c r="J310" s="38"/>
      <c r="K310" s="45"/>
      <c r="L310" s="46"/>
      <c r="M310" s="38"/>
      <c r="N310" s="38"/>
      <c r="O310" s="38"/>
      <c r="P310" s="38"/>
      <c r="Q310" s="38"/>
      <c r="R310" s="48"/>
      <c r="S310" s="48"/>
      <c r="T310" s="48"/>
      <c r="U310" s="52"/>
      <c r="V310" s="50"/>
      <c r="W310" s="51"/>
      <c r="X310" s="56"/>
    </row>
    <row r="311" spans="1:24">
      <c r="A311" s="38"/>
      <c r="B311" s="38"/>
      <c r="C311" s="38"/>
      <c r="D311" s="38"/>
      <c r="E311" s="40"/>
      <c r="F311" s="61"/>
      <c r="G311" s="42"/>
      <c r="H311" s="43"/>
      <c r="I311" s="44"/>
      <c r="J311" s="38"/>
      <c r="K311" s="45"/>
      <c r="L311" s="46"/>
      <c r="M311" s="38"/>
      <c r="N311" s="38"/>
      <c r="O311" s="38"/>
      <c r="P311" s="38"/>
      <c r="Q311" s="38"/>
      <c r="R311" s="48"/>
      <c r="S311" s="48"/>
      <c r="T311" s="48"/>
      <c r="U311" s="52"/>
      <c r="V311" s="50"/>
      <c r="W311" s="51"/>
      <c r="X311" s="56"/>
    </row>
    <row r="312" spans="1:24">
      <c r="A312" s="38"/>
      <c r="B312" s="38"/>
      <c r="C312" s="38"/>
      <c r="D312" s="38"/>
      <c r="E312" s="40"/>
      <c r="F312" s="58"/>
      <c r="G312" s="42"/>
      <c r="H312" s="43"/>
      <c r="I312" s="44"/>
      <c r="J312" s="38"/>
      <c r="K312" s="45"/>
      <c r="L312" s="46"/>
      <c r="M312" s="38"/>
      <c r="N312" s="38"/>
      <c r="O312" s="38"/>
      <c r="P312" s="38"/>
      <c r="Q312" s="38"/>
      <c r="R312" s="48"/>
      <c r="S312" s="48"/>
      <c r="T312" s="48"/>
      <c r="U312" s="52"/>
      <c r="V312" s="50"/>
      <c r="W312" s="51"/>
      <c r="X312" s="56"/>
    </row>
    <row r="313" spans="1:24">
      <c r="A313" s="38"/>
      <c r="B313" s="38"/>
      <c r="C313" s="38"/>
      <c r="D313" s="38"/>
      <c r="E313" s="40"/>
      <c r="F313" s="41"/>
      <c r="G313" s="42"/>
      <c r="H313" s="43"/>
      <c r="I313" s="44"/>
      <c r="J313" s="38"/>
      <c r="K313" s="45"/>
      <c r="L313" s="46"/>
      <c r="M313" s="38"/>
      <c r="N313" s="38"/>
      <c r="O313" s="38"/>
      <c r="P313" s="38"/>
      <c r="Q313" s="38"/>
      <c r="R313" s="48"/>
      <c r="S313" s="48"/>
      <c r="T313" s="48"/>
      <c r="U313" s="52"/>
      <c r="V313" s="50"/>
      <c r="W313" s="51"/>
      <c r="X313" s="56"/>
    </row>
    <row r="314" spans="1:24">
      <c r="A314" s="38"/>
      <c r="B314" s="38"/>
      <c r="C314" s="38"/>
      <c r="D314" s="38"/>
      <c r="E314" s="40"/>
      <c r="F314" s="41"/>
      <c r="G314" s="42"/>
      <c r="H314" s="43"/>
      <c r="I314" s="44"/>
      <c r="J314" s="38"/>
      <c r="K314" s="45"/>
      <c r="L314" s="46"/>
      <c r="M314" s="38"/>
      <c r="N314" s="38"/>
      <c r="O314" s="38"/>
      <c r="P314" s="38"/>
      <c r="Q314" s="38"/>
      <c r="R314" s="48"/>
      <c r="S314" s="48"/>
      <c r="T314" s="48"/>
      <c r="U314" s="52"/>
      <c r="V314" s="50"/>
      <c r="W314" s="51"/>
      <c r="X314" s="56"/>
    </row>
    <row r="315" spans="1:24">
      <c r="A315" s="38"/>
      <c r="B315" s="38"/>
      <c r="C315" s="38"/>
      <c r="D315" s="38"/>
      <c r="E315" s="40"/>
      <c r="F315" s="58"/>
      <c r="G315" s="42"/>
      <c r="H315" s="43"/>
      <c r="I315" s="44"/>
      <c r="J315" s="38"/>
      <c r="K315" s="45"/>
      <c r="L315" s="46"/>
      <c r="M315" s="38"/>
      <c r="N315" s="38"/>
      <c r="O315" s="38"/>
      <c r="P315" s="38"/>
      <c r="Q315" s="38"/>
      <c r="R315" s="48"/>
      <c r="S315" s="48"/>
      <c r="T315" s="48"/>
      <c r="U315" s="52"/>
      <c r="V315" s="50"/>
      <c r="W315" s="51"/>
      <c r="X315" s="56"/>
    </row>
    <row r="316" spans="1:24">
      <c r="A316" s="38"/>
      <c r="B316" s="38"/>
      <c r="C316" s="38"/>
      <c r="D316" s="38"/>
      <c r="E316" s="40"/>
      <c r="F316" s="41"/>
      <c r="G316" s="42"/>
      <c r="H316" s="43"/>
      <c r="I316" s="44"/>
      <c r="J316" s="38"/>
      <c r="K316" s="45"/>
      <c r="L316" s="46"/>
      <c r="M316" s="38"/>
      <c r="N316" s="38"/>
      <c r="O316" s="38"/>
      <c r="P316" s="38"/>
      <c r="Q316" s="38"/>
      <c r="R316" s="48"/>
      <c r="S316" s="48"/>
      <c r="T316" s="48"/>
      <c r="U316" s="52"/>
      <c r="V316" s="50"/>
      <c r="W316" s="51"/>
      <c r="X316" s="56"/>
    </row>
    <row r="317" spans="1:24">
      <c r="A317" s="38"/>
      <c r="B317" s="38"/>
      <c r="C317" s="38"/>
      <c r="D317" s="38"/>
      <c r="E317" s="40"/>
      <c r="F317" s="58"/>
      <c r="G317" s="42"/>
      <c r="H317" s="43"/>
      <c r="I317" s="44"/>
      <c r="J317" s="38"/>
      <c r="K317" s="45"/>
      <c r="L317" s="46"/>
      <c r="M317" s="38"/>
      <c r="N317" s="38"/>
      <c r="O317" s="38"/>
      <c r="P317" s="38"/>
      <c r="Q317" s="38"/>
      <c r="R317" s="48"/>
      <c r="S317" s="48"/>
      <c r="T317" s="48"/>
      <c r="U317" s="52"/>
      <c r="V317" s="50"/>
      <c r="W317" s="51"/>
      <c r="X317" s="56"/>
    </row>
    <row r="318" spans="1:24">
      <c r="A318" s="38"/>
      <c r="B318" s="38"/>
      <c r="C318" s="38"/>
      <c r="D318" s="38"/>
      <c r="E318" s="40"/>
      <c r="F318" s="41"/>
      <c r="G318" s="42"/>
      <c r="H318" s="43"/>
      <c r="I318" s="44"/>
      <c r="J318" s="38"/>
      <c r="K318" s="45"/>
      <c r="L318" s="46"/>
      <c r="M318" s="38"/>
      <c r="N318" s="38"/>
      <c r="O318" s="38"/>
      <c r="P318" s="38"/>
      <c r="Q318" s="38"/>
      <c r="R318" s="48"/>
      <c r="S318" s="48"/>
      <c r="T318" s="48"/>
      <c r="U318" s="52"/>
      <c r="V318" s="50"/>
      <c r="W318" s="51"/>
      <c r="X318" s="56"/>
    </row>
    <row r="319" spans="1:24">
      <c r="A319" s="38"/>
      <c r="B319" s="38"/>
      <c r="C319" s="38"/>
      <c r="D319" s="38"/>
      <c r="E319" s="40"/>
      <c r="F319" s="41"/>
      <c r="G319" s="42"/>
      <c r="H319" s="43"/>
      <c r="I319" s="44"/>
      <c r="J319" s="38"/>
      <c r="K319" s="45"/>
      <c r="L319" s="46"/>
      <c r="M319" s="38"/>
      <c r="N319" s="38"/>
      <c r="O319" s="38"/>
      <c r="P319" s="38"/>
      <c r="Q319" s="38"/>
      <c r="R319" s="48"/>
      <c r="S319" s="48"/>
      <c r="T319" s="48"/>
      <c r="U319" s="52"/>
      <c r="V319" s="50"/>
      <c r="W319" s="51"/>
      <c r="X319" s="56"/>
    </row>
    <row r="320" spans="1:24">
      <c r="A320" s="38"/>
      <c r="B320" s="38"/>
      <c r="C320" s="38"/>
      <c r="D320" s="38"/>
      <c r="E320" s="40"/>
      <c r="F320" s="41"/>
      <c r="G320" s="42"/>
      <c r="H320" s="43"/>
      <c r="I320" s="44"/>
      <c r="J320" s="38"/>
      <c r="K320" s="45"/>
      <c r="L320" s="46"/>
      <c r="M320" s="38"/>
      <c r="N320" s="38"/>
      <c r="O320" s="38"/>
      <c r="P320" s="38"/>
      <c r="Q320" s="38"/>
      <c r="R320" s="48"/>
      <c r="S320" s="48"/>
      <c r="T320" s="48"/>
      <c r="U320" s="52"/>
      <c r="V320" s="50"/>
      <c r="W320" s="51"/>
      <c r="X320" s="56"/>
    </row>
    <row r="321" spans="1:24">
      <c r="A321" s="38"/>
      <c r="B321" s="38"/>
      <c r="C321" s="38"/>
      <c r="D321" s="38"/>
      <c r="E321" s="40"/>
      <c r="F321" s="41"/>
      <c r="G321" s="42"/>
      <c r="H321" s="43"/>
      <c r="I321" s="44"/>
      <c r="J321" s="38"/>
      <c r="K321" s="45"/>
      <c r="L321" s="46"/>
      <c r="M321" s="38"/>
      <c r="N321" s="38"/>
      <c r="O321" s="38"/>
      <c r="P321" s="38"/>
      <c r="Q321" s="38"/>
      <c r="R321" s="48"/>
      <c r="S321" s="48"/>
      <c r="T321" s="48"/>
      <c r="U321" s="52"/>
      <c r="V321" s="50"/>
      <c r="W321" s="51"/>
      <c r="X321" s="56"/>
    </row>
    <row r="322" spans="1:24">
      <c r="A322" s="38"/>
      <c r="B322" s="38"/>
      <c r="C322" s="38"/>
      <c r="D322" s="38"/>
      <c r="E322" s="40"/>
      <c r="F322" s="58"/>
      <c r="G322" s="42"/>
      <c r="H322" s="43"/>
      <c r="I322" s="44"/>
      <c r="J322" s="38"/>
      <c r="K322" s="45"/>
      <c r="L322" s="46"/>
      <c r="M322" s="38"/>
      <c r="N322" s="38"/>
      <c r="O322" s="38"/>
      <c r="P322" s="38"/>
      <c r="Q322" s="38"/>
      <c r="R322" s="48"/>
      <c r="S322" s="48"/>
      <c r="T322" s="48"/>
      <c r="U322" s="52"/>
      <c r="V322" s="50"/>
      <c r="W322" s="51"/>
      <c r="X322" s="56"/>
    </row>
    <row r="323" spans="1:24">
      <c r="A323" s="38"/>
      <c r="B323" s="38"/>
      <c r="C323" s="38"/>
      <c r="D323" s="38"/>
      <c r="E323" s="40"/>
      <c r="F323" s="41"/>
      <c r="G323" s="42"/>
      <c r="H323" s="43"/>
      <c r="I323" s="44"/>
      <c r="J323" s="38"/>
      <c r="K323" s="45"/>
      <c r="L323" s="46"/>
      <c r="M323" s="38"/>
      <c r="N323" s="38"/>
      <c r="O323" s="38"/>
      <c r="P323" s="38"/>
      <c r="Q323" s="38"/>
      <c r="R323" s="48"/>
      <c r="S323" s="48"/>
      <c r="T323" s="48"/>
      <c r="U323" s="52"/>
      <c r="V323" s="50"/>
      <c r="W323" s="51"/>
      <c r="X323" s="56"/>
    </row>
    <row r="324" spans="1:24">
      <c r="A324" s="38"/>
      <c r="B324" s="38"/>
      <c r="C324" s="38"/>
      <c r="D324" s="38"/>
      <c r="E324" s="40"/>
      <c r="F324" s="41"/>
      <c r="G324" s="42"/>
      <c r="H324" s="43"/>
      <c r="I324" s="44"/>
      <c r="J324" s="38"/>
      <c r="K324" s="45"/>
      <c r="L324" s="46"/>
      <c r="M324" s="38"/>
      <c r="N324" s="38"/>
      <c r="O324" s="38"/>
      <c r="P324" s="38"/>
      <c r="Q324" s="38"/>
      <c r="R324" s="48"/>
      <c r="S324" s="48"/>
      <c r="T324" s="48"/>
      <c r="U324" s="52"/>
      <c r="V324" s="50"/>
      <c r="W324" s="51"/>
      <c r="X324" s="56"/>
    </row>
    <row r="325" spans="1:24">
      <c r="A325" s="38"/>
      <c r="B325" s="38"/>
      <c r="C325" s="38"/>
      <c r="D325" s="38"/>
      <c r="E325" s="40"/>
      <c r="F325" s="58"/>
      <c r="G325" s="42"/>
      <c r="H325" s="43"/>
      <c r="I325" s="44"/>
      <c r="J325" s="38"/>
      <c r="K325" s="45"/>
      <c r="L325" s="46"/>
      <c r="M325" s="38"/>
      <c r="N325" s="38"/>
      <c r="O325" s="38"/>
      <c r="P325" s="38"/>
      <c r="Q325" s="38"/>
      <c r="R325" s="48"/>
      <c r="S325" s="48"/>
      <c r="T325" s="48"/>
      <c r="U325" s="52"/>
      <c r="V325" s="50"/>
      <c r="W325" s="51"/>
      <c r="X325" s="56"/>
    </row>
    <row r="326" spans="1:24">
      <c r="A326" s="38"/>
      <c r="B326" s="38"/>
      <c r="C326" s="38"/>
      <c r="D326" s="38"/>
      <c r="E326" s="40"/>
      <c r="F326" s="58"/>
      <c r="G326" s="42"/>
      <c r="H326" s="43"/>
      <c r="I326" s="44"/>
      <c r="J326" s="38"/>
      <c r="K326" s="45"/>
      <c r="L326" s="46"/>
      <c r="M326" s="38"/>
      <c r="N326" s="38"/>
      <c r="O326" s="38"/>
      <c r="P326" s="38"/>
      <c r="Q326" s="38"/>
      <c r="R326" s="48"/>
      <c r="S326" s="48"/>
      <c r="T326" s="48"/>
      <c r="U326" s="52"/>
      <c r="V326" s="50"/>
      <c r="W326" s="51"/>
      <c r="X326" s="56"/>
    </row>
    <row r="327" spans="1:24">
      <c r="A327" s="38"/>
      <c r="B327" s="38"/>
      <c r="C327" s="38"/>
      <c r="D327" s="38"/>
      <c r="E327" s="40"/>
      <c r="F327" s="58"/>
      <c r="G327" s="42"/>
      <c r="H327" s="43"/>
      <c r="I327" s="44"/>
      <c r="J327" s="38"/>
      <c r="K327" s="45"/>
      <c r="L327" s="46"/>
      <c r="M327" s="38"/>
      <c r="N327" s="38"/>
      <c r="O327" s="38"/>
      <c r="P327" s="38"/>
      <c r="Q327" s="38"/>
      <c r="R327" s="48"/>
      <c r="S327" s="48"/>
      <c r="T327" s="48"/>
      <c r="U327" s="52"/>
      <c r="V327" s="50"/>
      <c r="W327" s="51"/>
      <c r="X327" s="56"/>
    </row>
    <row r="328" spans="1:24">
      <c r="A328" s="38"/>
      <c r="B328" s="38"/>
      <c r="C328" s="38"/>
      <c r="D328" s="38"/>
      <c r="E328" s="40"/>
      <c r="F328" s="61"/>
      <c r="G328" s="42"/>
      <c r="H328" s="43"/>
      <c r="I328" s="44"/>
      <c r="J328" s="38"/>
      <c r="K328" s="45"/>
      <c r="L328" s="46"/>
      <c r="M328" s="38"/>
      <c r="N328" s="38"/>
      <c r="O328" s="38"/>
      <c r="P328" s="38"/>
      <c r="Q328" s="38"/>
      <c r="R328" s="48"/>
      <c r="S328" s="48"/>
      <c r="T328" s="48"/>
      <c r="U328" s="52"/>
      <c r="V328" s="50"/>
      <c r="W328" s="51"/>
      <c r="X328" s="56"/>
    </row>
    <row r="329" spans="1:24">
      <c r="A329" s="38"/>
      <c r="B329" s="38"/>
      <c r="C329" s="38"/>
      <c r="D329" s="38"/>
      <c r="E329" s="40"/>
      <c r="F329" s="61"/>
      <c r="G329" s="42"/>
      <c r="H329" s="43"/>
      <c r="I329" s="44"/>
      <c r="J329" s="38"/>
      <c r="K329" s="45"/>
      <c r="L329" s="46"/>
      <c r="M329" s="38"/>
      <c r="N329" s="38"/>
      <c r="O329" s="38"/>
      <c r="P329" s="38"/>
      <c r="Q329" s="38"/>
      <c r="R329" s="48"/>
      <c r="S329" s="48"/>
      <c r="T329" s="48"/>
      <c r="U329" s="52"/>
      <c r="V329" s="50"/>
      <c r="W329" s="51"/>
      <c r="X329" s="56"/>
    </row>
    <row r="330" spans="1:24">
      <c r="A330" s="38"/>
      <c r="B330" s="38"/>
      <c r="C330" s="38"/>
      <c r="D330" s="38"/>
      <c r="E330" s="40"/>
      <c r="F330" s="58"/>
      <c r="G330" s="42"/>
      <c r="H330" s="43"/>
      <c r="I330" s="44"/>
      <c r="J330" s="38"/>
      <c r="K330" s="45"/>
      <c r="L330" s="46"/>
      <c r="M330" s="38"/>
      <c r="N330" s="38"/>
      <c r="O330" s="38"/>
      <c r="P330" s="38"/>
      <c r="Q330" s="38"/>
      <c r="R330" s="48"/>
      <c r="S330" s="48"/>
      <c r="T330" s="48"/>
      <c r="U330" s="52"/>
      <c r="V330" s="50"/>
      <c r="W330" s="51"/>
      <c r="X330" s="56"/>
    </row>
    <row r="331" spans="1:24">
      <c r="A331" s="38"/>
      <c r="B331" s="38"/>
      <c r="C331" s="38"/>
      <c r="D331" s="38"/>
      <c r="E331" s="40"/>
      <c r="F331" s="58"/>
      <c r="G331" s="42"/>
      <c r="H331" s="43"/>
      <c r="I331" s="44"/>
      <c r="J331" s="38"/>
      <c r="K331" s="45"/>
      <c r="L331" s="46"/>
      <c r="M331" s="38"/>
      <c r="N331" s="38"/>
      <c r="O331" s="38"/>
      <c r="P331" s="38"/>
      <c r="Q331" s="38"/>
      <c r="R331" s="48"/>
      <c r="S331" s="48"/>
      <c r="T331" s="48"/>
      <c r="U331" s="52"/>
      <c r="V331" s="50"/>
      <c r="W331" s="51"/>
      <c r="X331" s="56"/>
    </row>
    <row r="332" spans="1:24">
      <c r="A332" s="38"/>
      <c r="B332" s="38"/>
      <c r="C332" s="38"/>
      <c r="D332" s="38"/>
      <c r="E332" s="40"/>
      <c r="F332" s="58"/>
      <c r="G332" s="42"/>
      <c r="H332" s="43"/>
      <c r="I332" s="44"/>
      <c r="J332" s="38"/>
      <c r="K332" s="45"/>
      <c r="L332" s="46"/>
      <c r="M332" s="38"/>
      <c r="N332" s="38"/>
      <c r="O332" s="38"/>
      <c r="P332" s="38"/>
      <c r="Q332" s="38"/>
      <c r="R332" s="48"/>
      <c r="S332" s="48"/>
      <c r="T332" s="48"/>
      <c r="U332" s="52"/>
      <c r="V332" s="50"/>
      <c r="W332" s="51"/>
      <c r="X332" s="56"/>
    </row>
    <row r="333" spans="1:24">
      <c r="A333" s="38"/>
      <c r="B333" s="38"/>
      <c r="C333" s="38"/>
      <c r="D333" s="38"/>
      <c r="E333" s="40"/>
      <c r="F333" s="58"/>
      <c r="G333" s="42"/>
      <c r="H333" s="43"/>
      <c r="I333" s="44"/>
      <c r="J333" s="38"/>
      <c r="K333" s="45"/>
      <c r="L333" s="46"/>
      <c r="M333" s="38"/>
      <c r="N333" s="38"/>
      <c r="O333" s="38"/>
      <c r="P333" s="38"/>
      <c r="Q333" s="38"/>
      <c r="R333" s="48"/>
      <c r="S333" s="48"/>
      <c r="T333" s="48"/>
      <c r="U333" s="52"/>
      <c r="V333" s="50"/>
      <c r="W333" s="51"/>
      <c r="X333" s="56"/>
    </row>
    <row r="334" spans="1:24">
      <c r="A334" s="38"/>
      <c r="B334" s="38"/>
      <c r="C334" s="38"/>
      <c r="D334" s="38"/>
      <c r="E334" s="40"/>
      <c r="F334" s="58"/>
      <c r="G334" s="42"/>
      <c r="H334" s="43"/>
      <c r="I334" s="44"/>
      <c r="J334" s="38"/>
      <c r="K334" s="45"/>
      <c r="L334" s="46"/>
      <c r="M334" s="38"/>
      <c r="N334" s="38"/>
      <c r="O334" s="38"/>
      <c r="P334" s="38"/>
      <c r="Q334" s="38"/>
      <c r="R334" s="48"/>
      <c r="S334" s="48"/>
      <c r="T334" s="48"/>
      <c r="U334" s="52"/>
      <c r="V334" s="50"/>
      <c r="W334" s="51"/>
      <c r="X334" s="56"/>
    </row>
    <row r="335" spans="1:24">
      <c r="A335" s="38"/>
      <c r="B335" s="38"/>
      <c r="C335" s="38"/>
      <c r="D335" s="38"/>
      <c r="E335" s="40"/>
      <c r="F335" s="58"/>
      <c r="G335" s="42"/>
      <c r="H335" s="43"/>
      <c r="I335" s="44"/>
      <c r="J335" s="38"/>
      <c r="K335" s="45"/>
      <c r="L335" s="46"/>
      <c r="M335" s="38"/>
      <c r="N335" s="38"/>
      <c r="O335" s="38"/>
      <c r="P335" s="38"/>
      <c r="Q335" s="38"/>
      <c r="R335" s="48"/>
      <c r="S335" s="48"/>
      <c r="T335" s="48"/>
      <c r="U335" s="52"/>
      <c r="V335" s="50"/>
      <c r="W335" s="51"/>
      <c r="X335" s="56"/>
    </row>
    <row r="336" spans="1:24">
      <c r="A336" s="38"/>
      <c r="B336" s="38"/>
      <c r="C336" s="38"/>
      <c r="D336" s="38"/>
      <c r="E336" s="40"/>
      <c r="F336" s="41"/>
      <c r="G336" s="42"/>
      <c r="H336" s="43"/>
      <c r="I336" s="44"/>
      <c r="J336" s="38"/>
      <c r="K336" s="45"/>
      <c r="L336" s="46"/>
      <c r="M336" s="38"/>
      <c r="N336" s="38"/>
      <c r="O336" s="38"/>
      <c r="P336" s="38"/>
      <c r="Q336" s="38"/>
      <c r="R336" s="48"/>
      <c r="S336" s="48"/>
      <c r="T336" s="48"/>
      <c r="U336" s="52"/>
      <c r="V336" s="50"/>
      <c r="W336" s="51"/>
      <c r="X336" s="56"/>
    </row>
    <row r="337" spans="1:24">
      <c r="A337" s="38"/>
      <c r="B337" s="38"/>
      <c r="C337" s="38"/>
      <c r="D337" s="38"/>
      <c r="E337" s="40"/>
      <c r="F337" s="58"/>
      <c r="G337" s="42"/>
      <c r="H337" s="43"/>
      <c r="I337" s="44"/>
      <c r="J337" s="38"/>
      <c r="K337" s="45"/>
      <c r="L337" s="46"/>
      <c r="M337" s="38"/>
      <c r="N337" s="38"/>
      <c r="O337" s="38"/>
      <c r="P337" s="38"/>
      <c r="Q337" s="38"/>
      <c r="R337" s="48"/>
      <c r="S337" s="48"/>
      <c r="T337" s="48"/>
      <c r="U337" s="52"/>
      <c r="V337" s="50"/>
      <c r="W337" s="51"/>
      <c r="X337" s="56"/>
    </row>
    <row r="338" spans="1:24">
      <c r="A338" s="38"/>
      <c r="B338" s="38"/>
      <c r="C338" s="38"/>
      <c r="D338" s="38"/>
      <c r="E338" s="40"/>
      <c r="F338" s="61"/>
      <c r="G338" s="42"/>
      <c r="H338" s="43"/>
      <c r="I338" s="44"/>
      <c r="J338" s="38"/>
      <c r="K338" s="45"/>
      <c r="L338" s="46"/>
      <c r="M338" s="38"/>
      <c r="N338" s="38"/>
      <c r="O338" s="38"/>
      <c r="P338" s="38"/>
      <c r="Q338" s="38"/>
      <c r="R338" s="48"/>
      <c r="S338" s="48"/>
      <c r="T338" s="48"/>
      <c r="U338" s="52"/>
      <c r="V338" s="50"/>
      <c r="W338" s="51"/>
      <c r="X338" s="56"/>
    </row>
    <row r="339" spans="1:24">
      <c r="A339" s="38"/>
      <c r="B339" s="38"/>
      <c r="C339" s="38"/>
      <c r="D339" s="38"/>
      <c r="E339" s="40"/>
      <c r="F339" s="58"/>
      <c r="G339" s="42"/>
      <c r="H339" s="43"/>
      <c r="I339" s="44"/>
      <c r="J339" s="38"/>
      <c r="K339" s="45"/>
      <c r="L339" s="46"/>
      <c r="M339" s="38"/>
      <c r="N339" s="38"/>
      <c r="O339" s="38"/>
      <c r="P339" s="38"/>
      <c r="Q339" s="38"/>
      <c r="R339" s="48"/>
      <c r="S339" s="48"/>
      <c r="T339" s="48"/>
      <c r="U339" s="52"/>
      <c r="V339" s="50"/>
      <c r="W339" s="51"/>
      <c r="X339" s="56"/>
    </row>
    <row r="340" spans="1:24">
      <c r="A340" s="38"/>
      <c r="B340" s="38"/>
      <c r="C340" s="38"/>
      <c r="D340" s="38"/>
      <c r="E340" s="40"/>
      <c r="F340" s="61"/>
      <c r="G340" s="42"/>
      <c r="H340" s="43"/>
      <c r="I340" s="44"/>
      <c r="J340" s="38"/>
      <c r="K340" s="45"/>
      <c r="L340" s="46"/>
      <c r="M340" s="38"/>
      <c r="N340" s="38"/>
      <c r="O340" s="38"/>
      <c r="P340" s="38"/>
      <c r="Q340" s="38"/>
      <c r="R340" s="48"/>
      <c r="S340" s="48"/>
      <c r="T340" s="48"/>
      <c r="U340" s="52"/>
      <c r="V340" s="50"/>
      <c r="W340" s="51"/>
      <c r="X340" s="56"/>
    </row>
    <row r="341" spans="1:24">
      <c r="A341" s="38"/>
      <c r="B341" s="38"/>
      <c r="C341" s="38"/>
      <c r="D341" s="38"/>
      <c r="E341" s="40"/>
      <c r="F341" s="61"/>
      <c r="G341" s="42"/>
      <c r="H341" s="43"/>
      <c r="I341" s="44"/>
      <c r="J341" s="38"/>
      <c r="K341" s="45"/>
      <c r="L341" s="46"/>
      <c r="M341" s="38"/>
      <c r="N341" s="38"/>
      <c r="O341" s="38"/>
      <c r="P341" s="38"/>
      <c r="Q341" s="38"/>
      <c r="R341" s="48"/>
      <c r="S341" s="48"/>
      <c r="T341" s="48"/>
      <c r="U341" s="52"/>
      <c r="V341" s="50"/>
      <c r="W341" s="51"/>
      <c r="X341" s="56"/>
    </row>
    <row r="342" spans="1:24">
      <c r="A342" s="38"/>
      <c r="B342" s="38"/>
      <c r="C342" s="38"/>
      <c r="D342" s="38"/>
      <c r="E342" s="40"/>
      <c r="F342" s="61"/>
      <c r="G342" s="42"/>
      <c r="H342" s="43"/>
      <c r="I342" s="44"/>
      <c r="J342" s="38"/>
      <c r="K342" s="45"/>
      <c r="L342" s="46"/>
      <c r="M342" s="38"/>
      <c r="N342" s="38"/>
      <c r="O342" s="38"/>
      <c r="P342" s="38"/>
      <c r="Q342" s="38"/>
      <c r="R342" s="48"/>
      <c r="S342" s="48"/>
      <c r="T342" s="48"/>
      <c r="U342" s="52"/>
      <c r="V342" s="50"/>
      <c r="W342" s="51"/>
      <c r="X342" s="56"/>
    </row>
    <row r="343" spans="1:24">
      <c r="A343" s="38"/>
      <c r="B343" s="38"/>
      <c r="C343" s="38"/>
      <c r="D343" s="38"/>
      <c r="E343" s="40"/>
      <c r="F343" s="61"/>
      <c r="G343" s="42"/>
      <c r="H343" s="43"/>
      <c r="I343" s="44"/>
      <c r="J343" s="38"/>
      <c r="K343" s="45"/>
      <c r="L343" s="46"/>
      <c r="M343" s="38"/>
      <c r="N343" s="38"/>
      <c r="O343" s="38"/>
      <c r="P343" s="38"/>
      <c r="Q343" s="38"/>
      <c r="R343" s="48"/>
      <c r="S343" s="48"/>
      <c r="T343" s="48"/>
      <c r="U343" s="52"/>
      <c r="V343" s="50"/>
      <c r="W343" s="51"/>
      <c r="X343" s="56"/>
    </row>
    <row r="344" spans="1:24">
      <c r="A344" s="38"/>
      <c r="B344" s="38"/>
      <c r="C344" s="38"/>
      <c r="D344" s="38"/>
      <c r="E344" s="40"/>
      <c r="F344" s="61"/>
      <c r="G344" s="42"/>
      <c r="H344" s="43"/>
      <c r="I344" s="44"/>
      <c r="J344" s="38"/>
      <c r="K344" s="45"/>
      <c r="L344" s="46"/>
      <c r="M344" s="38"/>
      <c r="N344" s="38"/>
      <c r="O344" s="38"/>
      <c r="P344" s="38"/>
      <c r="Q344" s="38"/>
      <c r="R344" s="48"/>
      <c r="S344" s="48"/>
      <c r="T344" s="48"/>
      <c r="U344" s="52"/>
      <c r="V344" s="50"/>
      <c r="W344" s="51"/>
      <c r="X344" s="56"/>
    </row>
    <row r="345" spans="1:24">
      <c r="A345" s="38"/>
      <c r="B345" s="38"/>
      <c r="C345" s="38"/>
      <c r="D345" s="38"/>
      <c r="E345" s="40"/>
      <c r="F345" s="58"/>
      <c r="G345" s="42"/>
      <c r="H345" s="43"/>
      <c r="I345" s="44"/>
      <c r="J345" s="38"/>
      <c r="K345" s="45"/>
      <c r="L345" s="46"/>
      <c r="M345" s="38"/>
      <c r="N345" s="38"/>
      <c r="O345" s="38"/>
      <c r="P345" s="38"/>
      <c r="Q345" s="38"/>
      <c r="R345" s="48"/>
      <c r="S345" s="48"/>
      <c r="T345" s="48"/>
      <c r="U345" s="52"/>
      <c r="V345" s="50"/>
      <c r="W345" s="51"/>
      <c r="X345" s="56"/>
    </row>
    <row r="346" spans="1:24">
      <c r="A346" s="38"/>
      <c r="B346" s="38"/>
      <c r="C346" s="38"/>
      <c r="D346" s="38"/>
      <c r="E346" s="40"/>
      <c r="F346" s="61"/>
      <c r="G346" s="42"/>
      <c r="H346" s="43"/>
      <c r="I346" s="44"/>
      <c r="J346" s="38"/>
      <c r="K346" s="45"/>
      <c r="L346" s="46"/>
      <c r="M346" s="38"/>
      <c r="N346" s="38"/>
      <c r="O346" s="38"/>
      <c r="P346" s="38"/>
      <c r="Q346" s="38"/>
      <c r="R346" s="48"/>
      <c r="S346" s="48"/>
      <c r="T346" s="48"/>
      <c r="U346" s="52"/>
      <c r="V346" s="50"/>
      <c r="W346" s="51"/>
      <c r="X346" s="56"/>
    </row>
    <row r="347" spans="1:24">
      <c r="A347" s="38"/>
      <c r="B347" s="38"/>
      <c r="C347" s="38"/>
      <c r="D347" s="38"/>
      <c r="E347" s="40"/>
      <c r="F347" s="61"/>
      <c r="G347" s="42"/>
      <c r="H347" s="43"/>
      <c r="I347" s="44"/>
      <c r="J347" s="38"/>
      <c r="K347" s="45"/>
      <c r="L347" s="46"/>
      <c r="M347" s="38"/>
      <c r="N347" s="38"/>
      <c r="O347" s="38"/>
      <c r="P347" s="38"/>
      <c r="Q347" s="38"/>
      <c r="R347" s="48"/>
      <c r="S347" s="48"/>
      <c r="T347" s="48"/>
      <c r="U347" s="52"/>
      <c r="V347" s="50"/>
      <c r="W347" s="51"/>
      <c r="X347" s="56"/>
    </row>
    <row r="348" spans="1:24">
      <c r="A348" s="38"/>
      <c r="B348" s="38"/>
      <c r="C348" s="38"/>
      <c r="D348" s="38"/>
      <c r="E348" s="40"/>
      <c r="F348" s="61"/>
      <c r="G348" s="42"/>
      <c r="H348" s="43"/>
      <c r="I348" s="44"/>
      <c r="J348" s="38"/>
      <c r="K348" s="45"/>
      <c r="L348" s="46"/>
      <c r="M348" s="38"/>
      <c r="N348" s="38"/>
      <c r="O348" s="38"/>
      <c r="P348" s="38"/>
      <c r="Q348" s="38"/>
      <c r="R348" s="48"/>
      <c r="S348" s="48"/>
      <c r="T348" s="48"/>
      <c r="U348" s="52"/>
      <c r="V348" s="50"/>
      <c r="W348" s="51"/>
      <c r="X348" s="56"/>
    </row>
    <row r="349" spans="1:24">
      <c r="A349" s="38"/>
      <c r="B349" s="38"/>
      <c r="C349" s="38"/>
      <c r="D349" s="38"/>
      <c r="E349" s="40"/>
      <c r="F349" s="61"/>
      <c r="G349" s="42"/>
      <c r="H349" s="43"/>
      <c r="I349" s="44"/>
      <c r="J349" s="38"/>
      <c r="K349" s="45"/>
      <c r="L349" s="46"/>
      <c r="M349" s="38"/>
      <c r="N349" s="38"/>
      <c r="O349" s="38"/>
      <c r="P349" s="38"/>
      <c r="Q349" s="38"/>
      <c r="R349" s="48"/>
      <c r="S349" s="48"/>
      <c r="T349" s="48"/>
      <c r="U349" s="52"/>
      <c r="V349" s="50"/>
      <c r="W349" s="51"/>
      <c r="X349" s="56"/>
    </row>
    <row r="350" spans="1:24">
      <c r="A350" s="38"/>
      <c r="B350" s="38"/>
      <c r="C350" s="38"/>
      <c r="D350" s="38"/>
      <c r="E350" s="40"/>
      <c r="F350" s="61"/>
      <c r="G350" s="42"/>
      <c r="H350" s="43"/>
      <c r="I350" s="44"/>
      <c r="J350" s="38"/>
      <c r="K350" s="45"/>
      <c r="L350" s="46"/>
      <c r="M350" s="38"/>
      <c r="N350" s="38"/>
      <c r="O350" s="38"/>
      <c r="P350" s="38"/>
      <c r="Q350" s="38"/>
      <c r="R350" s="48"/>
      <c r="S350" s="48"/>
      <c r="T350" s="48"/>
      <c r="U350" s="52"/>
      <c r="V350" s="50"/>
      <c r="W350" s="51"/>
      <c r="X350" s="56"/>
    </row>
    <row r="351" spans="1:24">
      <c r="A351" s="38"/>
      <c r="B351" s="38"/>
      <c r="C351" s="38"/>
      <c r="D351" s="38"/>
      <c r="E351" s="40"/>
      <c r="F351" s="61"/>
      <c r="G351" s="42"/>
      <c r="H351" s="43"/>
      <c r="I351" s="44"/>
      <c r="J351" s="38"/>
      <c r="K351" s="45"/>
      <c r="L351" s="46"/>
      <c r="M351" s="38"/>
      <c r="N351" s="38"/>
      <c r="O351" s="38"/>
      <c r="P351" s="38"/>
      <c r="Q351" s="38"/>
      <c r="R351" s="48"/>
      <c r="S351" s="48"/>
      <c r="T351" s="48"/>
      <c r="U351" s="52"/>
      <c r="V351" s="50"/>
      <c r="W351" s="51"/>
      <c r="X351" s="56"/>
    </row>
    <row r="352" spans="1:24">
      <c r="A352" s="38"/>
      <c r="B352" s="38"/>
      <c r="C352" s="38"/>
      <c r="D352" s="38"/>
      <c r="E352" s="40"/>
      <c r="F352" s="61"/>
      <c r="G352" s="42"/>
      <c r="H352" s="43"/>
      <c r="I352" s="44"/>
      <c r="J352" s="38"/>
      <c r="K352" s="45"/>
      <c r="L352" s="46"/>
      <c r="M352" s="38"/>
      <c r="N352" s="38"/>
      <c r="O352" s="38"/>
      <c r="P352" s="38"/>
      <c r="Q352" s="38"/>
      <c r="R352" s="48"/>
      <c r="S352" s="48"/>
      <c r="T352" s="48"/>
      <c r="U352" s="52"/>
      <c r="V352" s="50"/>
      <c r="W352" s="51"/>
      <c r="X352" s="56"/>
    </row>
    <row r="353" spans="1:24">
      <c r="A353" s="38"/>
      <c r="B353" s="38"/>
      <c r="C353" s="38"/>
      <c r="D353" s="38"/>
      <c r="E353" s="40"/>
      <c r="F353" s="61"/>
      <c r="G353" s="42"/>
      <c r="H353" s="43"/>
      <c r="I353" s="44"/>
      <c r="J353" s="38"/>
      <c r="K353" s="45"/>
      <c r="L353" s="46"/>
      <c r="M353" s="38"/>
      <c r="N353" s="38"/>
      <c r="O353" s="38"/>
      <c r="P353" s="38"/>
      <c r="Q353" s="38"/>
      <c r="R353" s="48"/>
      <c r="S353" s="48"/>
      <c r="T353" s="48"/>
      <c r="U353" s="52"/>
      <c r="V353" s="50"/>
      <c r="W353" s="51"/>
      <c r="X353" s="56"/>
    </row>
    <row r="354" spans="1:24">
      <c r="A354" s="38"/>
      <c r="B354" s="38"/>
      <c r="C354" s="38"/>
      <c r="D354" s="38"/>
      <c r="E354" s="40"/>
      <c r="F354" s="41"/>
      <c r="G354" s="42"/>
      <c r="H354" s="43"/>
      <c r="I354" s="44"/>
      <c r="J354" s="38"/>
      <c r="K354" s="45"/>
      <c r="L354" s="46"/>
      <c r="M354" s="38"/>
      <c r="N354" s="38"/>
      <c r="O354" s="38"/>
      <c r="P354" s="38"/>
      <c r="Q354" s="38"/>
      <c r="R354" s="48"/>
      <c r="S354" s="48"/>
      <c r="T354" s="48"/>
      <c r="U354" s="52"/>
      <c r="V354" s="50"/>
      <c r="W354" s="51"/>
      <c r="X354" s="56"/>
    </row>
    <row r="355" spans="1:24">
      <c r="A355" s="38"/>
      <c r="B355" s="38"/>
      <c r="C355" s="38"/>
      <c r="D355" s="38"/>
      <c r="E355" s="40"/>
      <c r="F355" s="41"/>
      <c r="G355" s="42"/>
      <c r="H355" s="43"/>
      <c r="I355" s="44"/>
      <c r="J355" s="38"/>
      <c r="K355" s="45"/>
      <c r="L355" s="46"/>
      <c r="M355" s="38"/>
      <c r="N355" s="38"/>
      <c r="O355" s="38"/>
      <c r="P355" s="38"/>
      <c r="Q355" s="38"/>
      <c r="R355" s="48"/>
      <c r="S355" s="48"/>
      <c r="T355" s="48"/>
      <c r="U355" s="52"/>
      <c r="V355" s="50"/>
      <c r="W355" s="51"/>
      <c r="X355" s="56"/>
    </row>
    <row r="356" spans="1:24">
      <c r="A356" s="38"/>
      <c r="B356" s="38"/>
      <c r="C356" s="38"/>
      <c r="D356" s="38"/>
      <c r="E356" s="40"/>
      <c r="F356" s="61"/>
      <c r="G356" s="42"/>
      <c r="H356" s="43"/>
      <c r="I356" s="44"/>
      <c r="J356" s="38"/>
      <c r="K356" s="45"/>
      <c r="L356" s="46"/>
      <c r="M356" s="38"/>
      <c r="N356" s="38"/>
      <c r="O356" s="38"/>
      <c r="P356" s="38"/>
      <c r="Q356" s="38"/>
      <c r="R356" s="48"/>
      <c r="S356" s="48"/>
      <c r="T356" s="48"/>
      <c r="U356" s="52"/>
      <c r="V356" s="50"/>
      <c r="W356" s="51"/>
      <c r="X356" s="56"/>
    </row>
    <row r="357" spans="1:24">
      <c r="A357" s="38"/>
      <c r="B357" s="38"/>
      <c r="C357" s="38"/>
      <c r="D357" s="38"/>
      <c r="E357" s="40"/>
      <c r="F357" s="61"/>
      <c r="G357" s="42"/>
      <c r="H357" s="43"/>
      <c r="I357" s="44"/>
      <c r="J357" s="38"/>
      <c r="K357" s="45"/>
      <c r="L357" s="46"/>
      <c r="M357" s="38"/>
      <c r="N357" s="38"/>
      <c r="O357" s="38"/>
      <c r="P357" s="38"/>
      <c r="Q357" s="38"/>
      <c r="R357" s="48"/>
      <c r="S357" s="48"/>
      <c r="T357" s="48"/>
      <c r="U357" s="52"/>
      <c r="V357" s="50"/>
      <c r="W357" s="51"/>
      <c r="X357" s="56"/>
    </row>
    <row r="358" spans="1:24">
      <c r="A358" s="38"/>
      <c r="B358" s="38"/>
      <c r="C358" s="38"/>
      <c r="D358" s="38"/>
      <c r="E358" s="40"/>
      <c r="F358" s="58"/>
      <c r="G358" s="42"/>
      <c r="H358" s="43"/>
      <c r="I358" s="44"/>
      <c r="J358" s="38"/>
      <c r="K358" s="45"/>
      <c r="L358" s="46"/>
      <c r="M358" s="38"/>
      <c r="N358" s="38"/>
      <c r="O358" s="38"/>
      <c r="P358" s="38"/>
      <c r="Q358" s="38"/>
      <c r="R358" s="48"/>
      <c r="S358" s="48"/>
      <c r="T358" s="48"/>
      <c r="U358" s="52"/>
      <c r="V358" s="50"/>
      <c r="W358" s="51"/>
      <c r="X358" s="56"/>
    </row>
    <row r="359" spans="1:24">
      <c r="A359" s="38"/>
      <c r="B359" s="38"/>
      <c r="C359" s="38"/>
      <c r="D359" s="38"/>
      <c r="E359" s="40"/>
      <c r="F359" s="61"/>
      <c r="G359" s="42"/>
      <c r="H359" s="43"/>
      <c r="I359" s="44"/>
      <c r="J359" s="38"/>
      <c r="K359" s="45"/>
      <c r="L359" s="46"/>
      <c r="M359" s="38"/>
      <c r="N359" s="38"/>
      <c r="O359" s="38"/>
      <c r="P359" s="38"/>
      <c r="Q359" s="38"/>
      <c r="R359" s="48"/>
      <c r="S359" s="48"/>
      <c r="T359" s="48"/>
      <c r="U359" s="52"/>
      <c r="V359" s="50"/>
      <c r="W359" s="51"/>
      <c r="X359" s="56"/>
    </row>
    <row r="360" spans="1:24">
      <c r="A360" s="38"/>
      <c r="B360" s="38"/>
      <c r="C360" s="38"/>
      <c r="D360" s="38"/>
      <c r="E360" s="40"/>
      <c r="F360" s="61"/>
      <c r="G360" s="42"/>
      <c r="H360" s="43"/>
      <c r="I360" s="44"/>
      <c r="J360" s="38"/>
      <c r="K360" s="45"/>
      <c r="L360" s="46"/>
      <c r="M360" s="38"/>
      <c r="N360" s="38"/>
      <c r="O360" s="38"/>
      <c r="P360" s="38"/>
      <c r="Q360" s="38"/>
      <c r="R360" s="48"/>
      <c r="S360" s="48"/>
      <c r="T360" s="48"/>
      <c r="U360" s="52"/>
      <c r="V360" s="50"/>
      <c r="W360" s="51"/>
      <c r="X360" s="56"/>
    </row>
    <row r="361" spans="1:24">
      <c r="A361" s="38"/>
      <c r="B361" s="38"/>
      <c r="C361" s="38"/>
      <c r="D361" s="38"/>
      <c r="E361" s="40"/>
      <c r="F361" s="61"/>
      <c r="G361" s="42"/>
      <c r="H361" s="43"/>
      <c r="I361" s="44"/>
      <c r="J361" s="38"/>
      <c r="K361" s="45"/>
      <c r="L361" s="46"/>
      <c r="M361" s="38"/>
      <c r="N361" s="38"/>
      <c r="O361" s="38"/>
      <c r="P361" s="38"/>
      <c r="Q361" s="38"/>
      <c r="R361" s="48"/>
      <c r="S361" s="48"/>
      <c r="T361" s="48"/>
      <c r="U361" s="52"/>
      <c r="V361" s="50"/>
      <c r="W361" s="51"/>
      <c r="X361" s="56"/>
    </row>
    <row r="362" spans="1:24">
      <c r="A362" s="38"/>
      <c r="B362" s="38"/>
      <c r="C362" s="38"/>
      <c r="D362" s="38"/>
      <c r="E362" s="40"/>
      <c r="F362" s="58"/>
      <c r="G362" s="42"/>
      <c r="H362" s="43"/>
      <c r="I362" s="44"/>
      <c r="J362" s="38"/>
      <c r="K362" s="45"/>
      <c r="L362" s="46"/>
      <c r="M362" s="38"/>
      <c r="N362" s="38"/>
      <c r="O362" s="38"/>
      <c r="P362" s="38"/>
      <c r="Q362" s="38"/>
      <c r="R362" s="48"/>
      <c r="S362" s="48"/>
      <c r="T362" s="48"/>
      <c r="U362" s="52"/>
      <c r="V362" s="50"/>
      <c r="W362" s="51"/>
      <c r="X362" s="56"/>
    </row>
    <row r="363" spans="1:24">
      <c r="A363" s="38"/>
      <c r="B363" s="38"/>
      <c r="C363" s="38"/>
      <c r="D363" s="38"/>
      <c r="E363" s="40"/>
      <c r="F363" s="61"/>
      <c r="G363" s="42"/>
      <c r="H363" s="43"/>
      <c r="I363" s="44"/>
      <c r="J363" s="38"/>
      <c r="K363" s="45"/>
      <c r="L363" s="46"/>
      <c r="M363" s="38"/>
      <c r="N363" s="38"/>
      <c r="O363" s="38"/>
      <c r="P363" s="38"/>
      <c r="Q363" s="38"/>
      <c r="R363" s="48"/>
      <c r="S363" s="48"/>
      <c r="T363" s="48"/>
      <c r="U363" s="52"/>
      <c r="V363" s="50"/>
      <c r="W363" s="51"/>
      <c r="X363" s="56"/>
    </row>
    <row r="364" spans="1:24">
      <c r="A364" s="38"/>
      <c r="B364" s="38"/>
      <c r="C364" s="38"/>
      <c r="D364" s="38"/>
      <c r="E364" s="40"/>
      <c r="F364" s="61"/>
      <c r="G364" s="42"/>
      <c r="H364" s="43"/>
      <c r="I364" s="44"/>
      <c r="J364" s="38"/>
      <c r="K364" s="45"/>
      <c r="L364" s="46"/>
      <c r="M364" s="38"/>
      <c r="N364" s="38"/>
      <c r="O364" s="38"/>
      <c r="P364" s="38"/>
      <c r="Q364" s="38"/>
      <c r="R364" s="48"/>
      <c r="S364" s="48"/>
      <c r="T364" s="48"/>
      <c r="U364" s="52"/>
      <c r="V364" s="50"/>
      <c r="W364" s="51"/>
      <c r="X364" s="56"/>
    </row>
    <row r="365" spans="1:24">
      <c r="A365" s="38"/>
      <c r="B365" s="38"/>
      <c r="C365" s="38"/>
      <c r="D365" s="38"/>
      <c r="E365" s="40"/>
      <c r="F365" s="61"/>
      <c r="G365" s="42"/>
      <c r="H365" s="43"/>
      <c r="I365" s="44"/>
      <c r="J365" s="38"/>
      <c r="K365" s="45"/>
      <c r="L365" s="46"/>
      <c r="M365" s="38"/>
      <c r="N365" s="38"/>
      <c r="O365" s="38"/>
      <c r="P365" s="38"/>
      <c r="Q365" s="38"/>
      <c r="R365" s="48"/>
      <c r="S365" s="48"/>
      <c r="T365" s="48"/>
      <c r="U365" s="52"/>
      <c r="V365" s="50"/>
      <c r="W365" s="51"/>
      <c r="X365" s="56"/>
    </row>
    <row r="366" spans="1:24">
      <c r="A366" s="38"/>
      <c r="B366" s="38"/>
      <c r="C366" s="38"/>
      <c r="D366" s="38"/>
      <c r="E366" s="40"/>
      <c r="F366" s="61"/>
      <c r="G366" s="42"/>
      <c r="H366" s="43"/>
      <c r="I366" s="44"/>
      <c r="J366" s="38"/>
      <c r="K366" s="45"/>
      <c r="L366" s="46"/>
      <c r="M366" s="38"/>
      <c r="N366" s="38"/>
      <c r="O366" s="38"/>
      <c r="P366" s="38"/>
      <c r="Q366" s="38"/>
      <c r="R366" s="48"/>
      <c r="S366" s="48"/>
      <c r="T366" s="48"/>
      <c r="U366" s="52"/>
      <c r="V366" s="50"/>
      <c r="W366" s="51"/>
      <c r="X366" s="56"/>
    </row>
    <row r="367" spans="1:24">
      <c r="A367" s="38"/>
      <c r="B367" s="38"/>
      <c r="C367" s="38"/>
      <c r="D367" s="38"/>
      <c r="E367" s="40"/>
      <c r="F367" s="61"/>
      <c r="G367" s="42"/>
      <c r="H367" s="43"/>
      <c r="I367" s="44"/>
      <c r="J367" s="38"/>
      <c r="K367" s="45"/>
      <c r="L367" s="46"/>
      <c r="M367" s="38"/>
      <c r="N367" s="38"/>
      <c r="O367" s="38"/>
      <c r="P367" s="38"/>
      <c r="Q367" s="38"/>
      <c r="R367" s="48"/>
      <c r="S367" s="48"/>
      <c r="T367" s="48"/>
      <c r="U367" s="52"/>
      <c r="V367" s="50"/>
      <c r="W367" s="51"/>
      <c r="X367" s="56"/>
    </row>
    <row r="368" spans="1:24">
      <c r="A368" s="38"/>
      <c r="B368" s="38"/>
      <c r="C368" s="38"/>
      <c r="D368" s="38"/>
      <c r="E368" s="40"/>
      <c r="F368" s="61"/>
      <c r="G368" s="42"/>
      <c r="H368" s="43"/>
      <c r="I368" s="44"/>
      <c r="J368" s="38"/>
      <c r="K368" s="45"/>
      <c r="L368" s="46"/>
      <c r="M368" s="38"/>
      <c r="N368" s="38"/>
      <c r="O368" s="38"/>
      <c r="P368" s="38"/>
      <c r="Q368" s="38"/>
      <c r="R368" s="48"/>
      <c r="S368" s="48"/>
      <c r="T368" s="48"/>
      <c r="U368" s="52"/>
      <c r="V368" s="50"/>
      <c r="W368" s="51"/>
      <c r="X368" s="56"/>
    </row>
    <row r="369" spans="1:24">
      <c r="A369" s="38"/>
      <c r="B369" s="38"/>
      <c r="C369" s="38"/>
      <c r="D369" s="38"/>
      <c r="E369" s="40"/>
      <c r="F369" s="41"/>
      <c r="G369" s="42"/>
      <c r="H369" s="43"/>
      <c r="I369" s="44"/>
      <c r="J369" s="38"/>
      <c r="K369" s="45"/>
      <c r="L369" s="46"/>
      <c r="M369" s="38"/>
      <c r="N369" s="38"/>
      <c r="O369" s="38"/>
      <c r="P369" s="38"/>
      <c r="Q369" s="38"/>
      <c r="R369" s="48"/>
      <c r="S369" s="48"/>
      <c r="T369" s="48"/>
      <c r="U369" s="52"/>
      <c r="V369" s="50"/>
      <c r="W369" s="51"/>
      <c r="X369" s="56"/>
    </row>
    <row r="370" spans="1:24">
      <c r="A370" s="38"/>
      <c r="B370" s="38"/>
      <c r="C370" s="38"/>
      <c r="D370" s="38"/>
      <c r="E370" s="40"/>
      <c r="F370" s="41"/>
      <c r="G370" s="42"/>
      <c r="H370" s="43"/>
      <c r="I370" s="44"/>
      <c r="J370" s="38"/>
      <c r="K370" s="45"/>
      <c r="L370" s="46"/>
      <c r="M370" s="38"/>
      <c r="N370" s="38"/>
      <c r="O370" s="38"/>
      <c r="P370" s="38"/>
      <c r="Q370" s="38"/>
      <c r="R370" s="48"/>
      <c r="S370" s="48"/>
      <c r="T370" s="48"/>
      <c r="U370" s="52"/>
      <c r="V370" s="50"/>
      <c r="W370" s="51"/>
      <c r="X370" s="56"/>
    </row>
    <row r="371" spans="1:24">
      <c r="A371" s="38"/>
      <c r="B371" s="38"/>
      <c r="C371" s="38"/>
      <c r="D371" s="38"/>
      <c r="E371" s="40"/>
      <c r="F371" s="41"/>
      <c r="G371" s="42"/>
      <c r="H371" s="43"/>
      <c r="I371" s="44"/>
      <c r="J371" s="38"/>
      <c r="K371" s="45"/>
      <c r="L371" s="46"/>
      <c r="M371" s="38"/>
      <c r="N371" s="38"/>
      <c r="O371" s="38"/>
      <c r="P371" s="38"/>
      <c r="Q371" s="38"/>
      <c r="R371" s="48"/>
      <c r="S371" s="48"/>
      <c r="T371" s="48"/>
      <c r="U371" s="52"/>
      <c r="V371" s="50"/>
      <c r="W371" s="51"/>
      <c r="X371" s="56"/>
    </row>
    <row r="372" spans="1:24">
      <c r="A372" s="38"/>
      <c r="B372" s="38"/>
      <c r="C372" s="38"/>
      <c r="D372" s="38"/>
      <c r="E372" s="40"/>
      <c r="F372" s="41"/>
      <c r="G372" s="42"/>
      <c r="H372" s="43"/>
      <c r="I372" s="44"/>
      <c r="J372" s="38"/>
      <c r="K372" s="45"/>
      <c r="L372" s="46"/>
      <c r="M372" s="38"/>
      <c r="N372" s="38"/>
      <c r="O372" s="38"/>
      <c r="P372" s="38"/>
      <c r="Q372" s="38"/>
      <c r="R372" s="48"/>
      <c r="S372" s="48"/>
      <c r="T372" s="48"/>
      <c r="U372" s="52"/>
      <c r="V372" s="50"/>
      <c r="W372" s="51"/>
      <c r="X372" s="56"/>
    </row>
    <row r="373" spans="1:24">
      <c r="A373" s="38"/>
      <c r="B373" s="38"/>
      <c r="C373" s="38"/>
      <c r="D373" s="38"/>
      <c r="E373" s="40"/>
      <c r="F373" s="41"/>
      <c r="G373" s="42"/>
      <c r="H373" s="43"/>
      <c r="I373" s="44"/>
      <c r="J373" s="38"/>
      <c r="K373" s="45"/>
      <c r="L373" s="46"/>
      <c r="M373" s="38"/>
      <c r="N373" s="38"/>
      <c r="O373" s="38"/>
      <c r="P373" s="38"/>
      <c r="Q373" s="38"/>
      <c r="R373" s="48"/>
      <c r="S373" s="48"/>
      <c r="T373" s="48"/>
      <c r="U373" s="52"/>
      <c r="V373" s="50"/>
      <c r="W373" s="51"/>
      <c r="X373" s="56"/>
    </row>
    <row r="374" spans="1:24">
      <c r="A374" s="38"/>
      <c r="B374" s="38"/>
      <c r="C374" s="38"/>
      <c r="D374" s="38"/>
      <c r="E374" s="40"/>
      <c r="F374" s="58"/>
      <c r="G374" s="42"/>
      <c r="H374" s="43"/>
      <c r="I374" s="44"/>
      <c r="J374" s="38"/>
      <c r="K374" s="45"/>
      <c r="L374" s="46"/>
      <c r="M374" s="38"/>
      <c r="N374" s="38"/>
      <c r="O374" s="38"/>
      <c r="P374" s="38"/>
      <c r="Q374" s="38"/>
      <c r="R374" s="48"/>
      <c r="S374" s="48"/>
      <c r="T374" s="48"/>
      <c r="U374" s="52"/>
      <c r="V374" s="50"/>
      <c r="W374" s="51"/>
      <c r="X374" s="56"/>
    </row>
    <row r="375" spans="1:24">
      <c r="A375" s="38"/>
      <c r="B375" s="38"/>
      <c r="C375" s="38"/>
      <c r="D375" s="38"/>
      <c r="E375" s="40"/>
      <c r="F375" s="58"/>
      <c r="G375" s="42"/>
      <c r="H375" s="43"/>
      <c r="I375" s="44"/>
      <c r="J375" s="38"/>
      <c r="K375" s="45"/>
      <c r="L375" s="46"/>
      <c r="M375" s="38"/>
      <c r="N375" s="38"/>
      <c r="O375" s="38"/>
      <c r="P375" s="38"/>
      <c r="Q375" s="38"/>
      <c r="R375" s="48"/>
      <c r="S375" s="48"/>
      <c r="T375" s="48"/>
      <c r="U375" s="52"/>
      <c r="V375" s="50"/>
      <c r="W375" s="51"/>
      <c r="X375" s="56"/>
    </row>
    <row r="376" spans="1:24">
      <c r="A376" s="38"/>
      <c r="B376" s="38"/>
      <c r="C376" s="38"/>
      <c r="D376" s="38"/>
      <c r="E376" s="40"/>
      <c r="F376" s="58"/>
      <c r="G376" s="42"/>
      <c r="H376" s="43"/>
      <c r="I376" s="44"/>
      <c r="J376" s="38"/>
      <c r="K376" s="45"/>
      <c r="L376" s="46"/>
      <c r="M376" s="38"/>
      <c r="N376" s="38"/>
      <c r="O376" s="38"/>
      <c r="P376" s="38"/>
      <c r="Q376" s="38"/>
      <c r="R376" s="48"/>
      <c r="S376" s="48"/>
      <c r="T376" s="48"/>
      <c r="U376" s="52"/>
      <c r="V376" s="50"/>
      <c r="W376" s="51"/>
      <c r="X376" s="56"/>
    </row>
    <row r="377" spans="1:24">
      <c r="A377" s="38"/>
      <c r="B377" s="38"/>
      <c r="C377" s="38"/>
      <c r="D377" s="38"/>
      <c r="E377" s="40"/>
      <c r="F377" s="41"/>
      <c r="G377" s="42"/>
      <c r="H377" s="43"/>
      <c r="I377" s="44"/>
      <c r="J377" s="38"/>
      <c r="K377" s="45"/>
      <c r="L377" s="46"/>
      <c r="M377" s="38"/>
      <c r="N377" s="38"/>
      <c r="O377" s="38"/>
      <c r="P377" s="38"/>
      <c r="Q377" s="38"/>
      <c r="R377" s="48"/>
      <c r="S377" s="48"/>
      <c r="T377" s="48"/>
      <c r="U377" s="52"/>
      <c r="V377" s="50"/>
      <c r="W377" s="51"/>
      <c r="X377" s="56"/>
    </row>
    <row r="378" spans="1:24">
      <c r="A378" s="38"/>
      <c r="B378" s="38"/>
      <c r="C378" s="38"/>
      <c r="D378" s="38"/>
      <c r="E378" s="40"/>
      <c r="F378" s="61"/>
      <c r="G378" s="42"/>
      <c r="H378" s="43"/>
      <c r="I378" s="44"/>
      <c r="J378" s="38"/>
      <c r="K378" s="45"/>
      <c r="L378" s="46"/>
      <c r="M378" s="38"/>
      <c r="N378" s="38"/>
      <c r="O378" s="38"/>
      <c r="P378" s="38"/>
      <c r="Q378" s="38"/>
      <c r="R378" s="48"/>
      <c r="S378" s="48"/>
      <c r="T378" s="48"/>
      <c r="U378" s="52"/>
      <c r="V378" s="50"/>
      <c r="W378" s="51"/>
      <c r="X378" s="56"/>
    </row>
    <row r="379" spans="1:24">
      <c r="A379" s="38"/>
      <c r="B379" s="38"/>
      <c r="C379" s="38"/>
      <c r="D379" s="38"/>
      <c r="E379" s="40"/>
      <c r="F379" s="61"/>
      <c r="G379" s="42"/>
      <c r="H379" s="43"/>
      <c r="I379" s="44"/>
      <c r="J379" s="38"/>
      <c r="K379" s="45"/>
      <c r="L379" s="46"/>
      <c r="M379" s="38"/>
      <c r="N379" s="38"/>
      <c r="O379" s="38"/>
      <c r="P379" s="38"/>
      <c r="Q379" s="38"/>
      <c r="R379" s="48"/>
      <c r="S379" s="48"/>
      <c r="T379" s="48"/>
      <c r="U379" s="52"/>
      <c r="V379" s="50"/>
      <c r="W379" s="51"/>
      <c r="X379" s="56"/>
    </row>
    <row r="380" spans="1:24">
      <c r="A380" s="38"/>
      <c r="B380" s="38"/>
      <c r="C380" s="38"/>
      <c r="D380" s="38"/>
      <c r="E380" s="40"/>
      <c r="F380" s="41"/>
      <c r="G380" s="42"/>
      <c r="H380" s="43"/>
      <c r="I380" s="44"/>
      <c r="J380" s="38"/>
      <c r="K380" s="45"/>
      <c r="L380" s="46"/>
      <c r="M380" s="38"/>
      <c r="N380" s="38"/>
      <c r="O380" s="38"/>
      <c r="P380" s="38"/>
      <c r="Q380" s="38"/>
      <c r="R380" s="48"/>
      <c r="S380" s="48"/>
      <c r="T380" s="48"/>
      <c r="U380" s="52"/>
      <c r="V380" s="50"/>
      <c r="W380" s="51"/>
      <c r="X380" s="56"/>
    </row>
    <row r="381" spans="1:24">
      <c r="A381" s="38"/>
      <c r="B381" s="38"/>
      <c r="C381" s="38"/>
      <c r="D381" s="38"/>
      <c r="E381" s="40"/>
      <c r="F381" s="41"/>
      <c r="G381" s="42"/>
      <c r="H381" s="43"/>
      <c r="I381" s="44"/>
      <c r="J381" s="38"/>
      <c r="K381" s="45"/>
      <c r="L381" s="46"/>
      <c r="M381" s="38"/>
      <c r="N381" s="38"/>
      <c r="O381" s="38"/>
      <c r="P381" s="38"/>
      <c r="Q381" s="38"/>
      <c r="R381" s="48"/>
      <c r="S381" s="48"/>
      <c r="T381" s="48"/>
      <c r="U381" s="52"/>
      <c r="V381" s="50"/>
      <c r="W381" s="51"/>
      <c r="X381" s="56"/>
    </row>
    <row r="382" spans="1:24">
      <c r="A382" s="38"/>
      <c r="B382" s="38"/>
      <c r="C382" s="38"/>
      <c r="D382" s="38"/>
      <c r="E382" s="40"/>
      <c r="F382" s="41"/>
      <c r="G382" s="42"/>
      <c r="H382" s="43"/>
      <c r="I382" s="44"/>
      <c r="J382" s="38"/>
      <c r="K382" s="45"/>
      <c r="L382" s="46"/>
      <c r="M382" s="38"/>
      <c r="N382" s="38"/>
      <c r="O382" s="38"/>
      <c r="P382" s="38"/>
      <c r="Q382" s="38"/>
      <c r="R382" s="48"/>
      <c r="S382" s="48"/>
      <c r="T382" s="48"/>
      <c r="U382" s="52"/>
      <c r="V382" s="50"/>
      <c r="W382" s="51"/>
      <c r="X382" s="56"/>
    </row>
    <row r="383" spans="1:24">
      <c r="A383" s="38"/>
      <c r="B383" s="38"/>
      <c r="C383" s="38"/>
      <c r="D383" s="38"/>
      <c r="E383" s="40"/>
      <c r="F383" s="41"/>
      <c r="G383" s="42"/>
      <c r="H383" s="43"/>
      <c r="I383" s="44"/>
      <c r="J383" s="38"/>
      <c r="K383" s="45"/>
      <c r="L383" s="46"/>
      <c r="M383" s="38"/>
      <c r="N383" s="38"/>
      <c r="O383" s="38"/>
      <c r="P383" s="38"/>
      <c r="Q383" s="38"/>
      <c r="R383" s="48"/>
      <c r="S383" s="48"/>
      <c r="T383" s="48"/>
      <c r="U383" s="52"/>
      <c r="V383" s="50"/>
      <c r="W383" s="51"/>
      <c r="X383" s="56"/>
    </row>
    <row r="384" spans="1:24">
      <c r="A384" s="38"/>
      <c r="B384" s="38"/>
      <c r="C384" s="38"/>
      <c r="D384" s="38"/>
      <c r="E384" s="40"/>
      <c r="F384" s="41"/>
      <c r="G384" s="42"/>
      <c r="H384" s="43"/>
      <c r="I384" s="44"/>
      <c r="J384" s="38"/>
      <c r="K384" s="45"/>
      <c r="L384" s="46"/>
      <c r="M384" s="38"/>
      <c r="N384" s="38"/>
      <c r="O384" s="38"/>
      <c r="P384" s="38"/>
      <c r="Q384" s="38"/>
      <c r="R384" s="48"/>
      <c r="S384" s="48"/>
      <c r="T384" s="48"/>
      <c r="U384" s="52"/>
      <c r="V384" s="50"/>
      <c r="W384" s="51"/>
      <c r="X384" s="56"/>
    </row>
    <row r="385" spans="1:24">
      <c r="A385" s="38"/>
      <c r="B385" s="38"/>
      <c r="C385" s="38"/>
      <c r="D385" s="38"/>
      <c r="E385" s="40"/>
      <c r="F385" s="41"/>
      <c r="G385" s="42"/>
      <c r="H385" s="43"/>
      <c r="I385" s="44"/>
      <c r="J385" s="38"/>
      <c r="K385" s="45"/>
      <c r="L385" s="46"/>
      <c r="M385" s="38"/>
      <c r="N385" s="38"/>
      <c r="O385" s="38"/>
      <c r="P385" s="38"/>
      <c r="Q385" s="38"/>
      <c r="R385" s="48"/>
      <c r="S385" s="48"/>
      <c r="T385" s="48"/>
      <c r="U385" s="52"/>
      <c r="V385" s="50"/>
      <c r="W385" s="51"/>
      <c r="X385" s="56"/>
    </row>
    <row r="386" spans="1:24">
      <c r="A386" s="38"/>
      <c r="B386" s="38"/>
      <c r="C386" s="38"/>
      <c r="D386" s="38"/>
      <c r="E386" s="40"/>
      <c r="F386" s="41"/>
      <c r="G386" s="42"/>
      <c r="H386" s="43"/>
      <c r="I386" s="44"/>
      <c r="J386" s="38"/>
      <c r="K386" s="45"/>
      <c r="L386" s="46"/>
      <c r="M386" s="38"/>
      <c r="N386" s="38"/>
      <c r="O386" s="38"/>
      <c r="P386" s="38"/>
      <c r="Q386" s="38"/>
      <c r="R386" s="48"/>
      <c r="S386" s="48"/>
      <c r="T386" s="48"/>
      <c r="U386" s="52"/>
      <c r="V386" s="50"/>
      <c r="W386" s="51"/>
      <c r="X386" s="56"/>
    </row>
    <row r="387" spans="1:24">
      <c r="A387" s="38"/>
      <c r="B387" s="38"/>
      <c r="C387" s="38"/>
      <c r="D387" s="38"/>
      <c r="E387" s="40"/>
      <c r="F387" s="41"/>
      <c r="G387" s="42"/>
      <c r="H387" s="43"/>
      <c r="I387" s="44"/>
      <c r="J387" s="38"/>
      <c r="K387" s="45"/>
      <c r="L387" s="46"/>
      <c r="M387" s="38"/>
      <c r="N387" s="38"/>
      <c r="O387" s="38"/>
      <c r="P387" s="38"/>
      <c r="Q387" s="38"/>
      <c r="R387" s="48"/>
      <c r="S387" s="48"/>
      <c r="T387" s="48"/>
      <c r="U387" s="52"/>
      <c r="V387" s="50"/>
      <c r="W387" s="51"/>
      <c r="X387" s="56"/>
    </row>
    <row r="388" spans="1:24">
      <c r="A388" s="38"/>
      <c r="B388" s="38"/>
      <c r="C388" s="38"/>
      <c r="D388" s="38"/>
      <c r="E388" s="40"/>
      <c r="F388" s="61"/>
      <c r="G388" s="42"/>
      <c r="H388" s="43"/>
      <c r="I388" s="44"/>
      <c r="J388" s="38"/>
      <c r="K388" s="45"/>
      <c r="L388" s="46"/>
      <c r="M388" s="38"/>
      <c r="N388" s="38"/>
      <c r="O388" s="38"/>
      <c r="P388" s="38"/>
      <c r="Q388" s="38"/>
      <c r="R388" s="48"/>
      <c r="S388" s="48"/>
      <c r="T388" s="48"/>
      <c r="U388" s="52"/>
      <c r="V388" s="50"/>
      <c r="W388" s="51"/>
      <c r="X388" s="56"/>
    </row>
    <row r="389" spans="1:24">
      <c r="A389" s="38"/>
      <c r="B389" s="38"/>
      <c r="C389" s="38"/>
      <c r="D389" s="38"/>
      <c r="E389" s="40"/>
      <c r="F389" s="41"/>
      <c r="G389" s="42"/>
      <c r="H389" s="43"/>
      <c r="I389" s="44"/>
      <c r="J389" s="38"/>
      <c r="K389" s="45"/>
      <c r="L389" s="46"/>
      <c r="M389" s="38"/>
      <c r="N389" s="38"/>
      <c r="O389" s="38"/>
      <c r="P389" s="38"/>
      <c r="Q389" s="38"/>
      <c r="R389" s="48"/>
      <c r="S389" s="48"/>
      <c r="T389" s="48"/>
      <c r="U389" s="52"/>
      <c r="V389" s="50"/>
      <c r="W389" s="51"/>
      <c r="X389" s="56"/>
    </row>
    <row r="390" spans="1:24">
      <c r="A390" s="38"/>
      <c r="B390" s="38"/>
      <c r="C390" s="38"/>
      <c r="D390" s="38"/>
      <c r="E390" s="40"/>
      <c r="F390" s="41"/>
      <c r="G390" s="42"/>
      <c r="H390" s="43"/>
      <c r="I390" s="44"/>
      <c r="J390" s="38"/>
      <c r="K390" s="45"/>
      <c r="L390" s="46"/>
      <c r="M390" s="38"/>
      <c r="N390" s="38"/>
      <c r="O390" s="38"/>
      <c r="P390" s="38"/>
      <c r="Q390" s="38"/>
      <c r="R390" s="48"/>
      <c r="S390" s="48"/>
      <c r="T390" s="48"/>
      <c r="U390" s="52"/>
      <c r="V390" s="50"/>
      <c r="W390" s="51"/>
      <c r="X390" s="56"/>
    </row>
    <row r="391" spans="1:24">
      <c r="A391" s="38"/>
      <c r="B391" s="38"/>
      <c r="C391" s="38"/>
      <c r="D391" s="38"/>
      <c r="E391" s="40"/>
      <c r="F391" s="41"/>
      <c r="G391" s="42"/>
      <c r="H391" s="43"/>
      <c r="I391" s="44"/>
      <c r="J391" s="38"/>
      <c r="K391" s="45"/>
      <c r="L391" s="46"/>
      <c r="M391" s="38"/>
      <c r="N391" s="38"/>
      <c r="O391" s="38"/>
      <c r="P391" s="38"/>
      <c r="Q391" s="38"/>
      <c r="R391" s="48"/>
      <c r="S391" s="48"/>
      <c r="T391" s="48"/>
      <c r="U391" s="52"/>
      <c r="V391" s="50"/>
      <c r="W391" s="51"/>
      <c r="X391" s="56"/>
    </row>
    <row r="392" spans="1:24">
      <c r="A392" s="38"/>
      <c r="B392" s="38"/>
      <c r="C392" s="38"/>
      <c r="D392" s="38"/>
      <c r="E392" s="40"/>
      <c r="F392" s="41"/>
      <c r="G392" s="42"/>
      <c r="H392" s="43"/>
      <c r="I392" s="44"/>
      <c r="J392" s="38"/>
      <c r="K392" s="45"/>
      <c r="L392" s="46"/>
      <c r="M392" s="38"/>
      <c r="N392" s="38"/>
      <c r="O392" s="38"/>
      <c r="P392" s="38"/>
      <c r="Q392" s="38"/>
      <c r="R392" s="48"/>
      <c r="S392" s="48"/>
      <c r="T392" s="48"/>
      <c r="U392" s="52"/>
      <c r="V392" s="50"/>
      <c r="W392" s="51"/>
      <c r="X392" s="56"/>
    </row>
    <row r="393" spans="1:24">
      <c r="A393" s="38"/>
      <c r="B393" s="38"/>
      <c r="C393" s="38"/>
      <c r="D393" s="38"/>
      <c r="E393" s="40"/>
      <c r="F393" s="41"/>
      <c r="G393" s="42"/>
      <c r="H393" s="43"/>
      <c r="I393" s="44"/>
      <c r="J393" s="38"/>
      <c r="K393" s="45"/>
      <c r="L393" s="46"/>
      <c r="M393" s="38"/>
      <c r="N393" s="38"/>
      <c r="O393" s="38"/>
      <c r="P393" s="38"/>
      <c r="Q393" s="38"/>
      <c r="R393" s="48"/>
      <c r="S393" s="48"/>
      <c r="T393" s="48"/>
      <c r="U393" s="52"/>
      <c r="V393" s="50"/>
      <c r="W393" s="51"/>
      <c r="X393" s="56"/>
    </row>
    <row r="394" spans="1:24">
      <c r="A394" s="38"/>
      <c r="B394" s="38"/>
      <c r="C394" s="38"/>
      <c r="D394" s="38"/>
      <c r="E394" s="40"/>
      <c r="F394" s="41"/>
      <c r="G394" s="42"/>
      <c r="H394" s="43"/>
      <c r="I394" s="44"/>
      <c r="J394" s="38"/>
      <c r="K394" s="45"/>
      <c r="L394" s="46"/>
      <c r="M394" s="38"/>
      <c r="N394" s="38"/>
      <c r="O394" s="38"/>
      <c r="P394" s="38"/>
      <c r="Q394" s="38"/>
      <c r="R394" s="48"/>
      <c r="S394" s="48"/>
      <c r="T394" s="48"/>
      <c r="U394" s="52"/>
      <c r="V394" s="50"/>
      <c r="W394" s="51"/>
      <c r="X394" s="56"/>
    </row>
    <row r="395" spans="1:24">
      <c r="A395" s="38"/>
      <c r="B395" s="38"/>
      <c r="C395" s="38"/>
      <c r="D395" s="38"/>
      <c r="E395" s="40"/>
      <c r="F395" s="58"/>
      <c r="G395" s="42"/>
      <c r="H395" s="43"/>
      <c r="I395" s="44"/>
      <c r="J395" s="38"/>
      <c r="K395" s="45"/>
      <c r="L395" s="46"/>
      <c r="M395" s="38"/>
      <c r="N395" s="38"/>
      <c r="O395" s="38"/>
      <c r="P395" s="38"/>
      <c r="Q395" s="38"/>
      <c r="R395" s="48"/>
      <c r="S395" s="48"/>
      <c r="T395" s="48"/>
      <c r="U395" s="52"/>
      <c r="V395" s="50"/>
      <c r="W395" s="51"/>
      <c r="X395" s="56"/>
    </row>
    <row r="396" spans="1:24">
      <c r="A396" s="38"/>
      <c r="B396" s="38"/>
      <c r="C396" s="38"/>
      <c r="D396" s="38"/>
      <c r="E396" s="40"/>
      <c r="F396" s="41"/>
      <c r="G396" s="42"/>
      <c r="H396" s="43"/>
      <c r="I396" s="44"/>
      <c r="J396" s="38"/>
      <c r="K396" s="45"/>
      <c r="L396" s="46"/>
      <c r="M396" s="38"/>
      <c r="N396" s="38"/>
      <c r="O396" s="38"/>
      <c r="P396" s="38"/>
      <c r="Q396" s="38"/>
      <c r="R396" s="48"/>
      <c r="S396" s="48"/>
      <c r="T396" s="48"/>
      <c r="U396" s="52"/>
      <c r="V396" s="50"/>
      <c r="W396" s="51"/>
      <c r="X396" s="56"/>
    </row>
    <row r="397" spans="1:24">
      <c r="A397" s="38"/>
      <c r="B397" s="38"/>
      <c r="C397" s="38"/>
      <c r="D397" s="38"/>
      <c r="E397" s="40"/>
      <c r="F397" s="61"/>
      <c r="G397" s="42"/>
      <c r="H397" s="43"/>
      <c r="I397" s="44"/>
      <c r="J397" s="38"/>
      <c r="K397" s="45"/>
      <c r="L397" s="46"/>
      <c r="M397" s="38"/>
      <c r="N397" s="38"/>
      <c r="O397" s="38"/>
      <c r="P397" s="38"/>
      <c r="Q397" s="38"/>
      <c r="R397" s="48"/>
      <c r="S397" s="48"/>
      <c r="T397" s="48"/>
      <c r="U397" s="52"/>
      <c r="V397" s="50"/>
      <c r="W397" s="51"/>
      <c r="X397" s="56"/>
    </row>
    <row r="398" spans="1:24">
      <c r="A398" s="38"/>
      <c r="B398" s="38"/>
      <c r="C398" s="38"/>
      <c r="D398" s="38"/>
      <c r="E398" s="40"/>
      <c r="F398" s="41"/>
      <c r="G398" s="42"/>
      <c r="H398" s="43"/>
      <c r="I398" s="44"/>
      <c r="J398" s="38"/>
      <c r="K398" s="45"/>
      <c r="L398" s="46"/>
      <c r="M398" s="38"/>
      <c r="N398" s="38"/>
      <c r="O398" s="38"/>
      <c r="P398" s="38"/>
      <c r="Q398" s="38"/>
      <c r="R398" s="48"/>
      <c r="S398" s="48"/>
      <c r="T398" s="48"/>
      <c r="U398" s="52"/>
      <c r="V398" s="50"/>
      <c r="W398" s="51"/>
      <c r="X398" s="56"/>
    </row>
    <row r="399" spans="1:24">
      <c r="A399" s="38"/>
      <c r="B399" s="38"/>
      <c r="C399" s="38"/>
      <c r="D399" s="38"/>
      <c r="E399" s="40"/>
      <c r="F399" s="41"/>
      <c r="G399" s="42"/>
      <c r="H399" s="43"/>
      <c r="I399" s="44"/>
      <c r="J399" s="38"/>
      <c r="K399" s="45"/>
      <c r="L399" s="46"/>
      <c r="M399" s="38"/>
      <c r="N399" s="38"/>
      <c r="O399" s="38"/>
      <c r="P399" s="38"/>
      <c r="Q399" s="38"/>
      <c r="R399" s="48"/>
      <c r="S399" s="48"/>
      <c r="T399" s="48"/>
      <c r="U399" s="52"/>
      <c r="V399" s="50"/>
      <c r="W399" s="51"/>
      <c r="X399" s="56"/>
    </row>
    <row r="400" spans="1:24">
      <c r="A400" s="38"/>
      <c r="B400" s="38"/>
      <c r="C400" s="38"/>
      <c r="D400" s="38"/>
      <c r="E400" s="40"/>
      <c r="F400" s="61"/>
      <c r="G400" s="42"/>
      <c r="H400" s="43"/>
      <c r="I400" s="44"/>
      <c r="J400" s="38"/>
      <c r="K400" s="45"/>
      <c r="L400" s="46"/>
      <c r="M400" s="38"/>
      <c r="N400" s="38"/>
      <c r="O400" s="38"/>
      <c r="P400" s="38"/>
      <c r="Q400" s="38"/>
      <c r="R400" s="48"/>
      <c r="S400" s="48"/>
      <c r="T400" s="48"/>
      <c r="U400" s="52"/>
      <c r="V400" s="50"/>
      <c r="W400" s="51"/>
      <c r="X400" s="56"/>
    </row>
    <row r="401" spans="1:24">
      <c r="A401" s="38"/>
      <c r="B401" s="38"/>
      <c r="C401" s="38"/>
      <c r="D401" s="38"/>
      <c r="E401" s="40"/>
      <c r="F401" s="41"/>
      <c r="G401" s="42"/>
      <c r="H401" s="43"/>
      <c r="I401" s="44"/>
      <c r="J401" s="38"/>
      <c r="K401" s="45"/>
      <c r="L401" s="46"/>
      <c r="M401" s="38"/>
      <c r="N401" s="38"/>
      <c r="O401" s="38"/>
      <c r="P401" s="38"/>
      <c r="Q401" s="38"/>
      <c r="R401" s="48"/>
      <c r="S401" s="48"/>
      <c r="T401" s="48"/>
      <c r="U401" s="52"/>
      <c r="V401" s="50"/>
      <c r="W401" s="51"/>
      <c r="X401" s="56"/>
    </row>
    <row r="402" spans="1:24">
      <c r="A402" s="38"/>
      <c r="B402" s="38"/>
      <c r="C402" s="38"/>
      <c r="D402" s="38"/>
      <c r="E402" s="40"/>
      <c r="F402" s="41"/>
      <c r="G402" s="42"/>
      <c r="H402" s="43"/>
      <c r="I402" s="44"/>
      <c r="J402" s="38"/>
      <c r="K402" s="45"/>
      <c r="L402" s="46"/>
      <c r="M402" s="38"/>
      <c r="N402" s="38"/>
      <c r="O402" s="38"/>
      <c r="P402" s="38"/>
      <c r="Q402" s="38"/>
      <c r="R402" s="48"/>
      <c r="S402" s="48"/>
      <c r="T402" s="48"/>
      <c r="U402" s="52"/>
      <c r="V402" s="50"/>
      <c r="W402" s="51"/>
      <c r="X402" s="56"/>
    </row>
    <row r="403" spans="1:24">
      <c r="A403" s="38"/>
      <c r="B403" s="38"/>
      <c r="C403" s="38"/>
      <c r="D403" s="38"/>
      <c r="E403" s="40"/>
      <c r="F403" s="41"/>
      <c r="G403" s="42"/>
      <c r="H403" s="43"/>
      <c r="I403" s="44"/>
      <c r="J403" s="38"/>
      <c r="K403" s="45"/>
      <c r="L403" s="46"/>
      <c r="M403" s="38"/>
      <c r="N403" s="38"/>
      <c r="O403" s="38"/>
      <c r="P403" s="38"/>
      <c r="Q403" s="38"/>
      <c r="R403" s="48"/>
      <c r="S403" s="48"/>
      <c r="T403" s="48"/>
      <c r="U403" s="52"/>
      <c r="V403" s="50"/>
      <c r="W403" s="51"/>
      <c r="X403" s="56"/>
    </row>
    <row r="404" spans="1:24">
      <c r="A404" s="38"/>
      <c r="B404" s="38"/>
      <c r="C404" s="38"/>
      <c r="D404" s="38"/>
      <c r="E404" s="40"/>
      <c r="F404" s="41"/>
      <c r="G404" s="42"/>
      <c r="H404" s="43"/>
      <c r="I404" s="44"/>
      <c r="J404" s="38"/>
      <c r="K404" s="45"/>
      <c r="L404" s="46"/>
      <c r="M404" s="38"/>
      <c r="N404" s="38"/>
      <c r="O404" s="38"/>
      <c r="P404" s="38"/>
      <c r="Q404" s="38"/>
      <c r="R404" s="48"/>
      <c r="S404" s="48"/>
      <c r="T404" s="48"/>
      <c r="U404" s="52"/>
      <c r="V404" s="50"/>
      <c r="W404" s="51"/>
      <c r="X404" s="56"/>
    </row>
    <row r="405" spans="1:24">
      <c r="A405" s="38"/>
      <c r="B405" s="38"/>
      <c r="C405" s="38"/>
      <c r="D405" s="38"/>
      <c r="E405" s="40"/>
      <c r="F405" s="41"/>
      <c r="G405" s="42"/>
      <c r="H405" s="43"/>
      <c r="I405" s="44"/>
      <c r="J405" s="38"/>
      <c r="K405" s="45"/>
      <c r="L405" s="46"/>
      <c r="M405" s="38"/>
      <c r="N405" s="38"/>
      <c r="O405" s="38"/>
      <c r="P405" s="38"/>
      <c r="Q405" s="38"/>
      <c r="R405" s="48"/>
      <c r="S405" s="48"/>
      <c r="T405" s="48"/>
      <c r="U405" s="52"/>
      <c r="V405" s="50"/>
      <c r="W405" s="51"/>
      <c r="X405" s="56"/>
    </row>
    <row r="406" spans="1:24">
      <c r="A406" s="38"/>
      <c r="B406" s="38"/>
      <c r="C406" s="38"/>
      <c r="D406" s="38"/>
      <c r="E406" s="40"/>
      <c r="F406" s="41"/>
      <c r="G406" s="42"/>
      <c r="H406" s="43"/>
      <c r="I406" s="44"/>
      <c r="J406" s="38"/>
      <c r="K406" s="45"/>
      <c r="L406" s="46"/>
      <c r="M406" s="38"/>
      <c r="N406" s="38"/>
      <c r="O406" s="38"/>
      <c r="P406" s="38"/>
      <c r="Q406" s="38"/>
      <c r="R406" s="48"/>
      <c r="S406" s="48"/>
      <c r="T406" s="48"/>
      <c r="U406" s="52"/>
      <c r="V406" s="50"/>
      <c r="W406" s="51"/>
      <c r="X406" s="56"/>
    </row>
    <row r="407" spans="1:24">
      <c r="A407" s="38"/>
      <c r="B407" s="38"/>
      <c r="C407" s="38"/>
      <c r="D407" s="38"/>
      <c r="E407" s="40"/>
      <c r="F407" s="41"/>
      <c r="G407" s="42"/>
      <c r="H407" s="43"/>
      <c r="I407" s="44"/>
      <c r="J407" s="38"/>
      <c r="K407" s="45"/>
      <c r="L407" s="46"/>
      <c r="M407" s="38"/>
      <c r="N407" s="38"/>
      <c r="O407" s="38"/>
      <c r="P407" s="38"/>
      <c r="Q407" s="38"/>
      <c r="R407" s="48"/>
      <c r="S407" s="48"/>
      <c r="T407" s="48"/>
      <c r="U407" s="52"/>
      <c r="V407" s="50"/>
      <c r="W407" s="51"/>
      <c r="X407" s="56"/>
    </row>
    <row r="408" spans="1:24">
      <c r="A408" s="38"/>
      <c r="B408" s="38"/>
      <c r="C408" s="38"/>
      <c r="D408" s="38"/>
      <c r="E408" s="40"/>
      <c r="F408" s="41"/>
      <c r="G408" s="42"/>
      <c r="H408" s="43"/>
      <c r="I408" s="44"/>
      <c r="J408" s="38"/>
      <c r="K408" s="45"/>
      <c r="L408" s="46"/>
      <c r="M408" s="38"/>
      <c r="N408" s="38"/>
      <c r="O408" s="38"/>
      <c r="P408" s="38"/>
      <c r="Q408" s="38"/>
      <c r="R408" s="48"/>
      <c r="S408" s="48"/>
      <c r="T408" s="48"/>
      <c r="U408" s="52"/>
      <c r="V408" s="50"/>
      <c r="W408" s="51"/>
      <c r="X408" s="56"/>
    </row>
    <row r="409" spans="1:24">
      <c r="A409" s="38"/>
      <c r="B409" s="38"/>
      <c r="C409" s="38"/>
      <c r="D409" s="38"/>
      <c r="E409" s="40"/>
      <c r="F409" s="41"/>
      <c r="G409" s="42"/>
      <c r="H409" s="43"/>
      <c r="I409" s="44"/>
      <c r="J409" s="38"/>
      <c r="K409" s="45"/>
      <c r="L409" s="46"/>
      <c r="M409" s="38"/>
      <c r="N409" s="38"/>
      <c r="O409" s="38"/>
      <c r="P409" s="38"/>
      <c r="Q409" s="38"/>
      <c r="R409" s="48"/>
      <c r="S409" s="48"/>
      <c r="T409" s="48"/>
      <c r="U409" s="52"/>
      <c r="V409" s="50"/>
      <c r="W409" s="51"/>
      <c r="X409" s="56"/>
    </row>
    <row r="410" spans="1:24">
      <c r="A410" s="38"/>
      <c r="B410" s="38"/>
      <c r="C410" s="38"/>
      <c r="D410" s="38"/>
      <c r="E410" s="40"/>
      <c r="F410" s="41"/>
      <c r="G410" s="42"/>
      <c r="H410" s="43"/>
      <c r="I410" s="44"/>
      <c r="J410" s="38"/>
      <c r="K410" s="45"/>
      <c r="L410" s="46"/>
      <c r="M410" s="38"/>
      <c r="N410" s="38"/>
      <c r="O410" s="38"/>
      <c r="P410" s="38"/>
      <c r="Q410" s="38"/>
      <c r="R410" s="48"/>
      <c r="S410" s="48"/>
      <c r="T410" s="48"/>
      <c r="U410" s="52"/>
      <c r="V410" s="50"/>
      <c r="W410" s="51"/>
      <c r="X410" s="56"/>
    </row>
    <row r="411" spans="1:24">
      <c r="A411" s="38"/>
      <c r="B411" s="38"/>
      <c r="C411" s="38"/>
      <c r="D411" s="38"/>
      <c r="E411" s="40"/>
      <c r="F411" s="41"/>
      <c r="G411" s="42"/>
      <c r="H411" s="43"/>
      <c r="I411" s="44"/>
      <c r="J411" s="38"/>
      <c r="K411" s="45"/>
      <c r="L411" s="46"/>
      <c r="M411" s="38"/>
      <c r="N411" s="38"/>
      <c r="O411" s="38"/>
      <c r="P411" s="38"/>
      <c r="Q411" s="38"/>
      <c r="R411" s="48"/>
      <c r="S411" s="48"/>
      <c r="T411" s="48"/>
      <c r="U411" s="52"/>
      <c r="V411" s="50"/>
      <c r="W411" s="51"/>
      <c r="X411" s="56"/>
    </row>
    <row r="412" spans="1:24">
      <c r="A412" s="38"/>
      <c r="B412" s="38"/>
      <c r="C412" s="38"/>
      <c r="D412" s="38"/>
      <c r="E412" s="40"/>
      <c r="F412" s="41"/>
      <c r="G412" s="42"/>
      <c r="H412" s="43"/>
      <c r="I412" s="44"/>
      <c r="J412" s="38"/>
      <c r="K412" s="45"/>
      <c r="L412" s="46"/>
      <c r="M412" s="38"/>
      <c r="N412" s="38"/>
      <c r="O412" s="38"/>
      <c r="P412" s="38"/>
      <c r="Q412" s="38"/>
      <c r="R412" s="48"/>
      <c r="S412" s="48"/>
      <c r="T412" s="48"/>
      <c r="U412" s="52"/>
      <c r="V412" s="50"/>
      <c r="W412" s="51"/>
      <c r="X412" s="56"/>
    </row>
    <row r="413" spans="1:24">
      <c r="A413" s="38"/>
      <c r="B413" s="38"/>
      <c r="C413" s="38"/>
      <c r="D413" s="38"/>
      <c r="E413" s="40"/>
      <c r="F413" s="41"/>
      <c r="G413" s="42"/>
      <c r="H413" s="43"/>
      <c r="I413" s="44"/>
      <c r="J413" s="38"/>
      <c r="K413" s="45"/>
      <c r="L413" s="46"/>
      <c r="M413" s="38"/>
      <c r="N413" s="38"/>
      <c r="O413" s="38"/>
      <c r="P413" s="38"/>
      <c r="Q413" s="38"/>
      <c r="R413" s="48"/>
      <c r="S413" s="48"/>
      <c r="T413" s="48"/>
      <c r="U413" s="52"/>
      <c r="V413" s="50"/>
      <c r="W413" s="51"/>
      <c r="X413" s="56"/>
    </row>
    <row r="414" spans="1:24">
      <c r="A414" s="38"/>
      <c r="B414" s="38"/>
      <c r="C414" s="38"/>
      <c r="D414" s="38"/>
      <c r="E414" s="40"/>
      <c r="F414" s="41"/>
      <c r="G414" s="42"/>
      <c r="H414" s="43"/>
      <c r="I414" s="44"/>
      <c r="J414" s="38"/>
      <c r="K414" s="45"/>
      <c r="L414" s="46"/>
      <c r="M414" s="38"/>
      <c r="N414" s="38"/>
      <c r="O414" s="38"/>
      <c r="P414" s="38"/>
      <c r="Q414" s="38"/>
      <c r="R414" s="48"/>
      <c r="S414" s="48"/>
      <c r="T414" s="48"/>
      <c r="U414" s="52"/>
      <c r="V414" s="50"/>
      <c r="W414" s="51"/>
      <c r="X414" s="56"/>
    </row>
    <row r="415" spans="1:24">
      <c r="A415" s="38"/>
      <c r="B415" s="38"/>
      <c r="C415" s="38"/>
      <c r="D415" s="38"/>
      <c r="E415" s="40"/>
      <c r="F415" s="41"/>
      <c r="G415" s="42"/>
      <c r="H415" s="43"/>
      <c r="I415" s="44"/>
      <c r="J415" s="38"/>
      <c r="K415" s="45"/>
      <c r="L415" s="46"/>
      <c r="M415" s="38"/>
      <c r="N415" s="38"/>
      <c r="O415" s="38"/>
      <c r="P415" s="38"/>
      <c r="Q415" s="38"/>
      <c r="R415" s="48"/>
      <c r="S415" s="48"/>
      <c r="T415" s="48"/>
      <c r="U415" s="52"/>
      <c r="V415" s="50"/>
      <c r="W415" s="51"/>
      <c r="X415" s="56"/>
    </row>
    <row r="416" spans="1:24">
      <c r="A416" s="38"/>
      <c r="B416" s="38"/>
      <c r="C416" s="38"/>
      <c r="D416" s="38"/>
      <c r="E416" s="40"/>
      <c r="F416" s="41"/>
      <c r="G416" s="42"/>
      <c r="H416" s="43"/>
      <c r="I416" s="44"/>
      <c r="J416" s="38"/>
      <c r="K416" s="45"/>
      <c r="L416" s="46"/>
      <c r="M416" s="38"/>
      <c r="N416" s="38"/>
      <c r="O416" s="38"/>
      <c r="P416" s="38"/>
      <c r="Q416" s="38"/>
      <c r="R416" s="48"/>
      <c r="S416" s="48"/>
      <c r="T416" s="48"/>
      <c r="U416" s="52"/>
      <c r="V416" s="50"/>
      <c r="W416" s="51"/>
      <c r="X416" s="56"/>
    </row>
    <row r="417" spans="1:24">
      <c r="A417" s="38"/>
      <c r="B417" s="38"/>
      <c r="C417" s="38"/>
      <c r="D417" s="38"/>
      <c r="E417" s="40"/>
      <c r="F417" s="41"/>
      <c r="G417" s="42"/>
      <c r="H417" s="43"/>
      <c r="I417" s="44"/>
      <c r="J417" s="38"/>
      <c r="K417" s="45"/>
      <c r="L417" s="46"/>
      <c r="M417" s="38"/>
      <c r="N417" s="38"/>
      <c r="O417" s="38"/>
      <c r="P417" s="38"/>
      <c r="Q417" s="38"/>
      <c r="R417" s="48"/>
      <c r="S417" s="48"/>
      <c r="T417" s="48"/>
      <c r="U417" s="52"/>
      <c r="V417" s="50"/>
      <c r="W417" s="51"/>
      <c r="X417" s="56"/>
    </row>
    <row r="418" spans="1:24">
      <c r="A418" s="38"/>
      <c r="B418" s="38"/>
      <c r="C418" s="38"/>
      <c r="D418" s="38"/>
      <c r="E418" s="40"/>
      <c r="F418" s="41"/>
      <c r="G418" s="42"/>
      <c r="H418" s="43"/>
      <c r="I418" s="44"/>
      <c r="J418" s="38"/>
      <c r="K418" s="45"/>
      <c r="L418" s="46"/>
      <c r="M418" s="38"/>
      <c r="N418" s="38"/>
      <c r="O418" s="38"/>
      <c r="P418" s="38"/>
      <c r="Q418" s="38"/>
      <c r="R418" s="48"/>
      <c r="S418" s="48"/>
      <c r="T418" s="48"/>
      <c r="U418" s="52"/>
      <c r="V418" s="50"/>
      <c r="W418" s="51"/>
      <c r="X418" s="56"/>
    </row>
    <row r="419" spans="1:24">
      <c r="A419" s="38"/>
      <c r="B419" s="38"/>
      <c r="C419" s="38"/>
      <c r="D419" s="38"/>
      <c r="E419" s="40"/>
      <c r="F419" s="41"/>
      <c r="G419" s="42"/>
      <c r="H419" s="43"/>
      <c r="I419" s="44"/>
      <c r="J419" s="38"/>
      <c r="K419" s="45"/>
      <c r="L419" s="46"/>
      <c r="M419" s="38"/>
      <c r="N419" s="38"/>
      <c r="O419" s="38"/>
      <c r="P419" s="38"/>
      <c r="Q419" s="38"/>
      <c r="R419" s="48"/>
      <c r="S419" s="48"/>
      <c r="T419" s="48"/>
      <c r="U419" s="52"/>
      <c r="V419" s="50"/>
      <c r="W419" s="51"/>
      <c r="X419" s="56"/>
    </row>
    <row r="420" spans="1:24">
      <c r="A420" s="38"/>
      <c r="B420" s="38"/>
      <c r="C420" s="38"/>
      <c r="D420" s="38"/>
      <c r="E420" s="40"/>
      <c r="F420" s="41"/>
      <c r="G420" s="42"/>
      <c r="H420" s="43"/>
      <c r="I420" s="44"/>
      <c r="J420" s="38"/>
      <c r="K420" s="45"/>
      <c r="L420" s="46"/>
      <c r="M420" s="38"/>
      <c r="N420" s="38"/>
      <c r="O420" s="38"/>
      <c r="P420" s="38"/>
      <c r="Q420" s="38"/>
      <c r="R420" s="48"/>
      <c r="S420" s="48"/>
      <c r="T420" s="48"/>
      <c r="U420" s="52"/>
      <c r="V420" s="50"/>
      <c r="W420" s="51"/>
      <c r="X420" s="56"/>
    </row>
    <row r="421" spans="1:24">
      <c r="A421" s="38"/>
      <c r="B421" s="38"/>
      <c r="C421" s="38"/>
      <c r="D421" s="38"/>
      <c r="E421" s="40"/>
      <c r="F421" s="41"/>
      <c r="G421" s="42"/>
      <c r="H421" s="43"/>
      <c r="I421" s="44"/>
      <c r="J421" s="38"/>
      <c r="K421" s="45"/>
      <c r="L421" s="46"/>
      <c r="M421" s="38"/>
      <c r="N421" s="38"/>
      <c r="O421" s="38"/>
      <c r="P421" s="38"/>
      <c r="Q421" s="38"/>
      <c r="R421" s="48"/>
      <c r="S421" s="48"/>
      <c r="T421" s="48"/>
      <c r="U421" s="52"/>
      <c r="V421" s="50"/>
      <c r="W421" s="51"/>
      <c r="X421" s="56"/>
    </row>
    <row r="422" spans="1:24">
      <c r="A422" s="38"/>
      <c r="B422" s="38"/>
      <c r="C422" s="38"/>
      <c r="D422" s="38"/>
      <c r="E422" s="40"/>
      <c r="F422" s="58"/>
      <c r="G422" s="42"/>
      <c r="H422" s="43"/>
      <c r="I422" s="44"/>
      <c r="J422" s="38"/>
      <c r="K422" s="45"/>
      <c r="L422" s="46"/>
      <c r="M422" s="38"/>
      <c r="N422" s="38"/>
      <c r="O422" s="38"/>
      <c r="P422" s="38"/>
      <c r="Q422" s="38"/>
      <c r="R422" s="48"/>
      <c r="S422" s="48"/>
      <c r="T422" s="48"/>
      <c r="U422" s="52"/>
      <c r="V422" s="50"/>
      <c r="W422" s="51"/>
      <c r="X422" s="56"/>
    </row>
    <row r="423" spans="1:24">
      <c r="A423" s="38"/>
      <c r="B423" s="38"/>
      <c r="C423" s="38"/>
      <c r="D423" s="38"/>
      <c r="E423" s="40"/>
      <c r="F423" s="41"/>
      <c r="G423" s="42"/>
      <c r="H423" s="43"/>
      <c r="I423" s="44"/>
      <c r="J423" s="38"/>
      <c r="K423" s="45"/>
      <c r="L423" s="46"/>
      <c r="M423" s="38"/>
      <c r="N423" s="38"/>
      <c r="O423" s="38"/>
      <c r="P423" s="38"/>
      <c r="Q423" s="38"/>
      <c r="R423" s="48"/>
      <c r="S423" s="48"/>
      <c r="T423" s="48"/>
      <c r="U423" s="52"/>
      <c r="V423" s="50"/>
      <c r="W423" s="51"/>
      <c r="X423" s="56"/>
    </row>
    <row r="424" spans="1:24">
      <c r="A424" s="38"/>
      <c r="B424" s="38"/>
      <c r="C424" s="38"/>
      <c r="D424" s="38"/>
      <c r="E424" s="40"/>
      <c r="F424" s="58"/>
      <c r="G424" s="42"/>
      <c r="H424" s="43"/>
      <c r="I424" s="44"/>
      <c r="J424" s="38"/>
      <c r="K424" s="45"/>
      <c r="L424" s="46"/>
      <c r="M424" s="38"/>
      <c r="N424" s="38"/>
      <c r="O424" s="38"/>
      <c r="P424" s="38"/>
      <c r="Q424" s="38"/>
      <c r="R424" s="48"/>
      <c r="S424" s="48"/>
      <c r="T424" s="48"/>
      <c r="U424" s="52"/>
      <c r="V424" s="50"/>
      <c r="W424" s="51"/>
      <c r="X424" s="56"/>
    </row>
    <row r="425" spans="1:24">
      <c r="A425" s="38"/>
      <c r="B425" s="38"/>
      <c r="C425" s="38"/>
      <c r="D425" s="38"/>
      <c r="E425" s="40"/>
      <c r="F425" s="41"/>
      <c r="G425" s="42"/>
      <c r="H425" s="43"/>
      <c r="I425" s="44"/>
      <c r="J425" s="38"/>
      <c r="K425" s="45"/>
      <c r="L425" s="46"/>
      <c r="M425" s="38"/>
      <c r="N425" s="38"/>
      <c r="O425" s="38"/>
      <c r="P425" s="38"/>
      <c r="Q425" s="38"/>
      <c r="R425" s="48"/>
      <c r="S425" s="48"/>
      <c r="T425" s="48"/>
      <c r="U425" s="52"/>
      <c r="V425" s="50"/>
      <c r="W425" s="51"/>
      <c r="X425" s="56"/>
    </row>
    <row r="426" spans="1:24">
      <c r="A426" s="38"/>
      <c r="B426" s="38"/>
      <c r="C426" s="38"/>
      <c r="D426" s="38"/>
      <c r="E426" s="40"/>
      <c r="F426" s="41"/>
      <c r="G426" s="42"/>
      <c r="H426" s="43"/>
      <c r="I426" s="44"/>
      <c r="J426" s="38"/>
      <c r="K426" s="45"/>
      <c r="L426" s="46"/>
      <c r="M426" s="38"/>
      <c r="N426" s="38"/>
      <c r="O426" s="38"/>
      <c r="P426" s="38"/>
      <c r="Q426" s="38"/>
      <c r="R426" s="48"/>
      <c r="S426" s="48"/>
      <c r="T426" s="48"/>
      <c r="U426" s="52"/>
      <c r="V426" s="50"/>
      <c r="W426" s="51"/>
      <c r="X426" s="56"/>
    </row>
    <row r="427" spans="1:24">
      <c r="A427" s="38"/>
      <c r="B427" s="38"/>
      <c r="C427" s="38"/>
      <c r="D427" s="38"/>
      <c r="E427" s="40"/>
      <c r="F427" s="41"/>
      <c r="G427" s="42"/>
      <c r="H427" s="43"/>
      <c r="I427" s="44"/>
      <c r="J427" s="38"/>
      <c r="K427" s="45"/>
      <c r="L427" s="46"/>
      <c r="M427" s="38"/>
      <c r="N427" s="38"/>
      <c r="O427" s="38"/>
      <c r="P427" s="38"/>
      <c r="Q427" s="38"/>
      <c r="R427" s="48"/>
      <c r="S427" s="48"/>
      <c r="T427" s="48"/>
      <c r="U427" s="52"/>
      <c r="V427" s="50"/>
      <c r="W427" s="51"/>
      <c r="X427" s="56"/>
    </row>
    <row r="428" spans="1:24">
      <c r="A428" s="38"/>
      <c r="B428" s="38"/>
      <c r="C428" s="38"/>
      <c r="D428" s="38"/>
      <c r="E428" s="40"/>
      <c r="F428" s="41"/>
      <c r="G428" s="42"/>
      <c r="H428" s="43"/>
      <c r="I428" s="44"/>
      <c r="J428" s="38"/>
      <c r="K428" s="45"/>
      <c r="L428" s="46"/>
      <c r="M428" s="38"/>
      <c r="N428" s="38"/>
      <c r="O428" s="38"/>
      <c r="P428" s="38"/>
      <c r="Q428" s="38"/>
      <c r="R428" s="48"/>
      <c r="S428" s="48"/>
      <c r="T428" s="48"/>
      <c r="U428" s="52"/>
      <c r="V428" s="50"/>
      <c r="W428" s="51"/>
      <c r="X428" s="56"/>
    </row>
    <row r="429" spans="1:24">
      <c r="A429" s="38"/>
      <c r="B429" s="38"/>
      <c r="C429" s="38"/>
      <c r="D429" s="38"/>
      <c r="E429" s="40"/>
      <c r="F429" s="41"/>
      <c r="G429" s="42"/>
      <c r="H429" s="43"/>
      <c r="I429" s="44"/>
      <c r="J429" s="38"/>
      <c r="K429" s="45"/>
      <c r="L429" s="46"/>
      <c r="M429" s="38"/>
      <c r="N429" s="38"/>
      <c r="O429" s="38"/>
      <c r="P429" s="38"/>
      <c r="Q429" s="38"/>
      <c r="R429" s="48"/>
      <c r="S429" s="48"/>
      <c r="T429" s="48"/>
      <c r="U429" s="52"/>
      <c r="V429" s="50"/>
      <c r="W429" s="51"/>
      <c r="X429" s="56"/>
    </row>
    <row r="430" spans="1:24">
      <c r="A430" s="38"/>
      <c r="B430" s="38"/>
      <c r="C430" s="38"/>
      <c r="D430" s="38"/>
      <c r="E430" s="40"/>
      <c r="F430" s="41"/>
      <c r="G430" s="42"/>
      <c r="H430" s="43"/>
      <c r="I430" s="44"/>
      <c r="J430" s="38"/>
      <c r="K430" s="45"/>
      <c r="L430" s="46"/>
      <c r="M430" s="38"/>
      <c r="N430" s="38"/>
      <c r="O430" s="38"/>
      <c r="P430" s="38"/>
      <c r="Q430" s="38"/>
      <c r="R430" s="48"/>
      <c r="S430" s="48"/>
      <c r="T430" s="48"/>
      <c r="U430" s="52"/>
      <c r="V430" s="50"/>
      <c r="W430" s="51"/>
      <c r="X430" s="56"/>
    </row>
    <row r="431" spans="1:24">
      <c r="A431" s="38"/>
      <c r="B431" s="38"/>
      <c r="C431" s="38"/>
      <c r="D431" s="38"/>
      <c r="E431" s="40"/>
      <c r="F431" s="41"/>
      <c r="G431" s="42"/>
      <c r="H431" s="43"/>
      <c r="I431" s="44"/>
      <c r="J431" s="38"/>
      <c r="K431" s="45"/>
      <c r="L431" s="46"/>
      <c r="M431" s="38"/>
      <c r="N431" s="38"/>
      <c r="O431" s="38"/>
      <c r="P431" s="38"/>
      <c r="Q431" s="38"/>
      <c r="R431" s="48"/>
      <c r="S431" s="48"/>
      <c r="T431" s="48"/>
      <c r="U431" s="52"/>
      <c r="V431" s="50"/>
      <c r="W431" s="51"/>
      <c r="X431" s="56"/>
    </row>
    <row r="432" spans="1:24">
      <c r="A432" s="38"/>
      <c r="B432" s="38"/>
      <c r="C432" s="38"/>
      <c r="D432" s="38"/>
      <c r="E432" s="40"/>
      <c r="F432" s="41"/>
      <c r="G432" s="42"/>
      <c r="H432" s="43"/>
      <c r="I432" s="44"/>
      <c r="J432" s="38"/>
      <c r="K432" s="45"/>
      <c r="L432" s="46"/>
      <c r="M432" s="38"/>
      <c r="N432" s="38"/>
      <c r="O432" s="38"/>
      <c r="P432" s="38"/>
      <c r="Q432" s="38"/>
      <c r="R432" s="48"/>
      <c r="S432" s="48"/>
      <c r="T432" s="48"/>
      <c r="U432" s="52"/>
      <c r="V432" s="50"/>
      <c r="W432" s="51"/>
      <c r="X432" s="56"/>
    </row>
    <row r="433" spans="1:24">
      <c r="A433" s="38"/>
      <c r="B433" s="38"/>
      <c r="C433" s="38"/>
      <c r="D433" s="38"/>
      <c r="E433" s="40"/>
      <c r="F433" s="41"/>
      <c r="G433" s="42"/>
      <c r="H433" s="43"/>
      <c r="I433" s="44"/>
      <c r="J433" s="38"/>
      <c r="K433" s="45"/>
      <c r="L433" s="46"/>
      <c r="M433" s="38"/>
      <c r="N433" s="38"/>
      <c r="O433" s="38"/>
      <c r="P433" s="38"/>
      <c r="Q433" s="38"/>
      <c r="R433" s="48"/>
      <c r="S433" s="48"/>
      <c r="T433" s="48"/>
      <c r="U433" s="52"/>
      <c r="V433" s="50"/>
      <c r="W433" s="51"/>
      <c r="X433" s="56"/>
    </row>
    <row r="434" spans="1:24">
      <c r="A434" s="38"/>
      <c r="B434" s="38"/>
      <c r="C434" s="38"/>
      <c r="D434" s="38"/>
      <c r="E434" s="40"/>
      <c r="F434" s="41"/>
      <c r="G434" s="42"/>
      <c r="H434" s="43"/>
      <c r="I434" s="44"/>
      <c r="J434" s="38"/>
      <c r="K434" s="45"/>
      <c r="L434" s="46"/>
      <c r="M434" s="38"/>
      <c r="N434" s="38"/>
      <c r="O434" s="38"/>
      <c r="P434" s="38"/>
      <c r="Q434" s="38"/>
      <c r="R434" s="48"/>
      <c r="S434" s="48"/>
      <c r="T434" s="48"/>
      <c r="U434" s="52"/>
      <c r="V434" s="50"/>
      <c r="W434" s="51"/>
      <c r="X434" s="56"/>
    </row>
    <row r="435" spans="1:24">
      <c r="A435" s="38"/>
      <c r="B435" s="38"/>
      <c r="C435" s="38"/>
      <c r="D435" s="38"/>
      <c r="E435" s="40"/>
      <c r="F435" s="41"/>
      <c r="G435" s="42"/>
      <c r="H435" s="43"/>
      <c r="I435" s="44"/>
      <c r="J435" s="38"/>
      <c r="K435" s="45"/>
      <c r="L435" s="46"/>
      <c r="M435" s="38"/>
      <c r="N435" s="38"/>
      <c r="O435" s="38"/>
      <c r="P435" s="38"/>
      <c r="Q435" s="38"/>
      <c r="R435" s="48"/>
      <c r="S435" s="48"/>
      <c r="T435" s="48"/>
      <c r="U435" s="52"/>
      <c r="V435" s="50"/>
      <c r="W435" s="51"/>
      <c r="X435" s="56"/>
    </row>
    <row r="436" spans="1:24">
      <c r="A436" s="38"/>
      <c r="B436" s="38"/>
      <c r="C436" s="38"/>
      <c r="D436" s="38"/>
      <c r="E436" s="40"/>
      <c r="F436" s="41"/>
      <c r="G436" s="42"/>
      <c r="H436" s="43"/>
      <c r="I436" s="44"/>
      <c r="J436" s="38"/>
      <c r="K436" s="45"/>
      <c r="L436" s="46"/>
      <c r="M436" s="38"/>
      <c r="N436" s="38"/>
      <c r="O436" s="38"/>
      <c r="P436" s="38"/>
      <c r="Q436" s="38"/>
      <c r="R436" s="48"/>
      <c r="S436" s="48"/>
      <c r="T436" s="48"/>
      <c r="U436" s="52"/>
      <c r="V436" s="50"/>
      <c r="W436" s="51"/>
      <c r="X436" s="56"/>
    </row>
    <row r="437" spans="1:24">
      <c r="A437" s="38"/>
      <c r="B437" s="38"/>
      <c r="C437" s="38"/>
      <c r="D437" s="38"/>
      <c r="E437" s="40"/>
      <c r="F437" s="41"/>
      <c r="G437" s="42"/>
      <c r="H437" s="43"/>
      <c r="I437" s="44"/>
      <c r="J437" s="38"/>
      <c r="K437" s="45"/>
      <c r="L437" s="46"/>
      <c r="M437" s="38"/>
      <c r="N437" s="38"/>
      <c r="O437" s="38"/>
      <c r="P437" s="38"/>
      <c r="Q437" s="38"/>
      <c r="R437" s="48"/>
      <c r="S437" s="48"/>
      <c r="T437" s="48"/>
      <c r="U437" s="52"/>
      <c r="V437" s="50"/>
      <c r="W437" s="51"/>
      <c r="X437" s="56"/>
    </row>
    <row r="438" spans="1:24">
      <c r="A438" s="38"/>
      <c r="B438" s="38"/>
      <c r="C438" s="38"/>
      <c r="D438" s="38"/>
      <c r="E438" s="40"/>
      <c r="F438" s="41"/>
      <c r="G438" s="42"/>
      <c r="H438" s="43"/>
      <c r="I438" s="44"/>
      <c r="J438" s="38"/>
      <c r="K438" s="45"/>
      <c r="L438" s="46"/>
      <c r="M438" s="38"/>
      <c r="N438" s="38"/>
      <c r="O438" s="38"/>
      <c r="P438" s="38"/>
      <c r="Q438" s="38"/>
      <c r="R438" s="48"/>
      <c r="S438" s="48"/>
      <c r="T438" s="48"/>
      <c r="U438" s="52"/>
      <c r="V438" s="50"/>
      <c r="W438" s="51"/>
      <c r="X438" s="56"/>
    </row>
    <row r="439" spans="1:24">
      <c r="A439" s="38"/>
      <c r="B439" s="38"/>
      <c r="C439" s="38"/>
      <c r="D439" s="38"/>
      <c r="E439" s="40"/>
      <c r="F439" s="41"/>
      <c r="G439" s="42"/>
      <c r="H439" s="43"/>
      <c r="I439" s="44"/>
      <c r="J439" s="38"/>
      <c r="K439" s="45"/>
      <c r="L439" s="46"/>
      <c r="M439" s="38"/>
      <c r="N439" s="38"/>
      <c r="O439" s="38"/>
      <c r="P439" s="38"/>
      <c r="Q439" s="38"/>
      <c r="R439" s="48"/>
      <c r="S439" s="48"/>
      <c r="T439" s="48"/>
      <c r="U439" s="52"/>
      <c r="V439" s="50"/>
      <c r="W439" s="51"/>
      <c r="X439" s="56"/>
    </row>
    <row r="440" spans="1:24">
      <c r="A440" s="38"/>
      <c r="B440" s="38"/>
      <c r="C440" s="38"/>
      <c r="D440" s="38"/>
      <c r="E440" s="40"/>
      <c r="F440" s="41"/>
      <c r="G440" s="42"/>
      <c r="H440" s="43"/>
      <c r="I440" s="44"/>
      <c r="J440" s="38"/>
      <c r="K440" s="45"/>
      <c r="L440" s="46"/>
      <c r="M440" s="38"/>
      <c r="N440" s="38"/>
      <c r="O440" s="38"/>
      <c r="P440" s="38"/>
      <c r="Q440" s="38"/>
      <c r="R440" s="48"/>
      <c r="S440" s="48"/>
      <c r="T440" s="48"/>
      <c r="U440" s="52"/>
      <c r="V440" s="50"/>
      <c r="W440" s="51"/>
      <c r="X440" s="56"/>
    </row>
    <row r="441" spans="1:24">
      <c r="A441" s="38"/>
      <c r="B441" s="38"/>
      <c r="C441" s="38"/>
      <c r="D441" s="38"/>
      <c r="E441" s="40"/>
      <c r="F441" s="41"/>
      <c r="G441" s="42"/>
      <c r="H441" s="43"/>
      <c r="I441" s="44"/>
      <c r="J441" s="38"/>
      <c r="K441" s="45"/>
      <c r="L441" s="46"/>
      <c r="M441" s="38"/>
      <c r="N441" s="38"/>
      <c r="O441" s="38"/>
      <c r="P441" s="38"/>
      <c r="Q441" s="38"/>
      <c r="R441" s="48"/>
      <c r="S441" s="48"/>
      <c r="T441" s="48"/>
      <c r="U441" s="52"/>
      <c r="V441" s="50"/>
      <c r="W441" s="51"/>
      <c r="X441" s="56"/>
    </row>
    <row r="442" spans="1:24">
      <c r="A442" s="38"/>
      <c r="B442" s="38"/>
      <c r="C442" s="38"/>
      <c r="D442" s="38"/>
      <c r="E442" s="40"/>
      <c r="F442" s="41"/>
      <c r="G442" s="42"/>
      <c r="H442" s="43"/>
      <c r="I442" s="44"/>
      <c r="J442" s="38"/>
      <c r="K442" s="45"/>
      <c r="L442" s="46"/>
      <c r="M442" s="38"/>
      <c r="N442" s="38"/>
      <c r="O442" s="38"/>
      <c r="P442" s="38"/>
      <c r="Q442" s="38"/>
      <c r="R442" s="48"/>
      <c r="S442" s="48"/>
      <c r="T442" s="48"/>
      <c r="U442" s="52"/>
      <c r="V442" s="50"/>
      <c r="W442" s="51"/>
      <c r="X442" s="56"/>
    </row>
    <row r="443" spans="1:24">
      <c r="A443" s="38"/>
      <c r="B443" s="38"/>
      <c r="C443" s="38"/>
      <c r="D443" s="38"/>
      <c r="E443" s="40"/>
      <c r="F443" s="41"/>
      <c r="G443" s="42"/>
      <c r="H443" s="43"/>
      <c r="I443" s="44"/>
      <c r="J443" s="38"/>
      <c r="K443" s="45"/>
      <c r="L443" s="46"/>
      <c r="M443" s="38"/>
      <c r="N443" s="38"/>
      <c r="O443" s="38"/>
      <c r="P443" s="38"/>
      <c r="Q443" s="38"/>
      <c r="R443" s="48"/>
      <c r="S443" s="48"/>
      <c r="T443" s="48"/>
      <c r="U443" s="52"/>
      <c r="V443" s="50"/>
      <c r="W443" s="51"/>
      <c r="X443" s="56"/>
    </row>
    <row r="444" spans="1:24">
      <c r="A444" s="38"/>
      <c r="B444" s="38"/>
      <c r="C444" s="38"/>
      <c r="D444" s="38"/>
      <c r="E444" s="40"/>
      <c r="F444" s="41"/>
      <c r="G444" s="42"/>
      <c r="H444" s="43"/>
      <c r="I444" s="44"/>
      <c r="J444" s="38"/>
      <c r="K444" s="45"/>
      <c r="L444" s="46"/>
      <c r="M444" s="38"/>
      <c r="N444" s="38"/>
      <c r="O444" s="38"/>
      <c r="P444" s="38"/>
      <c r="Q444" s="38"/>
      <c r="R444" s="48"/>
      <c r="S444" s="48"/>
      <c r="T444" s="48"/>
      <c r="U444" s="52"/>
      <c r="V444" s="50"/>
      <c r="W444" s="51"/>
      <c r="X444" s="56"/>
    </row>
    <row r="445" spans="1:24">
      <c r="A445" s="38"/>
      <c r="B445" s="38"/>
      <c r="C445" s="38"/>
      <c r="D445" s="38"/>
      <c r="E445" s="40"/>
      <c r="F445" s="41"/>
      <c r="G445" s="42"/>
      <c r="H445" s="43"/>
      <c r="I445" s="44"/>
      <c r="J445" s="38"/>
      <c r="K445" s="45"/>
      <c r="L445" s="46"/>
      <c r="M445" s="38"/>
      <c r="N445" s="38"/>
      <c r="O445" s="38"/>
      <c r="P445" s="38"/>
      <c r="Q445" s="38"/>
      <c r="R445" s="48"/>
      <c r="S445" s="48"/>
      <c r="T445" s="48"/>
      <c r="U445" s="52"/>
      <c r="V445" s="50"/>
      <c r="W445" s="51"/>
      <c r="X445" s="56"/>
    </row>
    <row r="446" spans="1:24">
      <c r="A446" s="38"/>
      <c r="B446" s="38"/>
      <c r="C446" s="38"/>
      <c r="D446" s="38"/>
      <c r="E446" s="40"/>
      <c r="F446" s="41"/>
      <c r="G446" s="42"/>
      <c r="H446" s="43"/>
      <c r="I446" s="44"/>
      <c r="J446" s="38"/>
      <c r="K446" s="45"/>
      <c r="L446" s="46"/>
      <c r="M446" s="38"/>
      <c r="N446" s="38"/>
      <c r="O446" s="38"/>
      <c r="P446" s="38"/>
      <c r="Q446" s="38"/>
      <c r="R446" s="48"/>
      <c r="S446" s="48"/>
      <c r="T446" s="48"/>
      <c r="U446" s="52"/>
      <c r="V446" s="50"/>
      <c r="W446" s="51"/>
      <c r="X446" s="56"/>
    </row>
    <row r="447" spans="1:24">
      <c r="A447" s="38"/>
      <c r="B447" s="38"/>
      <c r="C447" s="38"/>
      <c r="D447" s="38"/>
      <c r="E447" s="40"/>
      <c r="F447" s="41"/>
      <c r="G447" s="42"/>
      <c r="H447" s="43"/>
      <c r="I447" s="44"/>
      <c r="J447" s="38"/>
      <c r="K447" s="45"/>
      <c r="L447" s="46"/>
      <c r="M447" s="38"/>
      <c r="N447" s="38"/>
      <c r="O447" s="38"/>
      <c r="P447" s="38"/>
      <c r="Q447" s="38"/>
      <c r="R447" s="48"/>
      <c r="S447" s="48"/>
      <c r="T447" s="48"/>
      <c r="U447" s="52"/>
      <c r="V447" s="50"/>
      <c r="W447" s="51"/>
      <c r="X447" s="56"/>
    </row>
    <row r="448" spans="1:24">
      <c r="A448" s="38"/>
      <c r="B448" s="38"/>
      <c r="C448" s="38"/>
      <c r="D448" s="38"/>
      <c r="E448" s="40"/>
      <c r="F448" s="58"/>
      <c r="G448" s="42"/>
      <c r="H448" s="43"/>
      <c r="I448" s="44"/>
      <c r="J448" s="38"/>
      <c r="K448" s="45"/>
      <c r="L448" s="46"/>
      <c r="M448" s="38"/>
      <c r="N448" s="38"/>
      <c r="O448" s="38"/>
      <c r="P448" s="38"/>
      <c r="Q448" s="38"/>
      <c r="R448" s="48"/>
      <c r="S448" s="48"/>
      <c r="T448" s="48"/>
      <c r="U448" s="52"/>
      <c r="V448" s="50"/>
      <c r="W448" s="51"/>
      <c r="X448" s="56"/>
    </row>
    <row r="449" spans="1:24">
      <c r="A449" s="38"/>
      <c r="B449" s="38"/>
      <c r="C449" s="38"/>
      <c r="D449" s="38"/>
      <c r="E449" s="40"/>
      <c r="F449" s="41"/>
      <c r="G449" s="42"/>
      <c r="H449" s="43"/>
      <c r="I449" s="44"/>
      <c r="J449" s="38"/>
      <c r="K449" s="45"/>
      <c r="L449" s="46"/>
      <c r="M449" s="38"/>
      <c r="N449" s="38"/>
      <c r="O449" s="38"/>
      <c r="P449" s="38"/>
      <c r="Q449" s="38"/>
      <c r="R449" s="48"/>
      <c r="S449" s="48"/>
      <c r="T449" s="48"/>
      <c r="U449" s="52"/>
      <c r="V449" s="50"/>
      <c r="W449" s="51"/>
      <c r="X449" s="56"/>
    </row>
    <row r="450" spans="1:24">
      <c r="A450" s="38"/>
      <c r="B450" s="38"/>
      <c r="C450" s="38"/>
      <c r="D450" s="38"/>
      <c r="E450" s="40"/>
      <c r="F450" s="41"/>
      <c r="G450" s="42"/>
      <c r="H450" s="43"/>
      <c r="I450" s="44"/>
      <c r="J450" s="38"/>
      <c r="K450" s="45"/>
      <c r="L450" s="46"/>
      <c r="M450" s="38"/>
      <c r="N450" s="38"/>
      <c r="O450" s="38"/>
      <c r="P450" s="38"/>
      <c r="Q450" s="38"/>
      <c r="R450" s="48"/>
      <c r="S450" s="48"/>
      <c r="T450" s="48"/>
      <c r="U450" s="52"/>
      <c r="V450" s="50"/>
      <c r="W450" s="51"/>
      <c r="X450" s="56"/>
    </row>
    <row r="451" spans="1:24">
      <c r="A451" s="38"/>
      <c r="B451" s="38"/>
      <c r="C451" s="38"/>
      <c r="D451" s="38"/>
      <c r="E451" s="40"/>
      <c r="F451" s="41"/>
      <c r="G451" s="42"/>
      <c r="H451" s="43"/>
      <c r="I451" s="44"/>
      <c r="J451" s="38"/>
      <c r="K451" s="45"/>
      <c r="L451" s="46"/>
      <c r="M451" s="38"/>
      <c r="N451" s="38"/>
      <c r="O451" s="38"/>
      <c r="P451" s="38"/>
      <c r="Q451" s="38"/>
      <c r="R451" s="48"/>
      <c r="S451" s="48"/>
      <c r="T451" s="48"/>
      <c r="U451" s="52"/>
      <c r="V451" s="50"/>
      <c r="W451" s="51"/>
      <c r="X451" s="56"/>
    </row>
    <row r="452" spans="1:24">
      <c r="A452" s="38"/>
      <c r="B452" s="38"/>
      <c r="C452" s="38"/>
      <c r="D452" s="38"/>
      <c r="E452" s="40"/>
      <c r="F452" s="41"/>
      <c r="G452" s="42"/>
      <c r="H452" s="43"/>
      <c r="I452" s="44"/>
      <c r="J452" s="38"/>
      <c r="K452" s="45"/>
      <c r="L452" s="46"/>
      <c r="M452" s="38"/>
      <c r="N452" s="38"/>
      <c r="O452" s="38"/>
      <c r="P452" s="38"/>
      <c r="Q452" s="38"/>
      <c r="R452" s="48"/>
      <c r="S452" s="48"/>
      <c r="T452" s="48"/>
      <c r="U452" s="52"/>
      <c r="V452" s="50"/>
      <c r="W452" s="51"/>
      <c r="X452" s="56"/>
    </row>
    <row r="453" spans="1:24">
      <c r="A453" s="38"/>
      <c r="B453" s="38"/>
      <c r="C453" s="38"/>
      <c r="D453" s="38"/>
      <c r="E453" s="40"/>
      <c r="F453" s="41"/>
      <c r="G453" s="42"/>
      <c r="H453" s="43"/>
      <c r="I453" s="44"/>
      <c r="J453" s="38"/>
      <c r="K453" s="45"/>
      <c r="L453" s="46"/>
      <c r="M453" s="38"/>
      <c r="N453" s="38"/>
      <c r="O453" s="38"/>
      <c r="P453" s="38"/>
      <c r="Q453" s="38"/>
      <c r="R453" s="48"/>
      <c r="S453" s="48"/>
      <c r="T453" s="48"/>
      <c r="U453" s="52"/>
      <c r="V453" s="50"/>
      <c r="W453" s="51"/>
      <c r="X453" s="56"/>
    </row>
    <row r="454" spans="1:24">
      <c r="A454" s="38"/>
      <c r="B454" s="38"/>
      <c r="C454" s="38"/>
      <c r="D454" s="38"/>
      <c r="E454" s="40"/>
      <c r="F454" s="41"/>
      <c r="G454" s="42"/>
      <c r="H454" s="43"/>
      <c r="I454" s="44"/>
      <c r="J454" s="38"/>
      <c r="K454" s="45"/>
      <c r="L454" s="46"/>
      <c r="M454" s="38"/>
      <c r="N454" s="38"/>
      <c r="O454" s="38"/>
      <c r="P454" s="38"/>
      <c r="Q454" s="38"/>
      <c r="R454" s="48"/>
      <c r="S454" s="48"/>
      <c r="T454" s="48"/>
      <c r="U454" s="52"/>
      <c r="V454" s="50"/>
      <c r="W454" s="51"/>
      <c r="X454" s="56"/>
    </row>
    <row r="455" spans="1:24">
      <c r="A455" s="38"/>
      <c r="B455" s="38"/>
      <c r="C455" s="38"/>
      <c r="D455" s="38"/>
      <c r="E455" s="40"/>
      <c r="F455" s="41"/>
      <c r="G455" s="42"/>
      <c r="H455" s="43"/>
      <c r="I455" s="44"/>
      <c r="J455" s="38"/>
      <c r="K455" s="45"/>
      <c r="L455" s="46"/>
      <c r="M455" s="38"/>
      <c r="N455" s="38"/>
      <c r="O455" s="38"/>
      <c r="P455" s="38"/>
      <c r="Q455" s="38"/>
      <c r="R455" s="48"/>
      <c r="S455" s="48"/>
      <c r="T455" s="48"/>
      <c r="U455" s="52"/>
      <c r="V455" s="50"/>
      <c r="W455" s="51"/>
      <c r="X455" s="56"/>
    </row>
    <row r="456" spans="1:24">
      <c r="A456" s="38"/>
      <c r="B456" s="38"/>
      <c r="C456" s="38"/>
      <c r="D456" s="38"/>
      <c r="E456" s="40"/>
      <c r="F456" s="41"/>
      <c r="G456" s="42"/>
      <c r="H456" s="43"/>
      <c r="I456" s="44"/>
      <c r="J456" s="38"/>
      <c r="K456" s="45"/>
      <c r="L456" s="46"/>
      <c r="M456" s="38"/>
      <c r="N456" s="38"/>
      <c r="O456" s="38"/>
      <c r="P456" s="38"/>
      <c r="Q456" s="38"/>
      <c r="R456" s="48"/>
      <c r="S456" s="48"/>
      <c r="T456" s="48"/>
      <c r="U456" s="52"/>
      <c r="V456" s="50"/>
      <c r="W456" s="51"/>
      <c r="X456" s="56"/>
    </row>
    <row r="457" spans="1:24">
      <c r="A457" s="38"/>
      <c r="B457" s="38"/>
      <c r="C457" s="38"/>
      <c r="D457" s="38"/>
      <c r="E457" s="40"/>
      <c r="F457" s="41"/>
      <c r="G457" s="42"/>
      <c r="H457" s="43"/>
      <c r="I457" s="44"/>
      <c r="J457" s="38"/>
      <c r="K457" s="45"/>
      <c r="L457" s="46"/>
      <c r="M457" s="38"/>
      <c r="N457" s="38"/>
      <c r="O457" s="38"/>
      <c r="P457" s="38"/>
      <c r="Q457" s="38"/>
      <c r="R457" s="48"/>
      <c r="S457" s="48"/>
      <c r="T457" s="48"/>
      <c r="U457" s="52"/>
      <c r="V457" s="50"/>
      <c r="W457" s="51"/>
      <c r="X457" s="56"/>
    </row>
    <row r="458" spans="1:24">
      <c r="A458" s="38"/>
      <c r="B458" s="38"/>
      <c r="C458" s="38"/>
      <c r="D458" s="38"/>
      <c r="E458" s="40"/>
      <c r="F458" s="41"/>
      <c r="G458" s="42"/>
      <c r="H458" s="43"/>
      <c r="I458" s="44"/>
      <c r="J458" s="38"/>
      <c r="K458" s="45"/>
      <c r="L458" s="46"/>
      <c r="M458" s="38"/>
      <c r="N458" s="38"/>
      <c r="O458" s="38"/>
      <c r="P458" s="38"/>
      <c r="Q458" s="38"/>
      <c r="R458" s="48"/>
      <c r="S458" s="48"/>
      <c r="T458" s="48"/>
      <c r="U458" s="52"/>
      <c r="V458" s="50"/>
      <c r="W458" s="51"/>
      <c r="X458" s="56"/>
    </row>
    <row r="459" spans="1:24">
      <c r="A459" s="38"/>
      <c r="B459" s="38"/>
      <c r="C459" s="38"/>
      <c r="D459" s="38"/>
      <c r="E459" s="40"/>
      <c r="F459" s="41"/>
      <c r="G459" s="42"/>
      <c r="H459" s="43"/>
      <c r="I459" s="44"/>
      <c r="J459" s="38"/>
      <c r="K459" s="45"/>
      <c r="L459" s="46"/>
      <c r="M459" s="38"/>
      <c r="N459" s="38"/>
      <c r="O459" s="38"/>
      <c r="P459" s="38"/>
      <c r="Q459" s="38"/>
      <c r="R459" s="48"/>
      <c r="S459" s="48"/>
      <c r="T459" s="48"/>
      <c r="U459" s="52"/>
      <c r="V459" s="50"/>
      <c r="W459" s="51"/>
      <c r="X459" s="56"/>
    </row>
    <row r="460" spans="1:24">
      <c r="A460" s="38"/>
      <c r="B460" s="38"/>
      <c r="C460" s="38"/>
      <c r="D460" s="38"/>
      <c r="E460" s="40"/>
      <c r="F460" s="41"/>
      <c r="G460" s="42"/>
      <c r="H460" s="43"/>
      <c r="I460" s="44"/>
      <c r="J460" s="38"/>
      <c r="K460" s="45"/>
      <c r="L460" s="46"/>
      <c r="M460" s="38"/>
      <c r="N460" s="38"/>
      <c r="O460" s="38"/>
      <c r="P460" s="38"/>
      <c r="Q460" s="38"/>
      <c r="R460" s="48"/>
      <c r="S460" s="48"/>
      <c r="T460" s="48"/>
      <c r="U460" s="52"/>
      <c r="V460" s="50"/>
      <c r="W460" s="51"/>
      <c r="X460" s="56"/>
    </row>
    <row r="461" spans="1:24">
      <c r="A461" s="38"/>
      <c r="B461" s="38"/>
      <c r="C461" s="38"/>
      <c r="D461" s="38"/>
      <c r="E461" s="40"/>
      <c r="F461" s="41"/>
      <c r="G461" s="42"/>
      <c r="H461" s="43"/>
      <c r="I461" s="44"/>
      <c r="J461" s="38"/>
      <c r="K461" s="45"/>
      <c r="L461" s="46"/>
      <c r="M461" s="38"/>
      <c r="N461" s="38"/>
      <c r="O461" s="38"/>
      <c r="P461" s="38"/>
      <c r="Q461" s="38"/>
      <c r="R461" s="48"/>
      <c r="S461" s="48"/>
      <c r="T461" s="48"/>
      <c r="U461" s="52"/>
      <c r="V461" s="50"/>
      <c r="W461" s="51"/>
      <c r="X461" s="56"/>
    </row>
    <row r="462" spans="1:24">
      <c r="A462" s="38"/>
      <c r="B462" s="38"/>
      <c r="C462" s="38"/>
      <c r="D462" s="38"/>
      <c r="E462" s="40"/>
      <c r="F462" s="41"/>
      <c r="G462" s="42"/>
      <c r="H462" s="43"/>
      <c r="I462" s="44"/>
      <c r="J462" s="38"/>
      <c r="K462" s="45"/>
      <c r="L462" s="46"/>
      <c r="M462" s="38"/>
      <c r="N462" s="38"/>
      <c r="O462" s="38"/>
      <c r="P462" s="38"/>
      <c r="Q462" s="38"/>
      <c r="R462" s="48"/>
      <c r="S462" s="48"/>
      <c r="T462" s="48"/>
      <c r="U462" s="52"/>
      <c r="V462" s="50"/>
      <c r="W462" s="51"/>
      <c r="X462" s="56"/>
    </row>
    <row r="463" spans="1:24">
      <c r="A463" s="38"/>
      <c r="B463" s="38"/>
      <c r="C463" s="38"/>
      <c r="D463" s="38"/>
      <c r="E463" s="40"/>
      <c r="F463" s="41"/>
      <c r="G463" s="42"/>
      <c r="H463" s="43"/>
      <c r="I463" s="44"/>
      <c r="J463" s="38"/>
      <c r="K463" s="45"/>
      <c r="L463" s="46"/>
      <c r="M463" s="38"/>
      <c r="N463" s="38"/>
      <c r="O463" s="38"/>
      <c r="P463" s="38"/>
      <c r="Q463" s="38"/>
      <c r="R463" s="48"/>
      <c r="S463" s="48"/>
      <c r="T463" s="48"/>
      <c r="U463" s="52"/>
      <c r="V463" s="50"/>
      <c r="W463" s="51"/>
      <c r="X463" s="56"/>
    </row>
    <row r="464" spans="1:24">
      <c r="A464" s="38"/>
      <c r="B464" s="38"/>
      <c r="C464" s="38"/>
      <c r="D464" s="38"/>
      <c r="E464" s="40"/>
      <c r="F464" s="41"/>
      <c r="G464" s="42"/>
      <c r="H464" s="43"/>
      <c r="I464" s="44"/>
      <c r="J464" s="38"/>
      <c r="K464" s="45"/>
      <c r="L464" s="46"/>
      <c r="M464" s="38"/>
      <c r="N464" s="38"/>
      <c r="O464" s="38"/>
      <c r="P464" s="38"/>
      <c r="Q464" s="38"/>
      <c r="R464" s="48"/>
      <c r="S464" s="48"/>
      <c r="T464" s="48"/>
      <c r="U464" s="52"/>
      <c r="V464" s="50"/>
      <c r="W464" s="51"/>
      <c r="X464" s="56"/>
    </row>
    <row r="465" spans="1:24">
      <c r="A465" s="38"/>
      <c r="B465" s="38"/>
      <c r="C465" s="38"/>
      <c r="D465" s="38"/>
      <c r="E465" s="40"/>
      <c r="F465" s="41"/>
      <c r="G465" s="42"/>
      <c r="H465" s="43"/>
      <c r="I465" s="44"/>
      <c r="J465" s="38"/>
      <c r="K465" s="45"/>
      <c r="L465" s="46"/>
      <c r="M465" s="38"/>
      <c r="N465" s="38"/>
      <c r="O465" s="38"/>
      <c r="P465" s="38"/>
      <c r="Q465" s="38"/>
      <c r="R465" s="48"/>
      <c r="S465" s="48"/>
      <c r="T465" s="48"/>
      <c r="U465" s="52"/>
      <c r="V465" s="50"/>
      <c r="W465" s="51"/>
      <c r="X465" s="56"/>
    </row>
    <row r="466" spans="1:24">
      <c r="A466" s="38"/>
      <c r="B466" s="38"/>
      <c r="C466" s="38"/>
      <c r="D466" s="38"/>
      <c r="E466" s="40"/>
      <c r="F466" s="41"/>
      <c r="G466" s="42"/>
      <c r="H466" s="43"/>
      <c r="I466" s="44"/>
      <c r="J466" s="38"/>
      <c r="K466" s="45"/>
      <c r="L466" s="46"/>
      <c r="M466" s="38"/>
      <c r="N466" s="38"/>
      <c r="O466" s="38"/>
      <c r="P466" s="38"/>
      <c r="Q466" s="38"/>
      <c r="R466" s="48"/>
      <c r="S466" s="48"/>
      <c r="T466" s="48"/>
      <c r="U466" s="52"/>
      <c r="V466" s="50"/>
      <c r="W466" s="51"/>
      <c r="X466" s="56"/>
    </row>
    <row r="467" spans="1:24">
      <c r="A467" s="38"/>
      <c r="B467" s="38"/>
      <c r="C467" s="38"/>
      <c r="D467" s="38"/>
      <c r="E467" s="40"/>
      <c r="F467" s="41"/>
      <c r="G467" s="42"/>
      <c r="H467" s="43"/>
      <c r="I467" s="44"/>
      <c r="J467" s="38"/>
      <c r="K467" s="45"/>
      <c r="L467" s="46"/>
      <c r="M467" s="38"/>
      <c r="N467" s="38"/>
      <c r="O467" s="38"/>
      <c r="P467" s="38"/>
      <c r="Q467" s="38"/>
      <c r="R467" s="48"/>
      <c r="S467" s="48"/>
      <c r="T467" s="48"/>
      <c r="U467" s="52"/>
      <c r="V467" s="50"/>
      <c r="W467" s="51"/>
      <c r="X467" s="56"/>
    </row>
    <row r="468" spans="1:24">
      <c r="A468" s="38"/>
      <c r="B468" s="38"/>
      <c r="C468" s="38"/>
      <c r="D468" s="38"/>
      <c r="E468" s="40"/>
      <c r="F468" s="41"/>
      <c r="G468" s="42"/>
      <c r="H468" s="43"/>
      <c r="I468" s="44"/>
      <c r="J468" s="38"/>
      <c r="K468" s="45"/>
      <c r="L468" s="46"/>
      <c r="M468" s="38"/>
      <c r="N468" s="38"/>
      <c r="O468" s="38"/>
      <c r="P468" s="38"/>
      <c r="Q468" s="38"/>
      <c r="R468" s="48"/>
      <c r="S468" s="48"/>
      <c r="T468" s="48"/>
      <c r="U468" s="52"/>
      <c r="V468" s="50"/>
      <c r="W468" s="51"/>
      <c r="X468" s="56"/>
    </row>
    <row r="469" spans="1:24">
      <c r="A469" s="38"/>
      <c r="B469" s="38"/>
      <c r="C469" s="38"/>
      <c r="D469" s="38"/>
      <c r="E469" s="40"/>
      <c r="F469" s="41"/>
      <c r="G469" s="42"/>
      <c r="H469" s="43"/>
      <c r="I469" s="44"/>
      <c r="J469" s="38"/>
      <c r="K469" s="45"/>
      <c r="L469" s="46"/>
      <c r="M469" s="38"/>
      <c r="N469" s="38"/>
      <c r="O469" s="38"/>
      <c r="P469" s="38"/>
      <c r="Q469" s="38"/>
      <c r="R469" s="48"/>
      <c r="S469" s="48"/>
      <c r="T469" s="48"/>
      <c r="U469" s="52"/>
      <c r="V469" s="50"/>
      <c r="W469" s="51"/>
      <c r="X469" s="56"/>
    </row>
    <row r="470" spans="1:24">
      <c r="A470" s="38"/>
      <c r="B470" s="38"/>
      <c r="C470" s="38"/>
      <c r="D470" s="38"/>
      <c r="E470" s="40"/>
      <c r="F470" s="41"/>
      <c r="G470" s="42"/>
      <c r="H470" s="43"/>
      <c r="I470" s="44"/>
      <c r="J470" s="38"/>
      <c r="K470" s="45"/>
      <c r="L470" s="46"/>
      <c r="M470" s="38"/>
      <c r="N470" s="38"/>
      <c r="O470" s="38"/>
      <c r="P470" s="38"/>
      <c r="Q470" s="38"/>
      <c r="R470" s="48"/>
      <c r="S470" s="48"/>
      <c r="T470" s="48"/>
      <c r="U470" s="52"/>
      <c r="V470" s="50"/>
      <c r="W470" s="51"/>
      <c r="X470" s="56"/>
    </row>
    <row r="471" spans="1:24">
      <c r="A471" s="38"/>
      <c r="B471" s="38"/>
      <c r="C471" s="38"/>
      <c r="D471" s="38"/>
      <c r="E471" s="40"/>
      <c r="F471" s="41"/>
      <c r="G471" s="42"/>
      <c r="H471" s="43"/>
      <c r="I471" s="44"/>
      <c r="J471" s="38"/>
      <c r="K471" s="45"/>
      <c r="L471" s="46"/>
      <c r="M471" s="38"/>
      <c r="N471" s="38"/>
      <c r="O471" s="38"/>
      <c r="P471" s="38"/>
      <c r="Q471" s="38"/>
      <c r="R471" s="48"/>
      <c r="S471" s="48"/>
      <c r="T471" s="48"/>
      <c r="U471" s="52"/>
      <c r="V471" s="50"/>
      <c r="W471" s="51"/>
      <c r="X471" s="56"/>
    </row>
    <row r="472" spans="1:24">
      <c r="A472" s="38"/>
      <c r="B472" s="38"/>
      <c r="C472" s="38"/>
      <c r="D472" s="38"/>
      <c r="E472" s="40"/>
      <c r="F472" s="41"/>
      <c r="G472" s="42"/>
      <c r="H472" s="43"/>
      <c r="I472" s="44"/>
      <c r="J472" s="38"/>
      <c r="K472" s="45"/>
      <c r="L472" s="46"/>
      <c r="M472" s="38"/>
      <c r="N472" s="38"/>
      <c r="O472" s="38"/>
      <c r="P472" s="38"/>
      <c r="Q472" s="38"/>
      <c r="R472" s="48"/>
      <c r="S472" s="48"/>
      <c r="T472" s="48"/>
      <c r="U472" s="52"/>
      <c r="V472" s="50"/>
      <c r="W472" s="51"/>
      <c r="X472" s="56"/>
    </row>
    <row r="473" spans="1:24">
      <c r="A473" s="38"/>
      <c r="B473" s="38"/>
      <c r="C473" s="38"/>
      <c r="D473" s="38"/>
      <c r="E473" s="40"/>
      <c r="F473" s="41"/>
      <c r="G473" s="42"/>
      <c r="H473" s="43"/>
      <c r="I473" s="44"/>
      <c r="J473" s="38"/>
      <c r="K473" s="45"/>
      <c r="L473" s="46"/>
      <c r="M473" s="38"/>
      <c r="N473" s="38"/>
      <c r="O473" s="38"/>
      <c r="P473" s="38"/>
      <c r="Q473" s="38"/>
      <c r="R473" s="48"/>
      <c r="S473" s="48"/>
      <c r="T473" s="48"/>
      <c r="U473" s="52"/>
      <c r="V473" s="50"/>
      <c r="W473" s="51"/>
      <c r="X473" s="56"/>
    </row>
    <row r="474" spans="1:24">
      <c r="A474" s="38"/>
      <c r="B474" s="38"/>
      <c r="C474" s="38"/>
      <c r="D474" s="38"/>
      <c r="E474" s="40"/>
      <c r="F474" s="41"/>
      <c r="G474" s="42"/>
      <c r="H474" s="43"/>
      <c r="I474" s="44"/>
      <c r="J474" s="38"/>
      <c r="K474" s="45"/>
      <c r="L474" s="46"/>
      <c r="M474" s="38"/>
      <c r="N474" s="38"/>
      <c r="O474" s="38"/>
      <c r="P474" s="38"/>
      <c r="Q474" s="38"/>
      <c r="R474" s="48"/>
      <c r="S474" s="48"/>
      <c r="T474" s="48"/>
      <c r="U474" s="52"/>
      <c r="V474" s="50"/>
      <c r="W474" s="51"/>
      <c r="X474" s="56"/>
    </row>
    <row r="475" spans="1:24">
      <c r="A475" s="38"/>
      <c r="B475" s="38"/>
      <c r="C475" s="38"/>
      <c r="D475" s="38"/>
      <c r="E475" s="40"/>
      <c r="F475" s="41"/>
      <c r="G475" s="42"/>
      <c r="H475" s="43"/>
      <c r="I475" s="44"/>
      <c r="J475" s="38"/>
      <c r="K475" s="45"/>
      <c r="L475" s="46"/>
      <c r="M475" s="38"/>
      <c r="N475" s="38"/>
      <c r="O475" s="38"/>
      <c r="P475" s="38"/>
      <c r="Q475" s="38"/>
      <c r="R475" s="48"/>
      <c r="S475" s="48"/>
      <c r="T475" s="48"/>
      <c r="U475" s="52"/>
      <c r="V475" s="50"/>
      <c r="W475" s="51"/>
      <c r="X475" s="56"/>
    </row>
    <row r="476" spans="1:24">
      <c r="A476" s="38"/>
      <c r="B476" s="38"/>
      <c r="C476" s="38"/>
      <c r="D476" s="38"/>
      <c r="E476" s="40"/>
      <c r="F476" s="41"/>
      <c r="G476" s="42"/>
      <c r="H476" s="43"/>
      <c r="I476" s="44"/>
      <c r="J476" s="38"/>
      <c r="K476" s="45"/>
      <c r="L476" s="46"/>
      <c r="M476" s="38"/>
      <c r="N476" s="38"/>
      <c r="O476" s="38"/>
      <c r="P476" s="38"/>
      <c r="Q476" s="38"/>
      <c r="R476" s="48"/>
      <c r="S476" s="48"/>
      <c r="T476" s="48"/>
      <c r="U476" s="52"/>
      <c r="V476" s="50"/>
      <c r="W476" s="51"/>
      <c r="X476" s="56"/>
    </row>
    <row r="477" spans="1:24">
      <c r="A477" s="38"/>
      <c r="B477" s="38"/>
      <c r="C477" s="38"/>
      <c r="D477" s="38"/>
      <c r="E477" s="40"/>
      <c r="F477" s="58"/>
      <c r="G477" s="42"/>
      <c r="H477" s="43"/>
      <c r="I477" s="44"/>
      <c r="J477" s="38"/>
      <c r="K477" s="45"/>
      <c r="L477" s="46"/>
      <c r="M477" s="38"/>
      <c r="N477" s="38"/>
      <c r="O477" s="38"/>
      <c r="P477" s="38"/>
      <c r="Q477" s="38"/>
      <c r="R477" s="48"/>
      <c r="S477" s="48"/>
      <c r="T477" s="48"/>
      <c r="U477" s="52"/>
      <c r="V477" s="50"/>
      <c r="W477" s="51"/>
      <c r="X477" s="56"/>
    </row>
    <row r="478" spans="1:24">
      <c r="A478" s="38"/>
      <c r="B478" s="38"/>
      <c r="C478" s="38"/>
      <c r="D478" s="38"/>
      <c r="E478" s="40"/>
      <c r="F478" s="41"/>
      <c r="G478" s="42"/>
      <c r="H478" s="43"/>
      <c r="I478" s="44"/>
      <c r="J478" s="38"/>
      <c r="K478" s="45"/>
      <c r="L478" s="46"/>
      <c r="M478" s="38"/>
      <c r="N478" s="38"/>
      <c r="O478" s="38"/>
      <c r="P478" s="38"/>
      <c r="Q478" s="38"/>
      <c r="R478" s="48"/>
      <c r="S478" s="48"/>
      <c r="T478" s="48"/>
      <c r="U478" s="52"/>
      <c r="V478" s="50"/>
      <c r="W478" s="51"/>
      <c r="X478" s="56"/>
    </row>
    <row r="479" spans="1:24">
      <c r="A479" s="38"/>
      <c r="B479" s="38"/>
      <c r="C479" s="38"/>
      <c r="D479" s="38"/>
      <c r="E479" s="40"/>
      <c r="F479" s="41"/>
      <c r="G479" s="42"/>
      <c r="H479" s="43"/>
      <c r="I479" s="44"/>
      <c r="J479" s="38"/>
      <c r="K479" s="45"/>
      <c r="L479" s="46"/>
      <c r="M479" s="38"/>
      <c r="N479" s="38"/>
      <c r="O479" s="38"/>
      <c r="P479" s="38"/>
      <c r="Q479" s="38"/>
      <c r="R479" s="48"/>
      <c r="S479" s="48"/>
      <c r="T479" s="48"/>
      <c r="U479" s="52"/>
      <c r="V479" s="50"/>
      <c r="W479" s="51"/>
      <c r="X479" s="56"/>
    </row>
    <row r="480" spans="1:24">
      <c r="A480" s="38"/>
      <c r="B480" s="38"/>
      <c r="C480" s="38"/>
      <c r="D480" s="38"/>
      <c r="E480" s="40"/>
      <c r="F480" s="41"/>
      <c r="G480" s="42"/>
      <c r="H480" s="43"/>
      <c r="I480" s="44"/>
      <c r="J480" s="38"/>
      <c r="K480" s="45"/>
      <c r="L480" s="46"/>
      <c r="M480" s="38"/>
      <c r="N480" s="38"/>
      <c r="O480" s="38"/>
      <c r="P480" s="38"/>
      <c r="Q480" s="38"/>
      <c r="R480" s="48"/>
      <c r="S480" s="48"/>
      <c r="T480" s="48"/>
      <c r="U480" s="52"/>
      <c r="V480" s="50"/>
      <c r="W480" s="51"/>
      <c r="X480" s="56"/>
    </row>
    <row r="481" spans="1:24">
      <c r="A481" s="38"/>
      <c r="B481" s="38"/>
      <c r="C481" s="38"/>
      <c r="D481" s="38"/>
      <c r="E481" s="40"/>
      <c r="F481" s="41"/>
      <c r="G481" s="42"/>
      <c r="H481" s="43"/>
      <c r="I481" s="44"/>
      <c r="J481" s="38"/>
      <c r="K481" s="45"/>
      <c r="L481" s="46"/>
      <c r="M481" s="38"/>
      <c r="N481" s="38"/>
      <c r="O481" s="38"/>
      <c r="P481" s="38"/>
      <c r="Q481" s="38"/>
      <c r="R481" s="48"/>
      <c r="S481" s="48"/>
      <c r="T481" s="48"/>
      <c r="U481" s="52"/>
      <c r="V481" s="50"/>
      <c r="W481" s="51"/>
      <c r="X481" s="56"/>
    </row>
    <row r="482" spans="1:24">
      <c r="A482" s="38"/>
      <c r="B482" s="38"/>
      <c r="C482" s="38"/>
      <c r="D482" s="38"/>
      <c r="E482" s="40"/>
      <c r="F482" s="41"/>
      <c r="G482" s="42"/>
      <c r="H482" s="43"/>
      <c r="I482" s="44"/>
      <c r="J482" s="38"/>
      <c r="K482" s="45"/>
      <c r="L482" s="46"/>
      <c r="M482" s="38"/>
      <c r="N482" s="38"/>
      <c r="O482" s="38"/>
      <c r="P482" s="38"/>
      <c r="Q482" s="38"/>
      <c r="R482" s="48"/>
      <c r="S482" s="48"/>
      <c r="T482" s="48"/>
      <c r="U482" s="52"/>
      <c r="V482" s="50"/>
      <c r="W482" s="51"/>
      <c r="X482" s="56"/>
    </row>
    <row r="483" spans="1:24">
      <c r="A483" s="38"/>
      <c r="B483" s="38"/>
      <c r="C483" s="38"/>
      <c r="D483" s="38"/>
      <c r="E483" s="40"/>
      <c r="F483" s="41"/>
      <c r="G483" s="42"/>
      <c r="H483" s="43"/>
      <c r="I483" s="44"/>
      <c r="J483" s="38"/>
      <c r="K483" s="45"/>
      <c r="L483" s="46"/>
      <c r="M483" s="38"/>
      <c r="N483" s="38"/>
      <c r="O483" s="38"/>
      <c r="P483" s="38"/>
      <c r="Q483" s="38"/>
      <c r="R483" s="48"/>
      <c r="S483" s="48"/>
      <c r="T483" s="48"/>
      <c r="U483" s="52"/>
      <c r="V483" s="50"/>
      <c r="W483" s="51"/>
      <c r="X483" s="56"/>
    </row>
    <row r="484" spans="1:24">
      <c r="A484" s="38"/>
      <c r="B484" s="38"/>
      <c r="C484" s="38"/>
      <c r="D484" s="38"/>
      <c r="E484" s="40"/>
      <c r="F484" s="41"/>
      <c r="G484" s="42"/>
      <c r="H484" s="43"/>
      <c r="I484" s="44"/>
      <c r="J484" s="38"/>
      <c r="K484" s="45"/>
      <c r="L484" s="46"/>
      <c r="M484" s="38"/>
      <c r="N484" s="38"/>
      <c r="O484" s="38"/>
      <c r="P484" s="38"/>
      <c r="Q484" s="38"/>
      <c r="R484" s="48"/>
      <c r="S484" s="48"/>
      <c r="T484" s="48"/>
      <c r="U484" s="52"/>
      <c r="V484" s="50"/>
      <c r="W484" s="51"/>
      <c r="X484" s="56"/>
    </row>
    <row r="485" spans="1:24">
      <c r="A485" s="38"/>
      <c r="B485" s="38"/>
      <c r="C485" s="38"/>
      <c r="D485" s="38"/>
      <c r="E485" s="40"/>
      <c r="F485" s="41"/>
      <c r="G485" s="42"/>
      <c r="H485" s="43"/>
      <c r="I485" s="44"/>
      <c r="J485" s="38"/>
      <c r="K485" s="45"/>
      <c r="L485" s="46"/>
      <c r="M485" s="38"/>
      <c r="N485" s="38"/>
      <c r="O485" s="38"/>
      <c r="P485" s="38"/>
      <c r="Q485" s="38"/>
      <c r="R485" s="48"/>
      <c r="S485" s="48"/>
      <c r="T485" s="48"/>
      <c r="U485" s="52"/>
      <c r="V485" s="50"/>
      <c r="W485" s="51"/>
      <c r="X485" s="56"/>
    </row>
    <row r="486" spans="1:24">
      <c r="A486" s="38"/>
      <c r="B486" s="38"/>
      <c r="C486" s="38"/>
      <c r="D486" s="38"/>
      <c r="E486" s="40"/>
      <c r="F486" s="41"/>
      <c r="G486" s="42"/>
      <c r="H486" s="43"/>
      <c r="I486" s="44"/>
      <c r="J486" s="38"/>
      <c r="K486" s="45"/>
      <c r="L486" s="46"/>
      <c r="M486" s="38"/>
      <c r="N486" s="38"/>
      <c r="O486" s="38"/>
      <c r="P486" s="38"/>
      <c r="Q486" s="38"/>
      <c r="R486" s="48"/>
      <c r="S486" s="48"/>
      <c r="T486" s="48"/>
      <c r="U486" s="52"/>
      <c r="V486" s="50"/>
      <c r="W486" s="51"/>
      <c r="X486" s="56"/>
    </row>
    <row r="487" spans="1:24">
      <c r="A487" s="38"/>
      <c r="B487" s="38"/>
      <c r="C487" s="38"/>
      <c r="D487" s="38"/>
      <c r="E487" s="40"/>
      <c r="F487" s="41"/>
      <c r="G487" s="42"/>
      <c r="H487" s="43"/>
      <c r="I487" s="44"/>
      <c r="J487" s="38"/>
      <c r="K487" s="45"/>
      <c r="L487" s="46"/>
      <c r="M487" s="38"/>
      <c r="N487" s="38"/>
      <c r="O487" s="38"/>
      <c r="P487" s="38"/>
      <c r="Q487" s="38"/>
      <c r="R487" s="48"/>
      <c r="S487" s="48"/>
      <c r="T487" s="48"/>
      <c r="U487" s="52"/>
      <c r="V487" s="50"/>
      <c r="W487" s="51"/>
      <c r="X487" s="56"/>
    </row>
    <row r="488" spans="1:24">
      <c r="A488" s="38"/>
      <c r="B488" s="38"/>
      <c r="C488" s="38"/>
      <c r="D488" s="38"/>
      <c r="E488" s="40"/>
      <c r="F488" s="41"/>
      <c r="G488" s="42"/>
      <c r="H488" s="43"/>
      <c r="I488" s="44"/>
      <c r="J488" s="38"/>
      <c r="K488" s="45"/>
      <c r="L488" s="46"/>
      <c r="M488" s="38"/>
      <c r="N488" s="38"/>
      <c r="O488" s="38"/>
      <c r="P488" s="38"/>
      <c r="Q488" s="38"/>
      <c r="R488" s="48"/>
      <c r="S488" s="48"/>
      <c r="T488" s="48"/>
      <c r="U488" s="52"/>
      <c r="V488" s="50"/>
      <c r="W488" s="51"/>
      <c r="X488" s="56"/>
    </row>
    <row r="489" spans="1:24">
      <c r="A489" s="38"/>
      <c r="B489" s="38"/>
      <c r="C489" s="38"/>
      <c r="D489" s="38"/>
      <c r="E489" s="40"/>
      <c r="F489" s="41"/>
      <c r="G489" s="42"/>
      <c r="H489" s="43"/>
      <c r="I489" s="44"/>
      <c r="J489" s="38"/>
      <c r="K489" s="45"/>
      <c r="L489" s="46"/>
      <c r="M489" s="38"/>
      <c r="N489" s="38"/>
      <c r="O489" s="38"/>
      <c r="P489" s="38"/>
      <c r="Q489" s="38"/>
      <c r="R489" s="48"/>
      <c r="S489" s="48"/>
      <c r="T489" s="48"/>
      <c r="U489" s="52"/>
      <c r="V489" s="50"/>
      <c r="W489" s="51"/>
      <c r="X489" s="56"/>
    </row>
    <row r="490" spans="1:24">
      <c r="A490" s="38"/>
      <c r="B490" s="38"/>
      <c r="C490" s="38"/>
      <c r="D490" s="38"/>
      <c r="E490" s="40"/>
      <c r="F490" s="41"/>
      <c r="G490" s="42"/>
      <c r="H490" s="43"/>
      <c r="I490" s="44"/>
      <c r="J490" s="38"/>
      <c r="K490" s="45"/>
      <c r="L490" s="46"/>
      <c r="M490" s="38"/>
      <c r="N490" s="38"/>
      <c r="O490" s="38"/>
      <c r="P490" s="38"/>
      <c r="Q490" s="38"/>
      <c r="R490" s="48"/>
      <c r="S490" s="48"/>
      <c r="T490" s="48"/>
      <c r="U490" s="52"/>
      <c r="V490" s="50"/>
      <c r="W490" s="51"/>
      <c r="X490" s="56"/>
    </row>
    <row r="491" spans="1:24">
      <c r="A491" s="38"/>
      <c r="B491" s="38"/>
      <c r="C491" s="38"/>
      <c r="D491" s="38"/>
      <c r="E491" s="40"/>
      <c r="F491" s="41"/>
      <c r="G491" s="42"/>
      <c r="H491" s="43"/>
      <c r="I491" s="44"/>
      <c r="J491" s="38"/>
      <c r="K491" s="45"/>
      <c r="L491" s="46"/>
      <c r="M491" s="38"/>
      <c r="N491" s="38"/>
      <c r="O491" s="38"/>
      <c r="P491" s="38"/>
      <c r="Q491" s="38"/>
      <c r="R491" s="48"/>
      <c r="S491" s="48"/>
      <c r="T491" s="48"/>
      <c r="U491" s="52"/>
      <c r="V491" s="50"/>
      <c r="W491" s="51"/>
      <c r="X491" s="56"/>
    </row>
    <row r="492" spans="1:24">
      <c r="A492" s="38"/>
      <c r="B492" s="38"/>
      <c r="C492" s="38"/>
      <c r="D492" s="38"/>
      <c r="E492" s="40"/>
      <c r="F492" s="41"/>
      <c r="G492" s="42"/>
      <c r="H492" s="43"/>
      <c r="I492" s="44"/>
      <c r="J492" s="38"/>
      <c r="K492" s="45"/>
      <c r="L492" s="46"/>
      <c r="M492" s="38"/>
      <c r="N492" s="38"/>
      <c r="O492" s="38"/>
      <c r="P492" s="38"/>
      <c r="Q492" s="38"/>
      <c r="R492" s="48"/>
      <c r="S492" s="48"/>
      <c r="T492" s="48"/>
      <c r="U492" s="52"/>
      <c r="V492" s="50"/>
      <c r="W492" s="51"/>
      <c r="X492" s="56"/>
    </row>
    <row r="493" spans="1:24">
      <c r="A493" s="38"/>
      <c r="B493" s="38"/>
      <c r="C493" s="38"/>
      <c r="D493" s="38"/>
      <c r="E493" s="40"/>
      <c r="F493" s="41"/>
      <c r="G493" s="42"/>
      <c r="H493" s="43"/>
      <c r="I493" s="44"/>
      <c r="J493" s="38"/>
      <c r="K493" s="45"/>
      <c r="L493" s="46"/>
      <c r="M493" s="38"/>
      <c r="N493" s="38"/>
      <c r="O493" s="38"/>
      <c r="P493" s="38"/>
      <c r="Q493" s="38"/>
      <c r="R493" s="48"/>
      <c r="S493" s="48"/>
      <c r="T493" s="48"/>
      <c r="U493" s="52"/>
      <c r="V493" s="50"/>
      <c r="W493" s="51"/>
      <c r="X493" s="56"/>
    </row>
    <row r="494" spans="1:24">
      <c r="A494" s="38"/>
      <c r="B494" s="38"/>
      <c r="C494" s="38"/>
      <c r="D494" s="38"/>
      <c r="E494" s="40"/>
      <c r="F494" s="41"/>
      <c r="G494" s="42"/>
      <c r="H494" s="43"/>
      <c r="I494" s="44"/>
      <c r="J494" s="38"/>
      <c r="K494" s="45"/>
      <c r="L494" s="46"/>
      <c r="M494" s="38"/>
      <c r="N494" s="38"/>
      <c r="O494" s="38"/>
      <c r="P494" s="38"/>
      <c r="Q494" s="38"/>
      <c r="R494" s="48"/>
      <c r="S494" s="48"/>
      <c r="T494" s="48"/>
      <c r="U494" s="52"/>
      <c r="V494" s="50"/>
      <c r="W494" s="51"/>
      <c r="X494" s="56"/>
    </row>
    <row r="495" spans="1:24">
      <c r="A495" s="38"/>
      <c r="B495" s="38"/>
      <c r="C495" s="38"/>
      <c r="D495" s="38"/>
      <c r="E495" s="40"/>
      <c r="F495" s="41"/>
      <c r="G495" s="42"/>
      <c r="H495" s="43"/>
      <c r="I495" s="44"/>
      <c r="J495" s="38"/>
      <c r="K495" s="45"/>
      <c r="L495" s="46"/>
      <c r="M495" s="38"/>
      <c r="N495" s="38"/>
      <c r="O495" s="38"/>
      <c r="P495" s="38"/>
      <c r="Q495" s="38"/>
      <c r="R495" s="48"/>
      <c r="S495" s="48"/>
      <c r="T495" s="48"/>
      <c r="U495" s="52"/>
      <c r="V495" s="50"/>
      <c r="W495" s="51"/>
      <c r="X495" s="56"/>
    </row>
    <row r="496" spans="1:24">
      <c r="A496" s="38"/>
      <c r="B496" s="38"/>
      <c r="C496" s="38"/>
      <c r="D496" s="38"/>
      <c r="E496" s="40"/>
      <c r="F496" s="41"/>
      <c r="G496" s="42"/>
      <c r="H496" s="43"/>
      <c r="I496" s="44"/>
      <c r="J496" s="38"/>
      <c r="K496" s="45"/>
      <c r="L496" s="46"/>
      <c r="M496" s="38"/>
      <c r="N496" s="38"/>
      <c r="O496" s="38"/>
      <c r="P496" s="38"/>
      <c r="Q496" s="38"/>
      <c r="R496" s="48"/>
      <c r="S496" s="48"/>
      <c r="T496" s="48"/>
      <c r="U496" s="52"/>
      <c r="V496" s="50"/>
      <c r="W496" s="51"/>
      <c r="X496" s="56"/>
    </row>
    <row r="497" spans="1:24">
      <c r="A497" s="38"/>
      <c r="B497" s="38"/>
      <c r="C497" s="38"/>
      <c r="D497" s="38"/>
      <c r="E497" s="40"/>
      <c r="F497" s="41"/>
      <c r="G497" s="42"/>
      <c r="H497" s="43"/>
      <c r="I497" s="44"/>
      <c r="J497" s="38"/>
      <c r="K497" s="45"/>
      <c r="L497" s="46"/>
      <c r="M497" s="38"/>
      <c r="N497" s="38"/>
      <c r="O497" s="38"/>
      <c r="P497" s="38"/>
      <c r="Q497" s="38"/>
      <c r="R497" s="48"/>
      <c r="S497" s="48"/>
      <c r="T497" s="48"/>
      <c r="U497" s="52"/>
      <c r="V497" s="50"/>
      <c r="W497" s="51"/>
      <c r="X497" s="56"/>
    </row>
    <row r="498" spans="1:24">
      <c r="A498" s="38"/>
      <c r="B498" s="38"/>
      <c r="C498" s="38"/>
      <c r="D498" s="38"/>
      <c r="E498" s="40"/>
      <c r="F498" s="41"/>
      <c r="G498" s="42"/>
      <c r="H498" s="43"/>
      <c r="I498" s="44"/>
      <c r="J498" s="38"/>
      <c r="K498" s="45"/>
      <c r="L498" s="46"/>
      <c r="M498" s="38"/>
      <c r="N498" s="38"/>
      <c r="O498" s="38"/>
      <c r="P498" s="38"/>
      <c r="Q498" s="38"/>
      <c r="R498" s="48"/>
      <c r="S498" s="48"/>
      <c r="T498" s="48"/>
      <c r="U498" s="52"/>
      <c r="V498" s="50"/>
      <c r="W498" s="51"/>
      <c r="X498" s="56"/>
    </row>
    <row r="499" spans="1:24">
      <c r="A499" s="38"/>
      <c r="B499" s="38"/>
      <c r="C499" s="38"/>
      <c r="D499" s="38"/>
      <c r="E499" s="40"/>
      <c r="F499" s="41"/>
      <c r="G499" s="42"/>
      <c r="H499" s="43"/>
      <c r="I499" s="44"/>
      <c r="J499" s="38"/>
      <c r="K499" s="45"/>
      <c r="L499" s="46"/>
      <c r="M499" s="38"/>
      <c r="N499" s="38"/>
      <c r="O499" s="38"/>
      <c r="P499" s="38"/>
      <c r="Q499" s="38"/>
      <c r="R499" s="48"/>
      <c r="S499" s="48"/>
      <c r="T499" s="48"/>
      <c r="U499" s="52"/>
      <c r="V499" s="50"/>
      <c r="W499" s="51"/>
      <c r="X499" s="56"/>
    </row>
    <row r="500" spans="1:24">
      <c r="A500" s="38"/>
      <c r="B500" s="38"/>
      <c r="C500" s="38"/>
      <c r="D500" s="38"/>
      <c r="E500" s="40"/>
      <c r="F500" s="41"/>
      <c r="G500" s="42"/>
      <c r="H500" s="43"/>
      <c r="I500" s="44"/>
      <c r="J500" s="38"/>
      <c r="K500" s="45"/>
      <c r="L500" s="46"/>
      <c r="M500" s="38"/>
      <c r="N500" s="38"/>
      <c r="O500" s="38"/>
      <c r="P500" s="38"/>
      <c r="Q500" s="38"/>
      <c r="R500" s="48"/>
      <c r="S500" s="48"/>
      <c r="T500" s="48"/>
      <c r="U500" s="52"/>
      <c r="V500" s="50"/>
      <c r="W500" s="51"/>
      <c r="X500" s="56"/>
    </row>
    <row r="501" spans="1:24">
      <c r="A501" s="38"/>
      <c r="B501" s="38"/>
      <c r="C501" s="38"/>
      <c r="D501" s="38"/>
      <c r="E501" s="40"/>
      <c r="F501" s="41"/>
      <c r="G501" s="42"/>
      <c r="H501" s="43"/>
      <c r="I501" s="44"/>
      <c r="J501" s="38"/>
      <c r="K501" s="45"/>
      <c r="L501" s="46"/>
      <c r="M501" s="38"/>
      <c r="N501" s="38"/>
      <c r="O501" s="38"/>
      <c r="P501" s="38"/>
      <c r="Q501" s="38"/>
      <c r="R501" s="48"/>
      <c r="S501" s="48"/>
      <c r="T501" s="48"/>
      <c r="U501" s="52"/>
      <c r="V501" s="50"/>
      <c r="W501" s="51"/>
      <c r="X501" s="56"/>
    </row>
    <row r="502" spans="1:24">
      <c r="A502" s="38"/>
      <c r="B502" s="38"/>
      <c r="C502" s="38"/>
      <c r="D502" s="38"/>
      <c r="E502" s="40"/>
      <c r="F502" s="41"/>
      <c r="G502" s="42"/>
      <c r="H502" s="43"/>
      <c r="I502" s="44"/>
      <c r="J502" s="38"/>
      <c r="K502" s="45"/>
      <c r="L502" s="46"/>
      <c r="M502" s="38"/>
      <c r="N502" s="38"/>
      <c r="O502" s="38"/>
      <c r="P502" s="38"/>
      <c r="Q502" s="38"/>
      <c r="R502" s="48"/>
      <c r="S502" s="48"/>
      <c r="T502" s="48"/>
      <c r="U502" s="52"/>
      <c r="V502" s="50"/>
      <c r="W502" s="51"/>
      <c r="X502" s="56"/>
    </row>
    <row r="503" spans="1:24">
      <c r="A503" s="38"/>
      <c r="B503" s="38"/>
      <c r="C503" s="38"/>
      <c r="D503" s="38"/>
      <c r="E503" s="40"/>
      <c r="F503" s="41"/>
      <c r="G503" s="42"/>
      <c r="H503" s="43"/>
      <c r="I503" s="44"/>
      <c r="J503" s="38"/>
      <c r="K503" s="45"/>
      <c r="L503" s="46"/>
      <c r="M503" s="38"/>
      <c r="N503" s="38"/>
      <c r="O503" s="38"/>
      <c r="P503" s="38"/>
      <c r="Q503" s="38"/>
      <c r="R503" s="48"/>
      <c r="S503" s="48"/>
      <c r="T503" s="48"/>
      <c r="U503" s="52"/>
      <c r="V503" s="50"/>
      <c r="W503" s="51"/>
      <c r="X503" s="56"/>
    </row>
    <row r="504" spans="1:24">
      <c r="A504" s="38"/>
      <c r="B504" s="38"/>
      <c r="C504" s="38"/>
      <c r="D504" s="38"/>
      <c r="E504" s="40"/>
      <c r="F504" s="41"/>
      <c r="G504" s="42"/>
      <c r="H504" s="43"/>
      <c r="I504" s="44"/>
      <c r="J504" s="38"/>
      <c r="K504" s="45"/>
      <c r="L504" s="46"/>
      <c r="M504" s="38"/>
      <c r="N504" s="38"/>
      <c r="O504" s="38"/>
      <c r="P504" s="38"/>
      <c r="Q504" s="38"/>
      <c r="R504" s="48"/>
      <c r="S504" s="48"/>
      <c r="T504" s="48"/>
      <c r="U504" s="52"/>
      <c r="V504" s="50"/>
      <c r="W504" s="51"/>
      <c r="X504" s="56"/>
    </row>
    <row r="505" spans="1:24">
      <c r="A505" s="38"/>
      <c r="B505" s="38"/>
      <c r="C505" s="38"/>
      <c r="D505" s="38"/>
      <c r="E505" s="40"/>
      <c r="F505" s="41"/>
      <c r="G505" s="42"/>
      <c r="H505" s="43"/>
      <c r="I505" s="44"/>
      <c r="J505" s="38"/>
      <c r="K505" s="45"/>
      <c r="L505" s="46"/>
      <c r="M505" s="38"/>
      <c r="N505" s="38"/>
      <c r="O505" s="38"/>
      <c r="P505" s="38"/>
      <c r="Q505" s="38"/>
      <c r="R505" s="48"/>
      <c r="S505" s="48"/>
      <c r="T505" s="48"/>
      <c r="U505" s="52"/>
      <c r="V505" s="50"/>
      <c r="W505" s="51"/>
      <c r="X505" s="56"/>
    </row>
    <row r="506" spans="1:24">
      <c r="A506" s="38"/>
      <c r="B506" s="38"/>
      <c r="C506" s="38"/>
      <c r="D506" s="38"/>
      <c r="E506" s="40"/>
      <c r="F506" s="41"/>
      <c r="G506" s="42"/>
      <c r="H506" s="43"/>
      <c r="I506" s="44"/>
      <c r="J506" s="38"/>
      <c r="K506" s="45"/>
      <c r="L506" s="46"/>
      <c r="M506" s="38"/>
      <c r="N506" s="38"/>
      <c r="O506" s="38"/>
      <c r="P506" s="38"/>
      <c r="Q506" s="38"/>
      <c r="R506" s="48"/>
      <c r="S506" s="48"/>
      <c r="T506" s="48"/>
      <c r="U506" s="52"/>
      <c r="V506" s="50"/>
      <c r="W506" s="51"/>
      <c r="X506" s="56"/>
    </row>
    <row r="507" spans="1:24">
      <c r="A507" s="38"/>
      <c r="B507" s="38"/>
      <c r="C507" s="38"/>
      <c r="D507" s="38"/>
      <c r="E507" s="40"/>
      <c r="F507" s="41"/>
      <c r="G507" s="42"/>
      <c r="H507" s="43"/>
      <c r="I507" s="44"/>
      <c r="J507" s="38"/>
      <c r="K507" s="45"/>
      <c r="L507" s="46"/>
      <c r="M507" s="38"/>
      <c r="N507" s="38"/>
      <c r="O507" s="38"/>
      <c r="P507" s="38"/>
      <c r="Q507" s="38"/>
      <c r="R507" s="48"/>
      <c r="S507" s="48"/>
      <c r="T507" s="48"/>
      <c r="U507" s="52"/>
      <c r="V507" s="50"/>
      <c r="W507" s="51"/>
      <c r="X507" s="56"/>
    </row>
    <row r="508" spans="1:24">
      <c r="A508" s="38"/>
      <c r="B508" s="38"/>
      <c r="C508" s="38"/>
      <c r="D508" s="38"/>
      <c r="E508" s="40"/>
      <c r="F508" s="41"/>
      <c r="G508" s="42"/>
      <c r="H508" s="43"/>
      <c r="I508" s="44"/>
      <c r="J508" s="38"/>
      <c r="K508" s="45"/>
      <c r="L508" s="46"/>
      <c r="M508" s="38"/>
      <c r="N508" s="38"/>
      <c r="O508" s="38"/>
      <c r="P508" s="38"/>
      <c r="Q508" s="38"/>
      <c r="R508" s="48"/>
      <c r="S508" s="48"/>
      <c r="T508" s="48"/>
      <c r="U508" s="52"/>
      <c r="V508" s="50"/>
      <c r="W508" s="51"/>
      <c r="X508" s="56"/>
    </row>
    <row r="509" spans="1:24">
      <c r="A509" s="38"/>
      <c r="B509" s="38"/>
      <c r="C509" s="38"/>
      <c r="D509" s="38"/>
      <c r="E509" s="40"/>
      <c r="F509" s="41"/>
      <c r="G509" s="42"/>
      <c r="H509" s="43"/>
      <c r="I509" s="44"/>
      <c r="J509" s="38"/>
      <c r="K509" s="45"/>
      <c r="L509" s="46"/>
      <c r="M509" s="38"/>
      <c r="N509" s="38"/>
      <c r="O509" s="38"/>
      <c r="P509" s="38"/>
      <c r="Q509" s="38"/>
      <c r="R509" s="48"/>
      <c r="S509" s="48"/>
      <c r="T509" s="48"/>
      <c r="U509" s="52"/>
      <c r="V509" s="50"/>
      <c r="W509" s="51"/>
      <c r="X509" s="56"/>
    </row>
    <row r="510" spans="1:24">
      <c r="A510" s="38"/>
      <c r="B510" s="38"/>
      <c r="C510" s="38"/>
      <c r="D510" s="38"/>
      <c r="E510" s="40"/>
      <c r="F510" s="58"/>
      <c r="G510" s="42"/>
      <c r="H510" s="43"/>
      <c r="I510" s="44"/>
      <c r="J510" s="38"/>
      <c r="K510" s="45"/>
      <c r="L510" s="46"/>
      <c r="M510" s="38"/>
      <c r="N510" s="38"/>
      <c r="O510" s="38"/>
      <c r="P510" s="38"/>
      <c r="Q510" s="38"/>
      <c r="R510" s="48"/>
      <c r="S510" s="48"/>
      <c r="T510" s="48"/>
      <c r="U510" s="52"/>
      <c r="V510" s="50"/>
      <c r="W510" s="51"/>
      <c r="X510" s="56"/>
    </row>
    <row r="511" spans="1:24">
      <c r="A511" s="38"/>
      <c r="B511" s="38"/>
      <c r="C511" s="38"/>
      <c r="D511" s="38"/>
      <c r="E511" s="40"/>
      <c r="F511" s="41"/>
      <c r="G511" s="42"/>
      <c r="H511" s="43"/>
      <c r="I511" s="44"/>
      <c r="J511" s="38"/>
      <c r="K511" s="45"/>
      <c r="L511" s="46"/>
      <c r="M511" s="38"/>
      <c r="N511" s="38"/>
      <c r="O511" s="38"/>
      <c r="P511" s="38"/>
      <c r="Q511" s="38"/>
      <c r="R511" s="48"/>
      <c r="S511" s="48"/>
      <c r="T511" s="48"/>
      <c r="U511" s="52"/>
      <c r="V511" s="50"/>
      <c r="W511" s="51"/>
      <c r="X511" s="56"/>
    </row>
    <row r="512" spans="1:24">
      <c r="A512" s="38"/>
      <c r="B512" s="38"/>
      <c r="C512" s="38"/>
      <c r="D512" s="38"/>
      <c r="E512" s="40"/>
      <c r="F512" s="41"/>
      <c r="G512" s="42"/>
      <c r="H512" s="43"/>
      <c r="I512" s="44"/>
      <c r="J512" s="38"/>
      <c r="K512" s="45"/>
      <c r="L512" s="46"/>
      <c r="M512" s="38"/>
      <c r="N512" s="38"/>
      <c r="O512" s="38"/>
      <c r="P512" s="38"/>
      <c r="Q512" s="38"/>
      <c r="R512" s="48"/>
      <c r="S512" s="48"/>
      <c r="T512" s="48"/>
      <c r="U512" s="52"/>
      <c r="V512" s="50"/>
      <c r="W512" s="51"/>
      <c r="X512" s="56"/>
    </row>
    <row r="513" spans="1:24">
      <c r="A513" s="38"/>
      <c r="B513" s="38"/>
      <c r="C513" s="38"/>
      <c r="D513" s="38"/>
      <c r="E513" s="40"/>
      <c r="F513" s="41"/>
      <c r="G513" s="42"/>
      <c r="H513" s="43"/>
      <c r="I513" s="44"/>
      <c r="J513" s="38"/>
      <c r="K513" s="45"/>
      <c r="L513" s="46"/>
      <c r="M513" s="38"/>
      <c r="N513" s="38"/>
      <c r="O513" s="38"/>
      <c r="P513" s="38"/>
      <c r="Q513" s="38"/>
      <c r="R513" s="48"/>
      <c r="S513" s="48"/>
      <c r="T513" s="48"/>
      <c r="U513" s="52"/>
      <c r="V513" s="50"/>
      <c r="W513" s="51"/>
      <c r="X513" s="56"/>
    </row>
    <row r="514" spans="1:24">
      <c r="A514" s="38"/>
      <c r="B514" s="38"/>
      <c r="C514" s="38"/>
      <c r="D514" s="38"/>
      <c r="E514" s="40"/>
      <c r="F514" s="41"/>
      <c r="G514" s="42"/>
      <c r="H514" s="43"/>
      <c r="I514" s="44"/>
      <c r="J514" s="38"/>
      <c r="K514" s="45"/>
      <c r="L514" s="46"/>
      <c r="M514" s="38"/>
      <c r="N514" s="38"/>
      <c r="O514" s="38"/>
      <c r="P514" s="38"/>
      <c r="Q514" s="38"/>
      <c r="R514" s="48"/>
      <c r="S514" s="48"/>
      <c r="T514" s="48"/>
      <c r="U514" s="52"/>
      <c r="V514" s="50"/>
      <c r="W514" s="51"/>
      <c r="X514" s="56"/>
    </row>
    <row r="515" spans="1:24">
      <c r="A515" s="38"/>
      <c r="B515" s="38"/>
      <c r="C515" s="38"/>
      <c r="D515" s="38"/>
      <c r="E515" s="40"/>
      <c r="F515" s="41"/>
      <c r="G515" s="42"/>
      <c r="H515" s="43"/>
      <c r="I515" s="44"/>
      <c r="J515" s="38"/>
      <c r="K515" s="45"/>
      <c r="L515" s="46"/>
      <c r="M515" s="38"/>
      <c r="N515" s="38"/>
      <c r="O515" s="38"/>
      <c r="P515" s="38"/>
      <c r="Q515" s="38"/>
      <c r="R515" s="48"/>
      <c r="S515" s="48"/>
      <c r="T515" s="48"/>
      <c r="U515" s="52"/>
      <c r="V515" s="50"/>
      <c r="W515" s="51"/>
      <c r="X515" s="56"/>
    </row>
    <row r="516" spans="1:24">
      <c r="A516" s="38"/>
      <c r="B516" s="38"/>
      <c r="C516" s="38"/>
      <c r="D516" s="38"/>
      <c r="E516" s="40"/>
      <c r="F516" s="41"/>
      <c r="G516" s="42"/>
      <c r="H516" s="43"/>
      <c r="I516" s="44"/>
      <c r="J516" s="38"/>
      <c r="K516" s="45"/>
      <c r="L516" s="46"/>
      <c r="M516" s="38"/>
      <c r="N516" s="38"/>
      <c r="O516" s="38"/>
      <c r="P516" s="38"/>
      <c r="Q516" s="38"/>
      <c r="R516" s="48"/>
      <c r="S516" s="48"/>
      <c r="T516" s="48"/>
      <c r="U516" s="52"/>
      <c r="V516" s="50"/>
      <c r="W516" s="51"/>
      <c r="X516" s="56"/>
    </row>
    <row r="517" spans="1:24">
      <c r="A517" s="38"/>
      <c r="B517" s="38"/>
      <c r="C517" s="38"/>
      <c r="D517" s="38"/>
      <c r="E517" s="40"/>
      <c r="F517" s="41"/>
      <c r="G517" s="42"/>
      <c r="H517" s="43"/>
      <c r="I517" s="44"/>
      <c r="J517" s="38"/>
      <c r="K517" s="45"/>
      <c r="L517" s="46"/>
      <c r="M517" s="38"/>
      <c r="N517" s="38"/>
      <c r="O517" s="38"/>
      <c r="P517" s="38"/>
      <c r="Q517" s="38"/>
      <c r="R517" s="48"/>
      <c r="S517" s="48"/>
      <c r="T517" s="48"/>
      <c r="U517" s="52"/>
      <c r="V517" s="50"/>
      <c r="W517" s="51"/>
      <c r="X517" s="56"/>
    </row>
    <row r="518" spans="1:24">
      <c r="A518" s="38"/>
      <c r="B518" s="38"/>
      <c r="C518" s="38"/>
      <c r="D518" s="38"/>
      <c r="E518" s="40"/>
      <c r="F518" s="58"/>
      <c r="G518" s="42"/>
      <c r="H518" s="43"/>
      <c r="I518" s="44"/>
      <c r="J518" s="38"/>
      <c r="K518" s="45"/>
      <c r="L518" s="46"/>
      <c r="M518" s="38"/>
      <c r="N518" s="38"/>
      <c r="O518" s="38"/>
      <c r="P518" s="38"/>
      <c r="Q518" s="38"/>
      <c r="R518" s="48"/>
      <c r="S518" s="48"/>
      <c r="T518" s="48"/>
      <c r="U518" s="52"/>
      <c r="V518" s="50"/>
      <c r="W518" s="51"/>
      <c r="X518" s="56"/>
    </row>
    <row r="519" spans="1:24">
      <c r="A519" s="38"/>
      <c r="B519" s="38"/>
      <c r="C519" s="38"/>
      <c r="D519" s="38"/>
      <c r="E519" s="40"/>
      <c r="F519" s="58"/>
      <c r="G519" s="42"/>
      <c r="H519" s="43"/>
      <c r="I519" s="44"/>
      <c r="J519" s="38"/>
      <c r="K519" s="45"/>
      <c r="L519" s="46"/>
      <c r="M519" s="38"/>
      <c r="N519" s="38"/>
      <c r="O519" s="38"/>
      <c r="P519" s="38"/>
      <c r="Q519" s="38"/>
      <c r="R519" s="48"/>
      <c r="S519" s="48"/>
      <c r="T519" s="48"/>
      <c r="U519" s="52"/>
      <c r="V519" s="50"/>
      <c r="W519" s="51"/>
      <c r="X519" s="56"/>
    </row>
    <row r="520" spans="1:24">
      <c r="A520" s="38"/>
      <c r="B520" s="38"/>
      <c r="C520" s="38"/>
      <c r="D520" s="38"/>
      <c r="E520" s="40"/>
      <c r="F520" s="41"/>
      <c r="G520" s="42"/>
      <c r="H520" s="43"/>
      <c r="I520" s="44"/>
      <c r="J520" s="38"/>
      <c r="K520" s="45"/>
      <c r="L520" s="46"/>
      <c r="M520" s="38"/>
      <c r="N520" s="38"/>
      <c r="O520" s="38"/>
      <c r="P520" s="38"/>
      <c r="Q520" s="38"/>
      <c r="R520" s="48"/>
      <c r="S520" s="48"/>
      <c r="T520" s="48"/>
      <c r="U520" s="52"/>
      <c r="V520" s="50"/>
      <c r="W520" s="51"/>
      <c r="X520" s="56"/>
    </row>
    <row r="521" spans="1:24">
      <c r="A521" s="38"/>
      <c r="B521" s="38"/>
      <c r="C521" s="38"/>
      <c r="D521" s="38"/>
      <c r="E521" s="40"/>
      <c r="F521" s="41"/>
      <c r="G521" s="42"/>
      <c r="H521" s="43"/>
      <c r="I521" s="44"/>
      <c r="J521" s="38"/>
      <c r="K521" s="45"/>
      <c r="L521" s="46"/>
      <c r="M521" s="38"/>
      <c r="N521" s="38"/>
      <c r="O521" s="38"/>
      <c r="P521" s="38"/>
      <c r="Q521" s="38"/>
      <c r="R521" s="48"/>
      <c r="S521" s="48"/>
      <c r="T521" s="48"/>
      <c r="U521" s="52"/>
      <c r="V521" s="50"/>
      <c r="W521" s="51"/>
      <c r="X521" s="56"/>
    </row>
    <row r="522" spans="1:24">
      <c r="A522" s="38"/>
      <c r="B522" s="38"/>
      <c r="C522" s="38"/>
      <c r="D522" s="38"/>
      <c r="E522" s="40"/>
      <c r="F522" s="41"/>
      <c r="G522" s="42"/>
      <c r="H522" s="43"/>
      <c r="I522" s="44"/>
      <c r="J522" s="38"/>
      <c r="K522" s="45"/>
      <c r="L522" s="46"/>
      <c r="M522" s="38"/>
      <c r="N522" s="38"/>
      <c r="O522" s="38"/>
      <c r="P522" s="38"/>
      <c r="Q522" s="38"/>
      <c r="R522" s="48"/>
      <c r="S522" s="48"/>
      <c r="T522" s="48"/>
      <c r="U522" s="52"/>
      <c r="V522" s="50"/>
      <c r="W522" s="51"/>
      <c r="X522" s="56"/>
    </row>
    <row r="523" spans="1:24">
      <c r="A523" s="38"/>
      <c r="B523" s="38"/>
      <c r="C523" s="38"/>
      <c r="D523" s="38"/>
      <c r="E523" s="40"/>
      <c r="F523" s="41"/>
      <c r="G523" s="42"/>
      <c r="H523" s="43"/>
      <c r="I523" s="44"/>
      <c r="J523" s="38"/>
      <c r="K523" s="45"/>
      <c r="L523" s="46"/>
      <c r="M523" s="38"/>
      <c r="N523" s="38"/>
      <c r="O523" s="38"/>
      <c r="P523" s="38"/>
      <c r="Q523" s="38"/>
      <c r="R523" s="48"/>
      <c r="S523" s="48"/>
      <c r="T523" s="48"/>
      <c r="U523" s="52"/>
      <c r="V523" s="50"/>
      <c r="W523" s="51"/>
      <c r="X523" s="56"/>
    </row>
    <row r="524" spans="1:24">
      <c r="A524" s="38"/>
      <c r="B524" s="38"/>
      <c r="C524" s="38"/>
      <c r="D524" s="38"/>
      <c r="E524" s="40"/>
      <c r="F524" s="41"/>
      <c r="G524" s="42"/>
      <c r="H524" s="43"/>
      <c r="I524" s="44"/>
      <c r="J524" s="38"/>
      <c r="K524" s="45"/>
      <c r="L524" s="46"/>
      <c r="M524" s="38"/>
      <c r="N524" s="38"/>
      <c r="O524" s="38"/>
      <c r="P524" s="38"/>
      <c r="Q524" s="38"/>
      <c r="R524" s="48"/>
      <c r="S524" s="48"/>
      <c r="T524" s="48"/>
      <c r="U524" s="52"/>
      <c r="V524" s="50"/>
      <c r="W524" s="51"/>
      <c r="X524" s="56"/>
    </row>
    <row r="525" spans="1:24">
      <c r="A525" s="38"/>
      <c r="B525" s="38"/>
      <c r="C525" s="38"/>
      <c r="D525" s="38"/>
      <c r="E525" s="40"/>
      <c r="F525" s="41"/>
      <c r="G525" s="42"/>
      <c r="H525" s="43"/>
      <c r="I525" s="44"/>
      <c r="J525" s="38"/>
      <c r="K525" s="45"/>
      <c r="L525" s="46"/>
      <c r="M525" s="38"/>
      <c r="N525" s="38"/>
      <c r="O525" s="38"/>
      <c r="P525" s="38"/>
      <c r="Q525" s="38"/>
      <c r="R525" s="48"/>
      <c r="S525" s="48"/>
      <c r="T525" s="48"/>
      <c r="U525" s="52"/>
      <c r="V525" s="50"/>
      <c r="W525" s="51"/>
      <c r="X525" s="56"/>
    </row>
    <row r="526" spans="1:24">
      <c r="A526" s="38"/>
      <c r="B526" s="38"/>
      <c r="C526" s="38"/>
      <c r="D526" s="38"/>
      <c r="E526" s="40"/>
      <c r="F526" s="41"/>
      <c r="G526" s="42"/>
      <c r="H526" s="43"/>
      <c r="I526" s="44"/>
      <c r="J526" s="38"/>
      <c r="K526" s="45"/>
      <c r="L526" s="46"/>
      <c r="M526" s="38"/>
      <c r="N526" s="38"/>
      <c r="O526" s="38"/>
      <c r="P526" s="38"/>
      <c r="Q526" s="38"/>
      <c r="R526" s="48"/>
      <c r="S526" s="48"/>
      <c r="T526" s="48"/>
      <c r="U526" s="52"/>
      <c r="V526" s="50"/>
      <c r="W526" s="51"/>
      <c r="X526" s="56"/>
    </row>
    <row r="527" spans="1:24">
      <c r="A527" s="38"/>
      <c r="B527" s="38"/>
      <c r="C527" s="38"/>
      <c r="D527" s="38"/>
      <c r="E527" s="40"/>
      <c r="F527" s="41"/>
      <c r="G527" s="42"/>
      <c r="H527" s="43"/>
      <c r="I527" s="44"/>
      <c r="J527" s="38"/>
      <c r="K527" s="45"/>
      <c r="L527" s="46"/>
      <c r="M527" s="38"/>
      <c r="N527" s="38"/>
      <c r="O527" s="38"/>
      <c r="P527" s="38"/>
      <c r="Q527" s="38"/>
      <c r="R527" s="48"/>
      <c r="S527" s="48"/>
      <c r="T527" s="48"/>
      <c r="U527" s="52"/>
      <c r="V527" s="50"/>
      <c r="W527" s="51"/>
      <c r="X527" s="56"/>
    </row>
    <row r="528" spans="1:24">
      <c r="A528" s="38"/>
      <c r="B528" s="38"/>
      <c r="C528" s="38"/>
      <c r="D528" s="38"/>
      <c r="E528" s="40"/>
      <c r="F528" s="41"/>
      <c r="G528" s="42"/>
      <c r="H528" s="43"/>
      <c r="I528" s="44"/>
      <c r="J528" s="38"/>
      <c r="K528" s="45"/>
      <c r="L528" s="46"/>
      <c r="M528" s="38"/>
      <c r="N528" s="38"/>
      <c r="O528" s="38"/>
      <c r="P528" s="38"/>
      <c r="Q528" s="38"/>
      <c r="R528" s="48"/>
      <c r="S528" s="48"/>
      <c r="T528" s="48"/>
      <c r="U528" s="52"/>
      <c r="V528" s="50"/>
      <c r="W528" s="51"/>
      <c r="X528" s="56"/>
    </row>
    <row r="529" spans="1:24">
      <c r="A529" s="38"/>
      <c r="B529" s="38"/>
      <c r="C529" s="38"/>
      <c r="D529" s="38"/>
      <c r="E529" s="40"/>
      <c r="F529" s="41"/>
      <c r="G529" s="42"/>
      <c r="H529" s="43"/>
      <c r="I529" s="44"/>
      <c r="J529" s="38"/>
      <c r="K529" s="45"/>
      <c r="L529" s="46"/>
      <c r="M529" s="38"/>
      <c r="N529" s="38"/>
      <c r="O529" s="38"/>
      <c r="P529" s="38"/>
      <c r="Q529" s="38"/>
      <c r="R529" s="48"/>
      <c r="S529" s="48"/>
      <c r="T529" s="48"/>
      <c r="U529" s="52"/>
      <c r="V529" s="50"/>
      <c r="W529" s="51"/>
      <c r="X529" s="56"/>
    </row>
    <row r="530" spans="1:24">
      <c r="A530" s="38"/>
      <c r="B530" s="38"/>
      <c r="C530" s="38"/>
      <c r="D530" s="38"/>
      <c r="E530" s="40"/>
      <c r="F530" s="41"/>
      <c r="G530" s="42"/>
      <c r="H530" s="43"/>
      <c r="I530" s="44"/>
      <c r="J530" s="38"/>
      <c r="K530" s="45"/>
      <c r="L530" s="46"/>
      <c r="M530" s="38"/>
      <c r="N530" s="38"/>
      <c r="O530" s="38"/>
      <c r="P530" s="38"/>
      <c r="Q530" s="38"/>
      <c r="R530" s="48"/>
      <c r="S530" s="48"/>
      <c r="T530" s="48"/>
      <c r="U530" s="52"/>
      <c r="V530" s="50"/>
      <c r="W530" s="51"/>
      <c r="X530" s="56"/>
    </row>
    <row r="531" spans="1:24">
      <c r="A531" s="38"/>
      <c r="B531" s="38"/>
      <c r="C531" s="38"/>
      <c r="D531" s="38"/>
      <c r="E531" s="40"/>
      <c r="F531" s="41"/>
      <c r="G531" s="42"/>
      <c r="H531" s="43"/>
      <c r="I531" s="44"/>
      <c r="J531" s="38"/>
      <c r="K531" s="45"/>
      <c r="L531" s="46"/>
      <c r="M531" s="38"/>
      <c r="N531" s="38"/>
      <c r="O531" s="38"/>
      <c r="P531" s="38"/>
      <c r="Q531" s="38"/>
      <c r="R531" s="48"/>
      <c r="S531" s="48"/>
      <c r="T531" s="48"/>
      <c r="U531" s="52"/>
      <c r="V531" s="50"/>
      <c r="W531" s="51"/>
      <c r="X531" s="56"/>
    </row>
    <row r="532" spans="1:24">
      <c r="A532" s="38"/>
      <c r="B532" s="38"/>
      <c r="C532" s="38"/>
      <c r="D532" s="38"/>
      <c r="E532" s="40"/>
      <c r="F532" s="41"/>
      <c r="G532" s="42"/>
      <c r="H532" s="43"/>
      <c r="I532" s="44"/>
      <c r="J532" s="38"/>
      <c r="K532" s="45"/>
      <c r="L532" s="46"/>
      <c r="M532" s="38"/>
      <c r="N532" s="38"/>
      <c r="O532" s="38"/>
      <c r="P532" s="38"/>
      <c r="Q532" s="38"/>
      <c r="R532" s="48"/>
      <c r="S532" s="48"/>
      <c r="T532" s="48"/>
      <c r="U532" s="52"/>
      <c r="V532" s="50"/>
      <c r="W532" s="51"/>
      <c r="X532" s="56"/>
    </row>
    <row r="533" spans="1:24">
      <c r="A533" s="38"/>
      <c r="B533" s="38"/>
      <c r="C533" s="38"/>
      <c r="D533" s="38"/>
      <c r="E533" s="40"/>
      <c r="F533" s="41"/>
      <c r="G533" s="42"/>
      <c r="H533" s="43"/>
      <c r="I533" s="44"/>
      <c r="J533" s="38"/>
      <c r="K533" s="45"/>
      <c r="L533" s="46"/>
      <c r="M533" s="38"/>
      <c r="N533" s="38"/>
      <c r="O533" s="38"/>
      <c r="P533" s="38"/>
      <c r="Q533" s="38"/>
      <c r="R533" s="48"/>
      <c r="S533" s="48"/>
      <c r="T533" s="48"/>
      <c r="U533" s="52"/>
      <c r="V533" s="50"/>
      <c r="W533" s="51"/>
      <c r="X533" s="56"/>
    </row>
    <row r="534" spans="1:24">
      <c r="A534" s="38"/>
      <c r="B534" s="38"/>
      <c r="C534" s="38"/>
      <c r="D534" s="38"/>
      <c r="E534" s="40"/>
      <c r="F534" s="41"/>
      <c r="G534" s="42"/>
      <c r="H534" s="43"/>
      <c r="I534" s="44"/>
      <c r="J534" s="38"/>
      <c r="K534" s="45"/>
      <c r="L534" s="46"/>
      <c r="M534" s="38"/>
      <c r="N534" s="38"/>
      <c r="O534" s="38"/>
      <c r="P534" s="38"/>
      <c r="Q534" s="38"/>
      <c r="R534" s="48"/>
      <c r="S534" s="48"/>
      <c r="T534" s="48"/>
      <c r="U534" s="52"/>
      <c r="V534" s="50"/>
      <c r="W534" s="51"/>
      <c r="X534" s="56"/>
    </row>
    <row r="535" spans="1:24">
      <c r="A535" s="38"/>
      <c r="B535" s="38"/>
      <c r="C535" s="38"/>
      <c r="D535" s="38"/>
      <c r="E535" s="40"/>
      <c r="F535" s="41"/>
      <c r="G535" s="42"/>
      <c r="H535" s="43"/>
      <c r="I535" s="44"/>
      <c r="J535" s="38"/>
      <c r="K535" s="45"/>
      <c r="L535" s="46"/>
      <c r="M535" s="38"/>
      <c r="N535" s="38"/>
      <c r="O535" s="38"/>
      <c r="P535" s="38"/>
      <c r="Q535" s="38"/>
      <c r="R535" s="48"/>
      <c r="S535" s="48"/>
      <c r="T535" s="48"/>
      <c r="U535" s="52"/>
      <c r="V535" s="50"/>
      <c r="W535" s="51"/>
      <c r="X535" s="56"/>
    </row>
    <row r="536" spans="1:24">
      <c r="A536" s="38"/>
      <c r="B536" s="38"/>
      <c r="C536" s="38"/>
      <c r="D536" s="38"/>
      <c r="E536" s="40"/>
      <c r="F536" s="41"/>
      <c r="G536" s="42"/>
      <c r="H536" s="43"/>
      <c r="I536" s="44"/>
      <c r="J536" s="38"/>
      <c r="K536" s="45"/>
      <c r="L536" s="46"/>
      <c r="M536" s="38"/>
      <c r="N536" s="38"/>
      <c r="O536" s="38"/>
      <c r="P536" s="38"/>
      <c r="Q536" s="38"/>
      <c r="R536" s="48"/>
      <c r="S536" s="48"/>
      <c r="T536" s="48"/>
      <c r="U536" s="52"/>
      <c r="V536" s="50"/>
      <c r="W536" s="51"/>
      <c r="X536" s="56"/>
    </row>
    <row r="537" spans="1:24">
      <c r="A537" s="38"/>
      <c r="B537" s="38"/>
      <c r="C537" s="38"/>
      <c r="D537" s="38"/>
      <c r="E537" s="40"/>
      <c r="F537" s="41"/>
      <c r="G537" s="42"/>
      <c r="H537" s="43"/>
      <c r="I537" s="44"/>
      <c r="J537" s="38"/>
      <c r="K537" s="45"/>
      <c r="L537" s="46"/>
      <c r="M537" s="38"/>
      <c r="N537" s="38"/>
      <c r="O537" s="38"/>
      <c r="P537" s="38"/>
      <c r="Q537" s="38"/>
      <c r="R537" s="48"/>
      <c r="S537" s="48"/>
      <c r="T537" s="48"/>
      <c r="U537" s="52"/>
      <c r="V537" s="50"/>
      <c r="W537" s="51"/>
      <c r="X537" s="56"/>
    </row>
    <row r="538" spans="1:24">
      <c r="A538" s="38"/>
      <c r="B538" s="38"/>
      <c r="C538" s="38"/>
      <c r="D538" s="38"/>
      <c r="E538" s="40"/>
      <c r="F538" s="41"/>
      <c r="G538" s="42"/>
      <c r="H538" s="43"/>
      <c r="I538" s="44"/>
      <c r="J538" s="38"/>
      <c r="K538" s="45"/>
      <c r="L538" s="46"/>
      <c r="M538" s="38"/>
      <c r="N538" s="38"/>
      <c r="O538" s="38"/>
      <c r="P538" s="38"/>
      <c r="Q538" s="38"/>
      <c r="R538" s="48"/>
      <c r="S538" s="48"/>
      <c r="T538" s="48"/>
      <c r="U538" s="52"/>
      <c r="V538" s="50"/>
      <c r="W538" s="51"/>
      <c r="X538" s="56"/>
    </row>
    <row r="539" spans="1:24">
      <c r="A539" s="38"/>
      <c r="B539" s="38"/>
      <c r="C539" s="38"/>
      <c r="D539" s="38"/>
      <c r="E539" s="40"/>
      <c r="F539" s="41"/>
      <c r="G539" s="42"/>
      <c r="H539" s="43"/>
      <c r="I539" s="44"/>
      <c r="J539" s="38"/>
      <c r="K539" s="45"/>
      <c r="L539" s="46"/>
      <c r="M539" s="38"/>
      <c r="N539" s="38"/>
      <c r="O539" s="38"/>
      <c r="P539" s="38"/>
      <c r="Q539" s="38"/>
      <c r="R539" s="48"/>
      <c r="S539" s="48"/>
      <c r="T539" s="48"/>
      <c r="U539" s="52"/>
      <c r="V539" s="50"/>
      <c r="W539" s="51"/>
      <c r="X539" s="56"/>
    </row>
    <row r="540" spans="1:24">
      <c r="A540" s="38"/>
      <c r="B540" s="38"/>
      <c r="C540" s="38"/>
      <c r="D540" s="38"/>
      <c r="E540" s="40"/>
      <c r="F540" s="41"/>
      <c r="G540" s="42"/>
      <c r="H540" s="43"/>
      <c r="I540" s="44"/>
      <c r="J540" s="38"/>
      <c r="K540" s="45"/>
      <c r="L540" s="46"/>
      <c r="M540" s="38"/>
      <c r="N540" s="38"/>
      <c r="O540" s="38"/>
      <c r="P540" s="38"/>
      <c r="Q540" s="38"/>
      <c r="R540" s="48"/>
      <c r="S540" s="48"/>
      <c r="T540" s="48"/>
      <c r="U540" s="52"/>
      <c r="V540" s="50"/>
      <c r="W540" s="51"/>
      <c r="X540" s="56"/>
    </row>
    <row r="541" spans="1:24">
      <c r="A541" s="38"/>
      <c r="B541" s="38"/>
      <c r="C541" s="38"/>
      <c r="D541" s="38"/>
      <c r="E541" s="40"/>
      <c r="F541" s="41"/>
      <c r="G541" s="42"/>
      <c r="H541" s="43"/>
      <c r="I541" s="44"/>
      <c r="J541" s="38"/>
      <c r="K541" s="45"/>
      <c r="L541" s="46"/>
      <c r="M541" s="38"/>
      <c r="N541" s="38"/>
      <c r="O541" s="38"/>
      <c r="P541" s="38"/>
      <c r="Q541" s="38"/>
      <c r="R541" s="48"/>
      <c r="S541" s="48"/>
      <c r="T541" s="48"/>
      <c r="U541" s="52"/>
      <c r="V541" s="50"/>
      <c r="W541" s="51"/>
      <c r="X541" s="56"/>
    </row>
    <row r="542" spans="1:24">
      <c r="A542" s="38"/>
      <c r="B542" s="38"/>
      <c r="C542" s="38"/>
      <c r="D542" s="38"/>
      <c r="E542" s="40"/>
      <c r="F542" s="41"/>
      <c r="G542" s="42"/>
      <c r="H542" s="43"/>
      <c r="I542" s="44"/>
      <c r="J542" s="38"/>
      <c r="K542" s="45"/>
      <c r="L542" s="46"/>
      <c r="M542" s="38"/>
      <c r="N542" s="38"/>
      <c r="O542" s="38"/>
      <c r="P542" s="38"/>
      <c r="Q542" s="38"/>
      <c r="R542" s="48"/>
      <c r="S542" s="48"/>
      <c r="T542" s="48"/>
      <c r="U542" s="52"/>
      <c r="V542" s="50"/>
      <c r="W542" s="51"/>
      <c r="X542" s="56"/>
    </row>
    <row r="543" spans="1:24">
      <c r="A543" s="38"/>
      <c r="B543" s="38"/>
      <c r="C543" s="38"/>
      <c r="D543" s="38"/>
      <c r="E543" s="40"/>
      <c r="F543" s="41"/>
      <c r="G543" s="42"/>
      <c r="H543" s="43"/>
      <c r="I543" s="44"/>
      <c r="J543" s="38"/>
      <c r="K543" s="45"/>
      <c r="L543" s="46"/>
      <c r="M543" s="38"/>
      <c r="N543" s="38"/>
      <c r="O543" s="38"/>
      <c r="P543" s="38"/>
      <c r="Q543" s="38"/>
      <c r="R543" s="48"/>
      <c r="S543" s="48"/>
      <c r="T543" s="48"/>
      <c r="U543" s="52"/>
      <c r="V543" s="50"/>
      <c r="W543" s="51"/>
      <c r="X543" s="56"/>
    </row>
    <row r="544" spans="1:24">
      <c r="A544" s="38"/>
      <c r="B544" s="38"/>
      <c r="C544" s="38"/>
      <c r="D544" s="38"/>
      <c r="E544" s="40"/>
      <c r="F544" s="41"/>
      <c r="G544" s="42"/>
      <c r="H544" s="43"/>
      <c r="I544" s="44"/>
      <c r="J544" s="38"/>
      <c r="K544" s="45"/>
      <c r="L544" s="46"/>
      <c r="M544" s="38"/>
      <c r="N544" s="38"/>
      <c r="O544" s="38"/>
      <c r="P544" s="38"/>
      <c r="Q544" s="38"/>
      <c r="R544" s="48"/>
      <c r="S544" s="48"/>
      <c r="T544" s="48"/>
      <c r="U544" s="52"/>
      <c r="V544" s="50"/>
      <c r="W544" s="51"/>
      <c r="X544" s="56"/>
    </row>
    <row r="545" spans="1:24">
      <c r="A545" s="38"/>
      <c r="B545" s="38"/>
      <c r="C545" s="38"/>
      <c r="D545" s="38"/>
      <c r="E545" s="40"/>
      <c r="F545" s="41"/>
      <c r="G545" s="42"/>
      <c r="H545" s="43"/>
      <c r="I545" s="44"/>
      <c r="J545" s="38"/>
      <c r="K545" s="45"/>
      <c r="L545" s="46"/>
      <c r="M545" s="38"/>
      <c r="N545" s="38"/>
      <c r="O545" s="38"/>
      <c r="P545" s="38"/>
      <c r="Q545" s="38"/>
      <c r="R545" s="48"/>
      <c r="S545" s="48"/>
      <c r="T545" s="48"/>
      <c r="U545" s="52"/>
      <c r="V545" s="50"/>
      <c r="W545" s="51"/>
      <c r="X545" s="56"/>
    </row>
    <row r="546" spans="1:24">
      <c r="A546" s="38"/>
      <c r="B546" s="38"/>
      <c r="C546" s="38"/>
      <c r="D546" s="38"/>
      <c r="E546" s="40"/>
      <c r="F546" s="41"/>
      <c r="G546" s="42"/>
      <c r="H546" s="43"/>
      <c r="I546" s="44"/>
      <c r="J546" s="38"/>
      <c r="K546" s="45"/>
      <c r="L546" s="46"/>
      <c r="M546" s="38"/>
      <c r="N546" s="38"/>
      <c r="O546" s="38"/>
      <c r="P546" s="38"/>
      <c r="Q546" s="38"/>
      <c r="R546" s="48"/>
      <c r="S546" s="48"/>
      <c r="T546" s="48"/>
      <c r="U546" s="52"/>
      <c r="V546" s="50"/>
      <c r="W546" s="51"/>
      <c r="X546" s="56"/>
    </row>
    <row r="547" spans="1:24">
      <c r="A547" s="38"/>
      <c r="B547" s="38"/>
      <c r="C547" s="38"/>
      <c r="D547" s="38"/>
      <c r="E547" s="40"/>
      <c r="F547" s="41"/>
      <c r="G547" s="42"/>
      <c r="H547" s="43"/>
      <c r="I547" s="44"/>
      <c r="J547" s="38"/>
      <c r="K547" s="45"/>
      <c r="L547" s="46"/>
      <c r="M547" s="38"/>
      <c r="N547" s="38"/>
      <c r="O547" s="38"/>
      <c r="P547" s="38"/>
      <c r="Q547" s="38"/>
      <c r="R547" s="48"/>
      <c r="S547" s="48"/>
      <c r="T547" s="48"/>
      <c r="U547" s="52"/>
      <c r="V547" s="50"/>
      <c r="W547" s="51"/>
      <c r="X547" s="56"/>
    </row>
    <row r="548" spans="1:24">
      <c r="A548" s="38"/>
      <c r="B548" s="38"/>
      <c r="C548" s="38"/>
      <c r="D548" s="38"/>
      <c r="E548" s="40"/>
      <c r="F548" s="41"/>
      <c r="G548" s="42"/>
      <c r="H548" s="43"/>
      <c r="I548" s="44"/>
      <c r="J548" s="38"/>
      <c r="K548" s="45"/>
      <c r="L548" s="46"/>
      <c r="M548" s="38"/>
      <c r="N548" s="38"/>
      <c r="O548" s="38"/>
      <c r="P548" s="38"/>
      <c r="Q548" s="38"/>
      <c r="R548" s="48"/>
      <c r="S548" s="48"/>
      <c r="T548" s="48"/>
      <c r="U548" s="52"/>
      <c r="V548" s="50"/>
      <c r="W548" s="51"/>
      <c r="X548" s="56"/>
    </row>
    <row r="549" spans="1:24">
      <c r="A549" s="38"/>
      <c r="B549" s="38"/>
      <c r="C549" s="38"/>
      <c r="D549" s="38"/>
      <c r="E549" s="40"/>
      <c r="F549" s="41"/>
      <c r="G549" s="42"/>
      <c r="H549" s="43"/>
      <c r="I549" s="44"/>
      <c r="J549" s="38"/>
      <c r="K549" s="45"/>
      <c r="L549" s="46"/>
      <c r="M549" s="38"/>
      <c r="N549" s="38"/>
      <c r="O549" s="38"/>
      <c r="P549" s="38"/>
      <c r="Q549" s="38"/>
      <c r="R549" s="48"/>
      <c r="S549" s="48"/>
      <c r="T549" s="48"/>
      <c r="U549" s="52"/>
      <c r="V549" s="50"/>
      <c r="W549" s="51"/>
      <c r="X549" s="56"/>
    </row>
    <row r="550" spans="1:24">
      <c r="A550" s="38"/>
      <c r="B550" s="38"/>
      <c r="C550" s="38"/>
      <c r="D550" s="38"/>
      <c r="E550" s="40"/>
      <c r="F550" s="41"/>
      <c r="G550" s="42"/>
      <c r="H550" s="43"/>
      <c r="I550" s="44"/>
      <c r="J550" s="38"/>
      <c r="K550" s="45"/>
      <c r="L550" s="46"/>
      <c r="M550" s="38"/>
      <c r="N550" s="38"/>
      <c r="O550" s="38"/>
      <c r="P550" s="38"/>
      <c r="Q550" s="38"/>
      <c r="R550" s="48"/>
      <c r="S550" s="48"/>
      <c r="T550" s="48"/>
      <c r="U550" s="52"/>
      <c r="V550" s="50"/>
      <c r="W550" s="51"/>
      <c r="X550" s="56"/>
    </row>
    <row r="551" spans="1:24">
      <c r="A551" s="38"/>
      <c r="B551" s="38"/>
      <c r="C551" s="38"/>
      <c r="D551" s="38"/>
      <c r="E551" s="40"/>
      <c r="F551" s="41"/>
      <c r="G551" s="42"/>
      <c r="H551" s="43"/>
      <c r="I551" s="44"/>
      <c r="J551" s="38"/>
      <c r="K551" s="45"/>
      <c r="L551" s="46"/>
      <c r="M551" s="38"/>
      <c r="N551" s="38"/>
      <c r="O551" s="38"/>
      <c r="P551" s="38"/>
      <c r="Q551" s="38"/>
      <c r="R551" s="48"/>
      <c r="S551" s="48"/>
      <c r="T551" s="48"/>
      <c r="U551" s="52"/>
      <c r="V551" s="50"/>
      <c r="W551" s="51"/>
      <c r="X551" s="56"/>
    </row>
    <row r="552" spans="1:24">
      <c r="A552" s="38"/>
      <c r="B552" s="38"/>
      <c r="C552" s="38"/>
      <c r="D552" s="38"/>
      <c r="E552" s="40"/>
      <c r="F552" s="41"/>
      <c r="G552" s="42"/>
      <c r="H552" s="43"/>
      <c r="I552" s="44"/>
      <c r="J552" s="38"/>
      <c r="K552" s="45"/>
      <c r="L552" s="46"/>
      <c r="M552" s="38"/>
      <c r="N552" s="38"/>
      <c r="O552" s="38"/>
      <c r="P552" s="38"/>
      <c r="Q552" s="38"/>
      <c r="R552" s="48"/>
      <c r="S552" s="48"/>
      <c r="T552" s="48"/>
      <c r="U552" s="52"/>
      <c r="V552" s="50"/>
      <c r="W552" s="51"/>
      <c r="X552" s="56"/>
    </row>
    <row r="553" spans="1:24">
      <c r="A553" s="38"/>
      <c r="B553" s="38"/>
      <c r="C553" s="38"/>
      <c r="D553" s="38"/>
      <c r="E553" s="40"/>
      <c r="F553" s="41"/>
      <c r="G553" s="42"/>
      <c r="H553" s="43"/>
      <c r="I553" s="44"/>
      <c r="J553" s="38"/>
      <c r="K553" s="45"/>
      <c r="L553" s="46"/>
      <c r="M553" s="38"/>
      <c r="N553" s="38"/>
      <c r="O553" s="38"/>
      <c r="P553" s="38"/>
      <c r="Q553" s="38"/>
      <c r="R553" s="48"/>
      <c r="S553" s="48"/>
      <c r="T553" s="48"/>
      <c r="U553" s="52"/>
      <c r="V553" s="50"/>
      <c r="W553" s="51"/>
      <c r="X553" s="56"/>
    </row>
    <row r="554" spans="1:24">
      <c r="A554" s="38"/>
      <c r="B554" s="38"/>
      <c r="C554" s="38"/>
      <c r="D554" s="38"/>
      <c r="E554" s="40"/>
      <c r="F554" s="41"/>
      <c r="G554" s="42"/>
      <c r="H554" s="43"/>
      <c r="I554" s="44"/>
      <c r="J554" s="38"/>
      <c r="K554" s="45"/>
      <c r="L554" s="46"/>
      <c r="M554" s="38"/>
      <c r="N554" s="38"/>
      <c r="O554" s="38"/>
      <c r="P554" s="38"/>
      <c r="Q554" s="38"/>
      <c r="R554" s="48"/>
      <c r="S554" s="48"/>
      <c r="T554" s="48"/>
      <c r="U554" s="52"/>
      <c r="V554" s="50"/>
      <c r="W554" s="51"/>
      <c r="X554" s="56"/>
    </row>
    <row r="555" spans="1:24">
      <c r="A555" s="38"/>
      <c r="B555" s="38"/>
      <c r="C555" s="38"/>
      <c r="D555" s="38"/>
      <c r="E555" s="40"/>
      <c r="F555" s="41"/>
      <c r="G555" s="42"/>
      <c r="H555" s="43"/>
      <c r="I555" s="44"/>
      <c r="J555" s="38"/>
      <c r="K555" s="45"/>
      <c r="L555" s="46"/>
      <c r="M555" s="38"/>
      <c r="N555" s="38"/>
      <c r="O555" s="38"/>
      <c r="P555" s="38"/>
      <c r="Q555" s="38"/>
      <c r="R555" s="48"/>
      <c r="S555" s="48"/>
      <c r="T555" s="48"/>
      <c r="U555" s="52"/>
      <c r="V555" s="50"/>
      <c r="W555" s="51"/>
      <c r="X555" s="56"/>
    </row>
    <row r="556" spans="1:24">
      <c r="A556" s="38"/>
      <c r="B556" s="38"/>
      <c r="C556" s="38"/>
      <c r="D556" s="38"/>
      <c r="E556" s="40"/>
      <c r="F556" s="41"/>
      <c r="G556" s="42"/>
      <c r="H556" s="43"/>
      <c r="I556" s="44"/>
      <c r="J556" s="38"/>
      <c r="K556" s="45"/>
      <c r="L556" s="46"/>
      <c r="M556" s="38"/>
      <c r="N556" s="38"/>
      <c r="O556" s="38"/>
      <c r="P556" s="38"/>
      <c r="Q556" s="38"/>
      <c r="R556" s="48"/>
      <c r="S556" s="48"/>
      <c r="T556" s="48"/>
      <c r="U556" s="52"/>
      <c r="V556" s="50"/>
      <c r="W556" s="51"/>
      <c r="X556" s="56"/>
    </row>
    <row r="557" spans="1:24">
      <c r="A557" s="38"/>
      <c r="B557" s="38"/>
      <c r="C557" s="38"/>
      <c r="D557" s="38"/>
      <c r="E557" s="40"/>
      <c r="F557" s="61"/>
      <c r="G557" s="42"/>
      <c r="H557" s="43"/>
      <c r="I557" s="44"/>
      <c r="J557" s="38"/>
      <c r="K557" s="45"/>
      <c r="L557" s="46"/>
      <c r="M557" s="38"/>
      <c r="N557" s="38"/>
      <c r="O557" s="38"/>
      <c r="P557" s="38"/>
      <c r="Q557" s="38"/>
      <c r="R557" s="48"/>
      <c r="S557" s="48"/>
      <c r="T557" s="48"/>
      <c r="U557" s="52"/>
      <c r="V557" s="50"/>
      <c r="W557" s="51"/>
      <c r="X557" s="56"/>
    </row>
    <row r="558" spans="1:24">
      <c r="A558" s="38"/>
      <c r="B558" s="38"/>
      <c r="C558" s="38"/>
      <c r="D558" s="38"/>
      <c r="E558" s="40"/>
      <c r="F558" s="58"/>
      <c r="G558" s="42"/>
      <c r="H558" s="43"/>
      <c r="I558" s="44"/>
      <c r="J558" s="38"/>
      <c r="K558" s="45"/>
      <c r="L558" s="46"/>
      <c r="M558" s="38"/>
      <c r="N558" s="38"/>
      <c r="O558" s="38"/>
      <c r="P558" s="38"/>
      <c r="Q558" s="38"/>
      <c r="R558" s="48"/>
      <c r="S558" s="48"/>
      <c r="T558" s="48"/>
      <c r="U558" s="52"/>
      <c r="V558" s="50"/>
      <c r="W558" s="51"/>
      <c r="X558" s="56"/>
    </row>
    <row r="559" spans="1:24">
      <c r="A559" s="38"/>
      <c r="B559" s="38"/>
      <c r="C559" s="38"/>
      <c r="D559" s="38"/>
      <c r="E559" s="40"/>
      <c r="F559" s="41"/>
      <c r="G559" s="42"/>
      <c r="H559" s="43"/>
      <c r="I559" s="44"/>
      <c r="J559" s="38"/>
      <c r="K559" s="45"/>
      <c r="L559" s="46"/>
      <c r="M559" s="38"/>
      <c r="N559" s="38"/>
      <c r="O559" s="38"/>
      <c r="P559" s="38"/>
      <c r="Q559" s="38"/>
      <c r="R559" s="48"/>
      <c r="S559" s="48"/>
      <c r="T559" s="48"/>
      <c r="U559" s="52"/>
      <c r="V559" s="50"/>
      <c r="W559" s="51"/>
      <c r="X559" s="56"/>
    </row>
    <row r="560" spans="1:24">
      <c r="A560" s="38"/>
      <c r="B560" s="38"/>
      <c r="C560" s="38"/>
      <c r="D560" s="38"/>
      <c r="E560" s="40"/>
      <c r="F560" s="41"/>
      <c r="G560" s="42"/>
      <c r="H560" s="43"/>
      <c r="I560" s="44"/>
      <c r="J560" s="38"/>
      <c r="K560" s="45"/>
      <c r="L560" s="46"/>
      <c r="M560" s="38"/>
      <c r="N560" s="38"/>
      <c r="O560" s="38"/>
      <c r="P560" s="38"/>
      <c r="Q560" s="38"/>
      <c r="R560" s="48"/>
      <c r="S560" s="48"/>
      <c r="T560" s="48"/>
      <c r="U560" s="52"/>
      <c r="V560" s="50"/>
      <c r="W560" s="51"/>
      <c r="X560" s="56"/>
    </row>
    <row r="561" spans="1:24">
      <c r="A561" s="38"/>
      <c r="B561" s="38"/>
      <c r="C561" s="38"/>
      <c r="D561" s="38"/>
      <c r="E561" s="40"/>
      <c r="F561" s="58"/>
      <c r="G561" s="42"/>
      <c r="H561" s="43"/>
      <c r="I561" s="44"/>
      <c r="J561" s="38"/>
      <c r="K561" s="45"/>
      <c r="L561" s="46"/>
      <c r="M561" s="38"/>
      <c r="N561" s="38"/>
      <c r="O561" s="38"/>
      <c r="P561" s="38"/>
      <c r="Q561" s="38"/>
      <c r="R561" s="48"/>
      <c r="S561" s="48"/>
      <c r="T561" s="48"/>
      <c r="U561" s="52"/>
      <c r="V561" s="50"/>
      <c r="W561" s="51"/>
      <c r="X561" s="56"/>
    </row>
    <row r="562" spans="1:24">
      <c r="A562" s="38"/>
      <c r="B562" s="38"/>
      <c r="C562" s="38"/>
      <c r="D562" s="38"/>
      <c r="E562" s="40"/>
      <c r="F562" s="58"/>
      <c r="G562" s="42"/>
      <c r="H562" s="43"/>
      <c r="I562" s="44"/>
      <c r="J562" s="38"/>
      <c r="K562" s="45"/>
      <c r="L562" s="46"/>
      <c r="M562" s="38"/>
      <c r="N562" s="38"/>
      <c r="O562" s="38"/>
      <c r="P562" s="38"/>
      <c r="Q562" s="38"/>
      <c r="R562" s="48"/>
      <c r="S562" s="48"/>
      <c r="T562" s="48"/>
      <c r="U562" s="52"/>
      <c r="V562" s="50"/>
      <c r="W562" s="51"/>
      <c r="X562" s="56"/>
    </row>
    <row r="563" spans="1:24">
      <c r="A563" s="38"/>
      <c r="B563" s="38"/>
      <c r="C563" s="38"/>
      <c r="D563" s="38"/>
      <c r="E563" s="40"/>
      <c r="F563" s="58"/>
      <c r="G563" s="42"/>
      <c r="H563" s="43"/>
      <c r="I563" s="44"/>
      <c r="J563" s="38"/>
      <c r="K563" s="45"/>
      <c r="L563" s="46"/>
      <c r="M563" s="38"/>
      <c r="N563" s="38"/>
      <c r="O563" s="38"/>
      <c r="P563" s="38"/>
      <c r="Q563" s="38"/>
      <c r="R563" s="48"/>
      <c r="S563" s="48"/>
      <c r="T563" s="48"/>
      <c r="U563" s="52"/>
      <c r="V563" s="50"/>
      <c r="W563" s="51"/>
      <c r="X563" s="56"/>
    </row>
    <row r="564" spans="1:24">
      <c r="A564" s="38"/>
      <c r="B564" s="38"/>
      <c r="C564" s="38"/>
      <c r="D564" s="38"/>
      <c r="E564" s="40"/>
      <c r="F564" s="58"/>
      <c r="G564" s="42"/>
      <c r="H564" s="43"/>
      <c r="I564" s="44"/>
      <c r="J564" s="38"/>
      <c r="K564" s="45"/>
      <c r="L564" s="46"/>
      <c r="M564" s="38"/>
      <c r="N564" s="38"/>
      <c r="O564" s="38"/>
      <c r="P564" s="38"/>
      <c r="Q564" s="38"/>
      <c r="R564" s="48"/>
      <c r="S564" s="48"/>
      <c r="T564" s="48"/>
      <c r="U564" s="52"/>
      <c r="V564" s="50"/>
      <c r="W564" s="51"/>
      <c r="X564" s="56"/>
    </row>
    <row r="565" spans="1:24">
      <c r="A565" s="38"/>
      <c r="B565" s="38"/>
      <c r="C565" s="38"/>
      <c r="D565" s="38"/>
      <c r="E565" s="40"/>
      <c r="F565" s="41"/>
      <c r="G565" s="42"/>
      <c r="H565" s="43"/>
      <c r="I565" s="44"/>
      <c r="J565" s="38"/>
      <c r="K565" s="45"/>
      <c r="L565" s="46"/>
      <c r="M565" s="38"/>
      <c r="N565" s="38"/>
      <c r="O565" s="38"/>
      <c r="P565" s="38"/>
      <c r="Q565" s="38"/>
      <c r="R565" s="48"/>
      <c r="S565" s="48"/>
      <c r="T565" s="48"/>
      <c r="U565" s="52"/>
      <c r="V565" s="50"/>
      <c r="W565" s="51"/>
      <c r="X565" s="56"/>
    </row>
    <row r="566" spans="1:24">
      <c r="A566" s="38"/>
      <c r="B566" s="38"/>
      <c r="C566" s="38"/>
      <c r="D566" s="38"/>
      <c r="E566" s="40"/>
      <c r="F566" s="58"/>
      <c r="G566" s="42"/>
      <c r="H566" s="43"/>
      <c r="I566" s="44"/>
      <c r="J566" s="38"/>
      <c r="K566" s="45"/>
      <c r="L566" s="46"/>
      <c r="M566" s="38"/>
      <c r="N566" s="38"/>
      <c r="O566" s="38"/>
      <c r="P566" s="38"/>
      <c r="Q566" s="38"/>
      <c r="R566" s="48"/>
      <c r="S566" s="48"/>
      <c r="T566" s="48"/>
      <c r="U566" s="52"/>
      <c r="V566" s="50"/>
      <c r="W566" s="51"/>
      <c r="X566" s="56"/>
    </row>
    <row r="567" spans="1:24">
      <c r="A567" s="38"/>
      <c r="B567" s="38"/>
      <c r="C567" s="38"/>
      <c r="D567" s="38"/>
      <c r="E567" s="40"/>
      <c r="F567" s="41"/>
      <c r="G567" s="42"/>
      <c r="H567" s="43"/>
      <c r="I567" s="44"/>
      <c r="J567" s="38"/>
      <c r="K567" s="45"/>
      <c r="L567" s="46"/>
      <c r="M567" s="38"/>
      <c r="N567" s="38"/>
      <c r="O567" s="38"/>
      <c r="P567" s="38"/>
      <c r="Q567" s="38"/>
      <c r="R567" s="48"/>
      <c r="S567" s="48"/>
      <c r="T567" s="48"/>
      <c r="U567" s="52"/>
      <c r="V567" s="50"/>
      <c r="W567" s="51"/>
      <c r="X567" s="56"/>
    </row>
    <row r="568" spans="1:24">
      <c r="A568" s="38"/>
      <c r="B568" s="38"/>
      <c r="C568" s="38"/>
      <c r="D568" s="38"/>
      <c r="E568" s="40"/>
      <c r="F568" s="41"/>
      <c r="G568" s="42"/>
      <c r="H568" s="43"/>
      <c r="I568" s="44"/>
      <c r="J568" s="38"/>
      <c r="K568" s="45"/>
      <c r="L568" s="46"/>
      <c r="M568" s="38"/>
      <c r="N568" s="38"/>
      <c r="O568" s="38"/>
      <c r="P568" s="38"/>
      <c r="Q568" s="38"/>
      <c r="R568" s="48"/>
      <c r="S568" s="48"/>
      <c r="T568" s="48"/>
      <c r="U568" s="52"/>
      <c r="V568" s="50"/>
      <c r="W568" s="51"/>
      <c r="X568" s="56"/>
    </row>
    <row r="569" spans="1:24">
      <c r="A569" s="38"/>
      <c r="B569" s="38"/>
      <c r="C569" s="38"/>
      <c r="D569" s="38"/>
      <c r="E569" s="40"/>
      <c r="F569" s="41"/>
      <c r="G569" s="42"/>
      <c r="H569" s="43"/>
      <c r="I569" s="44"/>
      <c r="J569" s="38"/>
      <c r="K569" s="45"/>
      <c r="L569" s="46"/>
      <c r="M569" s="38"/>
      <c r="N569" s="38"/>
      <c r="O569" s="38"/>
      <c r="P569" s="38"/>
      <c r="Q569" s="38"/>
      <c r="R569" s="48"/>
      <c r="S569" s="48"/>
      <c r="T569" s="48"/>
      <c r="U569" s="52"/>
      <c r="V569" s="50"/>
      <c r="W569" s="51"/>
      <c r="X569" s="56"/>
    </row>
    <row r="570" spans="1:24">
      <c r="A570" s="38"/>
      <c r="B570" s="38"/>
      <c r="C570" s="38"/>
      <c r="D570" s="38"/>
      <c r="E570" s="40"/>
      <c r="F570" s="41"/>
      <c r="G570" s="42"/>
      <c r="H570" s="43"/>
      <c r="I570" s="44"/>
      <c r="J570" s="38"/>
      <c r="K570" s="45"/>
      <c r="L570" s="46"/>
      <c r="M570" s="38"/>
      <c r="N570" s="38"/>
      <c r="O570" s="38"/>
      <c r="P570" s="38"/>
      <c r="Q570" s="38"/>
      <c r="R570" s="48"/>
      <c r="S570" s="48"/>
      <c r="T570" s="48"/>
      <c r="U570" s="52"/>
      <c r="V570" s="50"/>
      <c r="W570" s="51"/>
      <c r="X570" s="56"/>
    </row>
    <row r="571" spans="1:24">
      <c r="A571" s="38"/>
      <c r="B571" s="38"/>
      <c r="C571" s="38"/>
      <c r="D571" s="38"/>
      <c r="E571" s="40"/>
      <c r="F571" s="41"/>
      <c r="G571" s="42"/>
      <c r="H571" s="43"/>
      <c r="I571" s="44"/>
      <c r="J571" s="38"/>
      <c r="K571" s="45"/>
      <c r="L571" s="46"/>
      <c r="M571" s="38"/>
      <c r="N571" s="38"/>
      <c r="O571" s="38"/>
      <c r="P571" s="38"/>
      <c r="Q571" s="38"/>
      <c r="R571" s="48"/>
      <c r="S571" s="48"/>
      <c r="T571" s="48"/>
      <c r="U571" s="52"/>
      <c r="V571" s="50"/>
      <c r="W571" s="51"/>
      <c r="X571" s="56"/>
    </row>
    <row r="572" spans="1:24">
      <c r="A572" s="38"/>
      <c r="B572" s="38"/>
      <c r="C572" s="38"/>
      <c r="D572" s="38"/>
      <c r="E572" s="40"/>
      <c r="F572" s="41"/>
      <c r="G572" s="42"/>
      <c r="H572" s="43"/>
      <c r="I572" s="44"/>
      <c r="J572" s="38"/>
      <c r="K572" s="45"/>
      <c r="L572" s="46"/>
      <c r="M572" s="38"/>
      <c r="N572" s="38"/>
      <c r="O572" s="38"/>
      <c r="P572" s="38"/>
      <c r="Q572" s="38"/>
      <c r="R572" s="48"/>
      <c r="S572" s="48"/>
      <c r="T572" s="48"/>
      <c r="U572" s="52"/>
      <c r="V572" s="50"/>
      <c r="W572" s="51"/>
      <c r="X572" s="56"/>
    </row>
    <row r="573" spans="1:24">
      <c r="A573" s="38"/>
      <c r="B573" s="38"/>
      <c r="C573" s="38"/>
      <c r="D573" s="38"/>
      <c r="E573" s="40"/>
      <c r="F573" s="41"/>
      <c r="G573" s="42"/>
      <c r="H573" s="43"/>
      <c r="I573" s="44"/>
      <c r="J573" s="38"/>
      <c r="K573" s="45"/>
      <c r="L573" s="46"/>
      <c r="M573" s="38"/>
      <c r="N573" s="38"/>
      <c r="O573" s="38"/>
      <c r="P573" s="38"/>
      <c r="Q573" s="38"/>
      <c r="R573" s="48"/>
      <c r="S573" s="48"/>
      <c r="T573" s="48"/>
      <c r="U573" s="52"/>
      <c r="V573" s="50"/>
      <c r="W573" s="51"/>
      <c r="X573" s="56"/>
    </row>
    <row r="574" spans="1:24">
      <c r="A574" s="38"/>
      <c r="B574" s="38"/>
      <c r="C574" s="38"/>
      <c r="D574" s="38"/>
      <c r="E574" s="40"/>
      <c r="F574" s="41"/>
      <c r="G574" s="42"/>
      <c r="H574" s="43"/>
      <c r="I574" s="44"/>
      <c r="J574" s="38"/>
      <c r="K574" s="45"/>
      <c r="L574" s="46"/>
      <c r="M574" s="38"/>
      <c r="N574" s="38"/>
      <c r="O574" s="38"/>
      <c r="P574" s="38"/>
      <c r="Q574" s="38"/>
      <c r="R574" s="48"/>
      <c r="S574" s="48"/>
      <c r="T574" s="48"/>
      <c r="U574" s="52"/>
      <c r="V574" s="50"/>
      <c r="W574" s="51"/>
      <c r="X574" s="56"/>
    </row>
    <row r="575" spans="1:24">
      <c r="A575" s="38"/>
      <c r="B575" s="38"/>
      <c r="C575" s="38"/>
      <c r="D575" s="38"/>
      <c r="E575" s="40"/>
      <c r="F575" s="41"/>
      <c r="G575" s="42"/>
      <c r="H575" s="43"/>
      <c r="I575" s="44"/>
      <c r="J575" s="38"/>
      <c r="K575" s="45"/>
      <c r="L575" s="46"/>
      <c r="M575" s="38"/>
      <c r="N575" s="38"/>
      <c r="O575" s="38"/>
      <c r="P575" s="38"/>
      <c r="Q575" s="38"/>
      <c r="R575" s="48"/>
      <c r="S575" s="48"/>
      <c r="T575" s="48"/>
      <c r="U575" s="52"/>
      <c r="V575" s="50"/>
      <c r="W575" s="51"/>
      <c r="X575" s="56"/>
    </row>
    <row r="576" spans="1:24">
      <c r="A576" s="38"/>
      <c r="B576" s="38"/>
      <c r="C576" s="38"/>
      <c r="D576" s="38"/>
      <c r="E576" s="40"/>
      <c r="F576" s="41"/>
      <c r="G576" s="42"/>
      <c r="H576" s="43"/>
      <c r="I576" s="44"/>
      <c r="J576" s="38"/>
      <c r="K576" s="45"/>
      <c r="L576" s="46"/>
      <c r="M576" s="38"/>
      <c r="N576" s="38"/>
      <c r="O576" s="38"/>
      <c r="P576" s="38"/>
      <c r="Q576" s="38"/>
      <c r="R576" s="48"/>
      <c r="S576" s="48"/>
      <c r="T576" s="48"/>
      <c r="U576" s="52"/>
      <c r="V576" s="50"/>
      <c r="W576" s="51"/>
      <c r="X576" s="56"/>
    </row>
    <row r="577" spans="1:24">
      <c r="A577" s="38"/>
      <c r="B577" s="38"/>
      <c r="C577" s="38"/>
      <c r="D577" s="38"/>
      <c r="E577" s="40"/>
      <c r="F577" s="41"/>
      <c r="G577" s="42"/>
      <c r="H577" s="43"/>
      <c r="I577" s="44"/>
      <c r="J577" s="38"/>
      <c r="K577" s="45"/>
      <c r="L577" s="46"/>
      <c r="M577" s="38"/>
      <c r="N577" s="38"/>
      <c r="O577" s="38"/>
      <c r="P577" s="38"/>
      <c r="Q577" s="38"/>
      <c r="R577" s="48"/>
      <c r="S577" s="48"/>
      <c r="T577" s="48"/>
      <c r="U577" s="52"/>
      <c r="V577" s="50"/>
      <c r="W577" s="51"/>
      <c r="X577" s="56"/>
    </row>
    <row r="578" spans="1:24">
      <c r="A578" s="38"/>
      <c r="B578" s="38"/>
      <c r="C578" s="38"/>
      <c r="D578" s="38"/>
      <c r="E578" s="40"/>
      <c r="F578" s="41"/>
      <c r="G578" s="42"/>
      <c r="H578" s="43"/>
      <c r="I578" s="44"/>
      <c r="J578" s="38"/>
      <c r="K578" s="45"/>
      <c r="L578" s="46"/>
      <c r="M578" s="38"/>
      <c r="N578" s="38"/>
      <c r="O578" s="38"/>
      <c r="P578" s="38"/>
      <c r="Q578" s="38"/>
      <c r="R578" s="48"/>
      <c r="S578" s="48"/>
      <c r="T578" s="48"/>
      <c r="U578" s="52"/>
      <c r="V578" s="50"/>
      <c r="W578" s="51"/>
      <c r="X578" s="56"/>
    </row>
    <row r="579" spans="1:24">
      <c r="A579" s="38"/>
      <c r="B579" s="38"/>
      <c r="C579" s="38"/>
      <c r="D579" s="38"/>
      <c r="E579" s="40"/>
      <c r="F579" s="41"/>
      <c r="G579" s="42"/>
      <c r="H579" s="43"/>
      <c r="I579" s="44"/>
      <c r="J579" s="38"/>
      <c r="K579" s="45"/>
      <c r="L579" s="46"/>
      <c r="M579" s="38"/>
      <c r="N579" s="38"/>
      <c r="O579" s="38"/>
      <c r="P579" s="38"/>
      <c r="Q579" s="38"/>
      <c r="R579" s="48"/>
      <c r="S579" s="48"/>
      <c r="T579" s="48"/>
      <c r="U579" s="52"/>
      <c r="V579" s="50"/>
      <c r="W579" s="51"/>
      <c r="X579" s="56"/>
    </row>
    <row r="580" spans="1:24">
      <c r="A580" s="38"/>
      <c r="B580" s="38"/>
      <c r="C580" s="38"/>
      <c r="D580" s="38"/>
      <c r="E580" s="40"/>
      <c r="F580" s="41"/>
      <c r="G580" s="42"/>
      <c r="H580" s="43"/>
      <c r="I580" s="44"/>
      <c r="J580" s="38"/>
      <c r="K580" s="45"/>
      <c r="L580" s="46"/>
      <c r="M580" s="38"/>
      <c r="N580" s="38"/>
      <c r="O580" s="38"/>
      <c r="P580" s="38"/>
      <c r="Q580" s="38"/>
      <c r="R580" s="48"/>
      <c r="S580" s="48"/>
      <c r="T580" s="48"/>
      <c r="U580" s="52"/>
      <c r="V580" s="50"/>
      <c r="W580" s="51"/>
      <c r="X580" s="56"/>
    </row>
    <row r="581" spans="1:24">
      <c r="A581" s="38"/>
      <c r="B581" s="38"/>
      <c r="C581" s="38"/>
      <c r="D581" s="38"/>
      <c r="E581" s="40"/>
      <c r="F581" s="41"/>
      <c r="G581" s="42"/>
      <c r="H581" s="43"/>
      <c r="I581" s="44"/>
      <c r="J581" s="38"/>
      <c r="K581" s="45"/>
      <c r="L581" s="46"/>
      <c r="M581" s="38"/>
      <c r="N581" s="38"/>
      <c r="O581" s="38"/>
      <c r="P581" s="38"/>
      <c r="Q581" s="38"/>
      <c r="R581" s="48"/>
      <c r="S581" s="48"/>
      <c r="T581" s="48"/>
      <c r="U581" s="52"/>
      <c r="V581" s="50"/>
      <c r="W581" s="51"/>
      <c r="X581" s="56"/>
    </row>
    <row r="582" spans="1:24">
      <c r="A582" s="38"/>
      <c r="B582" s="38"/>
      <c r="C582" s="38"/>
      <c r="D582" s="38"/>
      <c r="E582" s="40"/>
      <c r="F582" s="41"/>
      <c r="G582" s="42"/>
      <c r="H582" s="43"/>
      <c r="I582" s="44"/>
      <c r="J582" s="38"/>
      <c r="K582" s="45"/>
      <c r="L582" s="46"/>
      <c r="M582" s="38"/>
      <c r="N582" s="38"/>
      <c r="O582" s="38"/>
      <c r="P582" s="38"/>
      <c r="Q582" s="38"/>
      <c r="R582" s="48"/>
      <c r="S582" s="48"/>
      <c r="T582" s="48"/>
      <c r="U582" s="52"/>
      <c r="V582" s="50"/>
      <c r="W582" s="51"/>
      <c r="X582" s="56"/>
    </row>
    <row r="583" spans="1:24">
      <c r="A583" s="38"/>
      <c r="B583" s="38"/>
      <c r="C583" s="38"/>
      <c r="D583" s="38"/>
      <c r="E583" s="40"/>
      <c r="F583" s="41"/>
      <c r="G583" s="42"/>
      <c r="H583" s="43"/>
      <c r="I583" s="44"/>
      <c r="J583" s="38"/>
      <c r="K583" s="45"/>
      <c r="L583" s="46"/>
      <c r="M583" s="38"/>
      <c r="N583" s="38"/>
      <c r="O583" s="38"/>
      <c r="P583" s="38"/>
      <c r="Q583" s="38"/>
      <c r="R583" s="48"/>
      <c r="S583" s="48"/>
      <c r="T583" s="48"/>
      <c r="U583" s="52"/>
      <c r="V583" s="50"/>
      <c r="W583" s="51"/>
      <c r="X583" s="56"/>
    </row>
    <row r="584" spans="1:24">
      <c r="A584" s="38"/>
      <c r="B584" s="38"/>
      <c r="C584" s="38"/>
      <c r="D584" s="38"/>
      <c r="E584" s="40"/>
      <c r="F584" s="58"/>
      <c r="G584" s="42"/>
      <c r="H584" s="43"/>
      <c r="I584" s="44"/>
      <c r="J584" s="38"/>
      <c r="K584" s="45"/>
      <c r="L584" s="46"/>
      <c r="M584" s="38"/>
      <c r="N584" s="38"/>
      <c r="O584" s="38"/>
      <c r="P584" s="38"/>
      <c r="Q584" s="38"/>
      <c r="R584" s="48"/>
      <c r="S584" s="48"/>
      <c r="T584" s="48"/>
      <c r="U584" s="52"/>
      <c r="V584" s="50"/>
      <c r="W584" s="51"/>
      <c r="X584" s="56"/>
    </row>
    <row r="585" spans="1:24">
      <c r="A585" s="38"/>
      <c r="B585" s="38"/>
      <c r="C585" s="38"/>
      <c r="D585" s="38"/>
      <c r="E585" s="40"/>
      <c r="F585" s="58"/>
      <c r="G585" s="42"/>
      <c r="H585" s="43"/>
      <c r="I585" s="44"/>
      <c r="J585" s="38"/>
      <c r="K585" s="45"/>
      <c r="L585" s="46"/>
      <c r="M585" s="38"/>
      <c r="N585" s="38"/>
      <c r="O585" s="38"/>
      <c r="P585" s="38"/>
      <c r="Q585" s="38"/>
      <c r="R585" s="48"/>
      <c r="S585" s="48"/>
      <c r="T585" s="48"/>
      <c r="U585" s="52"/>
      <c r="V585" s="50"/>
      <c r="W585" s="51"/>
      <c r="X585" s="56"/>
    </row>
    <row r="586" spans="1:24">
      <c r="A586" s="38"/>
      <c r="B586" s="38"/>
      <c r="C586" s="38"/>
      <c r="D586" s="38"/>
      <c r="E586" s="40"/>
      <c r="F586" s="41"/>
      <c r="G586" s="42"/>
      <c r="H586" s="43"/>
      <c r="I586" s="44"/>
      <c r="J586" s="38"/>
      <c r="K586" s="45"/>
      <c r="L586" s="46"/>
      <c r="M586" s="38"/>
      <c r="N586" s="38"/>
      <c r="O586" s="38"/>
      <c r="P586" s="38"/>
      <c r="Q586" s="38"/>
      <c r="R586" s="48"/>
      <c r="S586" s="48"/>
      <c r="T586" s="48"/>
      <c r="U586" s="52"/>
      <c r="V586" s="50"/>
      <c r="W586" s="51"/>
      <c r="X586" s="56"/>
    </row>
    <row r="587" spans="1:24">
      <c r="A587" s="38"/>
      <c r="B587" s="38"/>
      <c r="C587" s="38"/>
      <c r="D587" s="38"/>
      <c r="E587" s="40"/>
      <c r="F587" s="58"/>
      <c r="G587" s="42"/>
      <c r="H587" s="43"/>
      <c r="I587" s="44"/>
      <c r="J587" s="38"/>
      <c r="K587" s="45"/>
      <c r="L587" s="46"/>
      <c r="M587" s="38"/>
      <c r="N587" s="38"/>
      <c r="O587" s="38"/>
      <c r="P587" s="38"/>
      <c r="Q587" s="38"/>
      <c r="R587" s="48"/>
      <c r="S587" s="48"/>
      <c r="T587" s="48"/>
      <c r="U587" s="52"/>
      <c r="V587" s="50"/>
      <c r="W587" s="51"/>
      <c r="X587" s="56"/>
    </row>
    <row r="588" spans="1:24">
      <c r="A588" s="38"/>
      <c r="B588" s="38"/>
      <c r="C588" s="38"/>
      <c r="D588" s="38"/>
      <c r="E588" s="40"/>
      <c r="F588" s="41"/>
      <c r="G588" s="42"/>
      <c r="H588" s="43"/>
      <c r="I588" s="44"/>
      <c r="J588" s="38"/>
      <c r="K588" s="45"/>
      <c r="L588" s="46"/>
      <c r="M588" s="38"/>
      <c r="N588" s="38"/>
      <c r="O588" s="38"/>
      <c r="P588" s="38"/>
      <c r="Q588" s="38"/>
      <c r="R588" s="48"/>
      <c r="S588" s="48"/>
      <c r="T588" s="48"/>
      <c r="U588" s="52"/>
      <c r="V588" s="50"/>
      <c r="W588" s="51"/>
      <c r="X588" s="56"/>
    </row>
    <row r="589" spans="1:24">
      <c r="A589" s="38"/>
      <c r="B589" s="38"/>
      <c r="C589" s="38"/>
      <c r="D589" s="38"/>
      <c r="E589" s="40"/>
      <c r="F589" s="58"/>
      <c r="G589" s="42"/>
      <c r="H589" s="43"/>
      <c r="I589" s="44"/>
      <c r="J589" s="38"/>
      <c r="K589" s="45"/>
      <c r="L589" s="46"/>
      <c r="M589" s="38"/>
      <c r="N589" s="38"/>
      <c r="O589" s="38"/>
      <c r="P589" s="38"/>
      <c r="Q589" s="38"/>
      <c r="R589" s="48"/>
      <c r="S589" s="48"/>
      <c r="T589" s="48"/>
      <c r="U589" s="52"/>
      <c r="V589" s="50"/>
      <c r="W589" s="51"/>
      <c r="X589" s="56"/>
    </row>
    <row r="590" spans="1:24">
      <c r="A590" s="38"/>
      <c r="B590" s="38"/>
      <c r="C590" s="38"/>
      <c r="D590" s="38"/>
      <c r="E590" s="40"/>
      <c r="F590" s="58"/>
      <c r="G590" s="42"/>
      <c r="H590" s="43"/>
      <c r="I590" s="44"/>
      <c r="J590" s="38"/>
      <c r="K590" s="45"/>
      <c r="L590" s="46"/>
      <c r="M590" s="38"/>
      <c r="N590" s="38"/>
      <c r="O590" s="38"/>
      <c r="P590" s="38"/>
      <c r="Q590" s="38"/>
      <c r="R590" s="48"/>
      <c r="S590" s="48"/>
      <c r="T590" s="48"/>
      <c r="U590" s="52"/>
      <c r="V590" s="50"/>
      <c r="W590" s="51"/>
      <c r="X590" s="56"/>
    </row>
    <row r="591" spans="1:24">
      <c r="A591" s="38"/>
      <c r="B591" s="38"/>
      <c r="C591" s="38"/>
      <c r="D591" s="38"/>
      <c r="E591" s="40"/>
      <c r="F591" s="58"/>
      <c r="G591" s="42"/>
      <c r="H591" s="43"/>
      <c r="I591" s="44"/>
      <c r="J591" s="38"/>
      <c r="K591" s="45"/>
      <c r="L591" s="46"/>
      <c r="M591" s="38"/>
      <c r="N591" s="38"/>
      <c r="O591" s="38"/>
      <c r="P591" s="38"/>
      <c r="Q591" s="38"/>
      <c r="R591" s="48"/>
      <c r="S591" s="48"/>
      <c r="T591" s="48"/>
      <c r="U591" s="52"/>
      <c r="V591" s="50"/>
      <c r="W591" s="51"/>
      <c r="X591" s="56"/>
    </row>
    <row r="592" spans="1:24">
      <c r="A592" s="38"/>
      <c r="B592" s="38"/>
      <c r="C592" s="38"/>
      <c r="D592" s="38"/>
      <c r="E592" s="40"/>
      <c r="F592" s="58"/>
      <c r="G592" s="42"/>
      <c r="H592" s="43"/>
      <c r="I592" s="44"/>
      <c r="J592" s="38"/>
      <c r="K592" s="45"/>
      <c r="L592" s="46"/>
      <c r="M592" s="38"/>
      <c r="N592" s="38"/>
      <c r="O592" s="38"/>
      <c r="P592" s="38"/>
      <c r="Q592" s="38"/>
      <c r="R592" s="48"/>
      <c r="S592" s="48"/>
      <c r="T592" s="48"/>
      <c r="U592" s="52"/>
      <c r="V592" s="50"/>
      <c r="W592" s="51"/>
      <c r="X592" s="56"/>
    </row>
    <row r="593" spans="1:24">
      <c r="A593" s="38"/>
      <c r="B593" s="38"/>
      <c r="C593" s="38"/>
      <c r="D593" s="38"/>
      <c r="E593" s="40"/>
      <c r="F593" s="41"/>
      <c r="G593" s="42"/>
      <c r="H593" s="43"/>
      <c r="I593" s="44"/>
      <c r="J593" s="38"/>
      <c r="K593" s="45"/>
      <c r="L593" s="46"/>
      <c r="M593" s="38"/>
      <c r="N593" s="38"/>
      <c r="O593" s="38"/>
      <c r="P593" s="38"/>
      <c r="Q593" s="38"/>
      <c r="R593" s="48"/>
      <c r="S593" s="48"/>
      <c r="T593" s="48"/>
      <c r="U593" s="52"/>
      <c r="V593" s="50"/>
      <c r="W593" s="51"/>
      <c r="X593" s="56"/>
    </row>
    <row r="594" spans="1:24">
      <c r="A594" s="38"/>
      <c r="B594" s="38"/>
      <c r="C594" s="38"/>
      <c r="D594" s="38"/>
      <c r="E594" s="40"/>
      <c r="F594" s="58"/>
      <c r="G594" s="42"/>
      <c r="H594" s="43"/>
      <c r="I594" s="44"/>
      <c r="J594" s="38"/>
      <c r="K594" s="45"/>
      <c r="L594" s="46"/>
      <c r="M594" s="38"/>
      <c r="N594" s="38"/>
      <c r="O594" s="38"/>
      <c r="P594" s="38"/>
      <c r="Q594" s="38"/>
      <c r="R594" s="48"/>
      <c r="S594" s="48"/>
      <c r="T594" s="48"/>
      <c r="U594" s="52"/>
      <c r="V594" s="50"/>
      <c r="W594" s="51"/>
      <c r="X594" s="56"/>
    </row>
    <row r="595" spans="1:24">
      <c r="A595" s="38"/>
      <c r="B595" s="38"/>
      <c r="C595" s="38"/>
      <c r="D595" s="38"/>
      <c r="E595" s="40"/>
      <c r="F595" s="58"/>
      <c r="G595" s="42"/>
      <c r="H595" s="43"/>
      <c r="I595" s="44"/>
      <c r="J595" s="38"/>
      <c r="K595" s="45"/>
      <c r="L595" s="46"/>
      <c r="M595" s="38"/>
      <c r="N595" s="38"/>
      <c r="O595" s="38"/>
      <c r="P595" s="38"/>
      <c r="Q595" s="38"/>
      <c r="R595" s="48"/>
      <c r="S595" s="48"/>
      <c r="T595" s="48"/>
      <c r="U595" s="52"/>
      <c r="V595" s="50"/>
      <c r="W595" s="51"/>
      <c r="X595" s="56"/>
    </row>
    <row r="596" spans="1:24">
      <c r="A596" s="38"/>
      <c r="B596" s="38"/>
      <c r="C596" s="38"/>
      <c r="D596" s="38"/>
      <c r="E596" s="40"/>
      <c r="F596" s="58"/>
      <c r="G596" s="42"/>
      <c r="H596" s="43"/>
      <c r="I596" s="44"/>
      <c r="J596" s="38"/>
      <c r="K596" s="45"/>
      <c r="L596" s="46"/>
      <c r="M596" s="38"/>
      <c r="N596" s="38"/>
      <c r="O596" s="38"/>
      <c r="P596" s="38"/>
      <c r="Q596" s="38"/>
      <c r="R596" s="48"/>
      <c r="S596" s="48"/>
      <c r="T596" s="48"/>
      <c r="U596" s="52"/>
      <c r="V596" s="50"/>
      <c r="W596" s="51"/>
      <c r="X596" s="56"/>
    </row>
    <row r="597" spans="1:24">
      <c r="A597" s="38"/>
      <c r="B597" s="38"/>
      <c r="C597" s="38"/>
      <c r="D597" s="38"/>
      <c r="E597" s="40"/>
      <c r="F597" s="58"/>
      <c r="G597" s="42"/>
      <c r="H597" s="43"/>
      <c r="I597" s="44"/>
      <c r="J597" s="38"/>
      <c r="K597" s="45"/>
      <c r="L597" s="46"/>
      <c r="M597" s="38"/>
      <c r="N597" s="38"/>
      <c r="O597" s="38"/>
      <c r="P597" s="38"/>
      <c r="Q597" s="38"/>
      <c r="R597" s="48"/>
      <c r="S597" s="48"/>
      <c r="T597" s="48"/>
      <c r="U597" s="52"/>
      <c r="V597" s="50"/>
      <c r="W597" s="51"/>
      <c r="X597" s="56"/>
    </row>
    <row r="598" spans="1:24">
      <c r="A598" s="38"/>
      <c r="B598" s="38"/>
      <c r="C598" s="38"/>
      <c r="D598" s="38"/>
      <c r="E598" s="40"/>
      <c r="F598" s="41"/>
      <c r="G598" s="42"/>
      <c r="H598" s="43"/>
      <c r="I598" s="44"/>
      <c r="J598" s="38"/>
      <c r="K598" s="45"/>
      <c r="L598" s="46"/>
      <c r="M598" s="38"/>
      <c r="N598" s="38"/>
      <c r="O598" s="38"/>
      <c r="P598" s="38"/>
      <c r="Q598" s="38"/>
      <c r="R598" s="48"/>
      <c r="S598" s="48"/>
      <c r="T598" s="48"/>
      <c r="U598" s="52"/>
      <c r="V598" s="50"/>
      <c r="W598" s="51"/>
      <c r="X598" s="56"/>
    </row>
    <row r="599" spans="1:24">
      <c r="A599" s="38"/>
      <c r="B599" s="38"/>
      <c r="C599" s="38"/>
      <c r="D599" s="38"/>
      <c r="E599" s="40"/>
      <c r="F599" s="58"/>
      <c r="G599" s="42"/>
      <c r="H599" s="43"/>
      <c r="I599" s="44"/>
      <c r="J599" s="38"/>
      <c r="K599" s="45"/>
      <c r="L599" s="46"/>
      <c r="M599" s="38"/>
      <c r="N599" s="38"/>
      <c r="O599" s="38"/>
      <c r="P599" s="38"/>
      <c r="Q599" s="38"/>
      <c r="R599" s="48"/>
      <c r="S599" s="48"/>
      <c r="T599" s="48"/>
      <c r="U599" s="52"/>
      <c r="V599" s="50"/>
      <c r="W599" s="51"/>
      <c r="X599" s="56"/>
    </row>
    <row r="600" spans="1:24">
      <c r="A600" s="38"/>
      <c r="B600" s="38"/>
      <c r="C600" s="38"/>
      <c r="D600" s="38"/>
      <c r="E600" s="40"/>
      <c r="F600" s="58"/>
      <c r="G600" s="42"/>
      <c r="H600" s="43"/>
      <c r="I600" s="44"/>
      <c r="J600" s="38"/>
      <c r="K600" s="45"/>
      <c r="L600" s="46"/>
      <c r="M600" s="38"/>
      <c r="N600" s="38"/>
      <c r="O600" s="38"/>
      <c r="P600" s="38"/>
      <c r="Q600" s="38"/>
      <c r="R600" s="48"/>
      <c r="S600" s="48"/>
      <c r="T600" s="48"/>
      <c r="U600" s="52"/>
      <c r="V600" s="50"/>
      <c r="W600" s="51"/>
      <c r="X600" s="56"/>
    </row>
    <row r="601" spans="1:24">
      <c r="A601" s="38"/>
      <c r="B601" s="38"/>
      <c r="C601" s="38"/>
      <c r="D601" s="38"/>
      <c r="E601" s="40"/>
      <c r="F601" s="41"/>
      <c r="G601" s="42"/>
      <c r="H601" s="43"/>
      <c r="I601" s="44"/>
      <c r="J601" s="38"/>
      <c r="K601" s="45"/>
      <c r="L601" s="46"/>
      <c r="M601" s="38"/>
      <c r="N601" s="38"/>
      <c r="O601" s="38"/>
      <c r="P601" s="38"/>
      <c r="Q601" s="38"/>
      <c r="R601" s="48"/>
      <c r="S601" s="48"/>
      <c r="T601" s="48"/>
      <c r="U601" s="52"/>
      <c r="V601" s="50"/>
      <c r="W601" s="51"/>
      <c r="X601" s="56"/>
    </row>
    <row r="602" spans="1:24">
      <c r="A602" s="38"/>
      <c r="B602" s="38"/>
      <c r="C602" s="38"/>
      <c r="D602" s="38"/>
      <c r="E602" s="40"/>
      <c r="F602" s="58"/>
      <c r="G602" s="42"/>
      <c r="H602" s="43"/>
      <c r="I602" s="44"/>
      <c r="J602" s="38"/>
      <c r="K602" s="45"/>
      <c r="L602" s="46"/>
      <c r="M602" s="38"/>
      <c r="N602" s="38"/>
      <c r="O602" s="38"/>
      <c r="P602" s="38"/>
      <c r="Q602" s="38"/>
      <c r="R602" s="48"/>
      <c r="S602" s="48"/>
      <c r="T602" s="48"/>
      <c r="U602" s="52"/>
      <c r="V602" s="50"/>
      <c r="W602" s="51"/>
      <c r="X602" s="56"/>
    </row>
    <row r="603" spans="1:24">
      <c r="A603" s="38"/>
      <c r="B603" s="38"/>
      <c r="C603" s="38"/>
      <c r="D603" s="38"/>
      <c r="E603" s="40"/>
      <c r="F603" s="41"/>
      <c r="G603" s="42"/>
      <c r="H603" s="43"/>
      <c r="I603" s="44"/>
      <c r="J603" s="38"/>
      <c r="K603" s="45"/>
      <c r="L603" s="46"/>
      <c r="M603" s="38"/>
      <c r="N603" s="38"/>
      <c r="O603" s="38"/>
      <c r="P603" s="38"/>
      <c r="Q603" s="38"/>
      <c r="R603" s="48"/>
      <c r="S603" s="48"/>
      <c r="T603" s="48"/>
      <c r="U603" s="52"/>
      <c r="V603" s="50"/>
      <c r="W603" s="51"/>
      <c r="X603" s="56"/>
    </row>
    <row r="604" spans="1:24">
      <c r="A604" s="38"/>
      <c r="B604" s="38"/>
      <c r="C604" s="38"/>
      <c r="D604" s="38"/>
      <c r="E604" s="40"/>
      <c r="F604" s="41"/>
      <c r="G604" s="42"/>
      <c r="H604" s="43"/>
      <c r="I604" s="44"/>
      <c r="J604" s="38"/>
      <c r="K604" s="45"/>
      <c r="L604" s="46"/>
      <c r="M604" s="38"/>
      <c r="N604" s="38"/>
      <c r="O604" s="38"/>
      <c r="P604" s="38"/>
      <c r="Q604" s="38"/>
      <c r="R604" s="48"/>
      <c r="S604" s="48"/>
      <c r="T604" s="48"/>
      <c r="U604" s="52"/>
      <c r="V604" s="50"/>
      <c r="W604" s="51"/>
      <c r="X604" s="56"/>
    </row>
    <row r="605" spans="1:24">
      <c r="A605" s="38"/>
      <c r="B605" s="38"/>
      <c r="C605" s="38"/>
      <c r="D605" s="38"/>
      <c r="E605" s="40"/>
      <c r="F605" s="41"/>
      <c r="G605" s="42"/>
      <c r="H605" s="43"/>
      <c r="I605" s="44"/>
      <c r="J605" s="38"/>
      <c r="K605" s="45"/>
      <c r="L605" s="46"/>
      <c r="M605" s="38"/>
      <c r="N605" s="38"/>
      <c r="O605" s="38"/>
      <c r="P605" s="38"/>
      <c r="Q605" s="38"/>
      <c r="R605" s="48"/>
      <c r="S605" s="48"/>
      <c r="T605" s="48"/>
      <c r="U605" s="52"/>
      <c r="V605" s="50"/>
      <c r="W605" s="51"/>
      <c r="X605" s="56"/>
    </row>
    <row r="606" spans="1:24">
      <c r="A606" s="38"/>
      <c r="B606" s="38"/>
      <c r="C606" s="38"/>
      <c r="D606" s="38"/>
      <c r="E606" s="40"/>
      <c r="F606" s="41"/>
      <c r="G606" s="42"/>
      <c r="H606" s="43"/>
      <c r="I606" s="44"/>
      <c r="J606" s="38"/>
      <c r="K606" s="45"/>
      <c r="L606" s="46"/>
      <c r="M606" s="38"/>
      <c r="N606" s="38"/>
      <c r="O606" s="38"/>
      <c r="P606" s="38"/>
      <c r="Q606" s="38"/>
      <c r="R606" s="48"/>
      <c r="S606" s="48"/>
      <c r="T606" s="48"/>
      <c r="U606" s="52"/>
      <c r="V606" s="50"/>
      <c r="W606" s="51"/>
      <c r="X606" s="56"/>
    </row>
    <row r="607" spans="1:24">
      <c r="A607" s="38"/>
      <c r="B607" s="38"/>
      <c r="C607" s="38"/>
      <c r="D607" s="38"/>
      <c r="E607" s="40"/>
      <c r="F607" s="41"/>
      <c r="G607" s="42"/>
      <c r="H607" s="43"/>
      <c r="I607" s="44"/>
      <c r="J607" s="38"/>
      <c r="K607" s="45"/>
      <c r="L607" s="46"/>
      <c r="M607" s="38"/>
      <c r="N607" s="38"/>
      <c r="O607" s="38"/>
      <c r="P607" s="38"/>
      <c r="Q607" s="38"/>
      <c r="R607" s="48"/>
      <c r="S607" s="48"/>
      <c r="T607" s="48"/>
      <c r="U607" s="52"/>
      <c r="V607" s="50"/>
      <c r="W607" s="51"/>
      <c r="X607" s="56"/>
    </row>
    <row r="608" spans="1:24">
      <c r="A608" s="38"/>
      <c r="B608" s="38"/>
      <c r="C608" s="38"/>
      <c r="D608" s="38"/>
      <c r="E608" s="40"/>
      <c r="F608" s="41"/>
      <c r="G608" s="42"/>
      <c r="H608" s="43"/>
      <c r="I608" s="44"/>
      <c r="J608" s="38"/>
      <c r="K608" s="45"/>
      <c r="L608" s="46"/>
      <c r="M608" s="38"/>
      <c r="N608" s="38"/>
      <c r="O608" s="38"/>
      <c r="P608" s="38"/>
      <c r="Q608" s="38"/>
      <c r="R608" s="48"/>
      <c r="S608" s="48"/>
      <c r="T608" s="48"/>
      <c r="U608" s="52"/>
      <c r="V608" s="50"/>
      <c r="W608" s="51"/>
      <c r="X608" s="56"/>
    </row>
    <row r="609" spans="1:24">
      <c r="A609" s="38"/>
      <c r="B609" s="38"/>
      <c r="C609" s="38"/>
      <c r="D609" s="38"/>
      <c r="E609" s="40"/>
      <c r="F609" s="41"/>
      <c r="G609" s="42"/>
      <c r="H609" s="43"/>
      <c r="I609" s="44"/>
      <c r="J609" s="38"/>
      <c r="K609" s="45"/>
      <c r="L609" s="46"/>
      <c r="M609" s="38"/>
      <c r="N609" s="38"/>
      <c r="O609" s="38"/>
      <c r="P609" s="38"/>
      <c r="Q609" s="38"/>
      <c r="R609" s="48"/>
      <c r="S609" s="48"/>
      <c r="T609" s="48"/>
      <c r="U609" s="52"/>
      <c r="V609" s="50"/>
      <c r="W609" s="51"/>
      <c r="X609" s="56"/>
    </row>
    <row r="610" spans="1:24">
      <c r="A610" s="38"/>
      <c r="B610" s="38"/>
      <c r="C610" s="38"/>
      <c r="D610" s="38"/>
      <c r="E610" s="40"/>
      <c r="F610" s="41"/>
      <c r="G610" s="42"/>
      <c r="H610" s="43"/>
      <c r="I610" s="44"/>
      <c r="J610" s="38"/>
      <c r="K610" s="45"/>
      <c r="L610" s="46"/>
      <c r="M610" s="38"/>
      <c r="N610" s="38"/>
      <c r="O610" s="38"/>
      <c r="P610" s="38"/>
      <c r="Q610" s="38"/>
      <c r="R610" s="48"/>
      <c r="S610" s="48"/>
      <c r="T610" s="48"/>
      <c r="U610" s="52"/>
      <c r="V610" s="50"/>
      <c r="W610" s="51"/>
      <c r="X610" s="56"/>
    </row>
    <row r="611" spans="1:24">
      <c r="A611" s="38"/>
      <c r="B611" s="38"/>
      <c r="C611" s="38"/>
      <c r="D611" s="38"/>
      <c r="E611" s="40"/>
      <c r="F611" s="58"/>
      <c r="G611" s="42"/>
      <c r="H611" s="43"/>
      <c r="I611" s="44"/>
      <c r="J611" s="38"/>
      <c r="K611" s="45"/>
      <c r="L611" s="46"/>
      <c r="M611" s="38"/>
      <c r="N611" s="38"/>
      <c r="O611" s="38"/>
      <c r="P611" s="38"/>
      <c r="Q611" s="38"/>
      <c r="R611" s="48"/>
      <c r="S611" s="48"/>
      <c r="T611" s="48"/>
      <c r="U611" s="52"/>
      <c r="V611" s="50"/>
      <c r="W611" s="51"/>
      <c r="X611" s="56"/>
    </row>
    <row r="612" spans="1:24">
      <c r="A612" s="38"/>
      <c r="B612" s="38"/>
      <c r="C612" s="38"/>
      <c r="D612" s="38"/>
      <c r="E612" s="40"/>
      <c r="F612" s="41"/>
      <c r="G612" s="42"/>
      <c r="H612" s="43"/>
      <c r="I612" s="44"/>
      <c r="J612" s="38"/>
      <c r="K612" s="45"/>
      <c r="L612" s="46"/>
      <c r="M612" s="38"/>
      <c r="N612" s="38"/>
      <c r="O612" s="38"/>
      <c r="P612" s="38"/>
      <c r="Q612" s="38"/>
      <c r="R612" s="48"/>
      <c r="S612" s="48"/>
      <c r="T612" s="48"/>
      <c r="U612" s="52"/>
      <c r="V612" s="50"/>
      <c r="W612" s="51"/>
      <c r="X612" s="56"/>
    </row>
    <row r="613" spans="1:24">
      <c r="A613" s="38"/>
      <c r="B613" s="38"/>
      <c r="C613" s="38"/>
      <c r="D613" s="38"/>
      <c r="E613" s="40"/>
      <c r="F613" s="58"/>
      <c r="G613" s="42"/>
      <c r="H613" s="43"/>
      <c r="I613" s="44"/>
      <c r="J613" s="38"/>
      <c r="K613" s="45"/>
      <c r="L613" s="46"/>
      <c r="M613" s="38"/>
      <c r="N613" s="38"/>
      <c r="O613" s="38"/>
      <c r="P613" s="38"/>
      <c r="Q613" s="38"/>
      <c r="R613" s="48"/>
      <c r="S613" s="48"/>
      <c r="T613" s="48"/>
      <c r="U613" s="52"/>
      <c r="V613" s="50"/>
      <c r="W613" s="51"/>
      <c r="X613" s="56"/>
    </row>
    <row r="614" spans="1:24">
      <c r="A614" s="38"/>
      <c r="B614" s="38"/>
      <c r="C614" s="38"/>
      <c r="D614" s="38"/>
      <c r="E614" s="40"/>
      <c r="F614" s="58"/>
      <c r="G614" s="42"/>
      <c r="H614" s="43"/>
      <c r="I614" s="44"/>
      <c r="J614" s="38"/>
      <c r="K614" s="45"/>
      <c r="L614" s="46"/>
      <c r="M614" s="38"/>
      <c r="N614" s="38"/>
      <c r="O614" s="38"/>
      <c r="P614" s="38"/>
      <c r="Q614" s="38"/>
      <c r="R614" s="48"/>
      <c r="S614" s="48"/>
      <c r="T614" s="48"/>
      <c r="U614" s="52"/>
      <c r="V614" s="50"/>
      <c r="W614" s="51"/>
      <c r="X614" s="56"/>
    </row>
    <row r="615" spans="1:24">
      <c r="A615" s="38"/>
      <c r="B615" s="38"/>
      <c r="C615" s="38"/>
      <c r="D615" s="38"/>
      <c r="E615" s="40"/>
      <c r="F615" s="41"/>
      <c r="G615" s="42"/>
      <c r="H615" s="43"/>
      <c r="I615" s="44"/>
      <c r="J615" s="38"/>
      <c r="K615" s="45"/>
      <c r="L615" s="46"/>
      <c r="M615" s="38"/>
      <c r="N615" s="38"/>
      <c r="O615" s="38"/>
      <c r="P615" s="38"/>
      <c r="Q615" s="38"/>
      <c r="R615" s="48"/>
      <c r="S615" s="48"/>
      <c r="T615" s="48"/>
      <c r="U615" s="52"/>
      <c r="V615" s="50"/>
      <c r="W615" s="51"/>
      <c r="X615" s="56"/>
    </row>
    <row r="616" spans="1:24">
      <c r="A616" s="38"/>
      <c r="B616" s="38"/>
      <c r="C616" s="38"/>
      <c r="D616" s="38"/>
      <c r="E616" s="40"/>
      <c r="F616" s="61"/>
      <c r="G616" s="42"/>
      <c r="H616" s="43"/>
      <c r="I616" s="44"/>
      <c r="J616" s="38"/>
      <c r="K616" s="45"/>
      <c r="L616" s="46"/>
      <c r="M616" s="38"/>
      <c r="N616" s="38"/>
      <c r="O616" s="38"/>
      <c r="P616" s="38"/>
      <c r="Q616" s="38"/>
      <c r="R616" s="48"/>
      <c r="S616" s="48"/>
      <c r="T616" s="48"/>
      <c r="U616" s="52"/>
      <c r="V616" s="50"/>
      <c r="W616" s="51"/>
      <c r="X616" s="56"/>
    </row>
    <row r="617" spans="1:24">
      <c r="A617" s="38"/>
      <c r="B617" s="38"/>
      <c r="C617" s="38"/>
      <c r="D617" s="38"/>
      <c r="E617" s="40"/>
      <c r="F617" s="61"/>
      <c r="G617" s="42"/>
      <c r="H617" s="43"/>
      <c r="I617" s="44"/>
      <c r="J617" s="38"/>
      <c r="K617" s="45"/>
      <c r="L617" s="46"/>
      <c r="M617" s="38"/>
      <c r="N617" s="38"/>
      <c r="O617" s="38"/>
      <c r="P617" s="38"/>
      <c r="Q617" s="38"/>
      <c r="R617" s="48"/>
      <c r="S617" s="48"/>
      <c r="T617" s="48"/>
      <c r="U617" s="52"/>
      <c r="V617" s="50"/>
      <c r="W617" s="51"/>
      <c r="X617" s="56"/>
    </row>
    <row r="618" spans="1:24">
      <c r="A618" s="38"/>
      <c r="B618" s="38"/>
      <c r="C618" s="38"/>
      <c r="D618" s="38"/>
      <c r="E618" s="40"/>
      <c r="F618" s="41"/>
      <c r="G618" s="42"/>
      <c r="H618" s="43"/>
      <c r="I618" s="44"/>
      <c r="J618" s="38"/>
      <c r="K618" s="45"/>
      <c r="L618" s="46"/>
      <c r="M618" s="38"/>
      <c r="N618" s="38"/>
      <c r="O618" s="38"/>
      <c r="P618" s="38"/>
      <c r="Q618" s="38"/>
      <c r="R618" s="48"/>
      <c r="S618" s="48"/>
      <c r="T618" s="48"/>
      <c r="U618" s="52"/>
      <c r="V618" s="50"/>
      <c r="W618" s="51"/>
      <c r="X618" s="56"/>
    </row>
    <row r="619" spans="1:24">
      <c r="A619" s="38"/>
      <c r="B619" s="38"/>
      <c r="C619" s="38"/>
      <c r="D619" s="38"/>
      <c r="E619" s="40"/>
      <c r="F619" s="41"/>
      <c r="G619" s="42"/>
      <c r="H619" s="43"/>
      <c r="I619" s="44"/>
      <c r="J619" s="38"/>
      <c r="K619" s="45"/>
      <c r="L619" s="46"/>
      <c r="M619" s="38"/>
      <c r="N619" s="38"/>
      <c r="O619" s="38"/>
      <c r="P619" s="38"/>
      <c r="Q619" s="38"/>
      <c r="R619" s="48"/>
      <c r="S619" s="48"/>
      <c r="T619" s="48"/>
      <c r="U619" s="52"/>
      <c r="V619" s="50"/>
      <c r="W619" s="51"/>
      <c r="X619" s="56"/>
    </row>
    <row r="620" spans="1:24">
      <c r="A620" s="38"/>
      <c r="B620" s="38"/>
      <c r="C620" s="38"/>
      <c r="D620" s="38"/>
      <c r="E620" s="40"/>
      <c r="F620" s="61"/>
      <c r="G620" s="42"/>
      <c r="H620" s="43"/>
      <c r="I620" s="44"/>
      <c r="J620" s="38"/>
      <c r="K620" s="45"/>
      <c r="L620" s="46"/>
      <c r="M620" s="38"/>
      <c r="N620" s="38"/>
      <c r="O620" s="38"/>
      <c r="P620" s="38"/>
      <c r="Q620" s="38"/>
      <c r="R620" s="48"/>
      <c r="S620" s="48"/>
      <c r="T620" s="48"/>
      <c r="U620" s="52"/>
      <c r="V620" s="50"/>
      <c r="W620" s="51"/>
      <c r="X620" s="56"/>
    </row>
    <row r="621" spans="1:24">
      <c r="A621" s="38"/>
      <c r="B621" s="38"/>
      <c r="C621" s="38"/>
      <c r="D621" s="38"/>
      <c r="E621" s="40"/>
      <c r="F621" s="41"/>
      <c r="G621" s="42"/>
      <c r="H621" s="43"/>
      <c r="I621" s="44"/>
      <c r="J621" s="38"/>
      <c r="K621" s="45"/>
      <c r="L621" s="46"/>
      <c r="M621" s="38"/>
      <c r="N621" s="38"/>
      <c r="O621" s="38"/>
      <c r="P621" s="38"/>
      <c r="Q621" s="38"/>
      <c r="R621" s="48"/>
      <c r="S621" s="48"/>
      <c r="T621" s="48"/>
      <c r="U621" s="52"/>
      <c r="V621" s="50"/>
      <c r="W621" s="51"/>
      <c r="X621" s="56"/>
    </row>
    <row r="622" spans="1:24">
      <c r="A622" s="38"/>
      <c r="B622" s="38"/>
      <c r="C622" s="38"/>
      <c r="D622" s="38"/>
      <c r="E622" s="40"/>
      <c r="F622" s="58"/>
      <c r="G622" s="42"/>
      <c r="H622" s="43"/>
      <c r="I622" s="44"/>
      <c r="J622" s="38"/>
      <c r="K622" s="45"/>
      <c r="L622" s="46"/>
      <c r="M622" s="38"/>
      <c r="N622" s="38"/>
      <c r="O622" s="38"/>
      <c r="P622" s="38"/>
      <c r="Q622" s="38"/>
      <c r="R622" s="48"/>
      <c r="S622" s="48"/>
      <c r="T622" s="48"/>
      <c r="U622" s="52"/>
      <c r="V622" s="50"/>
      <c r="W622" s="51"/>
      <c r="X622" s="56"/>
    </row>
    <row r="623" spans="1:24">
      <c r="A623" s="38"/>
      <c r="B623" s="38"/>
      <c r="C623" s="38"/>
      <c r="D623" s="38"/>
      <c r="E623" s="40"/>
      <c r="F623" s="41"/>
      <c r="G623" s="42"/>
      <c r="H623" s="43"/>
      <c r="I623" s="44"/>
      <c r="J623" s="38"/>
      <c r="K623" s="45"/>
      <c r="L623" s="46"/>
      <c r="M623" s="38"/>
      <c r="N623" s="38"/>
      <c r="O623" s="38"/>
      <c r="P623" s="38"/>
      <c r="Q623" s="38"/>
      <c r="R623" s="48"/>
      <c r="S623" s="48"/>
      <c r="T623" s="48"/>
      <c r="U623" s="52"/>
      <c r="V623" s="50"/>
      <c r="W623" s="51"/>
      <c r="X623" s="56"/>
    </row>
    <row r="624" spans="1:24">
      <c r="A624" s="38"/>
      <c r="B624" s="38"/>
      <c r="C624" s="38"/>
      <c r="D624" s="38"/>
      <c r="E624" s="40"/>
      <c r="F624" s="41"/>
      <c r="G624" s="42"/>
      <c r="H624" s="43"/>
      <c r="I624" s="44"/>
      <c r="J624" s="38"/>
      <c r="K624" s="45"/>
      <c r="L624" s="46"/>
      <c r="M624" s="38"/>
      <c r="N624" s="38"/>
      <c r="O624" s="38"/>
      <c r="P624" s="38"/>
      <c r="Q624" s="38"/>
      <c r="R624" s="48"/>
      <c r="S624" s="48"/>
      <c r="T624" s="48"/>
      <c r="U624" s="52"/>
      <c r="V624" s="50"/>
      <c r="W624" s="51"/>
      <c r="X624" s="56"/>
    </row>
    <row r="625" spans="1:24">
      <c r="A625" s="38"/>
      <c r="B625" s="38"/>
      <c r="C625" s="38"/>
      <c r="D625" s="38"/>
      <c r="E625" s="40"/>
      <c r="F625" s="41"/>
      <c r="G625" s="42"/>
      <c r="H625" s="43"/>
      <c r="I625" s="44"/>
      <c r="J625" s="38"/>
      <c r="K625" s="45"/>
      <c r="L625" s="46"/>
      <c r="M625" s="38"/>
      <c r="N625" s="38"/>
      <c r="O625" s="38"/>
      <c r="P625" s="38"/>
      <c r="Q625" s="38"/>
      <c r="R625" s="48"/>
      <c r="S625" s="48"/>
      <c r="T625" s="48"/>
      <c r="U625" s="52"/>
      <c r="V625" s="50"/>
      <c r="W625" s="51"/>
      <c r="X625" s="56"/>
    </row>
    <row r="626" spans="1:24">
      <c r="A626" s="38"/>
      <c r="B626" s="38"/>
      <c r="C626" s="38"/>
      <c r="D626" s="38"/>
      <c r="E626" s="40"/>
      <c r="F626" s="41"/>
      <c r="G626" s="42"/>
      <c r="H626" s="43"/>
      <c r="I626" s="44"/>
      <c r="J626" s="38"/>
      <c r="K626" s="45"/>
      <c r="L626" s="46"/>
      <c r="M626" s="38"/>
      <c r="N626" s="38"/>
      <c r="O626" s="38"/>
      <c r="P626" s="38"/>
      <c r="Q626" s="38"/>
      <c r="R626" s="48"/>
      <c r="S626" s="48"/>
      <c r="T626" s="48"/>
      <c r="U626" s="52"/>
      <c r="V626" s="50"/>
      <c r="W626" s="51"/>
      <c r="X626" s="56"/>
    </row>
    <row r="627" spans="1:24">
      <c r="A627" s="38"/>
      <c r="B627" s="38"/>
      <c r="C627" s="38"/>
      <c r="D627" s="38"/>
      <c r="E627" s="40"/>
      <c r="F627" s="41"/>
      <c r="G627" s="42"/>
      <c r="H627" s="43"/>
      <c r="I627" s="44"/>
      <c r="J627" s="38"/>
      <c r="K627" s="45"/>
      <c r="L627" s="46"/>
      <c r="M627" s="38"/>
      <c r="N627" s="38"/>
      <c r="O627" s="38"/>
      <c r="P627" s="38"/>
      <c r="Q627" s="38"/>
      <c r="R627" s="48"/>
      <c r="S627" s="48"/>
      <c r="T627" s="48"/>
      <c r="U627" s="52"/>
      <c r="V627" s="50"/>
      <c r="W627" s="51"/>
      <c r="X627" s="56"/>
    </row>
    <row r="628" spans="1:24">
      <c r="A628" s="38"/>
      <c r="B628" s="38"/>
      <c r="C628" s="38"/>
      <c r="D628" s="38"/>
      <c r="E628" s="40"/>
      <c r="F628" s="61"/>
      <c r="G628" s="42"/>
      <c r="H628" s="43"/>
      <c r="I628" s="44"/>
      <c r="J628" s="38"/>
      <c r="K628" s="45"/>
      <c r="L628" s="46"/>
      <c r="M628" s="38"/>
      <c r="N628" s="38"/>
      <c r="O628" s="38"/>
      <c r="P628" s="38"/>
      <c r="Q628" s="38"/>
      <c r="R628" s="48"/>
      <c r="S628" s="48"/>
      <c r="T628" s="48"/>
      <c r="U628" s="52"/>
      <c r="V628" s="50"/>
      <c r="W628" s="51"/>
      <c r="X628" s="56"/>
    </row>
    <row r="629" spans="1:24">
      <c r="A629" s="38"/>
      <c r="B629" s="38"/>
      <c r="C629" s="38"/>
      <c r="D629" s="38"/>
      <c r="E629" s="40"/>
      <c r="F629" s="41"/>
      <c r="G629" s="42"/>
      <c r="H629" s="43"/>
      <c r="I629" s="44"/>
      <c r="J629" s="38"/>
      <c r="K629" s="45"/>
      <c r="L629" s="46"/>
      <c r="M629" s="38"/>
      <c r="N629" s="38"/>
      <c r="O629" s="38"/>
      <c r="P629" s="38"/>
      <c r="Q629" s="38"/>
      <c r="R629" s="48"/>
      <c r="S629" s="48"/>
      <c r="T629" s="48"/>
      <c r="U629" s="52"/>
      <c r="V629" s="50"/>
      <c r="W629" s="51"/>
      <c r="X629" s="56"/>
    </row>
    <row r="630" spans="1:24">
      <c r="A630" s="38"/>
      <c r="B630" s="38"/>
      <c r="C630" s="38"/>
      <c r="D630" s="38"/>
      <c r="E630" s="40"/>
      <c r="F630" s="58"/>
      <c r="G630" s="42"/>
      <c r="H630" s="43"/>
      <c r="I630" s="44"/>
      <c r="J630" s="38"/>
      <c r="K630" s="45"/>
      <c r="L630" s="46"/>
      <c r="M630" s="38"/>
      <c r="N630" s="38"/>
      <c r="O630" s="38"/>
      <c r="P630" s="38"/>
      <c r="Q630" s="38"/>
      <c r="R630" s="48"/>
      <c r="S630" s="48"/>
      <c r="T630" s="48"/>
      <c r="U630" s="52"/>
      <c r="V630" s="50"/>
      <c r="W630" s="51"/>
      <c r="X630" s="56"/>
    </row>
    <row r="631" spans="1:24">
      <c r="A631" s="38"/>
      <c r="B631" s="38"/>
      <c r="C631" s="38"/>
      <c r="D631" s="38"/>
      <c r="E631" s="40"/>
      <c r="F631" s="58"/>
      <c r="G631" s="42"/>
      <c r="H631" s="43"/>
      <c r="I631" s="44"/>
      <c r="J631" s="38"/>
      <c r="K631" s="45"/>
      <c r="L631" s="46"/>
      <c r="M631" s="38"/>
      <c r="N631" s="38"/>
      <c r="O631" s="38"/>
      <c r="P631" s="38"/>
      <c r="Q631" s="38"/>
      <c r="R631" s="48"/>
      <c r="S631" s="48"/>
      <c r="T631" s="48"/>
      <c r="U631" s="52"/>
      <c r="V631" s="50"/>
      <c r="W631" s="51"/>
      <c r="X631" s="56"/>
    </row>
    <row r="632" spans="1:24">
      <c r="A632" s="38"/>
      <c r="B632" s="38"/>
      <c r="C632" s="38"/>
      <c r="D632" s="38"/>
      <c r="E632" s="40"/>
      <c r="F632" s="41"/>
      <c r="G632" s="42"/>
      <c r="H632" s="43"/>
      <c r="I632" s="44"/>
      <c r="J632" s="38"/>
      <c r="K632" s="45"/>
      <c r="L632" s="46"/>
      <c r="M632" s="38"/>
      <c r="N632" s="38"/>
      <c r="O632" s="38"/>
      <c r="P632" s="38"/>
      <c r="Q632" s="38"/>
      <c r="R632" s="48"/>
      <c r="S632" s="48"/>
      <c r="T632" s="48"/>
      <c r="U632" s="52"/>
      <c r="V632" s="50"/>
      <c r="W632" s="51"/>
      <c r="X632" s="56"/>
    </row>
    <row r="633" spans="1:24">
      <c r="A633" s="38"/>
      <c r="B633" s="38"/>
      <c r="C633" s="38"/>
      <c r="D633" s="38"/>
      <c r="E633" s="40"/>
      <c r="F633" s="41"/>
      <c r="G633" s="42"/>
      <c r="H633" s="43"/>
      <c r="I633" s="44"/>
      <c r="J633" s="38"/>
      <c r="K633" s="45"/>
      <c r="L633" s="46"/>
      <c r="M633" s="38"/>
      <c r="N633" s="38"/>
      <c r="O633" s="38"/>
      <c r="P633" s="38"/>
      <c r="Q633" s="38"/>
      <c r="R633" s="48"/>
      <c r="S633" s="48"/>
      <c r="T633" s="48"/>
      <c r="U633" s="52"/>
      <c r="V633" s="50"/>
      <c r="W633" s="51"/>
      <c r="X633" s="56"/>
    </row>
    <row r="634" spans="1:24">
      <c r="A634" s="38"/>
      <c r="B634" s="38"/>
      <c r="C634" s="38"/>
      <c r="D634" s="38"/>
      <c r="E634" s="40"/>
      <c r="F634" s="58"/>
      <c r="G634" s="42"/>
      <c r="H634" s="43"/>
      <c r="I634" s="44"/>
      <c r="J634" s="38"/>
      <c r="K634" s="45"/>
      <c r="L634" s="46"/>
      <c r="M634" s="38"/>
      <c r="N634" s="38"/>
      <c r="O634" s="38"/>
      <c r="P634" s="38"/>
      <c r="Q634" s="38"/>
      <c r="R634" s="48"/>
      <c r="S634" s="48"/>
      <c r="T634" s="48"/>
      <c r="U634" s="52"/>
      <c r="V634" s="50"/>
      <c r="W634" s="51"/>
      <c r="X634" s="56"/>
    </row>
    <row r="635" spans="1:24">
      <c r="A635" s="38"/>
      <c r="B635" s="38"/>
      <c r="C635" s="38"/>
      <c r="D635" s="38"/>
      <c r="E635" s="40"/>
      <c r="F635" s="41"/>
      <c r="G635" s="42"/>
      <c r="H635" s="43"/>
      <c r="I635" s="44"/>
      <c r="J635" s="38"/>
      <c r="K635" s="45"/>
      <c r="L635" s="46"/>
      <c r="M635" s="38"/>
      <c r="N635" s="38"/>
      <c r="O635" s="38"/>
      <c r="P635" s="38"/>
      <c r="Q635" s="38"/>
      <c r="R635" s="48"/>
      <c r="S635" s="48"/>
      <c r="T635" s="48"/>
      <c r="U635" s="52"/>
      <c r="V635" s="50"/>
      <c r="W635" s="51"/>
      <c r="X635" s="56"/>
    </row>
    <row r="636" spans="1:24">
      <c r="A636" s="38"/>
      <c r="B636" s="38"/>
      <c r="C636" s="38"/>
      <c r="D636" s="38"/>
      <c r="E636" s="40"/>
      <c r="F636" s="58"/>
      <c r="G636" s="42"/>
      <c r="H636" s="43"/>
      <c r="I636" s="44"/>
      <c r="J636" s="38"/>
      <c r="K636" s="45"/>
      <c r="L636" s="46"/>
      <c r="M636" s="38"/>
      <c r="N636" s="38"/>
      <c r="O636" s="38"/>
      <c r="P636" s="38"/>
      <c r="Q636" s="38"/>
      <c r="R636" s="48"/>
      <c r="S636" s="48"/>
      <c r="T636" s="48"/>
      <c r="U636" s="52"/>
      <c r="V636" s="50"/>
      <c r="W636" s="51"/>
      <c r="X636" s="56"/>
    </row>
    <row r="637" spans="1:24">
      <c r="A637" s="38"/>
      <c r="B637" s="38"/>
      <c r="C637" s="38"/>
      <c r="D637" s="38"/>
      <c r="E637" s="40"/>
      <c r="F637" s="41"/>
      <c r="G637" s="42"/>
      <c r="H637" s="43"/>
      <c r="I637" s="44"/>
      <c r="J637" s="38"/>
      <c r="K637" s="45"/>
      <c r="L637" s="46"/>
      <c r="M637" s="38"/>
      <c r="N637" s="38"/>
      <c r="O637" s="38"/>
      <c r="P637" s="38"/>
      <c r="Q637" s="38"/>
      <c r="R637" s="48"/>
      <c r="S637" s="48"/>
      <c r="T637" s="48"/>
      <c r="U637" s="52"/>
      <c r="V637" s="50"/>
      <c r="W637" s="51"/>
      <c r="X637" s="56"/>
    </row>
    <row r="638" spans="1:24">
      <c r="A638" s="38"/>
      <c r="B638" s="38"/>
      <c r="C638" s="38"/>
      <c r="D638" s="38"/>
      <c r="E638" s="40"/>
      <c r="F638" s="58"/>
      <c r="G638" s="42"/>
      <c r="H638" s="43"/>
      <c r="I638" s="44"/>
      <c r="J638" s="38"/>
      <c r="K638" s="45"/>
      <c r="L638" s="46"/>
      <c r="M638" s="38"/>
      <c r="N638" s="38"/>
      <c r="O638" s="38"/>
      <c r="P638" s="38"/>
      <c r="Q638" s="38"/>
      <c r="R638" s="48"/>
      <c r="S638" s="48"/>
      <c r="T638" s="48"/>
      <c r="U638" s="52"/>
      <c r="V638" s="50"/>
      <c r="W638" s="51"/>
      <c r="X638" s="56"/>
    </row>
    <row r="639" spans="1:24">
      <c r="A639" s="38"/>
      <c r="B639" s="38"/>
      <c r="C639" s="38"/>
      <c r="D639" s="38"/>
      <c r="E639" s="40"/>
      <c r="F639" s="61"/>
      <c r="G639" s="42"/>
      <c r="H639" s="43"/>
      <c r="I639" s="44"/>
      <c r="J639" s="38"/>
      <c r="K639" s="45"/>
      <c r="L639" s="46"/>
      <c r="M639" s="38"/>
      <c r="N639" s="38"/>
      <c r="O639" s="38"/>
      <c r="P639" s="38"/>
      <c r="Q639" s="38"/>
      <c r="R639" s="48"/>
      <c r="S639" s="48"/>
      <c r="T639" s="48"/>
      <c r="U639" s="52"/>
      <c r="V639" s="50"/>
      <c r="W639" s="51"/>
      <c r="X639" s="56"/>
    </row>
    <row r="640" spans="1:24">
      <c r="A640" s="38"/>
      <c r="B640" s="38"/>
      <c r="C640" s="38"/>
      <c r="D640" s="38"/>
      <c r="E640" s="40"/>
      <c r="F640" s="41"/>
      <c r="G640" s="42"/>
      <c r="H640" s="43"/>
      <c r="I640" s="44"/>
      <c r="J640" s="38"/>
      <c r="K640" s="45"/>
      <c r="L640" s="46"/>
      <c r="M640" s="38"/>
      <c r="N640" s="38"/>
      <c r="O640" s="38"/>
      <c r="P640" s="38"/>
      <c r="Q640" s="38"/>
      <c r="R640" s="48"/>
      <c r="S640" s="48"/>
      <c r="T640" s="48"/>
      <c r="U640" s="52"/>
      <c r="V640" s="50"/>
      <c r="W640" s="51"/>
      <c r="X640" s="56"/>
    </row>
    <row r="641" spans="1:24">
      <c r="A641" s="38"/>
      <c r="B641" s="38"/>
      <c r="C641" s="38"/>
      <c r="D641" s="38"/>
      <c r="E641" s="40"/>
      <c r="F641" s="41"/>
      <c r="G641" s="42"/>
      <c r="H641" s="43"/>
      <c r="I641" s="44"/>
      <c r="J641" s="38"/>
      <c r="K641" s="45"/>
      <c r="L641" s="46"/>
      <c r="M641" s="38"/>
      <c r="N641" s="38"/>
      <c r="O641" s="38"/>
      <c r="P641" s="38"/>
      <c r="Q641" s="38"/>
      <c r="R641" s="48"/>
      <c r="S641" s="48"/>
      <c r="T641" s="48"/>
      <c r="U641" s="52"/>
      <c r="V641" s="50"/>
      <c r="W641" s="51"/>
      <c r="X641" s="56"/>
    </row>
    <row r="642" spans="1:24">
      <c r="A642" s="38"/>
      <c r="B642" s="38"/>
      <c r="C642" s="38"/>
      <c r="D642" s="38"/>
      <c r="E642" s="40"/>
      <c r="F642" s="41"/>
      <c r="G642" s="42"/>
      <c r="H642" s="43"/>
      <c r="I642" s="44"/>
      <c r="J642" s="38"/>
      <c r="K642" s="45"/>
      <c r="L642" s="46"/>
      <c r="M642" s="38"/>
      <c r="N642" s="38"/>
      <c r="O642" s="38"/>
      <c r="P642" s="38"/>
      <c r="Q642" s="38"/>
      <c r="R642" s="48"/>
      <c r="S642" s="48"/>
      <c r="T642" s="48"/>
      <c r="U642" s="52"/>
      <c r="V642" s="50"/>
      <c r="W642" s="51"/>
      <c r="X642" s="56"/>
    </row>
    <row r="643" spans="1:24">
      <c r="A643" s="38"/>
      <c r="B643" s="38"/>
      <c r="C643" s="38"/>
      <c r="D643" s="38"/>
      <c r="E643" s="40"/>
      <c r="F643" s="41"/>
      <c r="G643" s="42"/>
      <c r="H643" s="43"/>
      <c r="I643" s="44"/>
      <c r="J643" s="38"/>
      <c r="K643" s="45"/>
      <c r="L643" s="46"/>
      <c r="M643" s="38"/>
      <c r="N643" s="38"/>
      <c r="O643" s="38"/>
      <c r="P643" s="38"/>
      <c r="Q643" s="38"/>
      <c r="R643" s="48"/>
      <c r="S643" s="48"/>
      <c r="T643" s="48"/>
      <c r="U643" s="52"/>
      <c r="V643" s="50"/>
      <c r="W643" s="51"/>
      <c r="X643" s="56"/>
    </row>
    <row r="644" spans="1:24">
      <c r="A644" s="38"/>
      <c r="B644" s="38"/>
      <c r="C644" s="38"/>
      <c r="D644" s="38"/>
      <c r="E644" s="40"/>
      <c r="F644" s="41"/>
      <c r="G644" s="42"/>
      <c r="H644" s="43"/>
      <c r="I644" s="44"/>
      <c r="J644" s="38"/>
      <c r="K644" s="45"/>
      <c r="L644" s="46"/>
      <c r="M644" s="38"/>
      <c r="N644" s="38"/>
      <c r="O644" s="38"/>
      <c r="P644" s="38"/>
      <c r="Q644" s="38"/>
      <c r="R644" s="48"/>
      <c r="S644" s="48"/>
      <c r="T644" s="48"/>
      <c r="U644" s="52"/>
      <c r="V644" s="50"/>
      <c r="W644" s="51"/>
      <c r="X644" s="56"/>
    </row>
    <row r="645" spans="1:24">
      <c r="A645" s="38"/>
      <c r="B645" s="38"/>
      <c r="C645" s="38"/>
      <c r="D645" s="38"/>
      <c r="E645" s="40"/>
      <c r="F645" s="41"/>
      <c r="G645" s="42"/>
      <c r="H645" s="43"/>
      <c r="I645" s="44"/>
      <c r="J645" s="38"/>
      <c r="K645" s="45"/>
      <c r="L645" s="46"/>
      <c r="M645" s="38"/>
      <c r="N645" s="38"/>
      <c r="O645" s="38"/>
      <c r="P645" s="38"/>
      <c r="Q645" s="38"/>
      <c r="R645" s="48"/>
      <c r="S645" s="48"/>
      <c r="T645" s="48"/>
      <c r="U645" s="52"/>
      <c r="V645" s="50"/>
      <c r="W645" s="51"/>
      <c r="X645" s="56"/>
    </row>
    <row r="646" spans="1:24">
      <c r="A646" s="38"/>
      <c r="B646" s="38"/>
      <c r="C646" s="38"/>
      <c r="D646" s="38"/>
      <c r="E646" s="40"/>
      <c r="F646" s="41"/>
      <c r="G646" s="42"/>
      <c r="H646" s="43"/>
      <c r="I646" s="44"/>
      <c r="J646" s="38"/>
      <c r="K646" s="45"/>
      <c r="L646" s="46"/>
      <c r="M646" s="38"/>
      <c r="N646" s="38"/>
      <c r="O646" s="38"/>
      <c r="P646" s="38"/>
      <c r="Q646" s="38"/>
      <c r="R646" s="48"/>
      <c r="S646" s="48"/>
      <c r="T646" s="48"/>
      <c r="U646" s="52"/>
      <c r="V646" s="50"/>
      <c r="W646" s="51"/>
      <c r="X646" s="56"/>
    </row>
    <row r="647" spans="1:24">
      <c r="A647" s="38"/>
      <c r="B647" s="38"/>
      <c r="C647" s="38"/>
      <c r="D647" s="38"/>
      <c r="E647" s="40"/>
      <c r="F647" s="41"/>
      <c r="G647" s="42"/>
      <c r="H647" s="43"/>
      <c r="I647" s="44"/>
      <c r="J647" s="38"/>
      <c r="K647" s="45"/>
      <c r="L647" s="46"/>
      <c r="M647" s="38"/>
      <c r="N647" s="38"/>
      <c r="O647" s="38"/>
      <c r="P647" s="38"/>
      <c r="Q647" s="38"/>
      <c r="R647" s="48"/>
      <c r="S647" s="48"/>
      <c r="T647" s="48"/>
      <c r="U647" s="52"/>
      <c r="V647" s="50"/>
      <c r="W647" s="51"/>
      <c r="X647" s="56"/>
    </row>
    <row r="648" spans="1:24">
      <c r="A648" s="38"/>
      <c r="B648" s="38"/>
      <c r="C648" s="38"/>
      <c r="D648" s="38"/>
      <c r="E648" s="40"/>
      <c r="F648" s="41"/>
      <c r="G648" s="42"/>
      <c r="H648" s="43"/>
      <c r="I648" s="44"/>
      <c r="J648" s="38"/>
      <c r="K648" s="45"/>
      <c r="L648" s="46"/>
      <c r="M648" s="38"/>
      <c r="N648" s="38"/>
      <c r="O648" s="38"/>
      <c r="P648" s="38"/>
      <c r="Q648" s="38"/>
      <c r="R648" s="48"/>
      <c r="S648" s="48"/>
      <c r="T648" s="48"/>
      <c r="U648" s="52"/>
      <c r="V648" s="50"/>
      <c r="W648" s="51"/>
      <c r="X648" s="56"/>
    </row>
    <row r="649" spans="1:24">
      <c r="A649" s="38"/>
      <c r="B649" s="38"/>
      <c r="C649" s="38"/>
      <c r="D649" s="38"/>
      <c r="E649" s="40"/>
      <c r="F649" s="61"/>
      <c r="G649" s="42"/>
      <c r="H649" s="43"/>
      <c r="I649" s="44"/>
      <c r="J649" s="38"/>
      <c r="K649" s="45"/>
      <c r="L649" s="46"/>
      <c r="M649" s="38"/>
      <c r="N649" s="38"/>
      <c r="O649" s="38"/>
      <c r="P649" s="38"/>
      <c r="Q649" s="38"/>
      <c r="R649" s="48"/>
      <c r="S649" s="48"/>
      <c r="T649" s="48"/>
      <c r="U649" s="52"/>
      <c r="V649" s="50"/>
      <c r="W649" s="51"/>
      <c r="X649" s="56"/>
    </row>
    <row r="650" spans="1:24">
      <c r="A650" s="38"/>
      <c r="B650" s="38"/>
      <c r="C650" s="38"/>
      <c r="D650" s="38"/>
      <c r="E650" s="40"/>
      <c r="F650" s="41"/>
      <c r="G650" s="42"/>
      <c r="H650" s="43"/>
      <c r="I650" s="44"/>
      <c r="J650" s="38"/>
      <c r="K650" s="45"/>
      <c r="L650" s="46"/>
      <c r="M650" s="38"/>
      <c r="N650" s="38"/>
      <c r="O650" s="38"/>
      <c r="P650" s="38"/>
      <c r="Q650" s="38"/>
      <c r="R650" s="48"/>
      <c r="S650" s="48"/>
      <c r="T650" s="48"/>
      <c r="U650" s="52"/>
      <c r="V650" s="50"/>
      <c r="W650" s="51"/>
      <c r="X650" s="56"/>
    </row>
    <row r="651" spans="1:24">
      <c r="A651" s="38"/>
      <c r="B651" s="38"/>
      <c r="C651" s="38"/>
      <c r="D651" s="38"/>
      <c r="E651" s="40"/>
      <c r="F651" s="41"/>
      <c r="G651" s="42"/>
      <c r="H651" s="43"/>
      <c r="I651" s="44"/>
      <c r="J651" s="38"/>
      <c r="K651" s="45"/>
      <c r="L651" s="46"/>
      <c r="M651" s="38"/>
      <c r="N651" s="38"/>
      <c r="O651" s="38"/>
      <c r="P651" s="38"/>
      <c r="Q651" s="38"/>
      <c r="R651" s="48"/>
      <c r="S651" s="48"/>
      <c r="T651" s="48"/>
      <c r="U651" s="52"/>
      <c r="V651" s="50"/>
      <c r="W651" s="51"/>
      <c r="X651" s="56"/>
    </row>
    <row r="652" spans="1:24">
      <c r="A652" s="38"/>
      <c r="B652" s="38"/>
      <c r="C652" s="38"/>
      <c r="D652" s="38"/>
      <c r="E652" s="40"/>
      <c r="F652" s="41"/>
      <c r="G652" s="42"/>
      <c r="H652" s="43"/>
      <c r="I652" s="44"/>
      <c r="J652" s="38"/>
      <c r="K652" s="45"/>
      <c r="L652" s="46"/>
      <c r="M652" s="38"/>
      <c r="N652" s="38"/>
      <c r="O652" s="38"/>
      <c r="P652" s="38"/>
      <c r="Q652" s="38"/>
      <c r="R652" s="48"/>
      <c r="S652" s="48"/>
      <c r="T652" s="48"/>
      <c r="U652" s="52"/>
      <c r="V652" s="50"/>
      <c r="W652" s="51"/>
      <c r="X652" s="56"/>
    </row>
    <row r="653" spans="1:24">
      <c r="A653" s="38"/>
      <c r="B653" s="38"/>
      <c r="C653" s="38"/>
      <c r="D653" s="38"/>
      <c r="E653" s="40"/>
      <c r="F653" s="41"/>
      <c r="G653" s="42"/>
      <c r="H653" s="43"/>
      <c r="I653" s="44"/>
      <c r="J653" s="38"/>
      <c r="K653" s="45"/>
      <c r="L653" s="46"/>
      <c r="M653" s="38"/>
      <c r="N653" s="38"/>
      <c r="O653" s="38"/>
      <c r="P653" s="38"/>
      <c r="Q653" s="38"/>
      <c r="R653" s="48"/>
      <c r="S653" s="48"/>
      <c r="T653" s="48"/>
      <c r="U653" s="52"/>
      <c r="V653" s="50"/>
      <c r="W653" s="51"/>
      <c r="X653" s="56"/>
    </row>
    <row r="654" spans="1:24">
      <c r="A654" s="38"/>
      <c r="B654" s="38"/>
      <c r="C654" s="38"/>
      <c r="D654" s="38"/>
      <c r="E654" s="40"/>
      <c r="F654" s="41"/>
      <c r="G654" s="42"/>
      <c r="H654" s="43"/>
      <c r="I654" s="44"/>
      <c r="J654" s="38"/>
      <c r="K654" s="45"/>
      <c r="L654" s="46"/>
      <c r="M654" s="38"/>
      <c r="N654" s="38"/>
      <c r="O654" s="38"/>
      <c r="P654" s="38"/>
      <c r="Q654" s="38"/>
      <c r="R654" s="48"/>
      <c r="S654" s="48"/>
      <c r="T654" s="48"/>
      <c r="U654" s="52"/>
      <c r="V654" s="50"/>
      <c r="W654" s="51"/>
      <c r="X654" s="56"/>
    </row>
    <row r="655" spans="1:24">
      <c r="A655" s="38"/>
      <c r="B655" s="38"/>
      <c r="C655" s="38"/>
      <c r="D655" s="38"/>
      <c r="E655" s="40"/>
      <c r="F655" s="41"/>
      <c r="G655" s="42"/>
      <c r="H655" s="43"/>
      <c r="I655" s="44"/>
      <c r="J655" s="38"/>
      <c r="K655" s="45"/>
      <c r="L655" s="46"/>
      <c r="M655" s="38"/>
      <c r="N655" s="38"/>
      <c r="O655" s="38"/>
      <c r="P655" s="38"/>
      <c r="Q655" s="38"/>
      <c r="R655" s="48"/>
      <c r="S655" s="48"/>
      <c r="T655" s="48"/>
      <c r="U655" s="52"/>
      <c r="V655" s="50"/>
      <c r="W655" s="51"/>
      <c r="X655" s="56"/>
    </row>
    <row r="656" spans="1:24">
      <c r="A656" s="38"/>
      <c r="B656" s="38"/>
      <c r="C656" s="38"/>
      <c r="D656" s="38"/>
      <c r="E656" s="40"/>
      <c r="F656" s="58"/>
      <c r="G656" s="42"/>
      <c r="H656" s="43"/>
      <c r="I656" s="44"/>
      <c r="J656" s="38"/>
      <c r="K656" s="45"/>
      <c r="L656" s="46"/>
      <c r="M656" s="38"/>
      <c r="N656" s="38"/>
      <c r="O656" s="38"/>
      <c r="P656" s="38"/>
      <c r="Q656" s="38"/>
      <c r="R656" s="48"/>
      <c r="S656" s="48"/>
      <c r="T656" s="48"/>
      <c r="U656" s="52"/>
      <c r="V656" s="50"/>
      <c r="W656" s="51"/>
      <c r="X656" s="56"/>
    </row>
    <row r="657" spans="1:24">
      <c r="A657" s="38"/>
      <c r="B657" s="38"/>
      <c r="C657" s="38"/>
      <c r="D657" s="38"/>
      <c r="E657" s="40"/>
      <c r="F657" s="58"/>
      <c r="G657" s="42"/>
      <c r="H657" s="43"/>
      <c r="I657" s="44"/>
      <c r="J657" s="38"/>
      <c r="K657" s="45"/>
      <c r="L657" s="46"/>
      <c r="M657" s="38"/>
      <c r="N657" s="38"/>
      <c r="O657" s="38"/>
      <c r="P657" s="38"/>
      <c r="Q657" s="38"/>
      <c r="R657" s="48"/>
      <c r="S657" s="48"/>
      <c r="T657" s="48"/>
      <c r="U657" s="52"/>
      <c r="V657" s="50"/>
      <c r="W657" s="51"/>
      <c r="X657" s="56"/>
    </row>
    <row r="658" spans="1:24">
      <c r="A658" s="38"/>
      <c r="B658" s="38"/>
      <c r="C658" s="38"/>
      <c r="D658" s="38"/>
      <c r="E658" s="40"/>
      <c r="F658" s="41"/>
      <c r="G658" s="42"/>
      <c r="H658" s="43"/>
      <c r="I658" s="44"/>
      <c r="J658" s="38"/>
      <c r="K658" s="45"/>
      <c r="L658" s="46"/>
      <c r="M658" s="38"/>
      <c r="N658" s="38"/>
      <c r="O658" s="38"/>
      <c r="P658" s="38"/>
      <c r="Q658" s="38"/>
      <c r="R658" s="48"/>
      <c r="S658" s="48"/>
      <c r="T658" s="48"/>
      <c r="U658" s="52"/>
      <c r="V658" s="50"/>
      <c r="W658" s="51"/>
      <c r="X658" s="56"/>
    </row>
    <row r="659" spans="1:24">
      <c r="A659" s="38"/>
      <c r="B659" s="38"/>
      <c r="C659" s="38"/>
      <c r="D659" s="38"/>
      <c r="E659" s="40"/>
      <c r="F659" s="41"/>
      <c r="G659" s="42"/>
      <c r="H659" s="43"/>
      <c r="I659" s="44"/>
      <c r="J659" s="38"/>
      <c r="K659" s="45"/>
      <c r="L659" s="46"/>
      <c r="M659" s="38"/>
      <c r="N659" s="38"/>
      <c r="O659" s="38"/>
      <c r="P659" s="38"/>
      <c r="Q659" s="38"/>
      <c r="R659" s="48"/>
      <c r="S659" s="48"/>
      <c r="T659" s="48"/>
      <c r="U659" s="52"/>
      <c r="V659" s="50"/>
      <c r="W659" s="51"/>
      <c r="X659" s="56"/>
    </row>
    <row r="660" spans="1:24">
      <c r="A660" s="38"/>
      <c r="B660" s="38"/>
      <c r="C660" s="38"/>
      <c r="D660" s="38"/>
      <c r="E660" s="40"/>
      <c r="F660" s="41"/>
      <c r="G660" s="42"/>
      <c r="H660" s="43"/>
      <c r="I660" s="44"/>
      <c r="J660" s="38"/>
      <c r="K660" s="45"/>
      <c r="L660" s="46"/>
      <c r="M660" s="38"/>
      <c r="N660" s="38"/>
      <c r="O660" s="38"/>
      <c r="P660" s="38"/>
      <c r="Q660" s="38"/>
      <c r="R660" s="48"/>
      <c r="S660" s="48"/>
      <c r="T660" s="48"/>
      <c r="U660" s="52"/>
      <c r="V660" s="50"/>
      <c r="W660" s="51"/>
      <c r="X660" s="56"/>
    </row>
    <row r="661" spans="1:24">
      <c r="A661" s="38"/>
      <c r="B661" s="38"/>
      <c r="C661" s="38"/>
      <c r="D661" s="38"/>
      <c r="E661" s="40"/>
      <c r="F661" s="41"/>
      <c r="G661" s="42"/>
      <c r="H661" s="43"/>
      <c r="I661" s="44"/>
      <c r="J661" s="38"/>
      <c r="K661" s="45"/>
      <c r="L661" s="46"/>
      <c r="M661" s="38"/>
      <c r="N661" s="38"/>
      <c r="O661" s="38"/>
      <c r="P661" s="38"/>
      <c r="Q661" s="38"/>
      <c r="R661" s="48"/>
      <c r="S661" s="48"/>
      <c r="T661" s="48"/>
      <c r="U661" s="52"/>
      <c r="V661" s="50"/>
      <c r="W661" s="51"/>
      <c r="X661" s="56"/>
    </row>
    <row r="662" spans="1:24">
      <c r="A662" s="38"/>
      <c r="B662" s="38"/>
      <c r="C662" s="38"/>
      <c r="D662" s="38"/>
      <c r="E662" s="40"/>
      <c r="F662" s="41"/>
      <c r="G662" s="42"/>
      <c r="H662" s="43"/>
      <c r="I662" s="44"/>
      <c r="J662" s="38"/>
      <c r="K662" s="45"/>
      <c r="L662" s="46"/>
      <c r="M662" s="38"/>
      <c r="N662" s="38"/>
      <c r="O662" s="38"/>
      <c r="P662" s="38"/>
      <c r="Q662" s="38"/>
      <c r="R662" s="48"/>
      <c r="S662" s="48"/>
      <c r="T662" s="48"/>
      <c r="U662" s="52"/>
      <c r="V662" s="50"/>
      <c r="W662" s="51"/>
      <c r="X662" s="56"/>
    </row>
    <row r="663" spans="1:24">
      <c r="A663" s="38"/>
      <c r="B663" s="38"/>
      <c r="C663" s="38"/>
      <c r="D663" s="38"/>
      <c r="E663" s="40"/>
      <c r="F663" s="41"/>
      <c r="G663" s="42"/>
      <c r="H663" s="43"/>
      <c r="I663" s="44"/>
      <c r="J663" s="38"/>
      <c r="K663" s="45"/>
      <c r="L663" s="46"/>
      <c r="M663" s="38"/>
      <c r="N663" s="38"/>
      <c r="O663" s="38"/>
      <c r="P663" s="38"/>
      <c r="Q663" s="38"/>
      <c r="R663" s="48"/>
      <c r="S663" s="48"/>
      <c r="T663" s="48"/>
      <c r="U663" s="52"/>
      <c r="V663" s="50"/>
      <c r="W663" s="51"/>
      <c r="X663" s="56"/>
    </row>
    <row r="664" spans="1:24">
      <c r="A664" s="38"/>
      <c r="B664" s="38"/>
      <c r="C664" s="38"/>
      <c r="D664" s="38"/>
      <c r="E664" s="40"/>
      <c r="F664" s="41"/>
      <c r="G664" s="42"/>
      <c r="H664" s="43"/>
      <c r="I664" s="44"/>
      <c r="J664" s="38"/>
      <c r="K664" s="45"/>
      <c r="L664" s="46"/>
      <c r="M664" s="38"/>
      <c r="N664" s="38"/>
      <c r="O664" s="38"/>
      <c r="P664" s="38"/>
      <c r="Q664" s="38"/>
      <c r="R664" s="48"/>
      <c r="S664" s="48"/>
      <c r="T664" s="48"/>
      <c r="U664" s="52"/>
      <c r="V664" s="50"/>
      <c r="W664" s="51"/>
      <c r="X664" s="56"/>
    </row>
    <row r="665" spans="1:24">
      <c r="A665" s="38"/>
      <c r="B665" s="38"/>
      <c r="C665" s="38"/>
      <c r="D665" s="38"/>
      <c r="E665" s="40"/>
      <c r="F665" s="41"/>
      <c r="G665" s="42"/>
      <c r="H665" s="43"/>
      <c r="I665" s="44"/>
      <c r="J665" s="38"/>
      <c r="K665" s="45"/>
      <c r="L665" s="46"/>
      <c r="M665" s="38"/>
      <c r="N665" s="38"/>
      <c r="O665" s="38"/>
      <c r="P665" s="38"/>
      <c r="Q665" s="38"/>
      <c r="R665" s="48"/>
      <c r="S665" s="48"/>
      <c r="T665" s="48"/>
      <c r="U665" s="52"/>
      <c r="V665" s="50"/>
      <c r="W665" s="51"/>
      <c r="X665" s="56"/>
    </row>
    <row r="666" spans="1:24">
      <c r="A666" s="38"/>
      <c r="B666" s="38"/>
      <c r="C666" s="38"/>
      <c r="D666" s="38"/>
      <c r="E666" s="40"/>
      <c r="F666" s="41"/>
      <c r="G666" s="42"/>
      <c r="H666" s="43"/>
      <c r="I666" s="44"/>
      <c r="J666" s="38"/>
      <c r="K666" s="45"/>
      <c r="L666" s="46"/>
      <c r="M666" s="38"/>
      <c r="N666" s="38"/>
      <c r="O666" s="38"/>
      <c r="P666" s="38"/>
      <c r="Q666" s="38"/>
      <c r="R666" s="48"/>
      <c r="S666" s="48"/>
      <c r="T666" s="48"/>
      <c r="U666" s="52"/>
      <c r="V666" s="50"/>
      <c r="W666" s="51"/>
      <c r="X666" s="56"/>
    </row>
    <row r="667" spans="1:24">
      <c r="A667" s="38"/>
      <c r="B667" s="38"/>
      <c r="C667" s="38"/>
      <c r="D667" s="38"/>
      <c r="E667" s="40"/>
      <c r="F667" s="41"/>
      <c r="G667" s="42"/>
      <c r="H667" s="43"/>
      <c r="I667" s="44"/>
      <c r="J667" s="38"/>
      <c r="K667" s="45"/>
      <c r="L667" s="46"/>
      <c r="M667" s="38"/>
      <c r="N667" s="38"/>
      <c r="O667" s="38"/>
      <c r="P667" s="38"/>
      <c r="Q667" s="38"/>
      <c r="R667" s="48"/>
      <c r="S667" s="48"/>
      <c r="T667" s="48"/>
      <c r="U667" s="52"/>
      <c r="V667" s="50"/>
      <c r="W667" s="51"/>
      <c r="X667" s="56"/>
    </row>
    <row r="668" spans="1:24">
      <c r="A668" s="38"/>
      <c r="B668" s="38"/>
      <c r="C668" s="38"/>
      <c r="D668" s="38"/>
      <c r="E668" s="40"/>
      <c r="F668" s="41"/>
      <c r="G668" s="42"/>
      <c r="H668" s="43"/>
      <c r="I668" s="44"/>
      <c r="J668" s="38"/>
      <c r="K668" s="45"/>
      <c r="L668" s="46"/>
      <c r="M668" s="38"/>
      <c r="N668" s="38"/>
      <c r="O668" s="38"/>
      <c r="P668" s="38"/>
      <c r="Q668" s="38"/>
      <c r="R668" s="48"/>
      <c r="S668" s="48"/>
      <c r="T668" s="48"/>
      <c r="U668" s="52"/>
      <c r="V668" s="50"/>
      <c r="W668" s="51"/>
      <c r="X668" s="56"/>
    </row>
    <row r="669" spans="1:24">
      <c r="A669" s="38"/>
      <c r="B669" s="38"/>
      <c r="C669" s="38"/>
      <c r="D669" s="38"/>
      <c r="E669" s="40"/>
      <c r="F669" s="58"/>
      <c r="G669" s="42"/>
      <c r="H669" s="43"/>
      <c r="I669" s="44"/>
      <c r="J669" s="38"/>
      <c r="K669" s="45"/>
      <c r="L669" s="46"/>
      <c r="M669" s="38"/>
      <c r="N669" s="38"/>
      <c r="O669" s="38"/>
      <c r="P669" s="38"/>
      <c r="Q669" s="38"/>
      <c r="R669" s="48"/>
      <c r="S669" s="48"/>
      <c r="T669" s="48"/>
      <c r="U669" s="52"/>
      <c r="V669" s="50"/>
      <c r="W669" s="51"/>
      <c r="X669" s="56"/>
    </row>
    <row r="670" spans="1:24">
      <c r="A670" s="38"/>
      <c r="B670" s="38"/>
      <c r="C670" s="38"/>
      <c r="D670" s="38"/>
      <c r="E670" s="40"/>
      <c r="F670" s="41"/>
      <c r="G670" s="42"/>
      <c r="H670" s="43"/>
      <c r="I670" s="44"/>
      <c r="J670" s="38"/>
      <c r="K670" s="45"/>
      <c r="L670" s="46"/>
      <c r="M670" s="38"/>
      <c r="N670" s="38"/>
      <c r="O670" s="38"/>
      <c r="P670" s="38"/>
      <c r="Q670" s="38"/>
      <c r="R670" s="48"/>
      <c r="S670" s="48"/>
      <c r="T670" s="48"/>
      <c r="U670" s="52"/>
      <c r="V670" s="50"/>
      <c r="W670" s="51"/>
      <c r="X670" s="56"/>
    </row>
    <row r="671" spans="1:24">
      <c r="A671" s="38"/>
      <c r="B671" s="38"/>
      <c r="C671" s="38"/>
      <c r="D671" s="38"/>
      <c r="E671" s="40"/>
      <c r="F671" s="41"/>
      <c r="G671" s="42"/>
      <c r="H671" s="43"/>
      <c r="I671" s="44"/>
      <c r="J671" s="38"/>
      <c r="K671" s="45"/>
      <c r="L671" s="46"/>
      <c r="M671" s="38"/>
      <c r="N671" s="38"/>
      <c r="O671" s="38"/>
      <c r="P671" s="38"/>
      <c r="Q671" s="38"/>
      <c r="R671" s="48"/>
      <c r="S671" s="48"/>
      <c r="T671" s="48"/>
      <c r="U671" s="52"/>
      <c r="V671" s="50"/>
      <c r="W671" s="51"/>
      <c r="X671" s="56"/>
    </row>
    <row r="672" spans="1:24">
      <c r="A672" s="38"/>
      <c r="B672" s="38"/>
      <c r="C672" s="38"/>
      <c r="D672" s="38"/>
      <c r="E672" s="40"/>
      <c r="F672" s="61"/>
      <c r="G672" s="42"/>
      <c r="H672" s="43"/>
      <c r="I672" s="44"/>
      <c r="J672" s="38"/>
      <c r="K672" s="45"/>
      <c r="L672" s="46"/>
      <c r="M672" s="38"/>
      <c r="N672" s="38"/>
      <c r="O672" s="38"/>
      <c r="P672" s="38"/>
      <c r="Q672" s="38"/>
      <c r="R672" s="48"/>
      <c r="S672" s="48"/>
      <c r="T672" s="48"/>
      <c r="U672" s="52"/>
      <c r="V672" s="50"/>
      <c r="W672" s="51"/>
      <c r="X672" s="56"/>
    </row>
    <row r="673" spans="1:24">
      <c r="A673" s="38"/>
      <c r="B673" s="38"/>
      <c r="C673" s="38"/>
      <c r="D673" s="38"/>
      <c r="E673" s="40"/>
      <c r="F673" s="41"/>
      <c r="G673" s="42"/>
      <c r="H673" s="43"/>
      <c r="I673" s="44"/>
      <c r="J673" s="38"/>
      <c r="K673" s="45"/>
      <c r="L673" s="46"/>
      <c r="M673" s="38"/>
      <c r="N673" s="38"/>
      <c r="O673" s="38"/>
      <c r="P673" s="38"/>
      <c r="Q673" s="38"/>
      <c r="R673" s="48"/>
      <c r="S673" s="48"/>
      <c r="T673" s="48"/>
      <c r="U673" s="52"/>
      <c r="V673" s="50"/>
      <c r="W673" s="51"/>
      <c r="X673" s="56"/>
    </row>
    <row r="674" spans="1:24">
      <c r="A674" s="38"/>
      <c r="B674" s="38"/>
      <c r="C674" s="38"/>
      <c r="D674" s="38"/>
      <c r="E674" s="40"/>
      <c r="F674" s="41"/>
      <c r="G674" s="42"/>
      <c r="H674" s="43"/>
      <c r="I674" s="44"/>
      <c r="J674" s="38"/>
      <c r="K674" s="45"/>
      <c r="L674" s="46"/>
      <c r="M674" s="38"/>
      <c r="N674" s="38"/>
      <c r="O674" s="38"/>
      <c r="P674" s="38"/>
      <c r="Q674" s="38"/>
      <c r="R674" s="48"/>
      <c r="S674" s="48"/>
      <c r="T674" s="48"/>
      <c r="U674" s="52"/>
      <c r="V674" s="50"/>
      <c r="W674" s="51"/>
      <c r="X674" s="56"/>
    </row>
    <row r="675" spans="1:24">
      <c r="A675" s="38"/>
      <c r="B675" s="38"/>
      <c r="C675" s="38"/>
      <c r="D675" s="38"/>
      <c r="E675" s="40"/>
      <c r="F675" s="61"/>
      <c r="G675" s="42"/>
      <c r="H675" s="43"/>
      <c r="I675" s="44"/>
      <c r="J675" s="38"/>
      <c r="K675" s="45"/>
      <c r="L675" s="46"/>
      <c r="M675" s="38"/>
      <c r="N675" s="38"/>
      <c r="O675" s="38"/>
      <c r="P675" s="38"/>
      <c r="Q675" s="38"/>
      <c r="R675" s="48"/>
      <c r="S675" s="48"/>
      <c r="T675" s="48"/>
      <c r="U675" s="52"/>
      <c r="V675" s="50"/>
      <c r="W675" s="51"/>
      <c r="X675" s="56"/>
    </row>
    <row r="676" spans="1:24">
      <c r="A676" s="38"/>
      <c r="B676" s="38"/>
      <c r="C676" s="38"/>
      <c r="D676" s="38"/>
      <c r="E676" s="40"/>
      <c r="F676" s="58"/>
      <c r="G676" s="42"/>
      <c r="H676" s="43"/>
      <c r="I676" s="44"/>
      <c r="J676" s="38"/>
      <c r="K676" s="45"/>
      <c r="L676" s="46"/>
      <c r="M676" s="38"/>
      <c r="N676" s="38"/>
      <c r="O676" s="38"/>
      <c r="P676" s="38"/>
      <c r="Q676" s="38"/>
      <c r="R676" s="48"/>
      <c r="S676" s="48"/>
      <c r="T676" s="48"/>
      <c r="U676" s="52"/>
      <c r="V676" s="50"/>
      <c r="W676" s="51"/>
      <c r="X676" s="56"/>
    </row>
    <row r="677" spans="1:24">
      <c r="A677" s="38"/>
      <c r="B677" s="38"/>
      <c r="C677" s="38"/>
      <c r="D677" s="38"/>
      <c r="E677" s="40"/>
      <c r="F677" s="61"/>
      <c r="G677" s="42"/>
      <c r="H677" s="43"/>
      <c r="I677" s="44"/>
      <c r="J677" s="38"/>
      <c r="K677" s="45"/>
      <c r="L677" s="46"/>
      <c r="M677" s="38"/>
      <c r="N677" s="38"/>
      <c r="O677" s="38"/>
      <c r="P677" s="38"/>
      <c r="Q677" s="38"/>
      <c r="R677" s="48"/>
      <c r="S677" s="48"/>
      <c r="T677" s="48"/>
      <c r="U677" s="52"/>
      <c r="V677" s="50"/>
      <c r="W677" s="51"/>
      <c r="X677" s="56"/>
    </row>
    <row r="678" spans="1:24">
      <c r="A678" s="38"/>
      <c r="B678" s="38"/>
      <c r="C678" s="38"/>
      <c r="D678" s="38"/>
      <c r="E678" s="40"/>
      <c r="F678" s="58"/>
      <c r="G678" s="42"/>
      <c r="H678" s="43"/>
      <c r="I678" s="44"/>
      <c r="J678" s="38"/>
      <c r="K678" s="45"/>
      <c r="L678" s="46"/>
      <c r="M678" s="38"/>
      <c r="N678" s="38"/>
      <c r="O678" s="38"/>
      <c r="P678" s="38"/>
      <c r="Q678" s="38"/>
      <c r="R678" s="48"/>
      <c r="S678" s="48"/>
      <c r="T678" s="48"/>
      <c r="U678" s="52"/>
      <c r="V678" s="50"/>
      <c r="W678" s="51"/>
      <c r="X678" s="56"/>
    </row>
    <row r="679" spans="1:24">
      <c r="A679" s="38"/>
      <c r="B679" s="38"/>
      <c r="C679" s="38"/>
      <c r="D679" s="38"/>
      <c r="E679" s="40"/>
      <c r="F679" s="41"/>
      <c r="G679" s="42"/>
      <c r="H679" s="43"/>
      <c r="I679" s="44"/>
      <c r="J679" s="38"/>
      <c r="K679" s="45"/>
      <c r="L679" s="46"/>
      <c r="M679" s="38"/>
      <c r="N679" s="38"/>
      <c r="O679" s="38"/>
      <c r="P679" s="38"/>
      <c r="Q679" s="38"/>
      <c r="R679" s="48"/>
      <c r="S679" s="48"/>
      <c r="T679" s="48"/>
      <c r="U679" s="52"/>
      <c r="V679" s="50"/>
      <c r="W679" s="51"/>
      <c r="X679" s="56"/>
    </row>
    <row r="680" spans="1:24">
      <c r="A680" s="38"/>
      <c r="B680" s="38"/>
      <c r="C680" s="38"/>
      <c r="D680" s="38"/>
      <c r="E680" s="40"/>
      <c r="F680" s="41"/>
      <c r="G680" s="42"/>
      <c r="H680" s="43"/>
      <c r="I680" s="44"/>
      <c r="J680" s="38"/>
      <c r="K680" s="45"/>
      <c r="L680" s="46"/>
      <c r="M680" s="38"/>
      <c r="N680" s="38"/>
      <c r="O680" s="38"/>
      <c r="P680" s="38"/>
      <c r="Q680" s="38"/>
      <c r="R680" s="48"/>
      <c r="S680" s="48"/>
      <c r="T680" s="48"/>
      <c r="U680" s="52"/>
      <c r="V680" s="50"/>
      <c r="W680" s="51"/>
      <c r="X680" s="56"/>
    </row>
    <row r="681" spans="1:24">
      <c r="A681" s="38"/>
      <c r="B681" s="38"/>
      <c r="C681" s="38"/>
      <c r="D681" s="38"/>
      <c r="E681" s="40"/>
      <c r="F681" s="41"/>
      <c r="G681" s="42"/>
      <c r="H681" s="43"/>
      <c r="I681" s="44"/>
      <c r="J681" s="38"/>
      <c r="K681" s="45"/>
      <c r="L681" s="46"/>
      <c r="M681" s="38"/>
      <c r="N681" s="38"/>
      <c r="O681" s="38"/>
      <c r="P681" s="38"/>
      <c r="Q681" s="38"/>
      <c r="R681" s="48"/>
      <c r="S681" s="48"/>
      <c r="T681" s="48"/>
      <c r="U681" s="52"/>
      <c r="V681" s="50"/>
      <c r="W681" s="51"/>
      <c r="X681" s="56"/>
    </row>
    <row r="682" spans="1:24">
      <c r="A682" s="38"/>
      <c r="B682" s="38"/>
      <c r="C682" s="38"/>
      <c r="D682" s="38"/>
      <c r="E682" s="40"/>
      <c r="F682" s="41"/>
      <c r="G682" s="42"/>
      <c r="H682" s="43"/>
      <c r="I682" s="44"/>
      <c r="J682" s="38"/>
      <c r="K682" s="45"/>
      <c r="L682" s="46"/>
      <c r="M682" s="38"/>
      <c r="N682" s="38"/>
      <c r="O682" s="38"/>
      <c r="P682" s="38"/>
      <c r="Q682" s="38"/>
      <c r="R682" s="48"/>
      <c r="S682" s="48"/>
      <c r="T682" s="48"/>
      <c r="U682" s="52"/>
      <c r="V682" s="50"/>
      <c r="W682" s="51"/>
      <c r="X682" s="56"/>
    </row>
    <row r="683" spans="1:24">
      <c r="A683" s="38"/>
      <c r="B683" s="38"/>
      <c r="C683" s="38"/>
      <c r="D683" s="38"/>
      <c r="E683" s="40"/>
      <c r="F683" s="41"/>
      <c r="G683" s="42"/>
      <c r="H683" s="43"/>
      <c r="I683" s="44"/>
      <c r="J683" s="38"/>
      <c r="K683" s="45"/>
      <c r="L683" s="46"/>
      <c r="M683" s="38"/>
      <c r="N683" s="38"/>
      <c r="O683" s="38"/>
      <c r="P683" s="38"/>
      <c r="Q683" s="38"/>
      <c r="R683" s="48"/>
      <c r="S683" s="48"/>
      <c r="T683" s="48"/>
      <c r="U683" s="52"/>
      <c r="V683" s="50"/>
      <c r="W683" s="51"/>
      <c r="X683" s="56"/>
    </row>
    <row r="684" spans="1:24">
      <c r="A684" s="38"/>
      <c r="B684" s="38"/>
      <c r="C684" s="38"/>
      <c r="D684" s="38"/>
      <c r="E684" s="40"/>
      <c r="F684" s="61"/>
      <c r="G684" s="42"/>
      <c r="H684" s="43"/>
      <c r="I684" s="44"/>
      <c r="J684" s="38"/>
      <c r="K684" s="45"/>
      <c r="L684" s="46"/>
      <c r="M684" s="38"/>
      <c r="N684" s="38"/>
      <c r="O684" s="38"/>
      <c r="P684" s="38"/>
      <c r="Q684" s="38"/>
      <c r="R684" s="48"/>
      <c r="S684" s="48"/>
      <c r="T684" s="48"/>
      <c r="U684" s="52"/>
      <c r="V684" s="50"/>
      <c r="W684" s="51"/>
      <c r="X684" s="56"/>
    </row>
    <row r="685" spans="1:24">
      <c r="A685" s="38"/>
      <c r="B685" s="38"/>
      <c r="C685" s="38"/>
      <c r="D685" s="38"/>
      <c r="E685" s="40"/>
      <c r="F685" s="41"/>
      <c r="G685" s="42"/>
      <c r="H685" s="43"/>
      <c r="I685" s="44"/>
      <c r="J685" s="38"/>
      <c r="K685" s="45"/>
      <c r="L685" s="46"/>
      <c r="M685" s="38"/>
      <c r="N685" s="38"/>
      <c r="O685" s="38"/>
      <c r="P685" s="38"/>
      <c r="Q685" s="38"/>
      <c r="R685" s="48"/>
      <c r="S685" s="48"/>
      <c r="T685" s="48"/>
      <c r="U685" s="52"/>
      <c r="V685" s="50"/>
      <c r="W685" s="51"/>
      <c r="X685" s="56"/>
    </row>
    <row r="686" spans="1:24">
      <c r="A686" s="38"/>
      <c r="B686" s="38"/>
      <c r="C686" s="38"/>
      <c r="D686" s="38"/>
      <c r="E686" s="40"/>
      <c r="F686" s="61"/>
      <c r="G686" s="42"/>
      <c r="H686" s="43"/>
      <c r="I686" s="44"/>
      <c r="J686" s="38"/>
      <c r="K686" s="45"/>
      <c r="L686" s="46"/>
      <c r="M686" s="38"/>
      <c r="N686" s="38"/>
      <c r="O686" s="38"/>
      <c r="P686" s="38"/>
      <c r="Q686" s="38"/>
      <c r="R686" s="48"/>
      <c r="S686" s="48"/>
      <c r="T686" s="48"/>
      <c r="U686" s="52"/>
      <c r="V686" s="50"/>
      <c r="W686" s="51"/>
      <c r="X686" s="56"/>
    </row>
    <row r="687" spans="1:24">
      <c r="A687" s="38"/>
      <c r="B687" s="38"/>
      <c r="C687" s="38"/>
      <c r="D687" s="38"/>
      <c r="E687" s="40"/>
      <c r="F687" s="41"/>
      <c r="G687" s="42"/>
      <c r="H687" s="43"/>
      <c r="I687" s="44"/>
      <c r="J687" s="38"/>
      <c r="K687" s="45"/>
      <c r="L687" s="46"/>
      <c r="M687" s="38"/>
      <c r="N687" s="38"/>
      <c r="O687" s="38"/>
      <c r="P687" s="38"/>
      <c r="Q687" s="38"/>
      <c r="R687" s="48"/>
      <c r="S687" s="48"/>
      <c r="T687" s="48"/>
      <c r="U687" s="52"/>
      <c r="V687" s="50"/>
      <c r="W687" s="51"/>
      <c r="X687" s="56"/>
    </row>
    <row r="688" spans="1:24">
      <c r="A688" s="38"/>
      <c r="B688" s="38"/>
      <c r="C688" s="38"/>
      <c r="D688" s="38"/>
      <c r="E688" s="40"/>
      <c r="F688" s="41"/>
      <c r="G688" s="42"/>
      <c r="H688" s="43"/>
      <c r="I688" s="44"/>
      <c r="J688" s="38"/>
      <c r="K688" s="45"/>
      <c r="L688" s="46"/>
      <c r="M688" s="38"/>
      <c r="N688" s="38"/>
      <c r="O688" s="38"/>
      <c r="P688" s="38"/>
      <c r="Q688" s="38"/>
      <c r="R688" s="48"/>
      <c r="S688" s="48"/>
      <c r="T688" s="48"/>
      <c r="U688" s="52"/>
      <c r="V688" s="50"/>
      <c r="W688" s="51"/>
      <c r="X688" s="56"/>
    </row>
    <row r="689" spans="1:24">
      <c r="A689" s="38"/>
      <c r="B689" s="38"/>
      <c r="C689" s="38"/>
      <c r="D689" s="38"/>
      <c r="E689" s="40"/>
      <c r="F689" s="41"/>
      <c r="G689" s="42"/>
      <c r="H689" s="43"/>
      <c r="I689" s="44"/>
      <c r="J689" s="38"/>
      <c r="K689" s="45"/>
      <c r="L689" s="46"/>
      <c r="M689" s="38"/>
      <c r="N689" s="38"/>
      <c r="O689" s="38"/>
      <c r="P689" s="38"/>
      <c r="Q689" s="38"/>
      <c r="R689" s="48"/>
      <c r="S689" s="48"/>
      <c r="T689" s="48"/>
      <c r="U689" s="52"/>
      <c r="V689" s="50"/>
      <c r="W689" s="51"/>
      <c r="X689" s="56"/>
    </row>
    <row r="690" spans="1:24">
      <c r="A690" s="38"/>
      <c r="B690" s="38"/>
      <c r="C690" s="38"/>
      <c r="D690" s="38"/>
      <c r="E690" s="40"/>
      <c r="F690" s="41"/>
      <c r="G690" s="42"/>
      <c r="H690" s="43"/>
      <c r="I690" s="44"/>
      <c r="J690" s="38"/>
      <c r="K690" s="45"/>
      <c r="L690" s="46"/>
      <c r="M690" s="38"/>
      <c r="N690" s="38"/>
      <c r="O690" s="38"/>
      <c r="P690" s="38"/>
      <c r="Q690" s="38"/>
      <c r="R690" s="48"/>
      <c r="S690" s="48"/>
      <c r="T690" s="48"/>
      <c r="U690" s="52"/>
      <c r="V690" s="50"/>
      <c r="W690" s="51"/>
      <c r="X690" s="56"/>
    </row>
    <row r="691" spans="1:24">
      <c r="A691" s="38"/>
      <c r="B691" s="38"/>
      <c r="C691" s="38"/>
      <c r="D691" s="38"/>
      <c r="E691" s="40"/>
      <c r="F691" s="41"/>
      <c r="G691" s="42"/>
      <c r="H691" s="43"/>
      <c r="I691" s="44"/>
      <c r="J691" s="38"/>
      <c r="K691" s="45"/>
      <c r="L691" s="46"/>
      <c r="M691" s="38"/>
      <c r="N691" s="38"/>
      <c r="O691" s="38"/>
      <c r="P691" s="38"/>
      <c r="Q691" s="38"/>
      <c r="R691" s="48"/>
      <c r="S691" s="48"/>
      <c r="T691" s="48"/>
      <c r="U691" s="52"/>
      <c r="V691" s="50"/>
      <c r="W691" s="51"/>
      <c r="X691" s="56"/>
    </row>
    <row r="692" spans="1:24">
      <c r="A692" s="38"/>
      <c r="B692" s="38"/>
      <c r="C692" s="38"/>
      <c r="D692" s="38"/>
      <c r="E692" s="40"/>
      <c r="F692" s="41"/>
      <c r="G692" s="42"/>
      <c r="H692" s="43"/>
      <c r="I692" s="44"/>
      <c r="J692" s="38"/>
      <c r="K692" s="45"/>
      <c r="L692" s="46"/>
      <c r="M692" s="38"/>
      <c r="N692" s="38"/>
      <c r="O692" s="38"/>
      <c r="P692" s="38"/>
      <c r="Q692" s="38"/>
      <c r="R692" s="48"/>
      <c r="S692" s="48"/>
      <c r="T692" s="48"/>
      <c r="U692" s="52"/>
      <c r="V692" s="50"/>
      <c r="W692" s="51"/>
      <c r="X692" s="56"/>
    </row>
    <row r="693" spans="1:24">
      <c r="A693" s="38"/>
      <c r="B693" s="38"/>
      <c r="C693" s="38"/>
      <c r="D693" s="38"/>
      <c r="E693" s="40"/>
      <c r="F693" s="41"/>
      <c r="G693" s="42"/>
      <c r="H693" s="43"/>
      <c r="I693" s="44"/>
      <c r="J693" s="38"/>
      <c r="K693" s="45"/>
      <c r="L693" s="46"/>
      <c r="M693" s="38"/>
      <c r="N693" s="38"/>
      <c r="O693" s="38"/>
      <c r="P693" s="38"/>
      <c r="Q693" s="38"/>
      <c r="R693" s="48"/>
      <c r="S693" s="48"/>
      <c r="T693" s="48"/>
      <c r="U693" s="52"/>
      <c r="V693" s="50"/>
      <c r="W693" s="51"/>
      <c r="X693" s="56"/>
    </row>
    <row r="694" spans="1:24">
      <c r="A694" s="38"/>
      <c r="B694" s="38"/>
      <c r="C694" s="38"/>
      <c r="D694" s="38"/>
      <c r="E694" s="40"/>
      <c r="F694" s="41"/>
      <c r="G694" s="42"/>
      <c r="H694" s="43"/>
      <c r="I694" s="44"/>
      <c r="J694" s="38"/>
      <c r="K694" s="45"/>
      <c r="L694" s="46"/>
      <c r="M694" s="38"/>
      <c r="N694" s="38"/>
      <c r="O694" s="38"/>
      <c r="P694" s="38"/>
      <c r="Q694" s="38"/>
      <c r="R694" s="48"/>
      <c r="S694" s="48"/>
      <c r="T694" s="48"/>
      <c r="U694" s="52"/>
      <c r="V694" s="50"/>
      <c r="W694" s="51"/>
      <c r="X694" s="56"/>
    </row>
    <row r="695" spans="1:24">
      <c r="A695" s="38"/>
      <c r="B695" s="38"/>
      <c r="C695" s="38"/>
      <c r="D695" s="38"/>
      <c r="E695" s="40"/>
      <c r="F695" s="41"/>
      <c r="G695" s="42"/>
      <c r="H695" s="43"/>
      <c r="I695" s="44"/>
      <c r="J695" s="38"/>
      <c r="K695" s="45"/>
      <c r="L695" s="46"/>
      <c r="M695" s="38"/>
      <c r="N695" s="38"/>
      <c r="O695" s="38"/>
      <c r="P695" s="38"/>
      <c r="Q695" s="38"/>
      <c r="R695" s="48"/>
      <c r="S695" s="48"/>
      <c r="T695" s="48"/>
      <c r="U695" s="52"/>
      <c r="V695" s="50"/>
      <c r="W695" s="51"/>
      <c r="X695" s="56"/>
    </row>
    <row r="696" spans="1:24">
      <c r="A696" s="38"/>
      <c r="B696" s="38"/>
      <c r="C696" s="38"/>
      <c r="D696" s="38"/>
      <c r="E696" s="40"/>
      <c r="F696" s="58"/>
      <c r="G696" s="42"/>
      <c r="H696" s="43"/>
      <c r="I696" s="44"/>
      <c r="J696" s="38"/>
      <c r="K696" s="45"/>
      <c r="L696" s="46"/>
      <c r="M696" s="38"/>
      <c r="N696" s="38"/>
      <c r="O696" s="38"/>
      <c r="P696" s="38"/>
      <c r="Q696" s="38"/>
      <c r="R696" s="48"/>
      <c r="S696" s="48"/>
      <c r="T696" s="48"/>
      <c r="U696" s="52"/>
      <c r="V696" s="50"/>
      <c r="W696" s="51"/>
      <c r="X696" s="56"/>
    </row>
    <row r="697" spans="1:24">
      <c r="A697" s="38"/>
      <c r="B697" s="38"/>
      <c r="C697" s="38"/>
      <c r="D697" s="38"/>
      <c r="E697" s="40"/>
      <c r="F697" s="41"/>
      <c r="G697" s="42"/>
      <c r="H697" s="43"/>
      <c r="I697" s="44"/>
      <c r="J697" s="38"/>
      <c r="K697" s="45"/>
      <c r="L697" s="46"/>
      <c r="M697" s="38"/>
      <c r="N697" s="38"/>
      <c r="O697" s="38"/>
      <c r="P697" s="38"/>
      <c r="Q697" s="38"/>
      <c r="R697" s="48"/>
      <c r="S697" s="48"/>
      <c r="T697" s="48"/>
      <c r="U697" s="52"/>
      <c r="V697" s="50"/>
      <c r="W697" s="51"/>
      <c r="X697" s="56"/>
    </row>
    <row r="698" spans="1:24">
      <c r="A698" s="38"/>
      <c r="B698" s="38"/>
      <c r="C698" s="38"/>
      <c r="D698" s="38"/>
      <c r="E698" s="40"/>
      <c r="F698" s="41"/>
      <c r="G698" s="42"/>
      <c r="H698" s="43"/>
      <c r="I698" s="44"/>
      <c r="J698" s="38"/>
      <c r="K698" s="45"/>
      <c r="L698" s="46"/>
      <c r="M698" s="38"/>
      <c r="N698" s="38"/>
      <c r="O698" s="38"/>
      <c r="P698" s="38"/>
      <c r="Q698" s="38"/>
      <c r="R698" s="48"/>
      <c r="S698" s="48"/>
      <c r="T698" s="48"/>
      <c r="U698" s="52"/>
      <c r="V698" s="50"/>
      <c r="W698" s="51"/>
      <c r="X698" s="56"/>
    </row>
    <row r="699" spans="1:24">
      <c r="A699" s="38"/>
      <c r="B699" s="38"/>
      <c r="C699" s="38"/>
      <c r="D699" s="38"/>
      <c r="E699" s="40"/>
      <c r="F699" s="41"/>
      <c r="G699" s="42"/>
      <c r="H699" s="43"/>
      <c r="I699" s="44"/>
      <c r="J699" s="38"/>
      <c r="K699" s="45"/>
      <c r="L699" s="46"/>
      <c r="M699" s="38"/>
      <c r="N699" s="38"/>
      <c r="O699" s="38"/>
      <c r="P699" s="38"/>
      <c r="Q699" s="38"/>
      <c r="R699" s="48"/>
      <c r="S699" s="48"/>
      <c r="T699" s="48"/>
      <c r="U699" s="52"/>
      <c r="V699" s="50"/>
      <c r="W699" s="51"/>
      <c r="X699" s="56"/>
    </row>
    <row r="700" spans="1:24">
      <c r="A700" s="38"/>
      <c r="B700" s="38"/>
      <c r="C700" s="38"/>
      <c r="D700" s="38"/>
      <c r="E700" s="40"/>
      <c r="F700" s="41"/>
      <c r="G700" s="42"/>
      <c r="H700" s="43"/>
      <c r="I700" s="44"/>
      <c r="J700" s="38"/>
      <c r="K700" s="45"/>
      <c r="L700" s="46"/>
      <c r="M700" s="38"/>
      <c r="N700" s="38"/>
      <c r="O700" s="38"/>
      <c r="P700" s="38"/>
      <c r="Q700" s="38"/>
      <c r="R700" s="48"/>
      <c r="S700" s="48"/>
      <c r="T700" s="48"/>
      <c r="U700" s="52"/>
      <c r="V700" s="50"/>
      <c r="W700" s="51"/>
      <c r="X700" s="56"/>
    </row>
    <row r="701" spans="1:24">
      <c r="A701" s="38"/>
      <c r="B701" s="38"/>
      <c r="C701" s="38"/>
      <c r="D701" s="38"/>
      <c r="E701" s="40"/>
      <c r="F701" s="41"/>
      <c r="G701" s="42"/>
      <c r="H701" s="43"/>
      <c r="I701" s="44"/>
      <c r="J701" s="38"/>
      <c r="K701" s="45"/>
      <c r="L701" s="46"/>
      <c r="M701" s="38"/>
      <c r="N701" s="38"/>
      <c r="O701" s="38"/>
      <c r="P701" s="38"/>
      <c r="Q701" s="38"/>
      <c r="R701" s="48"/>
      <c r="S701" s="48"/>
      <c r="T701" s="48"/>
      <c r="U701" s="52"/>
      <c r="V701" s="50"/>
      <c r="W701" s="51"/>
      <c r="X701" s="56"/>
    </row>
    <row r="702" spans="1:24">
      <c r="A702" s="38"/>
      <c r="B702" s="38"/>
      <c r="C702" s="38"/>
      <c r="D702" s="38"/>
      <c r="E702" s="40"/>
      <c r="F702" s="41"/>
      <c r="G702" s="42"/>
      <c r="H702" s="43"/>
      <c r="I702" s="44"/>
      <c r="J702" s="38"/>
      <c r="K702" s="45"/>
      <c r="L702" s="46"/>
      <c r="M702" s="38"/>
      <c r="N702" s="38"/>
      <c r="O702" s="38"/>
      <c r="P702" s="38"/>
      <c r="Q702" s="38"/>
      <c r="R702" s="48"/>
      <c r="S702" s="48"/>
      <c r="T702" s="48"/>
      <c r="U702" s="52"/>
      <c r="V702" s="50"/>
      <c r="W702" s="51"/>
      <c r="X702" s="56"/>
    </row>
    <row r="703" spans="1:24">
      <c r="A703" s="38"/>
      <c r="B703" s="38"/>
      <c r="C703" s="38"/>
      <c r="D703" s="38"/>
      <c r="E703" s="40"/>
      <c r="F703" s="41"/>
      <c r="G703" s="42"/>
      <c r="H703" s="43"/>
      <c r="I703" s="44"/>
      <c r="J703" s="38"/>
      <c r="K703" s="45"/>
      <c r="L703" s="46"/>
      <c r="M703" s="38"/>
      <c r="N703" s="38"/>
      <c r="O703" s="38"/>
      <c r="P703" s="38"/>
      <c r="Q703" s="38"/>
      <c r="R703" s="48"/>
      <c r="S703" s="48"/>
      <c r="T703" s="48"/>
      <c r="U703" s="52"/>
      <c r="V703" s="50"/>
      <c r="W703" s="51"/>
      <c r="X703" s="56"/>
    </row>
    <row r="704" spans="1:24">
      <c r="A704" s="38"/>
      <c r="B704" s="38"/>
      <c r="C704" s="38"/>
      <c r="D704" s="38"/>
      <c r="E704" s="40"/>
      <c r="F704" s="41"/>
      <c r="G704" s="42"/>
      <c r="H704" s="43"/>
      <c r="I704" s="44"/>
      <c r="J704" s="38"/>
      <c r="K704" s="45"/>
      <c r="L704" s="46"/>
      <c r="M704" s="38"/>
      <c r="N704" s="38"/>
      <c r="O704" s="38"/>
      <c r="P704" s="38"/>
      <c r="Q704" s="38"/>
      <c r="R704" s="48"/>
      <c r="S704" s="48"/>
      <c r="T704" s="48"/>
      <c r="U704" s="52"/>
      <c r="V704" s="50"/>
      <c r="W704" s="51"/>
      <c r="X704" s="56"/>
    </row>
    <row r="705" spans="1:24">
      <c r="A705" s="38"/>
      <c r="B705" s="38"/>
      <c r="C705" s="38"/>
      <c r="D705" s="38"/>
      <c r="E705" s="40"/>
      <c r="F705" s="41"/>
      <c r="G705" s="42"/>
      <c r="H705" s="43"/>
      <c r="I705" s="44"/>
      <c r="J705" s="38"/>
      <c r="K705" s="45"/>
      <c r="L705" s="46"/>
      <c r="M705" s="38"/>
      <c r="N705" s="38"/>
      <c r="O705" s="38"/>
      <c r="P705" s="38"/>
      <c r="Q705" s="38"/>
      <c r="R705" s="48"/>
      <c r="S705" s="48"/>
      <c r="T705" s="48"/>
      <c r="U705" s="52"/>
      <c r="V705" s="50"/>
      <c r="W705" s="51"/>
      <c r="X705" s="56"/>
    </row>
    <row r="706" spans="1:24">
      <c r="A706" s="38"/>
      <c r="B706" s="38"/>
      <c r="C706" s="38"/>
      <c r="D706" s="38"/>
      <c r="E706" s="40"/>
      <c r="F706" s="41"/>
      <c r="G706" s="42"/>
      <c r="H706" s="43"/>
      <c r="I706" s="44"/>
      <c r="J706" s="38"/>
      <c r="K706" s="45"/>
      <c r="L706" s="46"/>
      <c r="M706" s="38"/>
      <c r="N706" s="38"/>
      <c r="O706" s="38"/>
      <c r="P706" s="38"/>
      <c r="Q706" s="38"/>
      <c r="R706" s="48"/>
      <c r="S706" s="48"/>
      <c r="T706" s="48"/>
      <c r="U706" s="52"/>
      <c r="V706" s="50"/>
      <c r="W706" s="51"/>
      <c r="X706" s="56"/>
    </row>
    <row r="707" spans="1:24">
      <c r="A707" s="38"/>
      <c r="B707" s="38"/>
      <c r="C707" s="38"/>
      <c r="D707" s="38"/>
      <c r="E707" s="40"/>
      <c r="F707" s="41"/>
      <c r="G707" s="42"/>
      <c r="H707" s="43"/>
      <c r="I707" s="44"/>
      <c r="J707" s="38"/>
      <c r="K707" s="45"/>
      <c r="L707" s="46"/>
      <c r="M707" s="38"/>
      <c r="N707" s="38"/>
      <c r="O707" s="38"/>
      <c r="P707" s="38"/>
      <c r="Q707" s="38"/>
      <c r="R707" s="48"/>
      <c r="S707" s="48"/>
      <c r="T707" s="48"/>
      <c r="U707" s="52"/>
      <c r="V707" s="50"/>
      <c r="W707" s="51"/>
      <c r="X707" s="56"/>
    </row>
    <row r="708" spans="1:24">
      <c r="A708" s="38"/>
      <c r="B708" s="38"/>
      <c r="C708" s="38"/>
      <c r="D708" s="38"/>
      <c r="E708" s="40"/>
      <c r="F708" s="41"/>
      <c r="G708" s="42"/>
      <c r="H708" s="43"/>
      <c r="I708" s="44"/>
      <c r="J708" s="38"/>
      <c r="K708" s="45"/>
      <c r="L708" s="46"/>
      <c r="M708" s="38"/>
      <c r="N708" s="38"/>
      <c r="O708" s="38"/>
      <c r="P708" s="38"/>
      <c r="Q708" s="38"/>
      <c r="R708" s="48"/>
      <c r="S708" s="48"/>
      <c r="T708" s="48"/>
      <c r="U708" s="52"/>
      <c r="V708" s="50"/>
      <c r="W708" s="51"/>
      <c r="X708" s="56"/>
    </row>
    <row r="709" spans="1:24">
      <c r="A709" s="38"/>
      <c r="B709" s="38"/>
      <c r="C709" s="38"/>
      <c r="D709" s="38"/>
      <c r="E709" s="40"/>
      <c r="F709" s="41"/>
      <c r="G709" s="42"/>
      <c r="H709" s="43"/>
      <c r="I709" s="44"/>
      <c r="J709" s="38"/>
      <c r="K709" s="45"/>
      <c r="L709" s="46"/>
      <c r="M709" s="38"/>
      <c r="N709" s="38"/>
      <c r="O709" s="38"/>
      <c r="P709" s="38"/>
      <c r="Q709" s="38"/>
      <c r="R709" s="48"/>
      <c r="S709" s="48"/>
      <c r="T709" s="48"/>
      <c r="U709" s="52"/>
      <c r="V709" s="50"/>
      <c r="W709" s="51"/>
      <c r="X709" s="56"/>
    </row>
    <row r="710" spans="1:24">
      <c r="A710" s="38"/>
      <c r="B710" s="38"/>
      <c r="C710" s="38"/>
      <c r="D710" s="38"/>
      <c r="E710" s="40"/>
      <c r="F710" s="41"/>
      <c r="G710" s="42"/>
      <c r="H710" s="43"/>
      <c r="I710" s="44"/>
      <c r="J710" s="38"/>
      <c r="K710" s="45"/>
      <c r="L710" s="46"/>
      <c r="M710" s="38"/>
      <c r="N710" s="38"/>
      <c r="O710" s="38"/>
      <c r="P710" s="38"/>
      <c r="Q710" s="38"/>
      <c r="R710" s="48"/>
      <c r="S710" s="48"/>
      <c r="T710" s="48"/>
      <c r="U710" s="52"/>
      <c r="V710" s="50"/>
      <c r="W710" s="51"/>
      <c r="X710" s="56"/>
    </row>
    <row r="711" spans="1:24">
      <c r="A711" s="38"/>
      <c r="B711" s="38"/>
      <c r="C711" s="38"/>
      <c r="D711" s="38"/>
      <c r="E711" s="40"/>
      <c r="F711" s="41"/>
      <c r="G711" s="42"/>
      <c r="H711" s="43"/>
      <c r="I711" s="44"/>
      <c r="J711" s="38"/>
      <c r="K711" s="45"/>
      <c r="L711" s="46"/>
      <c r="M711" s="38"/>
      <c r="N711" s="38"/>
      <c r="O711" s="38"/>
      <c r="P711" s="38"/>
      <c r="Q711" s="38"/>
      <c r="R711" s="48"/>
      <c r="S711" s="48"/>
      <c r="T711" s="48"/>
      <c r="U711" s="52"/>
      <c r="V711" s="50"/>
      <c r="W711" s="51"/>
      <c r="X711" s="56"/>
    </row>
    <row r="712" spans="1:24">
      <c r="A712" s="38"/>
      <c r="B712" s="38"/>
      <c r="C712" s="38"/>
      <c r="D712" s="38"/>
      <c r="E712" s="40"/>
      <c r="F712" s="41"/>
      <c r="G712" s="42"/>
      <c r="H712" s="43"/>
      <c r="I712" s="44"/>
      <c r="J712" s="38"/>
      <c r="K712" s="45"/>
      <c r="L712" s="46"/>
      <c r="M712" s="38"/>
      <c r="N712" s="38"/>
      <c r="O712" s="38"/>
      <c r="P712" s="38"/>
      <c r="Q712" s="38"/>
      <c r="R712" s="48"/>
      <c r="S712" s="48"/>
      <c r="T712" s="48"/>
      <c r="U712" s="52"/>
      <c r="V712" s="50"/>
      <c r="W712" s="51"/>
      <c r="X712" s="56"/>
    </row>
    <row r="713" spans="1:24">
      <c r="A713" s="38"/>
      <c r="B713" s="38"/>
      <c r="C713" s="38"/>
      <c r="D713" s="38"/>
      <c r="E713" s="40"/>
      <c r="F713" s="61"/>
      <c r="G713" s="42"/>
      <c r="H713" s="43"/>
      <c r="I713" s="44"/>
      <c r="J713" s="38"/>
      <c r="K713" s="45"/>
      <c r="L713" s="46"/>
      <c r="M713" s="38"/>
      <c r="N713" s="38"/>
      <c r="O713" s="38"/>
      <c r="P713" s="38"/>
      <c r="Q713" s="38"/>
      <c r="R713" s="48"/>
      <c r="S713" s="48"/>
      <c r="T713" s="48"/>
      <c r="U713" s="52"/>
      <c r="V713" s="50"/>
      <c r="W713" s="51"/>
      <c r="X713" s="56"/>
    </row>
    <row r="714" spans="1:24">
      <c r="A714" s="38"/>
      <c r="B714" s="38"/>
      <c r="C714" s="38"/>
      <c r="D714" s="38"/>
      <c r="E714" s="40"/>
      <c r="F714" s="41"/>
      <c r="G714" s="42"/>
      <c r="H714" s="43"/>
      <c r="I714" s="44"/>
      <c r="J714" s="38"/>
      <c r="K714" s="45"/>
      <c r="L714" s="46"/>
      <c r="M714" s="38"/>
      <c r="N714" s="38"/>
      <c r="O714" s="38"/>
      <c r="P714" s="38"/>
      <c r="Q714" s="38"/>
      <c r="R714" s="48"/>
      <c r="S714" s="48"/>
      <c r="T714" s="48"/>
      <c r="U714" s="52"/>
      <c r="V714" s="50"/>
      <c r="W714" s="51"/>
      <c r="X714" s="56"/>
    </row>
    <row r="715" spans="1:24">
      <c r="A715" s="38"/>
      <c r="B715" s="38"/>
      <c r="C715" s="38"/>
      <c r="D715" s="38"/>
      <c r="E715" s="40"/>
      <c r="F715" s="41"/>
      <c r="G715" s="42"/>
      <c r="H715" s="43"/>
      <c r="I715" s="44"/>
      <c r="J715" s="38"/>
      <c r="K715" s="45"/>
      <c r="L715" s="46"/>
      <c r="M715" s="38"/>
      <c r="N715" s="38"/>
      <c r="O715" s="38"/>
      <c r="P715" s="38"/>
      <c r="Q715" s="38"/>
      <c r="R715" s="48"/>
      <c r="S715" s="48"/>
      <c r="T715" s="48"/>
      <c r="U715" s="52"/>
      <c r="V715" s="50"/>
      <c r="W715" s="51"/>
      <c r="X715" s="56"/>
    </row>
    <row r="716" spans="1:24">
      <c r="A716" s="38"/>
      <c r="B716" s="38"/>
      <c r="C716" s="38"/>
      <c r="D716" s="38"/>
      <c r="E716" s="40"/>
      <c r="F716" s="41"/>
      <c r="G716" s="42"/>
      <c r="H716" s="43"/>
      <c r="I716" s="44"/>
      <c r="J716" s="38"/>
      <c r="K716" s="45"/>
      <c r="L716" s="46"/>
      <c r="M716" s="38"/>
      <c r="N716" s="38"/>
      <c r="O716" s="38"/>
      <c r="P716" s="38"/>
      <c r="Q716" s="38"/>
      <c r="R716" s="48"/>
      <c r="S716" s="48"/>
      <c r="T716" s="48"/>
      <c r="U716" s="52"/>
      <c r="V716" s="50"/>
      <c r="W716" s="51"/>
      <c r="X716" s="56"/>
    </row>
    <row r="717" spans="1:24">
      <c r="A717" s="38"/>
      <c r="B717" s="38"/>
      <c r="C717" s="38"/>
      <c r="D717" s="38"/>
      <c r="E717" s="40"/>
      <c r="F717" s="41"/>
      <c r="G717" s="42"/>
      <c r="H717" s="43"/>
      <c r="I717" s="44"/>
      <c r="J717" s="38"/>
      <c r="K717" s="45"/>
      <c r="L717" s="46"/>
      <c r="M717" s="38"/>
      <c r="N717" s="38"/>
      <c r="O717" s="38"/>
      <c r="P717" s="38"/>
      <c r="Q717" s="38"/>
      <c r="R717" s="48"/>
      <c r="S717" s="48"/>
      <c r="T717" s="48"/>
      <c r="U717" s="52"/>
      <c r="V717" s="50"/>
      <c r="W717" s="51"/>
      <c r="X717" s="56"/>
    </row>
    <row r="718" spans="1:24">
      <c r="A718" s="38"/>
      <c r="B718" s="38"/>
      <c r="C718" s="38"/>
      <c r="D718" s="38"/>
      <c r="E718" s="40"/>
      <c r="F718" s="41"/>
      <c r="G718" s="42"/>
      <c r="H718" s="43"/>
      <c r="I718" s="44"/>
      <c r="J718" s="38"/>
      <c r="K718" s="45"/>
      <c r="L718" s="46"/>
      <c r="M718" s="38"/>
      <c r="N718" s="38"/>
      <c r="O718" s="38"/>
      <c r="P718" s="38"/>
      <c r="Q718" s="38"/>
      <c r="R718" s="48"/>
      <c r="S718" s="48"/>
      <c r="T718" s="48"/>
      <c r="U718" s="52"/>
      <c r="V718" s="50"/>
      <c r="W718" s="51"/>
      <c r="X718" s="56"/>
    </row>
    <row r="719" spans="1:24">
      <c r="A719" s="38"/>
      <c r="B719" s="38"/>
      <c r="C719" s="38"/>
      <c r="D719" s="38"/>
      <c r="E719" s="40"/>
      <c r="F719" s="41"/>
      <c r="G719" s="42"/>
      <c r="H719" s="43"/>
      <c r="I719" s="44"/>
      <c r="J719" s="38"/>
      <c r="K719" s="45"/>
      <c r="L719" s="46"/>
      <c r="M719" s="38"/>
      <c r="N719" s="38"/>
      <c r="O719" s="38"/>
      <c r="P719" s="38"/>
      <c r="Q719" s="38"/>
      <c r="R719" s="48"/>
      <c r="S719" s="48"/>
      <c r="T719" s="48"/>
      <c r="U719" s="52"/>
      <c r="V719" s="50"/>
      <c r="W719" s="51"/>
      <c r="X719" s="56"/>
    </row>
    <row r="720" spans="1:24">
      <c r="A720" s="38"/>
      <c r="B720" s="38"/>
      <c r="C720" s="38"/>
      <c r="D720" s="38"/>
      <c r="E720" s="40"/>
      <c r="F720" s="41"/>
      <c r="G720" s="42"/>
      <c r="H720" s="43"/>
      <c r="I720" s="44"/>
      <c r="J720" s="38"/>
      <c r="K720" s="45"/>
      <c r="L720" s="46"/>
      <c r="M720" s="38"/>
      <c r="N720" s="38"/>
      <c r="O720" s="38"/>
      <c r="P720" s="38"/>
      <c r="Q720" s="38"/>
      <c r="R720" s="48"/>
      <c r="S720" s="48"/>
      <c r="T720" s="48"/>
      <c r="U720" s="52"/>
      <c r="V720" s="50"/>
      <c r="W720" s="51"/>
      <c r="X720" s="56"/>
    </row>
    <row r="721" spans="1:24">
      <c r="A721" s="38"/>
      <c r="B721" s="38"/>
      <c r="C721" s="38"/>
      <c r="D721" s="38"/>
      <c r="E721" s="40"/>
      <c r="F721" s="41"/>
      <c r="G721" s="42"/>
      <c r="H721" s="43"/>
      <c r="I721" s="44"/>
      <c r="J721" s="38"/>
      <c r="K721" s="45"/>
      <c r="L721" s="46"/>
      <c r="M721" s="38"/>
      <c r="N721" s="38"/>
      <c r="O721" s="38"/>
      <c r="P721" s="38"/>
      <c r="Q721" s="38"/>
      <c r="R721" s="48"/>
      <c r="S721" s="48"/>
      <c r="T721" s="48"/>
      <c r="U721" s="52"/>
      <c r="V721" s="50"/>
      <c r="W721" s="51"/>
      <c r="X721" s="56"/>
    </row>
    <row r="722" spans="1:24">
      <c r="A722" s="38"/>
      <c r="B722" s="38"/>
      <c r="C722" s="38"/>
      <c r="D722" s="38"/>
      <c r="E722" s="40"/>
      <c r="F722" s="41"/>
      <c r="G722" s="42"/>
      <c r="H722" s="43"/>
      <c r="I722" s="44"/>
      <c r="J722" s="38"/>
      <c r="K722" s="45"/>
      <c r="L722" s="46"/>
      <c r="M722" s="38"/>
      <c r="N722" s="38"/>
      <c r="O722" s="38"/>
      <c r="P722" s="38"/>
      <c r="Q722" s="38"/>
      <c r="R722" s="48"/>
      <c r="S722" s="48"/>
      <c r="T722" s="48"/>
      <c r="U722" s="52"/>
      <c r="V722" s="50"/>
      <c r="W722" s="51"/>
      <c r="X722" s="56"/>
    </row>
    <row r="723" spans="1:24">
      <c r="A723" s="38"/>
      <c r="B723" s="38"/>
      <c r="C723" s="38"/>
      <c r="D723" s="38"/>
      <c r="E723" s="40"/>
      <c r="F723" s="41"/>
      <c r="G723" s="42"/>
      <c r="H723" s="43"/>
      <c r="I723" s="44"/>
      <c r="J723" s="38"/>
      <c r="K723" s="45"/>
      <c r="L723" s="46"/>
      <c r="M723" s="38"/>
      <c r="N723" s="38"/>
      <c r="O723" s="38"/>
      <c r="P723" s="38"/>
      <c r="Q723" s="38"/>
      <c r="R723" s="48"/>
      <c r="S723" s="48"/>
      <c r="T723" s="48"/>
      <c r="U723" s="52"/>
      <c r="V723" s="50"/>
      <c r="W723" s="51"/>
      <c r="X723" s="56"/>
    </row>
    <row r="724" spans="1:24">
      <c r="A724" s="38"/>
      <c r="B724" s="38"/>
      <c r="C724" s="38"/>
      <c r="D724" s="38"/>
      <c r="E724" s="40"/>
      <c r="F724" s="61"/>
      <c r="G724" s="42"/>
      <c r="H724" s="43"/>
      <c r="I724" s="44"/>
      <c r="J724" s="38"/>
      <c r="K724" s="45"/>
      <c r="L724" s="46"/>
      <c r="M724" s="38"/>
      <c r="N724" s="38"/>
      <c r="O724" s="38"/>
      <c r="P724" s="38"/>
      <c r="Q724" s="38"/>
      <c r="R724" s="48"/>
      <c r="S724" s="48"/>
      <c r="T724" s="48"/>
      <c r="U724" s="52"/>
      <c r="V724" s="50"/>
      <c r="W724" s="51"/>
      <c r="X724" s="56"/>
    </row>
    <row r="725" spans="1:24">
      <c r="A725" s="38"/>
      <c r="B725" s="38"/>
      <c r="C725" s="38"/>
      <c r="D725" s="38"/>
      <c r="E725" s="40"/>
      <c r="F725" s="41"/>
      <c r="G725" s="42"/>
      <c r="H725" s="43"/>
      <c r="I725" s="44"/>
      <c r="J725" s="38"/>
      <c r="K725" s="45"/>
      <c r="L725" s="46"/>
      <c r="M725" s="38"/>
      <c r="N725" s="38"/>
      <c r="O725" s="38"/>
      <c r="P725" s="38"/>
      <c r="Q725" s="38"/>
      <c r="R725" s="48"/>
      <c r="S725" s="48"/>
      <c r="T725" s="48"/>
      <c r="U725" s="52"/>
      <c r="V725" s="50"/>
      <c r="W725" s="51"/>
      <c r="X725" s="56"/>
    </row>
    <row r="726" spans="1:24">
      <c r="A726" s="38"/>
      <c r="B726" s="38"/>
      <c r="C726" s="38"/>
      <c r="D726" s="38"/>
      <c r="E726" s="40"/>
      <c r="F726" s="41"/>
      <c r="G726" s="42"/>
      <c r="H726" s="43"/>
      <c r="I726" s="44"/>
      <c r="J726" s="38"/>
      <c r="K726" s="45"/>
      <c r="L726" s="46"/>
      <c r="M726" s="38"/>
      <c r="N726" s="38"/>
      <c r="O726" s="38"/>
      <c r="P726" s="38"/>
      <c r="Q726" s="38"/>
      <c r="R726" s="48"/>
      <c r="S726" s="48"/>
      <c r="T726" s="48"/>
      <c r="U726" s="52"/>
      <c r="V726" s="50"/>
      <c r="W726" s="51"/>
      <c r="X726" s="56"/>
    </row>
    <row r="727" spans="1:24">
      <c r="A727" s="38"/>
      <c r="B727" s="38"/>
      <c r="C727" s="38"/>
      <c r="D727" s="38"/>
      <c r="E727" s="40"/>
      <c r="F727" s="41"/>
      <c r="G727" s="42"/>
      <c r="H727" s="43"/>
      <c r="I727" s="44"/>
      <c r="J727" s="38"/>
      <c r="K727" s="45"/>
      <c r="L727" s="46"/>
      <c r="M727" s="38"/>
      <c r="N727" s="38"/>
      <c r="O727" s="38"/>
      <c r="P727" s="38"/>
      <c r="Q727" s="38"/>
      <c r="R727" s="48"/>
      <c r="S727" s="48"/>
      <c r="T727" s="48"/>
      <c r="U727" s="52"/>
      <c r="V727" s="50"/>
      <c r="W727" s="51"/>
      <c r="X727" s="56"/>
    </row>
    <row r="728" spans="1:24">
      <c r="A728" s="38"/>
      <c r="B728" s="38"/>
      <c r="C728" s="38"/>
      <c r="D728" s="38"/>
      <c r="E728" s="40"/>
      <c r="F728" s="41"/>
      <c r="G728" s="42"/>
      <c r="H728" s="43"/>
      <c r="I728" s="44"/>
      <c r="J728" s="38"/>
      <c r="K728" s="45"/>
      <c r="L728" s="46"/>
      <c r="M728" s="38"/>
      <c r="N728" s="38"/>
      <c r="O728" s="38"/>
      <c r="P728" s="38"/>
      <c r="Q728" s="38"/>
      <c r="R728" s="48"/>
      <c r="S728" s="48"/>
      <c r="T728" s="48"/>
      <c r="U728" s="52"/>
      <c r="V728" s="50"/>
      <c r="W728" s="51"/>
      <c r="X728" s="56"/>
    </row>
    <row r="729" spans="1:24">
      <c r="A729" s="38"/>
      <c r="B729" s="38"/>
      <c r="C729" s="38"/>
      <c r="D729" s="38"/>
      <c r="E729" s="40"/>
      <c r="F729" s="61"/>
      <c r="G729" s="42"/>
      <c r="H729" s="43"/>
      <c r="I729" s="44"/>
      <c r="J729" s="38"/>
      <c r="K729" s="45"/>
      <c r="L729" s="46"/>
      <c r="M729" s="38"/>
      <c r="N729" s="38"/>
      <c r="O729" s="38"/>
      <c r="P729" s="38"/>
      <c r="Q729" s="38"/>
      <c r="R729" s="48"/>
      <c r="S729" s="48"/>
      <c r="T729" s="48"/>
      <c r="U729" s="52"/>
      <c r="V729" s="50"/>
      <c r="W729" s="51"/>
      <c r="X729" s="56"/>
    </row>
    <row r="730" spans="1:24">
      <c r="A730" s="38"/>
      <c r="B730" s="38"/>
      <c r="C730" s="38"/>
      <c r="D730" s="38"/>
      <c r="E730" s="40"/>
      <c r="F730" s="61"/>
      <c r="G730" s="42"/>
      <c r="H730" s="43"/>
      <c r="I730" s="44"/>
      <c r="J730" s="38"/>
      <c r="K730" s="45"/>
      <c r="L730" s="46"/>
      <c r="M730" s="38"/>
      <c r="N730" s="38"/>
      <c r="O730" s="38"/>
      <c r="P730" s="38"/>
      <c r="Q730" s="38"/>
      <c r="R730" s="48"/>
      <c r="S730" s="48"/>
      <c r="T730" s="48"/>
      <c r="U730" s="52"/>
      <c r="V730" s="50"/>
      <c r="W730" s="51"/>
      <c r="X730" s="56"/>
    </row>
    <row r="731" spans="1:24">
      <c r="A731" s="38"/>
      <c r="B731" s="38"/>
      <c r="C731" s="38"/>
      <c r="D731" s="38"/>
      <c r="E731" s="40"/>
      <c r="F731" s="61"/>
      <c r="G731" s="42"/>
      <c r="H731" s="43"/>
      <c r="I731" s="44"/>
      <c r="J731" s="38"/>
      <c r="K731" s="45"/>
      <c r="L731" s="46"/>
      <c r="M731" s="38"/>
      <c r="N731" s="38"/>
      <c r="O731" s="38"/>
      <c r="P731" s="38"/>
      <c r="Q731" s="38"/>
      <c r="R731" s="48"/>
      <c r="S731" s="48"/>
      <c r="T731" s="48"/>
      <c r="U731" s="52"/>
      <c r="V731" s="50"/>
      <c r="W731" s="51"/>
      <c r="X731" s="56"/>
    </row>
    <row r="732" spans="1:24">
      <c r="A732" s="38"/>
      <c r="B732" s="38"/>
      <c r="C732" s="38"/>
      <c r="D732" s="38"/>
      <c r="E732" s="40"/>
      <c r="F732" s="58"/>
      <c r="G732" s="42"/>
      <c r="H732" s="43"/>
      <c r="I732" s="44"/>
      <c r="J732" s="38"/>
      <c r="K732" s="45"/>
      <c r="L732" s="46"/>
      <c r="M732" s="38"/>
      <c r="N732" s="38"/>
      <c r="O732" s="38"/>
      <c r="P732" s="38"/>
      <c r="Q732" s="38"/>
      <c r="R732" s="48"/>
      <c r="S732" s="48"/>
      <c r="T732" s="48"/>
      <c r="U732" s="52"/>
      <c r="V732" s="50"/>
      <c r="W732" s="51"/>
      <c r="X732" s="56"/>
    </row>
    <row r="733" spans="1:24">
      <c r="A733" s="38"/>
      <c r="B733" s="38"/>
      <c r="C733" s="38"/>
      <c r="D733" s="38"/>
      <c r="E733" s="40"/>
      <c r="F733" s="58"/>
      <c r="G733" s="42"/>
      <c r="H733" s="43"/>
      <c r="I733" s="44"/>
      <c r="J733" s="38"/>
      <c r="K733" s="45"/>
      <c r="L733" s="46"/>
      <c r="M733" s="38"/>
      <c r="N733" s="38"/>
      <c r="O733" s="38"/>
      <c r="P733" s="38"/>
      <c r="Q733" s="38"/>
      <c r="R733" s="48"/>
      <c r="S733" s="48"/>
      <c r="T733" s="48"/>
      <c r="U733" s="52"/>
      <c r="V733" s="50"/>
      <c r="W733" s="51"/>
      <c r="X733" s="56"/>
    </row>
    <row r="734" spans="1:24">
      <c r="A734" s="38"/>
      <c r="B734" s="38"/>
      <c r="C734" s="38"/>
      <c r="D734" s="38"/>
      <c r="E734" s="40"/>
      <c r="F734" s="41"/>
      <c r="G734" s="42"/>
      <c r="H734" s="43"/>
      <c r="I734" s="44"/>
      <c r="J734" s="38"/>
      <c r="K734" s="45"/>
      <c r="L734" s="46"/>
      <c r="M734" s="38"/>
      <c r="N734" s="38"/>
      <c r="O734" s="38"/>
      <c r="P734" s="38"/>
      <c r="Q734" s="38"/>
      <c r="R734" s="48"/>
      <c r="S734" s="48"/>
      <c r="T734" s="48"/>
      <c r="U734" s="52"/>
      <c r="V734" s="50"/>
      <c r="W734" s="51"/>
      <c r="X734" s="56"/>
    </row>
    <row r="735" spans="1:24">
      <c r="A735" s="38"/>
      <c r="B735" s="38"/>
      <c r="C735" s="38"/>
      <c r="D735" s="38"/>
      <c r="E735" s="40"/>
      <c r="F735" s="61"/>
      <c r="G735" s="42"/>
      <c r="H735" s="43"/>
      <c r="I735" s="44"/>
      <c r="J735" s="38"/>
      <c r="K735" s="45"/>
      <c r="L735" s="46"/>
      <c r="M735" s="38"/>
      <c r="N735" s="38"/>
      <c r="O735" s="38"/>
      <c r="P735" s="38"/>
      <c r="Q735" s="38"/>
      <c r="R735" s="48"/>
      <c r="S735" s="48"/>
      <c r="T735" s="48"/>
      <c r="U735" s="52"/>
      <c r="V735" s="50"/>
      <c r="W735" s="51"/>
      <c r="X735" s="56"/>
    </row>
    <row r="736" spans="1:24">
      <c r="A736" s="38"/>
      <c r="B736" s="38"/>
      <c r="C736" s="38"/>
      <c r="D736" s="38"/>
      <c r="E736" s="40"/>
      <c r="F736" s="61"/>
      <c r="G736" s="42"/>
      <c r="H736" s="43"/>
      <c r="I736" s="44"/>
      <c r="J736" s="38"/>
      <c r="K736" s="45"/>
      <c r="L736" s="46"/>
      <c r="M736" s="38"/>
      <c r="N736" s="38"/>
      <c r="O736" s="38"/>
      <c r="P736" s="38"/>
      <c r="Q736" s="38"/>
      <c r="R736" s="48"/>
      <c r="S736" s="48"/>
      <c r="T736" s="48"/>
      <c r="U736" s="52"/>
      <c r="V736" s="50"/>
      <c r="W736" s="51"/>
      <c r="X736" s="56"/>
    </row>
    <row r="737" spans="1:24">
      <c r="A737" s="38"/>
      <c r="B737" s="38"/>
      <c r="C737" s="38"/>
      <c r="D737" s="38"/>
      <c r="E737" s="40"/>
      <c r="F737" s="58"/>
      <c r="G737" s="42"/>
      <c r="H737" s="43"/>
      <c r="I737" s="44"/>
      <c r="J737" s="38"/>
      <c r="K737" s="45"/>
      <c r="L737" s="46"/>
      <c r="M737" s="38"/>
      <c r="N737" s="38"/>
      <c r="O737" s="38"/>
      <c r="P737" s="38"/>
      <c r="Q737" s="38"/>
      <c r="R737" s="48"/>
      <c r="S737" s="48"/>
      <c r="T737" s="48"/>
      <c r="U737" s="52"/>
      <c r="V737" s="50"/>
      <c r="W737" s="51"/>
      <c r="X737" s="56"/>
    </row>
    <row r="738" spans="1:24">
      <c r="A738" s="38"/>
      <c r="B738" s="38"/>
      <c r="C738" s="38"/>
      <c r="D738" s="38"/>
      <c r="E738" s="40"/>
      <c r="F738" s="58"/>
      <c r="G738" s="42"/>
      <c r="H738" s="43"/>
      <c r="I738" s="44"/>
      <c r="J738" s="38"/>
      <c r="K738" s="45"/>
      <c r="L738" s="46"/>
      <c r="M738" s="38"/>
      <c r="N738" s="38"/>
      <c r="O738" s="38"/>
      <c r="P738" s="38"/>
      <c r="Q738" s="38"/>
      <c r="R738" s="48"/>
      <c r="S738" s="48"/>
      <c r="T738" s="48"/>
      <c r="U738" s="52"/>
      <c r="V738" s="50"/>
      <c r="W738" s="51"/>
      <c r="X738" s="56"/>
    </row>
    <row r="739" spans="1:24">
      <c r="A739" s="38"/>
      <c r="B739" s="38"/>
      <c r="C739" s="38"/>
      <c r="D739" s="38"/>
      <c r="E739" s="40"/>
      <c r="F739" s="58"/>
      <c r="G739" s="42"/>
      <c r="H739" s="43"/>
      <c r="I739" s="44"/>
      <c r="J739" s="38"/>
      <c r="K739" s="45"/>
      <c r="L739" s="46"/>
      <c r="M739" s="38"/>
      <c r="N739" s="38"/>
      <c r="O739" s="38"/>
      <c r="P739" s="38"/>
      <c r="Q739" s="38"/>
      <c r="R739" s="48"/>
      <c r="S739" s="48"/>
      <c r="T739" s="48"/>
      <c r="U739" s="52"/>
      <c r="V739" s="50"/>
      <c r="W739" s="51"/>
      <c r="X739" s="56"/>
    </row>
    <row r="740" spans="1:24">
      <c r="A740" s="38"/>
      <c r="B740" s="38"/>
      <c r="C740" s="38"/>
      <c r="D740" s="38"/>
      <c r="E740" s="40"/>
      <c r="F740" s="58"/>
      <c r="G740" s="42"/>
      <c r="H740" s="43"/>
      <c r="I740" s="44"/>
      <c r="J740" s="38"/>
      <c r="K740" s="45"/>
      <c r="L740" s="46"/>
      <c r="M740" s="38"/>
      <c r="N740" s="38"/>
      <c r="O740" s="38"/>
      <c r="P740" s="38"/>
      <c r="Q740" s="38"/>
      <c r="R740" s="48"/>
      <c r="S740" s="48"/>
      <c r="T740" s="48"/>
      <c r="U740" s="52"/>
      <c r="V740" s="50"/>
      <c r="W740" s="51"/>
      <c r="X740" s="56"/>
    </row>
    <row r="741" spans="1:24">
      <c r="A741" s="38"/>
      <c r="B741" s="38"/>
      <c r="C741" s="38"/>
      <c r="D741" s="38"/>
      <c r="E741" s="40"/>
      <c r="F741" s="58"/>
      <c r="G741" s="42"/>
      <c r="H741" s="43"/>
      <c r="I741" s="44"/>
      <c r="J741" s="38"/>
      <c r="K741" s="45"/>
      <c r="L741" s="46"/>
      <c r="M741" s="38"/>
      <c r="N741" s="38"/>
      <c r="O741" s="38"/>
      <c r="P741" s="38"/>
      <c r="Q741" s="38"/>
      <c r="R741" s="48"/>
      <c r="S741" s="48"/>
      <c r="T741" s="48"/>
      <c r="U741" s="52"/>
      <c r="V741" s="50"/>
      <c r="W741" s="51"/>
      <c r="X741" s="56"/>
    </row>
    <row r="742" spans="1:24">
      <c r="A742" s="38"/>
      <c r="B742" s="38"/>
      <c r="C742" s="38"/>
      <c r="D742" s="38"/>
      <c r="E742" s="40"/>
      <c r="F742" s="58"/>
      <c r="G742" s="42"/>
      <c r="H742" s="43"/>
      <c r="I742" s="44"/>
      <c r="J742" s="38"/>
      <c r="K742" s="45"/>
      <c r="L742" s="46"/>
      <c r="M742" s="38"/>
      <c r="N742" s="38"/>
      <c r="O742" s="38"/>
      <c r="P742" s="38"/>
      <c r="Q742" s="38"/>
      <c r="R742" s="48"/>
      <c r="S742" s="48"/>
      <c r="T742" s="48"/>
      <c r="U742" s="52"/>
      <c r="V742" s="50"/>
      <c r="W742" s="51"/>
      <c r="X742" s="56"/>
    </row>
    <row r="743" spans="1:24">
      <c r="A743" s="38"/>
      <c r="B743" s="38"/>
      <c r="C743" s="38"/>
      <c r="D743" s="38"/>
      <c r="E743" s="40"/>
      <c r="F743" s="41"/>
      <c r="G743" s="42"/>
      <c r="H743" s="43"/>
      <c r="I743" s="44"/>
      <c r="J743" s="38"/>
      <c r="K743" s="45"/>
      <c r="L743" s="46"/>
      <c r="M743" s="38"/>
      <c r="N743" s="38"/>
      <c r="O743" s="38"/>
      <c r="P743" s="38"/>
      <c r="Q743" s="38"/>
      <c r="R743" s="48"/>
      <c r="S743" s="48"/>
      <c r="T743" s="48"/>
      <c r="U743" s="52"/>
      <c r="V743" s="50"/>
      <c r="W743" s="51"/>
      <c r="X743" s="56"/>
    </row>
    <row r="744" spans="1:24">
      <c r="A744" s="38"/>
      <c r="B744" s="38"/>
      <c r="C744" s="38"/>
      <c r="D744" s="38"/>
      <c r="E744" s="40"/>
      <c r="F744" s="58"/>
      <c r="G744" s="42"/>
      <c r="H744" s="43"/>
      <c r="I744" s="44"/>
      <c r="J744" s="38"/>
      <c r="K744" s="45"/>
      <c r="L744" s="46"/>
      <c r="M744" s="38"/>
      <c r="N744" s="38"/>
      <c r="O744" s="38"/>
      <c r="P744" s="38"/>
      <c r="Q744" s="38"/>
      <c r="R744" s="48"/>
      <c r="S744" s="48"/>
      <c r="T744" s="48"/>
      <c r="U744" s="52"/>
      <c r="V744" s="50"/>
      <c r="W744" s="51"/>
      <c r="X744" s="56"/>
    </row>
    <row r="745" spans="1:24">
      <c r="A745" s="38"/>
      <c r="B745" s="38"/>
      <c r="C745" s="38"/>
      <c r="D745" s="38"/>
      <c r="E745" s="40"/>
      <c r="F745" s="41"/>
      <c r="G745" s="42"/>
      <c r="H745" s="43"/>
      <c r="I745" s="44"/>
      <c r="J745" s="38"/>
      <c r="K745" s="45"/>
      <c r="L745" s="46"/>
      <c r="M745" s="38"/>
      <c r="N745" s="38"/>
      <c r="O745" s="38"/>
      <c r="P745" s="38"/>
      <c r="Q745" s="38"/>
      <c r="R745" s="48"/>
      <c r="S745" s="48"/>
      <c r="T745" s="48"/>
      <c r="U745" s="52"/>
      <c r="V745" s="50"/>
      <c r="W745" s="51"/>
      <c r="X745" s="56"/>
    </row>
    <row r="746" spans="1:24">
      <c r="A746" s="38"/>
      <c r="B746" s="38"/>
      <c r="C746" s="38"/>
      <c r="D746" s="38"/>
      <c r="E746" s="40"/>
      <c r="F746" s="58"/>
      <c r="G746" s="42"/>
      <c r="H746" s="43"/>
      <c r="I746" s="44"/>
      <c r="J746" s="38"/>
      <c r="K746" s="45"/>
      <c r="L746" s="46"/>
      <c r="M746" s="38"/>
      <c r="N746" s="38"/>
      <c r="O746" s="38"/>
      <c r="P746" s="38"/>
      <c r="Q746" s="38"/>
      <c r="R746" s="48"/>
      <c r="S746" s="48"/>
      <c r="T746" s="48"/>
      <c r="U746" s="52"/>
      <c r="V746" s="50"/>
      <c r="W746" s="51"/>
      <c r="X746" s="56"/>
    </row>
    <row r="747" spans="1:24">
      <c r="A747" s="38"/>
      <c r="B747" s="38"/>
      <c r="C747" s="38"/>
      <c r="D747" s="38"/>
      <c r="E747" s="40"/>
      <c r="F747" s="41"/>
      <c r="G747" s="42"/>
      <c r="H747" s="43"/>
      <c r="I747" s="44"/>
      <c r="J747" s="38"/>
      <c r="K747" s="45"/>
      <c r="L747" s="46"/>
      <c r="M747" s="38"/>
      <c r="N747" s="38"/>
      <c r="O747" s="38"/>
      <c r="P747" s="38"/>
      <c r="Q747" s="38"/>
      <c r="R747" s="48"/>
      <c r="S747" s="48"/>
      <c r="T747" s="48"/>
      <c r="U747" s="52"/>
      <c r="V747" s="50"/>
      <c r="W747" s="51"/>
      <c r="X747" s="56"/>
    </row>
    <row r="748" spans="1:24">
      <c r="A748" s="38"/>
      <c r="B748" s="38"/>
      <c r="C748" s="38"/>
      <c r="D748" s="38"/>
      <c r="E748" s="40"/>
      <c r="F748" s="41"/>
      <c r="G748" s="42"/>
      <c r="H748" s="43"/>
      <c r="I748" s="44"/>
      <c r="J748" s="38"/>
      <c r="K748" s="45"/>
      <c r="L748" s="46"/>
      <c r="M748" s="38"/>
      <c r="N748" s="38"/>
      <c r="O748" s="38"/>
      <c r="P748" s="38"/>
      <c r="Q748" s="38"/>
      <c r="R748" s="48"/>
      <c r="S748" s="48"/>
      <c r="T748" s="48"/>
      <c r="U748" s="52"/>
      <c r="V748" s="50"/>
      <c r="W748" s="51"/>
      <c r="X748" s="56"/>
    </row>
    <row r="749" spans="1:24">
      <c r="A749" s="38"/>
      <c r="B749" s="38"/>
      <c r="C749" s="38"/>
      <c r="D749" s="38"/>
      <c r="E749" s="40"/>
      <c r="F749" s="41"/>
      <c r="G749" s="42"/>
      <c r="H749" s="43"/>
      <c r="I749" s="44"/>
      <c r="J749" s="38"/>
      <c r="K749" s="45"/>
      <c r="L749" s="46"/>
      <c r="M749" s="38"/>
      <c r="N749" s="38"/>
      <c r="O749" s="38"/>
      <c r="P749" s="38"/>
      <c r="Q749" s="38"/>
      <c r="R749" s="48"/>
      <c r="S749" s="48"/>
      <c r="T749" s="48"/>
      <c r="U749" s="52"/>
      <c r="V749" s="50"/>
      <c r="W749" s="51"/>
      <c r="X749" s="56"/>
    </row>
    <row r="750" spans="1:24">
      <c r="A750" s="38"/>
      <c r="B750" s="38"/>
      <c r="C750" s="38"/>
      <c r="D750" s="38"/>
      <c r="E750" s="40"/>
      <c r="F750" s="58"/>
      <c r="G750" s="42"/>
      <c r="H750" s="43"/>
      <c r="I750" s="44"/>
      <c r="J750" s="38"/>
      <c r="K750" s="45"/>
      <c r="L750" s="46"/>
      <c r="M750" s="38"/>
      <c r="N750" s="38"/>
      <c r="O750" s="38"/>
      <c r="P750" s="38"/>
      <c r="Q750" s="38"/>
      <c r="R750" s="48"/>
      <c r="S750" s="48"/>
      <c r="T750" s="48"/>
      <c r="U750" s="52"/>
      <c r="V750" s="50"/>
      <c r="W750" s="51"/>
      <c r="X750" s="56"/>
    </row>
    <row r="751" spans="1:24">
      <c r="A751" s="38"/>
      <c r="B751" s="38"/>
      <c r="C751" s="38"/>
      <c r="D751" s="38"/>
      <c r="E751" s="40"/>
      <c r="F751" s="61"/>
      <c r="G751" s="42"/>
      <c r="H751" s="43"/>
      <c r="I751" s="44"/>
      <c r="J751" s="38"/>
      <c r="K751" s="45"/>
      <c r="L751" s="46"/>
      <c r="M751" s="38"/>
      <c r="N751" s="38"/>
      <c r="O751" s="38"/>
      <c r="P751" s="38"/>
      <c r="Q751" s="38"/>
      <c r="R751" s="48"/>
      <c r="S751" s="48"/>
      <c r="T751" s="48"/>
      <c r="U751" s="52"/>
      <c r="V751" s="50"/>
      <c r="W751" s="51"/>
      <c r="X751" s="56"/>
    </row>
    <row r="752" spans="1:24">
      <c r="A752" s="38"/>
      <c r="B752" s="38"/>
      <c r="C752" s="38"/>
      <c r="D752" s="38"/>
      <c r="E752" s="40"/>
      <c r="F752" s="58"/>
      <c r="G752" s="42"/>
      <c r="H752" s="43"/>
      <c r="I752" s="44"/>
      <c r="J752" s="38"/>
      <c r="K752" s="45"/>
      <c r="L752" s="46"/>
      <c r="M752" s="38"/>
      <c r="N752" s="38"/>
      <c r="O752" s="38"/>
      <c r="P752" s="38"/>
      <c r="Q752" s="38"/>
      <c r="R752" s="48"/>
      <c r="S752" s="48"/>
      <c r="T752" s="48"/>
      <c r="U752" s="52"/>
      <c r="V752" s="50"/>
      <c r="W752" s="51"/>
      <c r="X752" s="56"/>
    </row>
    <row r="753" spans="1:24">
      <c r="A753" s="38"/>
      <c r="B753" s="38"/>
      <c r="C753" s="38"/>
      <c r="D753" s="38"/>
      <c r="E753" s="40"/>
      <c r="F753" s="41"/>
      <c r="G753" s="42"/>
      <c r="H753" s="43"/>
      <c r="I753" s="44"/>
      <c r="J753" s="38"/>
      <c r="K753" s="45"/>
      <c r="L753" s="46"/>
      <c r="M753" s="38"/>
      <c r="N753" s="38"/>
      <c r="O753" s="38"/>
      <c r="P753" s="38"/>
      <c r="Q753" s="38"/>
      <c r="R753" s="48"/>
      <c r="S753" s="48"/>
      <c r="T753" s="48"/>
      <c r="U753" s="52"/>
      <c r="V753" s="50"/>
      <c r="W753" s="51"/>
      <c r="X753" s="56"/>
    </row>
    <row r="754" spans="1:24">
      <c r="A754" s="38"/>
      <c r="B754" s="38"/>
      <c r="C754" s="38"/>
      <c r="D754" s="38"/>
      <c r="E754" s="40"/>
      <c r="F754" s="58"/>
      <c r="G754" s="42"/>
      <c r="H754" s="43"/>
      <c r="I754" s="44"/>
      <c r="J754" s="38"/>
      <c r="K754" s="45"/>
      <c r="L754" s="46"/>
      <c r="M754" s="38"/>
      <c r="N754" s="38"/>
      <c r="O754" s="38"/>
      <c r="P754" s="38"/>
      <c r="Q754" s="38"/>
      <c r="R754" s="48"/>
      <c r="S754" s="48"/>
      <c r="T754" s="48"/>
      <c r="U754" s="52"/>
      <c r="V754" s="50"/>
      <c r="W754" s="51"/>
      <c r="X754" s="56"/>
    </row>
    <row r="755" spans="1:24">
      <c r="A755" s="38"/>
      <c r="B755" s="38"/>
      <c r="C755" s="38"/>
      <c r="D755" s="38"/>
      <c r="E755" s="40"/>
      <c r="F755" s="61"/>
      <c r="G755" s="42"/>
      <c r="H755" s="43"/>
      <c r="I755" s="44"/>
      <c r="J755" s="38"/>
      <c r="K755" s="45"/>
      <c r="L755" s="46"/>
      <c r="M755" s="38"/>
      <c r="N755" s="38"/>
      <c r="O755" s="38"/>
      <c r="P755" s="38"/>
      <c r="Q755" s="38"/>
      <c r="R755" s="48"/>
      <c r="S755" s="48"/>
      <c r="T755" s="48"/>
      <c r="U755" s="52"/>
      <c r="V755" s="50"/>
      <c r="W755" s="51"/>
      <c r="X755" s="56"/>
    </row>
    <row r="756" spans="1:24">
      <c r="A756" s="38"/>
      <c r="B756" s="38"/>
      <c r="C756" s="38"/>
      <c r="D756" s="38"/>
      <c r="E756" s="40"/>
      <c r="F756" s="58"/>
      <c r="G756" s="42"/>
      <c r="H756" s="43"/>
      <c r="I756" s="44"/>
      <c r="J756" s="38"/>
      <c r="K756" s="45"/>
      <c r="L756" s="46"/>
      <c r="M756" s="38"/>
      <c r="N756" s="38"/>
      <c r="O756" s="38"/>
      <c r="P756" s="38"/>
      <c r="Q756" s="38"/>
      <c r="R756" s="48"/>
      <c r="S756" s="48"/>
      <c r="T756" s="48"/>
      <c r="U756" s="52"/>
      <c r="V756" s="50"/>
      <c r="W756" s="51"/>
      <c r="X756" s="56"/>
    </row>
    <row r="757" spans="1:24">
      <c r="A757" s="38"/>
      <c r="B757" s="38"/>
      <c r="C757" s="38"/>
      <c r="D757" s="38"/>
      <c r="E757" s="40"/>
      <c r="F757" s="41"/>
      <c r="G757" s="42"/>
      <c r="H757" s="43"/>
      <c r="I757" s="44"/>
      <c r="J757" s="38"/>
      <c r="K757" s="45"/>
      <c r="L757" s="46"/>
      <c r="M757" s="38"/>
      <c r="N757" s="38"/>
      <c r="O757" s="38"/>
      <c r="P757" s="38"/>
      <c r="Q757" s="38"/>
      <c r="R757" s="48"/>
      <c r="S757" s="48"/>
      <c r="T757" s="48"/>
      <c r="U757" s="52"/>
      <c r="V757" s="50"/>
      <c r="W757" s="51"/>
      <c r="X757" s="56"/>
    </row>
    <row r="758" spans="1:24">
      <c r="A758" s="38"/>
      <c r="B758" s="38"/>
      <c r="C758" s="38"/>
      <c r="D758" s="38"/>
      <c r="E758" s="40"/>
      <c r="F758" s="58"/>
      <c r="G758" s="42"/>
      <c r="H758" s="43"/>
      <c r="I758" s="44"/>
      <c r="J758" s="38"/>
      <c r="K758" s="45"/>
      <c r="L758" s="46"/>
      <c r="M758" s="38"/>
      <c r="N758" s="38"/>
      <c r="O758" s="38"/>
      <c r="P758" s="38"/>
      <c r="Q758" s="38"/>
      <c r="R758" s="48"/>
      <c r="S758" s="48"/>
      <c r="T758" s="48"/>
      <c r="U758" s="52"/>
      <c r="V758" s="50"/>
      <c r="W758" s="51"/>
      <c r="X758" s="56"/>
    </row>
    <row r="759" spans="1:24">
      <c r="A759" s="38"/>
      <c r="B759" s="38"/>
      <c r="C759" s="38"/>
      <c r="D759" s="38"/>
      <c r="E759" s="40"/>
      <c r="F759" s="58"/>
      <c r="G759" s="42"/>
      <c r="H759" s="43"/>
      <c r="I759" s="44"/>
      <c r="J759" s="38"/>
      <c r="K759" s="45"/>
      <c r="L759" s="46"/>
      <c r="M759" s="38"/>
      <c r="N759" s="38"/>
      <c r="O759" s="38"/>
      <c r="P759" s="38"/>
      <c r="Q759" s="38"/>
      <c r="R759" s="48"/>
      <c r="S759" s="48"/>
      <c r="T759" s="48"/>
      <c r="U759" s="52"/>
      <c r="V759" s="50"/>
      <c r="W759" s="51"/>
      <c r="X759" s="56"/>
    </row>
    <row r="760" spans="1:24">
      <c r="A760" s="38"/>
      <c r="B760" s="38"/>
      <c r="C760" s="38"/>
      <c r="D760" s="38"/>
      <c r="E760" s="40"/>
      <c r="F760" s="58"/>
      <c r="G760" s="42"/>
      <c r="H760" s="43"/>
      <c r="I760" s="44"/>
      <c r="J760" s="38"/>
      <c r="K760" s="45"/>
      <c r="L760" s="46"/>
      <c r="M760" s="38"/>
      <c r="N760" s="38"/>
      <c r="O760" s="38"/>
      <c r="P760" s="38"/>
      <c r="Q760" s="38"/>
      <c r="R760" s="48"/>
      <c r="S760" s="48"/>
      <c r="T760" s="48"/>
      <c r="U760" s="52"/>
      <c r="V760" s="50"/>
      <c r="W760" s="51"/>
      <c r="X760" s="56"/>
    </row>
    <row r="761" spans="1:24">
      <c r="A761" s="38"/>
      <c r="B761" s="38"/>
      <c r="C761" s="38"/>
      <c r="D761" s="38"/>
      <c r="E761" s="40"/>
      <c r="F761" s="41"/>
      <c r="G761" s="42"/>
      <c r="H761" s="43"/>
      <c r="I761" s="44"/>
      <c r="J761" s="38"/>
      <c r="K761" s="45"/>
      <c r="L761" s="46"/>
      <c r="M761" s="38"/>
      <c r="N761" s="38"/>
      <c r="O761" s="38"/>
      <c r="P761" s="38"/>
      <c r="Q761" s="38"/>
      <c r="R761" s="48"/>
      <c r="S761" s="48"/>
      <c r="T761" s="48"/>
      <c r="U761" s="52"/>
      <c r="V761" s="50"/>
      <c r="W761" s="51"/>
      <c r="X761" s="56"/>
    </row>
    <row r="762" spans="1:24">
      <c r="A762" s="38"/>
      <c r="B762" s="38"/>
      <c r="C762" s="38"/>
      <c r="D762" s="38"/>
      <c r="E762" s="40"/>
      <c r="F762" s="58"/>
      <c r="G762" s="42"/>
      <c r="H762" s="43"/>
      <c r="I762" s="44"/>
      <c r="J762" s="38"/>
      <c r="K762" s="45"/>
      <c r="L762" s="46"/>
      <c r="M762" s="38"/>
      <c r="N762" s="38"/>
      <c r="O762" s="38"/>
      <c r="P762" s="38"/>
      <c r="Q762" s="38"/>
      <c r="R762" s="48"/>
      <c r="S762" s="48"/>
      <c r="T762" s="48"/>
      <c r="U762" s="52"/>
      <c r="V762" s="50"/>
      <c r="W762" s="51"/>
      <c r="X762" s="56"/>
    </row>
    <row r="763" spans="1:24">
      <c r="A763" s="38"/>
      <c r="B763" s="38"/>
      <c r="C763" s="38"/>
      <c r="D763" s="38"/>
      <c r="E763" s="40"/>
      <c r="F763" s="58"/>
      <c r="G763" s="42"/>
      <c r="H763" s="43"/>
      <c r="I763" s="44"/>
      <c r="J763" s="38"/>
      <c r="K763" s="45"/>
      <c r="L763" s="46"/>
      <c r="M763" s="38"/>
      <c r="N763" s="38"/>
      <c r="O763" s="38"/>
      <c r="P763" s="38"/>
      <c r="Q763" s="38"/>
      <c r="R763" s="48"/>
      <c r="S763" s="48"/>
      <c r="T763" s="48"/>
      <c r="U763" s="52"/>
      <c r="V763" s="50"/>
      <c r="W763" s="51"/>
      <c r="X763" s="56"/>
    </row>
    <row r="764" spans="1:24">
      <c r="A764" s="38"/>
      <c r="B764" s="38"/>
      <c r="C764" s="38"/>
      <c r="D764" s="38"/>
      <c r="E764" s="40"/>
      <c r="F764" s="41"/>
      <c r="G764" s="42"/>
      <c r="H764" s="43"/>
      <c r="I764" s="44"/>
      <c r="J764" s="38"/>
      <c r="K764" s="45"/>
      <c r="L764" s="46"/>
      <c r="M764" s="38"/>
      <c r="N764" s="38"/>
      <c r="O764" s="38"/>
      <c r="P764" s="38"/>
      <c r="Q764" s="38"/>
      <c r="R764" s="48"/>
      <c r="S764" s="48"/>
      <c r="T764" s="48"/>
      <c r="U764" s="52"/>
      <c r="V764" s="50"/>
      <c r="W764" s="51"/>
      <c r="X764" s="56"/>
    </row>
    <row r="765" spans="1:24">
      <c r="A765" s="38"/>
      <c r="B765" s="38"/>
      <c r="C765" s="38"/>
      <c r="D765" s="38"/>
      <c r="E765" s="40"/>
      <c r="F765" s="58"/>
      <c r="G765" s="42"/>
      <c r="H765" s="43"/>
      <c r="I765" s="44"/>
      <c r="J765" s="38"/>
      <c r="K765" s="45"/>
      <c r="L765" s="46"/>
      <c r="M765" s="38"/>
      <c r="N765" s="38"/>
      <c r="O765" s="38"/>
      <c r="P765" s="38"/>
      <c r="Q765" s="38"/>
      <c r="R765" s="48"/>
      <c r="S765" s="48"/>
      <c r="T765" s="48"/>
      <c r="U765" s="52"/>
      <c r="V765" s="50"/>
      <c r="W765" s="51"/>
      <c r="X765" s="56"/>
    </row>
    <row r="766" spans="1:24">
      <c r="A766" s="38"/>
      <c r="B766" s="38"/>
      <c r="C766" s="38"/>
      <c r="D766" s="38"/>
      <c r="E766" s="40"/>
      <c r="F766" s="41"/>
      <c r="G766" s="42"/>
      <c r="H766" s="43"/>
      <c r="I766" s="44"/>
      <c r="J766" s="38"/>
      <c r="K766" s="45"/>
      <c r="L766" s="46"/>
      <c r="M766" s="38"/>
      <c r="N766" s="38"/>
      <c r="O766" s="38"/>
      <c r="P766" s="38"/>
      <c r="Q766" s="38"/>
      <c r="R766" s="48"/>
      <c r="S766" s="48"/>
      <c r="T766" s="48"/>
      <c r="U766" s="52"/>
      <c r="V766" s="50"/>
      <c r="W766" s="51"/>
      <c r="X766" s="56"/>
    </row>
    <row r="767" spans="1:24">
      <c r="A767" s="38"/>
      <c r="B767" s="38"/>
      <c r="C767" s="38"/>
      <c r="D767" s="38"/>
      <c r="E767" s="40"/>
      <c r="F767" s="58"/>
      <c r="G767" s="42"/>
      <c r="H767" s="43"/>
      <c r="I767" s="44"/>
      <c r="J767" s="38"/>
      <c r="K767" s="45"/>
      <c r="L767" s="46"/>
      <c r="M767" s="38"/>
      <c r="N767" s="38"/>
      <c r="O767" s="38"/>
      <c r="P767" s="38"/>
      <c r="Q767" s="38"/>
      <c r="R767" s="48"/>
      <c r="S767" s="48"/>
      <c r="T767" s="48"/>
      <c r="U767" s="52"/>
      <c r="V767" s="50"/>
      <c r="W767" s="51"/>
      <c r="X767" s="56"/>
    </row>
    <row r="768" spans="1:24">
      <c r="A768" s="38"/>
      <c r="B768" s="38"/>
      <c r="C768" s="38"/>
      <c r="D768" s="38"/>
      <c r="E768" s="40"/>
      <c r="F768" s="41"/>
      <c r="G768" s="42"/>
      <c r="H768" s="43"/>
      <c r="I768" s="44"/>
      <c r="J768" s="38"/>
      <c r="K768" s="45"/>
      <c r="L768" s="46"/>
      <c r="M768" s="38"/>
      <c r="N768" s="38"/>
      <c r="O768" s="38"/>
      <c r="P768" s="38"/>
      <c r="Q768" s="38"/>
      <c r="R768" s="48"/>
      <c r="S768" s="48"/>
      <c r="T768" s="48"/>
      <c r="U768" s="52"/>
      <c r="V768" s="50"/>
      <c r="W768" s="51"/>
      <c r="X768" s="56"/>
    </row>
    <row r="769" spans="1:24">
      <c r="A769" s="38"/>
      <c r="B769" s="38"/>
      <c r="C769" s="38"/>
      <c r="D769" s="38"/>
      <c r="E769" s="40"/>
      <c r="F769" s="41"/>
      <c r="G769" s="42"/>
      <c r="H769" s="43"/>
      <c r="I769" s="44"/>
      <c r="J769" s="38"/>
      <c r="K769" s="45"/>
      <c r="L769" s="46"/>
      <c r="M769" s="38"/>
      <c r="N769" s="38"/>
      <c r="O769" s="38"/>
      <c r="P769" s="38"/>
      <c r="Q769" s="38"/>
      <c r="R769" s="48"/>
      <c r="S769" s="48"/>
      <c r="T769" s="48"/>
      <c r="U769" s="52"/>
      <c r="V769" s="50"/>
      <c r="W769" s="51"/>
      <c r="X769" s="56"/>
    </row>
    <row r="770" spans="1:24">
      <c r="A770" s="38"/>
      <c r="B770" s="38"/>
      <c r="C770" s="38"/>
      <c r="D770" s="38"/>
      <c r="E770" s="40"/>
      <c r="F770" s="58"/>
      <c r="G770" s="42"/>
      <c r="H770" s="43"/>
      <c r="I770" s="44"/>
      <c r="J770" s="38"/>
      <c r="K770" s="45"/>
      <c r="L770" s="46"/>
      <c r="M770" s="38"/>
      <c r="N770" s="38"/>
      <c r="O770" s="38"/>
      <c r="P770" s="38"/>
      <c r="Q770" s="38"/>
      <c r="R770" s="48"/>
      <c r="S770" s="48"/>
      <c r="T770" s="48"/>
      <c r="U770" s="52"/>
      <c r="V770" s="50"/>
      <c r="W770" s="51"/>
      <c r="X770" s="56"/>
    </row>
    <row r="771" spans="1:24">
      <c r="A771" s="38"/>
      <c r="B771" s="38"/>
      <c r="C771" s="38"/>
      <c r="D771" s="38"/>
      <c r="E771" s="40"/>
      <c r="F771" s="58"/>
      <c r="G771" s="42"/>
      <c r="H771" s="43"/>
      <c r="I771" s="44"/>
      <c r="J771" s="38"/>
      <c r="K771" s="45"/>
      <c r="L771" s="46"/>
      <c r="M771" s="38"/>
      <c r="N771" s="38"/>
      <c r="O771" s="38"/>
      <c r="P771" s="38"/>
      <c r="Q771" s="38"/>
      <c r="R771" s="48"/>
      <c r="S771" s="48"/>
      <c r="T771" s="48"/>
      <c r="U771" s="52"/>
      <c r="V771" s="50"/>
      <c r="W771" s="51"/>
      <c r="X771" s="56"/>
    </row>
    <row r="772" spans="1:24">
      <c r="A772" s="38"/>
      <c r="B772" s="38"/>
      <c r="C772" s="38"/>
      <c r="D772" s="38"/>
      <c r="E772" s="40"/>
      <c r="F772" s="41"/>
      <c r="G772" s="42"/>
      <c r="H772" s="43"/>
      <c r="I772" s="44"/>
      <c r="J772" s="38"/>
      <c r="K772" s="45"/>
      <c r="L772" s="46"/>
      <c r="M772" s="38"/>
      <c r="N772" s="38"/>
      <c r="O772" s="38"/>
      <c r="P772" s="38"/>
      <c r="Q772" s="38"/>
      <c r="R772" s="48"/>
      <c r="S772" s="48"/>
      <c r="T772" s="48"/>
      <c r="U772" s="52"/>
      <c r="V772" s="50"/>
      <c r="W772" s="51"/>
      <c r="X772" s="56"/>
    </row>
    <row r="773" spans="1:24">
      <c r="A773" s="38"/>
      <c r="B773" s="38"/>
      <c r="C773" s="38"/>
      <c r="D773" s="38"/>
      <c r="E773" s="40"/>
      <c r="F773" s="41"/>
      <c r="G773" s="42"/>
      <c r="H773" s="43"/>
      <c r="I773" s="44"/>
      <c r="J773" s="38"/>
      <c r="K773" s="45"/>
      <c r="L773" s="46"/>
      <c r="M773" s="38"/>
      <c r="N773" s="38"/>
      <c r="O773" s="38"/>
      <c r="P773" s="38"/>
      <c r="Q773" s="38"/>
      <c r="R773" s="48"/>
      <c r="S773" s="48"/>
      <c r="T773" s="48"/>
      <c r="U773" s="52"/>
      <c r="V773" s="50"/>
      <c r="W773" s="51"/>
      <c r="X773" s="56"/>
    </row>
    <row r="774" spans="1:24">
      <c r="A774" s="38"/>
      <c r="B774" s="38"/>
      <c r="C774" s="38"/>
      <c r="D774" s="38"/>
      <c r="E774" s="40"/>
      <c r="F774" s="58"/>
      <c r="G774" s="42"/>
      <c r="H774" s="43"/>
      <c r="I774" s="44"/>
      <c r="J774" s="38"/>
      <c r="K774" s="45"/>
      <c r="L774" s="46"/>
      <c r="M774" s="38"/>
      <c r="N774" s="38"/>
      <c r="O774" s="38"/>
      <c r="P774" s="38"/>
      <c r="Q774" s="38"/>
      <c r="R774" s="48"/>
      <c r="S774" s="48"/>
      <c r="T774" s="48"/>
      <c r="U774" s="52"/>
      <c r="V774" s="50"/>
      <c r="W774" s="51"/>
      <c r="X774" s="56"/>
    </row>
    <row r="775" spans="1:24">
      <c r="A775" s="38"/>
      <c r="B775" s="38"/>
      <c r="C775" s="38"/>
      <c r="D775" s="38"/>
      <c r="E775" s="40"/>
      <c r="F775" s="41"/>
      <c r="G775" s="42"/>
      <c r="H775" s="43"/>
      <c r="I775" s="44"/>
      <c r="J775" s="38"/>
      <c r="K775" s="45"/>
      <c r="L775" s="46"/>
      <c r="M775" s="38"/>
      <c r="N775" s="38"/>
      <c r="O775" s="38"/>
      <c r="P775" s="38"/>
      <c r="Q775" s="38"/>
      <c r="R775" s="48"/>
      <c r="S775" s="48"/>
      <c r="T775" s="48"/>
      <c r="U775" s="52"/>
      <c r="V775" s="50"/>
      <c r="W775" s="51"/>
      <c r="X775" s="56"/>
    </row>
    <row r="776" spans="1:24">
      <c r="A776" s="38"/>
      <c r="B776" s="38"/>
      <c r="C776" s="38"/>
      <c r="D776" s="38"/>
      <c r="E776" s="40"/>
      <c r="F776" s="58"/>
      <c r="G776" s="42"/>
      <c r="H776" s="43"/>
      <c r="I776" s="44"/>
      <c r="J776" s="38"/>
      <c r="K776" s="45"/>
      <c r="L776" s="46"/>
      <c r="M776" s="38"/>
      <c r="N776" s="38"/>
      <c r="O776" s="38"/>
      <c r="P776" s="38"/>
      <c r="Q776" s="38"/>
      <c r="R776" s="48"/>
      <c r="S776" s="48"/>
      <c r="T776" s="48"/>
      <c r="U776" s="52"/>
      <c r="V776" s="50"/>
      <c r="W776" s="51"/>
      <c r="X776" s="56"/>
    </row>
    <row r="777" spans="1:24">
      <c r="A777" s="38"/>
      <c r="B777" s="38"/>
      <c r="C777" s="38"/>
      <c r="D777" s="38"/>
      <c r="E777" s="40"/>
      <c r="F777" s="41"/>
      <c r="G777" s="42"/>
      <c r="H777" s="43"/>
      <c r="I777" s="44"/>
      <c r="J777" s="38"/>
      <c r="K777" s="45"/>
      <c r="L777" s="46"/>
      <c r="M777" s="38"/>
      <c r="N777" s="38"/>
      <c r="O777" s="38"/>
      <c r="P777" s="38"/>
      <c r="Q777" s="38"/>
      <c r="R777" s="48"/>
      <c r="S777" s="48"/>
      <c r="T777" s="48"/>
      <c r="U777" s="52"/>
      <c r="V777" s="50"/>
      <c r="W777" s="51"/>
      <c r="X777" s="56"/>
    </row>
    <row r="778" spans="1:24">
      <c r="A778" s="38"/>
      <c r="B778" s="38"/>
      <c r="C778" s="38"/>
      <c r="D778" s="38"/>
      <c r="E778" s="40"/>
      <c r="F778" s="41"/>
      <c r="G778" s="42"/>
      <c r="H778" s="43"/>
      <c r="I778" s="44"/>
      <c r="J778" s="38"/>
      <c r="K778" s="45"/>
      <c r="L778" s="46"/>
      <c r="M778" s="38"/>
      <c r="N778" s="38"/>
      <c r="O778" s="38"/>
      <c r="P778" s="38"/>
      <c r="Q778" s="38"/>
      <c r="R778" s="48"/>
      <c r="S778" s="48"/>
      <c r="T778" s="48"/>
      <c r="U778" s="52"/>
      <c r="V778" s="50"/>
      <c r="W778" s="51"/>
      <c r="X778" s="56"/>
    </row>
    <row r="779" spans="1:24">
      <c r="A779" s="38"/>
      <c r="B779" s="38"/>
      <c r="C779" s="38"/>
      <c r="D779" s="38"/>
      <c r="E779" s="40"/>
      <c r="F779" s="41"/>
      <c r="G779" s="42"/>
      <c r="H779" s="43"/>
      <c r="I779" s="44"/>
      <c r="J779" s="38"/>
      <c r="K779" s="45"/>
      <c r="L779" s="46"/>
      <c r="M779" s="38"/>
      <c r="N779" s="38"/>
      <c r="O779" s="38"/>
      <c r="P779" s="38"/>
      <c r="Q779" s="38"/>
      <c r="R779" s="48"/>
      <c r="S779" s="48"/>
      <c r="T779" s="48"/>
      <c r="U779" s="52"/>
      <c r="V779" s="50"/>
      <c r="W779" s="51"/>
      <c r="X779" s="56"/>
    </row>
    <row r="780" spans="1:24">
      <c r="A780" s="38"/>
      <c r="B780" s="38"/>
      <c r="C780" s="38"/>
      <c r="D780" s="38"/>
      <c r="E780" s="40"/>
      <c r="F780" s="58"/>
      <c r="G780" s="42"/>
      <c r="H780" s="43"/>
      <c r="I780" s="44"/>
      <c r="J780" s="38"/>
      <c r="K780" s="45"/>
      <c r="L780" s="46"/>
      <c r="M780" s="38"/>
      <c r="N780" s="38"/>
      <c r="O780" s="38"/>
      <c r="P780" s="38"/>
      <c r="Q780" s="38"/>
      <c r="R780" s="48"/>
      <c r="S780" s="48"/>
      <c r="T780" s="48"/>
      <c r="U780" s="52"/>
      <c r="V780" s="50"/>
      <c r="W780" s="51"/>
      <c r="X780" s="56"/>
    </row>
    <row r="781" spans="1:24">
      <c r="A781" s="38"/>
      <c r="B781" s="38"/>
      <c r="C781" s="38"/>
      <c r="D781" s="38"/>
      <c r="E781" s="40"/>
      <c r="F781" s="58"/>
      <c r="G781" s="42"/>
      <c r="H781" s="43"/>
      <c r="I781" s="44"/>
      <c r="J781" s="38"/>
      <c r="K781" s="45"/>
      <c r="L781" s="46"/>
      <c r="M781" s="38"/>
      <c r="N781" s="38"/>
      <c r="O781" s="38"/>
      <c r="P781" s="38"/>
      <c r="Q781" s="38"/>
      <c r="R781" s="48"/>
      <c r="S781" s="48"/>
      <c r="T781" s="48"/>
      <c r="U781" s="52"/>
      <c r="V781" s="50"/>
      <c r="W781" s="51"/>
      <c r="X781" s="56"/>
    </row>
    <row r="782" spans="1:24">
      <c r="A782" s="38"/>
      <c r="B782" s="38"/>
      <c r="C782" s="38"/>
      <c r="D782" s="38"/>
      <c r="E782" s="40"/>
      <c r="F782" s="41"/>
      <c r="G782" s="42"/>
      <c r="H782" s="43"/>
      <c r="I782" s="44"/>
      <c r="J782" s="38"/>
      <c r="K782" s="45"/>
      <c r="L782" s="46"/>
      <c r="M782" s="38"/>
      <c r="N782" s="38"/>
      <c r="O782" s="38"/>
      <c r="P782" s="38"/>
      <c r="Q782" s="38"/>
      <c r="R782" s="48"/>
      <c r="S782" s="48"/>
      <c r="T782" s="48"/>
      <c r="U782" s="52"/>
      <c r="V782" s="50"/>
      <c r="W782" s="51"/>
      <c r="X782" s="56"/>
    </row>
    <row r="783" spans="1:24">
      <c r="A783" s="38"/>
      <c r="B783" s="38"/>
      <c r="C783" s="38"/>
      <c r="D783" s="38"/>
      <c r="E783" s="40"/>
      <c r="F783" s="41"/>
      <c r="G783" s="42"/>
      <c r="H783" s="43"/>
      <c r="I783" s="44"/>
      <c r="J783" s="38"/>
      <c r="K783" s="45"/>
      <c r="L783" s="46"/>
      <c r="M783" s="38"/>
      <c r="N783" s="38"/>
      <c r="O783" s="38"/>
      <c r="P783" s="38"/>
      <c r="Q783" s="38"/>
      <c r="R783" s="48"/>
      <c r="S783" s="48"/>
      <c r="T783" s="48"/>
      <c r="U783" s="52"/>
      <c r="V783" s="50"/>
      <c r="W783" s="51"/>
      <c r="X783" s="56"/>
    </row>
    <row r="784" spans="1:24">
      <c r="A784" s="38"/>
      <c r="B784" s="38"/>
      <c r="C784" s="38"/>
      <c r="D784" s="38"/>
      <c r="E784" s="40"/>
      <c r="F784" s="58"/>
      <c r="G784" s="42"/>
      <c r="H784" s="43"/>
      <c r="I784" s="44"/>
      <c r="J784" s="38"/>
      <c r="K784" s="45"/>
      <c r="L784" s="46"/>
      <c r="M784" s="38"/>
      <c r="N784" s="38"/>
      <c r="O784" s="38"/>
      <c r="P784" s="38"/>
      <c r="Q784" s="38"/>
      <c r="R784" s="48"/>
      <c r="S784" s="48"/>
      <c r="T784" s="48"/>
      <c r="U784" s="52"/>
      <c r="V784" s="50"/>
      <c r="W784" s="51"/>
      <c r="X784" s="56"/>
    </row>
    <row r="785" spans="1:24">
      <c r="A785" s="38"/>
      <c r="B785" s="38"/>
      <c r="C785" s="38"/>
      <c r="D785" s="38"/>
      <c r="E785" s="40"/>
      <c r="F785" s="58"/>
      <c r="G785" s="42"/>
      <c r="H785" s="43"/>
      <c r="I785" s="44"/>
      <c r="J785" s="38"/>
      <c r="K785" s="45"/>
      <c r="L785" s="46"/>
      <c r="M785" s="38"/>
      <c r="N785" s="38"/>
      <c r="O785" s="38"/>
      <c r="P785" s="38"/>
      <c r="Q785" s="38"/>
      <c r="R785" s="48"/>
      <c r="S785" s="48"/>
      <c r="T785" s="48"/>
      <c r="U785" s="52"/>
      <c r="V785" s="50"/>
      <c r="W785" s="51"/>
      <c r="X785" s="56"/>
    </row>
    <row r="786" spans="1:24">
      <c r="A786" s="38"/>
      <c r="B786" s="38"/>
      <c r="C786" s="38"/>
      <c r="D786" s="38"/>
      <c r="E786" s="40"/>
      <c r="F786" s="58"/>
      <c r="G786" s="42"/>
      <c r="H786" s="43"/>
      <c r="I786" s="44"/>
      <c r="J786" s="38"/>
      <c r="K786" s="45"/>
      <c r="L786" s="46"/>
      <c r="M786" s="38"/>
      <c r="N786" s="38"/>
      <c r="O786" s="38"/>
      <c r="P786" s="38"/>
      <c r="Q786" s="38"/>
      <c r="R786" s="48"/>
      <c r="S786" s="48"/>
      <c r="T786" s="48"/>
      <c r="U786" s="52"/>
      <c r="V786" s="50"/>
      <c r="W786" s="51"/>
      <c r="X786" s="56"/>
    </row>
    <row r="787" spans="1:24">
      <c r="A787" s="38"/>
      <c r="B787" s="38"/>
      <c r="C787" s="38"/>
      <c r="D787" s="38"/>
      <c r="E787" s="40"/>
      <c r="F787" s="58"/>
      <c r="G787" s="42"/>
      <c r="H787" s="43"/>
      <c r="I787" s="44"/>
      <c r="J787" s="38"/>
      <c r="K787" s="45"/>
      <c r="L787" s="46"/>
      <c r="M787" s="38"/>
      <c r="N787" s="38"/>
      <c r="O787" s="38"/>
      <c r="P787" s="38"/>
      <c r="Q787" s="38"/>
      <c r="R787" s="48"/>
      <c r="S787" s="48"/>
      <c r="T787" s="48"/>
      <c r="U787" s="52"/>
      <c r="V787" s="50"/>
      <c r="W787" s="51"/>
      <c r="X787" s="56"/>
    </row>
    <row r="788" spans="1:24">
      <c r="A788" s="38"/>
      <c r="B788" s="38"/>
      <c r="C788" s="38"/>
      <c r="D788" s="38"/>
      <c r="E788" s="40"/>
      <c r="F788" s="58"/>
      <c r="G788" s="42"/>
      <c r="H788" s="43"/>
      <c r="I788" s="44"/>
      <c r="J788" s="38"/>
      <c r="K788" s="45"/>
      <c r="L788" s="46"/>
      <c r="M788" s="38"/>
      <c r="N788" s="38"/>
      <c r="O788" s="38"/>
      <c r="P788" s="38"/>
      <c r="Q788" s="38"/>
      <c r="R788" s="48"/>
      <c r="S788" s="48"/>
      <c r="T788" s="48"/>
      <c r="U788" s="52"/>
      <c r="V788" s="50"/>
      <c r="W788" s="51"/>
      <c r="X788" s="56"/>
    </row>
    <row r="789" spans="1:24">
      <c r="A789" s="38"/>
      <c r="B789" s="38"/>
      <c r="C789" s="38"/>
      <c r="D789" s="38"/>
      <c r="E789" s="40"/>
      <c r="F789" s="58"/>
      <c r="G789" s="42"/>
      <c r="H789" s="43"/>
      <c r="I789" s="44"/>
      <c r="J789" s="38"/>
      <c r="K789" s="45"/>
      <c r="L789" s="46"/>
      <c r="M789" s="38"/>
      <c r="N789" s="38"/>
      <c r="O789" s="38"/>
      <c r="P789" s="38"/>
      <c r="Q789" s="38"/>
      <c r="R789" s="48"/>
      <c r="S789" s="48"/>
      <c r="T789" s="48"/>
      <c r="U789" s="52"/>
      <c r="V789" s="50"/>
      <c r="W789" s="51"/>
      <c r="X789" s="56"/>
    </row>
    <row r="790" spans="1:24">
      <c r="A790" s="38"/>
      <c r="B790" s="38"/>
      <c r="C790" s="38"/>
      <c r="D790" s="38"/>
      <c r="E790" s="40"/>
      <c r="F790" s="41"/>
      <c r="G790" s="42"/>
      <c r="H790" s="43"/>
      <c r="I790" s="44"/>
      <c r="J790" s="38"/>
      <c r="K790" s="45"/>
      <c r="L790" s="46"/>
      <c r="M790" s="38"/>
      <c r="N790" s="38"/>
      <c r="O790" s="38"/>
      <c r="P790" s="38"/>
      <c r="Q790" s="38"/>
      <c r="R790" s="48"/>
      <c r="S790" s="48"/>
      <c r="T790" s="48"/>
      <c r="U790" s="52"/>
      <c r="V790" s="50"/>
      <c r="W790" s="51"/>
      <c r="X790" s="56"/>
    </row>
    <row r="791" spans="1:24">
      <c r="A791" s="38"/>
      <c r="B791" s="38"/>
      <c r="C791" s="38"/>
      <c r="D791" s="38"/>
      <c r="E791" s="40"/>
      <c r="F791" s="58"/>
      <c r="G791" s="42"/>
      <c r="H791" s="43"/>
      <c r="I791" s="44"/>
      <c r="J791" s="38"/>
      <c r="K791" s="45"/>
      <c r="L791" s="46"/>
      <c r="M791" s="38"/>
      <c r="N791" s="38"/>
      <c r="O791" s="38"/>
      <c r="P791" s="38"/>
      <c r="Q791" s="38"/>
      <c r="R791" s="48"/>
      <c r="S791" s="48"/>
      <c r="T791" s="48"/>
      <c r="U791" s="52"/>
      <c r="V791" s="50"/>
      <c r="W791" s="51"/>
      <c r="X791" s="56"/>
    </row>
    <row r="792" spans="1:24">
      <c r="A792" s="38"/>
      <c r="B792" s="38"/>
      <c r="C792" s="38"/>
      <c r="D792" s="38"/>
      <c r="E792" s="40"/>
      <c r="F792" s="58"/>
      <c r="G792" s="42"/>
      <c r="H792" s="43"/>
      <c r="I792" s="44"/>
      <c r="J792" s="38"/>
      <c r="K792" s="45"/>
      <c r="L792" s="46"/>
      <c r="M792" s="38"/>
      <c r="N792" s="38"/>
      <c r="O792" s="38"/>
      <c r="P792" s="38"/>
      <c r="Q792" s="38"/>
      <c r="R792" s="48"/>
      <c r="S792" s="48"/>
      <c r="T792" s="48"/>
      <c r="U792" s="52"/>
      <c r="V792" s="50"/>
      <c r="W792" s="51"/>
      <c r="X792" s="56"/>
    </row>
    <row r="793" spans="1:24">
      <c r="A793" s="38"/>
      <c r="B793" s="38"/>
      <c r="C793" s="38"/>
      <c r="D793" s="38"/>
      <c r="E793" s="40"/>
      <c r="F793" s="58"/>
      <c r="G793" s="42"/>
      <c r="H793" s="43"/>
      <c r="I793" s="44"/>
      <c r="J793" s="38"/>
      <c r="K793" s="45"/>
      <c r="L793" s="46"/>
      <c r="M793" s="38"/>
      <c r="N793" s="38"/>
      <c r="O793" s="38"/>
      <c r="P793" s="38"/>
      <c r="Q793" s="38"/>
      <c r="R793" s="48"/>
      <c r="S793" s="48"/>
      <c r="T793" s="48"/>
      <c r="U793" s="52"/>
      <c r="V793" s="50"/>
      <c r="W793" s="51"/>
      <c r="X793" s="56"/>
    </row>
    <row r="794" spans="1:24">
      <c r="A794" s="38"/>
      <c r="B794" s="38"/>
      <c r="C794" s="38"/>
      <c r="D794" s="38"/>
      <c r="E794" s="40"/>
      <c r="F794" s="41"/>
      <c r="G794" s="42"/>
      <c r="H794" s="43"/>
      <c r="I794" s="44"/>
      <c r="J794" s="38"/>
      <c r="K794" s="45"/>
      <c r="L794" s="46"/>
      <c r="M794" s="38"/>
      <c r="N794" s="38"/>
      <c r="O794" s="38"/>
      <c r="P794" s="38"/>
      <c r="Q794" s="38"/>
      <c r="R794" s="48"/>
      <c r="S794" s="48"/>
      <c r="T794" s="48"/>
      <c r="U794" s="52"/>
      <c r="V794" s="50"/>
      <c r="W794" s="51"/>
      <c r="X794" s="56"/>
    </row>
    <row r="795" spans="1:24">
      <c r="A795" s="38"/>
      <c r="B795" s="38"/>
      <c r="C795" s="38"/>
      <c r="D795" s="38"/>
      <c r="E795" s="40"/>
      <c r="F795" s="41"/>
      <c r="G795" s="42"/>
      <c r="H795" s="43"/>
      <c r="I795" s="44"/>
      <c r="J795" s="38"/>
      <c r="K795" s="45"/>
      <c r="L795" s="46"/>
      <c r="M795" s="38"/>
      <c r="N795" s="38"/>
      <c r="O795" s="38"/>
      <c r="P795" s="38"/>
      <c r="Q795" s="38"/>
      <c r="R795" s="48"/>
      <c r="S795" s="48"/>
      <c r="T795" s="48"/>
      <c r="U795" s="52"/>
      <c r="V795" s="50"/>
      <c r="W795" s="51"/>
      <c r="X795" s="56"/>
    </row>
    <row r="796" spans="1:24">
      <c r="A796" s="38"/>
      <c r="B796" s="38"/>
      <c r="C796" s="38"/>
      <c r="D796" s="38"/>
      <c r="E796" s="40"/>
      <c r="F796" s="41"/>
      <c r="G796" s="42"/>
      <c r="H796" s="43"/>
      <c r="I796" s="44"/>
      <c r="J796" s="38"/>
      <c r="K796" s="45"/>
      <c r="L796" s="46"/>
      <c r="M796" s="38"/>
      <c r="N796" s="38"/>
      <c r="O796" s="38"/>
      <c r="P796" s="38"/>
      <c r="Q796" s="38"/>
      <c r="R796" s="48"/>
      <c r="S796" s="48"/>
      <c r="T796" s="48"/>
      <c r="U796" s="52"/>
      <c r="V796" s="50"/>
      <c r="W796" s="51"/>
      <c r="X796" s="56"/>
    </row>
    <row r="797" spans="1:24">
      <c r="A797" s="38"/>
      <c r="B797" s="38"/>
      <c r="C797" s="38"/>
      <c r="D797" s="38"/>
      <c r="E797" s="40"/>
      <c r="F797" s="41"/>
      <c r="G797" s="42"/>
      <c r="H797" s="43"/>
      <c r="I797" s="44"/>
      <c r="J797" s="38"/>
      <c r="K797" s="45"/>
      <c r="L797" s="46"/>
      <c r="M797" s="38"/>
      <c r="N797" s="38"/>
      <c r="O797" s="38"/>
      <c r="P797" s="38"/>
      <c r="Q797" s="38"/>
      <c r="R797" s="48"/>
      <c r="S797" s="48"/>
      <c r="T797" s="48"/>
      <c r="U797" s="52"/>
      <c r="V797" s="50"/>
      <c r="W797" s="51"/>
      <c r="X797" s="56"/>
    </row>
    <row r="798" spans="1:24">
      <c r="A798" s="38"/>
      <c r="B798" s="38"/>
      <c r="C798" s="38"/>
      <c r="D798" s="38"/>
      <c r="E798" s="40"/>
      <c r="F798" s="58"/>
      <c r="G798" s="42"/>
      <c r="H798" s="43"/>
      <c r="I798" s="44"/>
      <c r="J798" s="38"/>
      <c r="K798" s="45"/>
      <c r="L798" s="46"/>
      <c r="M798" s="38"/>
      <c r="N798" s="38"/>
      <c r="O798" s="38"/>
      <c r="P798" s="38"/>
      <c r="Q798" s="38"/>
      <c r="R798" s="48"/>
      <c r="S798" s="48"/>
      <c r="T798" s="48"/>
      <c r="U798" s="52"/>
      <c r="V798" s="50"/>
      <c r="W798" s="51"/>
      <c r="X798" s="56"/>
    </row>
    <row r="799" spans="1:24">
      <c r="A799" s="38"/>
      <c r="B799" s="38"/>
      <c r="C799" s="38"/>
      <c r="D799" s="38"/>
      <c r="E799" s="40"/>
      <c r="F799" s="58"/>
      <c r="G799" s="42"/>
      <c r="H799" s="43"/>
      <c r="I799" s="44"/>
      <c r="J799" s="38"/>
      <c r="K799" s="45"/>
      <c r="L799" s="46"/>
      <c r="M799" s="38"/>
      <c r="N799" s="38"/>
      <c r="O799" s="38"/>
      <c r="P799" s="38"/>
      <c r="Q799" s="38"/>
      <c r="R799" s="48"/>
      <c r="S799" s="48"/>
      <c r="T799" s="48"/>
      <c r="U799" s="52"/>
      <c r="V799" s="50"/>
      <c r="W799" s="51"/>
      <c r="X799" s="56"/>
    </row>
    <row r="800" spans="1:24">
      <c r="A800" s="38"/>
      <c r="B800" s="38"/>
      <c r="C800" s="38"/>
      <c r="D800" s="38"/>
      <c r="E800" s="40"/>
      <c r="F800" s="61"/>
      <c r="G800" s="42"/>
      <c r="H800" s="43"/>
      <c r="I800" s="44"/>
      <c r="J800" s="38"/>
      <c r="K800" s="45"/>
      <c r="L800" s="46"/>
      <c r="M800" s="38"/>
      <c r="N800" s="38"/>
      <c r="O800" s="38"/>
      <c r="P800" s="38"/>
      <c r="Q800" s="38"/>
      <c r="R800" s="48"/>
      <c r="S800" s="48"/>
      <c r="T800" s="48"/>
      <c r="U800" s="52"/>
      <c r="V800" s="50"/>
      <c r="W800" s="51"/>
      <c r="X800" s="56"/>
    </row>
    <row r="801" spans="1:24">
      <c r="A801" s="38"/>
      <c r="B801" s="38"/>
      <c r="C801" s="38"/>
      <c r="D801" s="38"/>
      <c r="E801" s="40"/>
      <c r="F801" s="61"/>
      <c r="G801" s="42"/>
      <c r="H801" s="43"/>
      <c r="I801" s="44"/>
      <c r="J801" s="38"/>
      <c r="K801" s="45"/>
      <c r="L801" s="46"/>
      <c r="M801" s="38"/>
      <c r="N801" s="38"/>
      <c r="O801" s="38"/>
      <c r="P801" s="38"/>
      <c r="Q801" s="38"/>
      <c r="R801" s="48"/>
      <c r="S801" s="48"/>
      <c r="T801" s="48"/>
      <c r="U801" s="52"/>
      <c r="V801" s="50"/>
      <c r="W801" s="51"/>
      <c r="X801" s="56"/>
    </row>
    <row r="802" spans="1:24">
      <c r="A802" s="38"/>
      <c r="B802" s="38"/>
      <c r="C802" s="38"/>
      <c r="D802" s="38"/>
      <c r="E802" s="40"/>
      <c r="F802" s="61"/>
      <c r="G802" s="42"/>
      <c r="H802" s="43"/>
      <c r="I802" s="44"/>
      <c r="J802" s="38"/>
      <c r="K802" s="45"/>
      <c r="L802" s="46"/>
      <c r="M802" s="38"/>
      <c r="N802" s="38"/>
      <c r="O802" s="38"/>
      <c r="P802" s="38"/>
      <c r="Q802" s="38"/>
      <c r="R802" s="48"/>
      <c r="S802" s="48"/>
      <c r="T802" s="48"/>
      <c r="U802" s="52"/>
      <c r="V802" s="50"/>
      <c r="W802" s="51"/>
      <c r="X802" s="56"/>
    </row>
    <row r="803" spans="1:24">
      <c r="A803" s="38"/>
      <c r="B803" s="38"/>
      <c r="C803" s="38"/>
      <c r="D803" s="38"/>
      <c r="E803" s="40"/>
      <c r="F803" s="61"/>
      <c r="G803" s="42"/>
      <c r="H803" s="43"/>
      <c r="I803" s="44"/>
      <c r="J803" s="38"/>
      <c r="K803" s="45"/>
      <c r="L803" s="46"/>
      <c r="M803" s="38"/>
      <c r="N803" s="38"/>
      <c r="O803" s="38"/>
      <c r="P803" s="38"/>
      <c r="Q803" s="38"/>
      <c r="R803" s="48"/>
      <c r="S803" s="48"/>
      <c r="T803" s="48"/>
      <c r="U803" s="52"/>
      <c r="V803" s="50"/>
      <c r="W803" s="51"/>
      <c r="X803" s="56"/>
    </row>
    <row r="804" spans="1:24">
      <c r="A804" s="38"/>
      <c r="B804" s="38"/>
      <c r="C804" s="38"/>
      <c r="D804" s="38"/>
      <c r="E804" s="40"/>
      <c r="F804" s="61"/>
      <c r="G804" s="42"/>
      <c r="H804" s="43"/>
      <c r="I804" s="44"/>
      <c r="J804" s="38"/>
      <c r="K804" s="45"/>
      <c r="L804" s="46"/>
      <c r="M804" s="38"/>
      <c r="N804" s="38"/>
      <c r="O804" s="38"/>
      <c r="P804" s="38"/>
      <c r="Q804" s="38"/>
      <c r="R804" s="48"/>
      <c r="S804" s="48"/>
      <c r="T804" s="48"/>
      <c r="U804" s="52"/>
      <c r="V804" s="50"/>
      <c r="W804" s="51"/>
      <c r="X804" s="56"/>
    </row>
    <row r="805" spans="1:24">
      <c r="A805" s="38"/>
      <c r="B805" s="38"/>
      <c r="C805" s="38"/>
      <c r="D805" s="38"/>
      <c r="E805" s="40"/>
      <c r="F805" s="61"/>
      <c r="G805" s="42"/>
      <c r="H805" s="43"/>
      <c r="I805" s="44"/>
      <c r="J805" s="38"/>
      <c r="K805" s="45"/>
      <c r="L805" s="46"/>
      <c r="M805" s="38"/>
      <c r="N805" s="38"/>
      <c r="O805" s="38"/>
      <c r="P805" s="38"/>
      <c r="Q805" s="38"/>
      <c r="R805" s="48"/>
      <c r="S805" s="48"/>
      <c r="T805" s="48"/>
      <c r="U805" s="52"/>
      <c r="V805" s="50"/>
      <c r="W805" s="51"/>
      <c r="X805" s="56"/>
    </row>
    <row r="806" spans="1:24">
      <c r="A806" s="38"/>
      <c r="B806" s="38"/>
      <c r="C806" s="38"/>
      <c r="D806" s="38"/>
      <c r="E806" s="40"/>
      <c r="F806" s="58"/>
      <c r="G806" s="42"/>
      <c r="H806" s="43"/>
      <c r="I806" s="44"/>
      <c r="J806" s="38"/>
      <c r="K806" s="45"/>
      <c r="L806" s="46"/>
      <c r="M806" s="38"/>
      <c r="N806" s="38"/>
      <c r="O806" s="38"/>
      <c r="P806" s="38"/>
      <c r="Q806" s="38"/>
      <c r="R806" s="48"/>
      <c r="S806" s="48"/>
      <c r="T806" s="48"/>
      <c r="U806" s="52"/>
      <c r="V806" s="50"/>
      <c r="W806" s="51"/>
      <c r="X806" s="56"/>
    </row>
    <row r="807" spans="1:24">
      <c r="A807" s="38"/>
      <c r="B807" s="38"/>
      <c r="C807" s="38"/>
      <c r="D807" s="38"/>
      <c r="E807" s="40"/>
      <c r="F807" s="61"/>
      <c r="G807" s="42"/>
      <c r="H807" s="43"/>
      <c r="I807" s="44"/>
      <c r="J807" s="38"/>
      <c r="K807" s="45"/>
      <c r="L807" s="46"/>
      <c r="M807" s="38"/>
      <c r="N807" s="38"/>
      <c r="O807" s="38"/>
      <c r="P807" s="38"/>
      <c r="Q807" s="38"/>
      <c r="R807" s="48"/>
      <c r="S807" s="48"/>
      <c r="T807" s="48"/>
      <c r="U807" s="52"/>
      <c r="V807" s="50"/>
      <c r="W807" s="51"/>
      <c r="X807" s="56"/>
    </row>
    <row r="808" spans="1:24">
      <c r="A808" s="38"/>
      <c r="B808" s="38"/>
      <c r="C808" s="38"/>
      <c r="D808" s="38"/>
      <c r="E808" s="40"/>
      <c r="F808" s="58"/>
      <c r="G808" s="42"/>
      <c r="H808" s="43"/>
      <c r="I808" s="44"/>
      <c r="J808" s="38"/>
      <c r="K808" s="45"/>
      <c r="L808" s="46"/>
      <c r="M808" s="38"/>
      <c r="N808" s="38"/>
      <c r="O808" s="38"/>
      <c r="P808" s="38"/>
      <c r="Q808" s="38"/>
      <c r="R808" s="48"/>
      <c r="S808" s="48"/>
      <c r="T808" s="48"/>
      <c r="U808" s="52"/>
      <c r="V808" s="50"/>
      <c r="W808" s="51"/>
      <c r="X808" s="56"/>
    </row>
    <row r="809" spans="1:24">
      <c r="A809" s="38"/>
      <c r="B809" s="38"/>
      <c r="C809" s="38"/>
      <c r="D809" s="38"/>
      <c r="E809" s="40"/>
      <c r="F809" s="58"/>
      <c r="G809" s="42"/>
      <c r="H809" s="43"/>
      <c r="I809" s="44"/>
      <c r="J809" s="38"/>
      <c r="K809" s="45"/>
      <c r="L809" s="46"/>
      <c r="M809" s="38"/>
      <c r="N809" s="38"/>
      <c r="O809" s="38"/>
      <c r="P809" s="38"/>
      <c r="Q809" s="38"/>
      <c r="R809" s="48"/>
      <c r="S809" s="48"/>
      <c r="T809" s="48"/>
      <c r="U809" s="52"/>
      <c r="V809" s="50"/>
      <c r="W809" s="51"/>
      <c r="X809" s="56"/>
    </row>
    <row r="810" spans="1:24">
      <c r="A810" s="38"/>
      <c r="B810" s="38"/>
      <c r="C810" s="38"/>
      <c r="D810" s="38"/>
      <c r="E810" s="40"/>
      <c r="F810" s="61"/>
      <c r="G810" s="42"/>
      <c r="H810" s="43"/>
      <c r="I810" s="44"/>
      <c r="J810" s="38"/>
      <c r="K810" s="45"/>
      <c r="L810" s="46"/>
      <c r="M810" s="38"/>
      <c r="N810" s="38"/>
      <c r="O810" s="38"/>
      <c r="P810" s="38"/>
      <c r="Q810" s="38"/>
      <c r="R810" s="48"/>
      <c r="S810" s="48"/>
      <c r="T810" s="48"/>
      <c r="U810" s="52"/>
      <c r="V810" s="50"/>
      <c r="W810" s="51"/>
      <c r="X810" s="56"/>
    </row>
    <row r="811" spans="1:24">
      <c r="A811" s="38"/>
      <c r="B811" s="38"/>
      <c r="C811" s="38"/>
      <c r="D811" s="38"/>
      <c r="E811" s="40"/>
      <c r="F811" s="61"/>
      <c r="G811" s="42"/>
      <c r="H811" s="43"/>
      <c r="I811" s="44"/>
      <c r="J811" s="38"/>
      <c r="K811" s="45"/>
      <c r="L811" s="46"/>
      <c r="M811" s="38"/>
      <c r="N811" s="38"/>
      <c r="O811" s="38"/>
      <c r="P811" s="38"/>
      <c r="Q811" s="38"/>
      <c r="R811" s="48"/>
      <c r="S811" s="48"/>
      <c r="T811" s="48"/>
      <c r="U811" s="52"/>
      <c r="V811" s="50"/>
      <c r="W811" s="51"/>
      <c r="X811" s="56"/>
    </row>
    <row r="812" spans="1:24">
      <c r="A812" s="38"/>
      <c r="B812" s="38"/>
      <c r="C812" s="38"/>
      <c r="D812" s="38"/>
      <c r="E812" s="40"/>
      <c r="F812" s="58"/>
      <c r="G812" s="42"/>
      <c r="H812" s="43"/>
      <c r="I812" s="44"/>
      <c r="J812" s="38"/>
      <c r="K812" s="45"/>
      <c r="L812" s="46"/>
      <c r="M812" s="38"/>
      <c r="N812" s="38"/>
      <c r="O812" s="38"/>
      <c r="P812" s="38"/>
      <c r="Q812" s="38"/>
      <c r="R812" s="48"/>
      <c r="S812" s="48"/>
      <c r="T812" s="48"/>
      <c r="U812" s="52"/>
      <c r="V812" s="50"/>
      <c r="W812" s="51"/>
      <c r="X812" s="56"/>
    </row>
    <row r="813" spans="1:24">
      <c r="A813" s="38"/>
      <c r="B813" s="38"/>
      <c r="C813" s="38"/>
      <c r="D813" s="38"/>
      <c r="E813" s="40"/>
      <c r="F813" s="61"/>
      <c r="G813" s="42"/>
      <c r="H813" s="43"/>
      <c r="I813" s="44"/>
      <c r="J813" s="38"/>
      <c r="K813" s="45"/>
      <c r="L813" s="46"/>
      <c r="M813" s="38"/>
      <c r="N813" s="38"/>
      <c r="O813" s="38"/>
      <c r="P813" s="38"/>
      <c r="Q813" s="38"/>
      <c r="R813" s="48"/>
      <c r="S813" s="48"/>
      <c r="T813" s="48"/>
      <c r="U813" s="52"/>
      <c r="V813" s="50"/>
      <c r="W813" s="51"/>
      <c r="X813" s="56"/>
    </row>
    <row r="814" spans="1:24">
      <c r="A814" s="38"/>
      <c r="B814" s="38"/>
      <c r="C814" s="38"/>
      <c r="D814" s="38"/>
      <c r="E814" s="40"/>
      <c r="F814" s="61"/>
      <c r="G814" s="42"/>
      <c r="H814" s="43"/>
      <c r="I814" s="44"/>
      <c r="J814" s="38"/>
      <c r="K814" s="45"/>
      <c r="L814" s="46"/>
      <c r="M814" s="38"/>
      <c r="N814" s="38"/>
      <c r="O814" s="38"/>
      <c r="P814" s="38"/>
      <c r="Q814" s="38"/>
      <c r="R814" s="48"/>
      <c r="S814" s="48"/>
      <c r="T814" s="48"/>
      <c r="U814" s="52"/>
      <c r="V814" s="50"/>
      <c r="W814" s="51"/>
      <c r="X814" s="56"/>
    </row>
    <row r="815" spans="1:24">
      <c r="A815" s="38"/>
      <c r="B815" s="38"/>
      <c r="C815" s="38"/>
      <c r="D815" s="38"/>
      <c r="E815" s="40"/>
      <c r="F815" s="61"/>
      <c r="G815" s="42"/>
      <c r="H815" s="43"/>
      <c r="I815" s="44"/>
      <c r="J815" s="38"/>
      <c r="K815" s="45"/>
      <c r="L815" s="46"/>
      <c r="M815" s="38"/>
      <c r="N815" s="38"/>
      <c r="O815" s="38"/>
      <c r="P815" s="38"/>
      <c r="Q815" s="38"/>
      <c r="R815" s="48"/>
      <c r="S815" s="48"/>
      <c r="T815" s="48"/>
      <c r="U815" s="52"/>
      <c r="V815" s="50"/>
      <c r="W815" s="51"/>
      <c r="X815" s="56"/>
    </row>
    <row r="816" spans="1:24">
      <c r="A816" s="38"/>
      <c r="B816" s="38"/>
      <c r="C816" s="38"/>
      <c r="D816" s="38"/>
      <c r="E816" s="40"/>
      <c r="F816" s="58"/>
      <c r="G816" s="42"/>
      <c r="H816" s="43"/>
      <c r="I816" s="44"/>
      <c r="J816" s="38"/>
      <c r="K816" s="45"/>
      <c r="L816" s="46"/>
      <c r="M816" s="38"/>
      <c r="N816" s="38"/>
      <c r="O816" s="38"/>
      <c r="P816" s="38"/>
      <c r="Q816" s="38"/>
      <c r="R816" s="48"/>
      <c r="S816" s="48"/>
      <c r="T816" s="48"/>
      <c r="U816" s="52"/>
      <c r="V816" s="50"/>
      <c r="W816" s="51"/>
      <c r="X816" s="56"/>
    </row>
    <row r="817" spans="1:24">
      <c r="A817" s="38"/>
      <c r="B817" s="38"/>
      <c r="C817" s="38"/>
      <c r="D817" s="38"/>
      <c r="E817" s="40"/>
      <c r="F817" s="61"/>
      <c r="G817" s="42"/>
      <c r="H817" s="43"/>
      <c r="I817" s="44"/>
      <c r="J817" s="38"/>
      <c r="K817" s="45"/>
      <c r="L817" s="42"/>
      <c r="M817" s="38"/>
      <c r="N817" s="38"/>
      <c r="O817" s="38"/>
      <c r="P817" s="38"/>
      <c r="Q817" s="38"/>
      <c r="R817" s="48"/>
      <c r="S817" s="48"/>
      <c r="T817" s="48"/>
      <c r="U817" s="52"/>
      <c r="V817" s="50"/>
      <c r="W817" s="51"/>
      <c r="X817" s="56"/>
    </row>
    <row r="818" spans="1:24">
      <c r="A818" s="38"/>
      <c r="B818" s="38"/>
      <c r="D818" s="38"/>
      <c r="E818" s="43"/>
      <c r="F818" s="38"/>
      <c r="G818" s="46"/>
      <c r="H818" s="38"/>
      <c r="I818" s="57"/>
      <c r="J818" s="38"/>
      <c r="K818" s="38"/>
      <c r="L818" s="46"/>
      <c r="M818" s="56"/>
      <c r="N818" s="56"/>
      <c r="O818" s="56"/>
      <c r="P818" s="56"/>
      <c r="Q818" s="56"/>
      <c r="R818" s="62"/>
      <c r="S818" s="62"/>
      <c r="X818" s="56"/>
    </row>
    <row r="819" spans="1:24">
      <c r="A819" s="38"/>
      <c r="B819" s="38"/>
      <c r="D819" s="38"/>
      <c r="E819" s="43"/>
      <c r="F819" s="38"/>
      <c r="G819" s="46"/>
      <c r="H819" s="38"/>
      <c r="I819" s="57"/>
      <c r="J819" s="38"/>
      <c r="K819" s="38"/>
      <c r="L819" s="46"/>
      <c r="M819" s="56"/>
      <c r="N819" s="56"/>
      <c r="O819" s="56"/>
      <c r="P819" s="56"/>
      <c r="Q819" s="56"/>
      <c r="R819" s="62"/>
      <c r="S819" s="62"/>
      <c r="X819" s="56"/>
    </row>
    <row r="820" spans="1:24">
      <c r="A820" s="38"/>
      <c r="B820" s="38"/>
      <c r="D820" s="38"/>
      <c r="E820" s="43"/>
      <c r="F820" s="38"/>
      <c r="G820" s="46"/>
      <c r="H820" s="38"/>
      <c r="I820" s="57"/>
      <c r="J820" s="38"/>
      <c r="K820" s="38"/>
      <c r="L820" s="46"/>
      <c r="M820" s="56"/>
      <c r="N820" s="56"/>
      <c r="O820" s="56"/>
      <c r="P820" s="56"/>
      <c r="Q820" s="56"/>
      <c r="R820" s="62"/>
      <c r="S820" s="62"/>
      <c r="X820" s="56"/>
    </row>
    <row r="821" spans="1:24">
      <c r="A821" s="38"/>
      <c r="B821" s="38"/>
      <c r="D821" s="38"/>
      <c r="E821" s="43"/>
      <c r="F821" s="38"/>
      <c r="G821" s="46"/>
      <c r="H821" s="38"/>
      <c r="I821" s="57"/>
      <c r="J821" s="38"/>
      <c r="K821" s="38"/>
      <c r="L821" s="46"/>
      <c r="M821" s="56"/>
      <c r="N821" s="56"/>
      <c r="O821" s="56"/>
      <c r="P821" s="56"/>
      <c r="Q821" s="56"/>
      <c r="R821" s="62"/>
      <c r="S821" s="62"/>
      <c r="X821" s="56"/>
    </row>
    <row r="822" spans="1:24">
      <c r="A822" s="38"/>
      <c r="B822" s="38"/>
      <c r="D822" s="38"/>
      <c r="E822" s="43"/>
      <c r="F822" s="38"/>
      <c r="G822" s="46"/>
      <c r="H822" s="38"/>
      <c r="I822" s="57"/>
      <c r="J822" s="38"/>
      <c r="K822" s="38"/>
      <c r="L822" s="46"/>
      <c r="M822" s="56"/>
      <c r="N822" s="56"/>
      <c r="O822" s="56"/>
      <c r="P822" s="56"/>
      <c r="Q822" s="56"/>
      <c r="R822" s="62"/>
      <c r="S822" s="62"/>
      <c r="X822" s="56"/>
    </row>
    <row r="823" spans="1:24">
      <c r="A823" s="38"/>
      <c r="B823" s="38"/>
      <c r="D823" s="38"/>
      <c r="E823" s="43"/>
      <c r="F823" s="38"/>
      <c r="G823" s="46"/>
      <c r="H823" s="38"/>
      <c r="I823" s="57"/>
      <c r="J823" s="38"/>
      <c r="K823" s="38"/>
      <c r="L823" s="46"/>
      <c r="M823" s="56"/>
      <c r="N823" s="56"/>
      <c r="O823" s="56"/>
      <c r="P823" s="56"/>
      <c r="Q823" s="56"/>
      <c r="R823" s="62"/>
      <c r="S823" s="62"/>
      <c r="X823" s="56"/>
    </row>
    <row r="824" spans="1:24">
      <c r="A824" s="38"/>
      <c r="B824" s="38"/>
      <c r="D824" s="38"/>
      <c r="E824" s="43"/>
      <c r="F824" s="38"/>
      <c r="G824" s="46"/>
      <c r="H824" s="38"/>
      <c r="I824" s="57"/>
      <c r="J824" s="38"/>
      <c r="K824" s="38"/>
      <c r="L824" s="46"/>
      <c r="M824" s="56"/>
      <c r="N824" s="56"/>
      <c r="O824" s="56"/>
      <c r="P824" s="56"/>
      <c r="Q824" s="56"/>
      <c r="R824" s="62"/>
      <c r="S824" s="62"/>
      <c r="X824" s="56"/>
    </row>
    <row r="825" spans="1:24">
      <c r="A825" s="38"/>
      <c r="B825" s="38"/>
      <c r="D825" s="38"/>
      <c r="E825" s="43"/>
      <c r="F825" s="38"/>
      <c r="G825" s="46"/>
      <c r="H825" s="38"/>
      <c r="I825" s="57"/>
      <c r="J825" s="38"/>
      <c r="K825" s="38"/>
      <c r="L825" s="46"/>
      <c r="M825" s="56"/>
      <c r="N825" s="56"/>
      <c r="O825" s="56"/>
      <c r="P825" s="56"/>
      <c r="Q825" s="56"/>
      <c r="R825" s="62"/>
      <c r="S825" s="62"/>
      <c r="X825" s="56"/>
    </row>
    <row r="826" spans="1:24">
      <c r="A826" s="38"/>
      <c r="B826" s="38"/>
      <c r="D826" s="38"/>
      <c r="E826" s="43"/>
      <c r="F826" s="38"/>
      <c r="G826" s="46"/>
      <c r="H826" s="38"/>
      <c r="I826" s="57"/>
      <c r="J826" s="38"/>
      <c r="K826" s="38"/>
      <c r="L826" s="46"/>
      <c r="M826" s="56"/>
      <c r="N826" s="56"/>
      <c r="O826" s="56"/>
      <c r="P826" s="56"/>
      <c r="Q826" s="56"/>
      <c r="R826" s="62"/>
      <c r="S826" s="62"/>
      <c r="X826" s="56"/>
    </row>
    <row r="827" spans="1:24">
      <c r="A827" s="38"/>
      <c r="B827" s="38"/>
      <c r="D827" s="38"/>
      <c r="E827" s="43"/>
      <c r="F827" s="38"/>
      <c r="G827" s="46"/>
      <c r="H827" s="38"/>
      <c r="I827" s="57"/>
      <c r="J827" s="38"/>
      <c r="K827" s="38"/>
      <c r="L827" s="46"/>
      <c r="M827" s="56"/>
      <c r="N827" s="56"/>
      <c r="O827" s="56"/>
      <c r="P827" s="56"/>
      <c r="Q827" s="56"/>
      <c r="R827" s="62"/>
      <c r="S827" s="62"/>
      <c r="X827" s="56"/>
    </row>
    <row r="828" spans="1:24">
      <c r="A828" s="38"/>
      <c r="B828" s="38"/>
      <c r="D828" s="38"/>
      <c r="E828" s="43"/>
      <c r="F828" s="38"/>
      <c r="G828" s="46"/>
      <c r="H828" s="38"/>
      <c r="I828" s="57"/>
      <c r="J828" s="38"/>
      <c r="K828" s="38"/>
      <c r="L828" s="46"/>
      <c r="M828" s="56"/>
      <c r="N828" s="56"/>
      <c r="O828" s="56"/>
      <c r="P828" s="56"/>
      <c r="Q828" s="56"/>
      <c r="R828" s="62"/>
      <c r="S828" s="62"/>
      <c r="X828" s="56"/>
    </row>
    <row r="829" spans="1:24">
      <c r="A829" s="38"/>
      <c r="B829" s="38"/>
      <c r="D829" s="38"/>
      <c r="E829" s="43"/>
      <c r="F829" s="38"/>
      <c r="G829" s="46"/>
      <c r="H829" s="38"/>
      <c r="I829" s="57"/>
      <c r="J829" s="38"/>
      <c r="K829" s="38"/>
      <c r="L829" s="46"/>
      <c r="M829" s="56"/>
      <c r="N829" s="56"/>
      <c r="O829" s="56"/>
      <c r="P829" s="56"/>
      <c r="Q829" s="56"/>
      <c r="R829" s="62"/>
      <c r="S829" s="62"/>
      <c r="X829" s="56"/>
    </row>
    <row r="830" spans="1:24">
      <c r="A830" s="38"/>
      <c r="B830" s="38"/>
      <c r="D830" s="38"/>
      <c r="E830" s="43"/>
      <c r="F830" s="38"/>
      <c r="G830" s="46"/>
      <c r="H830" s="38"/>
      <c r="I830" s="57"/>
      <c r="J830" s="38"/>
      <c r="K830" s="38"/>
      <c r="L830" s="46"/>
      <c r="M830" s="56"/>
      <c r="N830" s="56"/>
      <c r="O830" s="56"/>
      <c r="P830" s="56"/>
      <c r="Q830" s="56"/>
      <c r="R830" s="62"/>
      <c r="S830" s="62"/>
      <c r="X830" s="56"/>
    </row>
    <row r="831" spans="1:24">
      <c r="A831" s="38"/>
      <c r="B831" s="38"/>
      <c r="D831" s="38"/>
      <c r="E831" s="43"/>
      <c r="F831" s="38"/>
      <c r="G831" s="46"/>
      <c r="H831" s="38"/>
      <c r="I831" s="57"/>
      <c r="J831" s="38"/>
      <c r="K831" s="38"/>
      <c r="L831" s="46"/>
      <c r="M831" s="56"/>
      <c r="N831" s="56"/>
      <c r="O831" s="56"/>
      <c r="P831" s="56"/>
      <c r="Q831" s="56"/>
      <c r="R831" s="62"/>
      <c r="S831" s="62"/>
      <c r="X831" s="56"/>
    </row>
    <row r="832" spans="1:24">
      <c r="A832" s="38"/>
      <c r="B832" s="38"/>
      <c r="D832" s="38"/>
      <c r="E832" s="43"/>
      <c r="F832" s="38"/>
      <c r="G832" s="46"/>
      <c r="H832" s="38"/>
      <c r="I832" s="57"/>
      <c r="J832" s="38"/>
      <c r="K832" s="38"/>
      <c r="L832" s="46"/>
      <c r="M832" s="56"/>
      <c r="N832" s="56"/>
      <c r="O832" s="56"/>
      <c r="P832" s="56"/>
      <c r="Q832" s="56"/>
      <c r="R832" s="62"/>
      <c r="S832" s="62"/>
      <c r="X832" s="56"/>
    </row>
    <row r="833" spans="1:24">
      <c r="A833" s="38"/>
      <c r="B833" s="38"/>
      <c r="D833" s="38"/>
      <c r="E833" s="43"/>
      <c r="F833" s="38"/>
      <c r="G833" s="46"/>
      <c r="H833" s="38"/>
      <c r="I833" s="57"/>
      <c r="J833" s="38"/>
      <c r="K833" s="38"/>
      <c r="L833" s="46"/>
      <c r="M833" s="56"/>
      <c r="N833" s="56"/>
      <c r="O833" s="56"/>
      <c r="P833" s="56"/>
      <c r="Q833" s="56"/>
      <c r="R833" s="62"/>
      <c r="S833" s="62"/>
      <c r="X833" s="56"/>
    </row>
    <row r="834" spans="1:24">
      <c r="A834" s="38"/>
      <c r="B834" s="38"/>
      <c r="D834" s="38"/>
      <c r="E834" s="43"/>
      <c r="F834" s="38"/>
      <c r="G834" s="46"/>
      <c r="H834" s="38"/>
      <c r="I834" s="57"/>
      <c r="J834" s="38"/>
      <c r="K834" s="38"/>
      <c r="L834" s="46"/>
      <c r="M834" s="56"/>
      <c r="N834" s="56"/>
      <c r="O834" s="56"/>
      <c r="P834" s="56"/>
      <c r="Q834" s="56"/>
      <c r="R834" s="62"/>
      <c r="S834" s="62"/>
      <c r="X834" s="56"/>
    </row>
    <row r="835" spans="1:24">
      <c r="A835" s="38"/>
      <c r="B835" s="38"/>
      <c r="D835" s="38"/>
      <c r="E835" s="43"/>
      <c r="F835" s="38"/>
      <c r="G835" s="46"/>
      <c r="H835" s="38"/>
      <c r="I835" s="57"/>
      <c r="J835" s="38"/>
      <c r="K835" s="38"/>
      <c r="L835" s="46"/>
      <c r="M835" s="56"/>
      <c r="N835" s="56"/>
      <c r="O835" s="56"/>
      <c r="P835" s="56"/>
      <c r="Q835" s="56"/>
      <c r="R835" s="62"/>
      <c r="S835" s="62"/>
      <c r="X835" s="56"/>
    </row>
    <row r="836" spans="1:24">
      <c r="A836" s="38"/>
      <c r="B836" s="38"/>
      <c r="D836" s="38"/>
      <c r="E836" s="38"/>
      <c r="F836" s="38"/>
      <c r="G836" s="46"/>
      <c r="H836" s="38"/>
      <c r="I836" s="57"/>
      <c r="J836" s="38"/>
      <c r="K836" s="38"/>
      <c r="L836" s="46"/>
      <c r="M836" s="56"/>
      <c r="N836" s="56"/>
      <c r="O836" s="56"/>
      <c r="P836" s="56"/>
      <c r="Q836" s="56"/>
      <c r="R836" s="62"/>
      <c r="S836" s="62"/>
      <c r="X836" s="56"/>
    </row>
    <row r="837" spans="1:24">
      <c r="A837" s="38"/>
      <c r="B837" s="38"/>
      <c r="D837" s="38"/>
      <c r="E837" s="38"/>
      <c r="F837" s="38"/>
      <c r="G837" s="46"/>
      <c r="H837" s="38"/>
      <c r="I837" s="57"/>
      <c r="J837" s="38"/>
      <c r="K837" s="38"/>
      <c r="L837" s="46"/>
      <c r="M837" s="56"/>
      <c r="N837" s="56"/>
      <c r="O837" s="56"/>
      <c r="P837" s="56"/>
      <c r="Q837" s="56"/>
      <c r="R837" s="62"/>
      <c r="S837" s="62"/>
      <c r="X837" s="56"/>
    </row>
    <row r="838" spans="1:24">
      <c r="A838" s="38"/>
      <c r="B838" s="38"/>
      <c r="D838" s="38"/>
      <c r="E838" s="38"/>
      <c r="F838" s="38"/>
      <c r="G838" s="46"/>
      <c r="H838" s="38"/>
      <c r="I838" s="57"/>
      <c r="J838" s="38"/>
      <c r="K838" s="38"/>
      <c r="L838" s="46"/>
      <c r="M838" s="56"/>
      <c r="N838" s="56"/>
      <c r="O838" s="56"/>
      <c r="P838" s="56"/>
      <c r="Q838" s="56"/>
      <c r="R838" s="62"/>
      <c r="S838" s="62"/>
      <c r="X838" s="56"/>
    </row>
    <row r="839" spans="1:24">
      <c r="A839" s="38"/>
      <c r="B839" s="38"/>
      <c r="D839" s="38"/>
      <c r="E839" s="38"/>
      <c r="F839" s="38"/>
      <c r="G839" s="46"/>
      <c r="H839" s="38"/>
      <c r="I839" s="57"/>
      <c r="J839" s="38"/>
      <c r="K839" s="38"/>
      <c r="L839" s="46"/>
      <c r="M839" s="56"/>
      <c r="N839" s="56"/>
      <c r="O839" s="56"/>
      <c r="P839" s="56"/>
      <c r="Q839" s="56"/>
      <c r="R839" s="62"/>
      <c r="S839" s="62"/>
      <c r="X839" s="56"/>
    </row>
    <row r="840" spans="1:24">
      <c r="A840" s="38"/>
      <c r="B840" s="38"/>
      <c r="D840" s="38"/>
      <c r="E840" s="38"/>
      <c r="F840" s="38"/>
      <c r="G840" s="46"/>
      <c r="H840" s="38"/>
      <c r="I840" s="57"/>
      <c r="J840" s="38"/>
      <c r="K840" s="38"/>
      <c r="L840" s="46"/>
      <c r="M840" s="56"/>
      <c r="N840" s="56"/>
      <c r="O840" s="56"/>
      <c r="P840" s="56"/>
      <c r="Q840" s="56"/>
      <c r="R840" s="62"/>
      <c r="S840" s="62"/>
      <c r="X840" s="56"/>
    </row>
    <row r="841" spans="1:24">
      <c r="A841" s="38"/>
      <c r="B841" s="38"/>
      <c r="D841" s="38"/>
      <c r="E841" s="38"/>
      <c r="F841" s="38"/>
      <c r="G841" s="46"/>
      <c r="H841" s="38"/>
      <c r="I841" s="57"/>
      <c r="J841" s="38"/>
      <c r="K841" s="38"/>
      <c r="L841" s="46"/>
      <c r="M841" s="56"/>
      <c r="N841" s="56"/>
      <c r="O841" s="56"/>
      <c r="P841" s="56"/>
      <c r="Q841" s="56"/>
      <c r="R841" s="62"/>
      <c r="S841" s="62"/>
      <c r="X841" s="56"/>
    </row>
    <row r="842" spans="1:24">
      <c r="A842" s="38"/>
      <c r="B842" s="38"/>
      <c r="D842" s="38"/>
      <c r="E842" s="38"/>
      <c r="F842" s="38"/>
      <c r="G842" s="46"/>
      <c r="H842" s="38"/>
      <c r="I842" s="57"/>
      <c r="J842" s="38"/>
      <c r="K842" s="38"/>
      <c r="L842" s="46"/>
      <c r="M842" s="56"/>
      <c r="N842" s="56"/>
      <c r="O842" s="56"/>
      <c r="P842" s="56"/>
      <c r="Q842" s="56"/>
      <c r="R842" s="62"/>
      <c r="S842" s="62"/>
      <c r="X842" s="56"/>
    </row>
    <row r="843" spans="1:24">
      <c r="A843" s="38"/>
      <c r="B843" s="38"/>
      <c r="D843" s="38"/>
      <c r="E843" s="38"/>
      <c r="F843" s="38"/>
      <c r="G843" s="46"/>
      <c r="H843" s="38"/>
      <c r="I843" s="57"/>
      <c r="J843" s="38"/>
      <c r="K843" s="38"/>
      <c r="L843" s="46"/>
      <c r="M843" s="56"/>
      <c r="N843" s="56"/>
      <c r="O843" s="56"/>
      <c r="P843" s="56"/>
      <c r="Q843" s="56"/>
      <c r="R843" s="62"/>
      <c r="S843" s="62"/>
      <c r="X843" s="56"/>
    </row>
    <row r="844" spans="1:24">
      <c r="A844" s="38"/>
      <c r="B844" s="38"/>
      <c r="D844" s="38"/>
      <c r="E844" s="38"/>
      <c r="F844" s="38"/>
      <c r="G844" s="46"/>
      <c r="H844" s="38"/>
      <c r="I844" s="57"/>
      <c r="J844" s="38"/>
      <c r="K844" s="38"/>
      <c r="L844" s="46"/>
      <c r="M844" s="56"/>
      <c r="N844" s="56"/>
      <c r="O844" s="56"/>
      <c r="P844" s="56"/>
      <c r="Q844" s="56"/>
      <c r="R844" s="62"/>
      <c r="S844" s="62"/>
      <c r="X844" s="56"/>
    </row>
    <row r="845" spans="1:24">
      <c r="A845" s="38"/>
      <c r="B845" s="38"/>
      <c r="D845" s="38"/>
      <c r="E845" s="38"/>
      <c r="F845" s="38"/>
      <c r="G845" s="46"/>
      <c r="H845" s="38"/>
      <c r="I845" s="57"/>
      <c r="J845" s="38"/>
      <c r="K845" s="38"/>
      <c r="L845" s="46"/>
      <c r="M845" s="56"/>
      <c r="N845" s="56"/>
      <c r="O845" s="56"/>
      <c r="P845" s="56"/>
      <c r="Q845" s="56"/>
      <c r="R845" s="62"/>
      <c r="S845" s="62"/>
      <c r="X845" s="56"/>
    </row>
    <row r="846" spans="1:24">
      <c r="A846" s="38"/>
      <c r="B846" s="38"/>
      <c r="D846" s="38"/>
      <c r="E846" s="38"/>
      <c r="F846" s="38"/>
      <c r="G846" s="46"/>
      <c r="H846" s="38"/>
      <c r="I846" s="57"/>
      <c r="J846" s="38"/>
      <c r="K846" s="38"/>
      <c r="L846" s="46"/>
      <c r="M846" s="56"/>
      <c r="N846" s="56"/>
      <c r="O846" s="56"/>
      <c r="P846" s="56"/>
      <c r="Q846" s="56"/>
      <c r="R846" s="62"/>
      <c r="S846" s="62"/>
      <c r="X846" s="56"/>
    </row>
    <row r="847" spans="1:24">
      <c r="A847" s="38"/>
      <c r="B847" s="38"/>
      <c r="D847" s="38"/>
      <c r="E847" s="38"/>
      <c r="F847" s="38"/>
      <c r="G847" s="46"/>
      <c r="H847" s="38"/>
      <c r="I847" s="57"/>
      <c r="J847" s="38"/>
      <c r="K847" s="38"/>
      <c r="L847" s="46"/>
      <c r="M847" s="56"/>
      <c r="N847" s="56"/>
      <c r="O847" s="56"/>
      <c r="P847" s="56"/>
      <c r="Q847" s="56"/>
      <c r="R847" s="62"/>
      <c r="S847" s="62"/>
      <c r="X847" s="56"/>
    </row>
    <row r="848" spans="1:24">
      <c r="A848" s="38"/>
      <c r="B848" s="38"/>
      <c r="D848" s="38"/>
      <c r="E848" s="38"/>
      <c r="F848" s="38"/>
      <c r="G848" s="46"/>
      <c r="H848" s="38"/>
      <c r="I848" s="57"/>
      <c r="J848" s="38"/>
      <c r="K848" s="38"/>
      <c r="L848" s="46"/>
      <c r="M848" s="56"/>
      <c r="N848" s="56"/>
      <c r="O848" s="56"/>
      <c r="P848" s="56"/>
      <c r="Q848" s="56"/>
      <c r="R848" s="62"/>
      <c r="S848" s="62"/>
      <c r="X848" s="56"/>
    </row>
    <row r="849" spans="1:24">
      <c r="A849" s="38"/>
      <c r="B849" s="38"/>
      <c r="D849" s="38"/>
      <c r="E849" s="38"/>
      <c r="F849" s="38"/>
      <c r="G849" s="46"/>
      <c r="H849" s="38"/>
      <c r="I849" s="57"/>
      <c r="J849" s="38"/>
      <c r="K849" s="38"/>
      <c r="L849" s="46"/>
      <c r="M849" s="56"/>
      <c r="N849" s="56"/>
      <c r="O849" s="56"/>
      <c r="P849" s="56"/>
      <c r="Q849" s="56"/>
      <c r="R849" s="62"/>
      <c r="S849" s="62"/>
      <c r="X849" s="56"/>
    </row>
    <row r="850" spans="1:24">
      <c r="A850" s="38"/>
      <c r="B850" s="38"/>
      <c r="D850" s="38"/>
      <c r="E850" s="38"/>
      <c r="F850" s="38"/>
      <c r="G850" s="46"/>
      <c r="H850" s="38"/>
      <c r="I850" s="57"/>
      <c r="J850" s="38"/>
      <c r="K850" s="38"/>
      <c r="L850" s="46"/>
      <c r="M850" s="56"/>
      <c r="N850" s="56"/>
      <c r="O850" s="56"/>
      <c r="P850" s="56"/>
      <c r="Q850" s="56"/>
      <c r="R850" s="62"/>
      <c r="S850" s="62"/>
      <c r="X850" s="56"/>
    </row>
    <row r="851" spans="1:24">
      <c r="A851" s="38"/>
      <c r="B851" s="38"/>
      <c r="D851" s="38"/>
      <c r="E851" s="38"/>
      <c r="F851" s="38"/>
      <c r="G851" s="46"/>
      <c r="H851" s="38"/>
      <c r="I851" s="57"/>
      <c r="J851" s="38"/>
      <c r="K851" s="38"/>
      <c r="L851" s="46"/>
      <c r="M851" s="56"/>
      <c r="N851" s="56"/>
      <c r="O851" s="56"/>
      <c r="P851" s="56"/>
      <c r="Q851" s="56"/>
      <c r="R851" s="62"/>
      <c r="S851" s="62"/>
      <c r="X851" s="56"/>
    </row>
    <row r="852" spans="1:24">
      <c r="A852" s="38"/>
      <c r="B852" s="38"/>
      <c r="D852" s="38"/>
      <c r="E852" s="38"/>
      <c r="F852" s="38"/>
      <c r="G852" s="46"/>
      <c r="H852" s="38"/>
      <c r="I852" s="57"/>
      <c r="J852" s="38"/>
      <c r="K852" s="38"/>
      <c r="L852" s="46"/>
      <c r="M852" s="56"/>
      <c r="N852" s="56"/>
      <c r="O852" s="56"/>
      <c r="P852" s="56"/>
      <c r="Q852" s="56"/>
      <c r="R852" s="62"/>
      <c r="S852" s="62"/>
      <c r="X852" s="56"/>
    </row>
    <row r="853" spans="1:24">
      <c r="A853" s="38"/>
      <c r="B853" s="38"/>
      <c r="D853" s="38"/>
      <c r="E853" s="38"/>
      <c r="F853" s="38"/>
      <c r="G853" s="46"/>
      <c r="H853" s="38"/>
      <c r="I853" s="57"/>
      <c r="J853" s="38"/>
      <c r="K853" s="38"/>
      <c r="L853" s="46"/>
      <c r="M853" s="56"/>
      <c r="N853" s="56"/>
      <c r="O853" s="56"/>
      <c r="P853" s="56"/>
      <c r="Q853" s="56"/>
      <c r="R853" s="62"/>
      <c r="S853" s="62"/>
      <c r="X853" s="56"/>
    </row>
    <row r="854" spans="1:24">
      <c r="A854" s="38"/>
      <c r="B854" s="38"/>
      <c r="D854" s="38"/>
      <c r="E854" s="38"/>
      <c r="F854" s="38"/>
      <c r="G854" s="46"/>
      <c r="H854" s="38"/>
      <c r="I854" s="57"/>
      <c r="J854" s="38"/>
      <c r="K854" s="38"/>
      <c r="L854" s="46"/>
      <c r="M854" s="56"/>
      <c r="N854" s="56"/>
      <c r="O854" s="56"/>
      <c r="P854" s="56"/>
      <c r="Q854" s="56"/>
      <c r="R854" s="62"/>
      <c r="S854" s="62"/>
      <c r="X854" s="56"/>
    </row>
    <row r="855" spans="1:24">
      <c r="A855" s="38"/>
      <c r="B855" s="38"/>
      <c r="D855" s="38"/>
      <c r="E855" s="38"/>
      <c r="F855" s="38"/>
      <c r="G855" s="46"/>
      <c r="H855" s="38"/>
      <c r="I855" s="57"/>
      <c r="J855" s="38"/>
      <c r="K855" s="38"/>
      <c r="L855" s="46"/>
      <c r="M855" s="56"/>
      <c r="N855" s="56"/>
      <c r="O855" s="56"/>
      <c r="P855" s="56"/>
      <c r="Q855" s="56"/>
      <c r="R855" s="62"/>
      <c r="S855" s="62"/>
      <c r="X855" s="56"/>
    </row>
    <row r="856" spans="1:24">
      <c r="A856" s="38"/>
      <c r="B856" s="38"/>
      <c r="D856" s="38"/>
      <c r="E856" s="38"/>
      <c r="F856" s="38"/>
      <c r="G856" s="46"/>
      <c r="H856" s="38"/>
      <c r="I856" s="57"/>
      <c r="J856" s="38"/>
      <c r="K856" s="38"/>
      <c r="L856" s="46"/>
      <c r="M856" s="56"/>
      <c r="N856" s="56"/>
      <c r="O856" s="56"/>
      <c r="P856" s="56"/>
      <c r="Q856" s="56"/>
      <c r="R856" s="62"/>
      <c r="S856" s="62"/>
      <c r="X856" s="56"/>
    </row>
    <row r="857" spans="1:24">
      <c r="A857" s="38"/>
      <c r="B857" s="38"/>
      <c r="D857" s="38"/>
      <c r="E857" s="38"/>
      <c r="F857" s="38"/>
      <c r="G857" s="46"/>
      <c r="H857" s="38"/>
      <c r="I857" s="57"/>
      <c r="J857" s="38"/>
      <c r="K857" s="38"/>
      <c r="L857" s="46"/>
      <c r="M857" s="56"/>
      <c r="N857" s="56"/>
      <c r="O857" s="56"/>
      <c r="P857" s="56"/>
      <c r="Q857" s="56"/>
      <c r="R857" s="62"/>
      <c r="S857" s="62"/>
      <c r="X857" s="56"/>
    </row>
    <row r="858" spans="1:24">
      <c r="A858" s="38"/>
      <c r="B858" s="38"/>
      <c r="D858" s="38"/>
      <c r="E858" s="38"/>
      <c r="F858" s="38"/>
      <c r="G858" s="46"/>
      <c r="H858" s="38"/>
      <c r="I858" s="57"/>
      <c r="J858" s="38"/>
      <c r="K858" s="38"/>
      <c r="L858" s="46"/>
      <c r="M858" s="56"/>
      <c r="N858" s="56"/>
      <c r="O858" s="56"/>
      <c r="P858" s="56"/>
      <c r="Q858" s="56"/>
      <c r="R858" s="62"/>
      <c r="S858" s="62"/>
      <c r="X858" s="56"/>
    </row>
    <row r="859" spans="1:24">
      <c r="A859" s="38"/>
      <c r="B859" s="38"/>
      <c r="D859" s="38"/>
      <c r="E859" s="38"/>
      <c r="F859" s="38"/>
      <c r="G859" s="46"/>
      <c r="H859" s="38"/>
      <c r="I859" s="57"/>
      <c r="J859" s="38"/>
      <c r="K859" s="38"/>
      <c r="L859" s="46"/>
      <c r="M859" s="56"/>
      <c r="N859" s="56"/>
      <c r="O859" s="56"/>
      <c r="P859" s="56"/>
      <c r="Q859" s="56"/>
      <c r="R859" s="62"/>
      <c r="S859" s="62"/>
      <c r="X859" s="56"/>
    </row>
    <row r="860" spans="1:24">
      <c r="A860" s="38"/>
      <c r="B860" s="38"/>
      <c r="D860" s="38"/>
      <c r="E860" s="38"/>
      <c r="F860" s="38"/>
      <c r="G860" s="46"/>
      <c r="H860" s="38"/>
      <c r="I860" s="57"/>
      <c r="J860" s="38"/>
      <c r="K860" s="38"/>
      <c r="L860" s="46"/>
      <c r="M860" s="56"/>
      <c r="N860" s="56"/>
      <c r="O860" s="56"/>
      <c r="P860" s="56"/>
      <c r="Q860" s="56"/>
      <c r="R860" s="62"/>
      <c r="S860" s="62"/>
      <c r="X860" s="56"/>
    </row>
    <row r="861" spans="1:24">
      <c r="A861" s="38"/>
      <c r="B861" s="38"/>
      <c r="D861" s="38"/>
      <c r="E861" s="38"/>
      <c r="F861" s="38"/>
      <c r="G861" s="46"/>
      <c r="H861" s="38"/>
      <c r="I861" s="57"/>
      <c r="J861" s="38"/>
      <c r="K861" s="38"/>
      <c r="L861" s="46"/>
      <c r="M861" s="56"/>
      <c r="N861" s="56"/>
      <c r="O861" s="56"/>
      <c r="P861" s="56"/>
      <c r="Q861" s="56"/>
      <c r="R861" s="62"/>
      <c r="S861" s="62"/>
      <c r="X861" s="56"/>
    </row>
    <row r="862" spans="1:24">
      <c r="A862" s="38"/>
      <c r="B862" s="38"/>
      <c r="D862" s="38"/>
      <c r="E862" s="38"/>
      <c r="F862" s="38"/>
      <c r="G862" s="46"/>
      <c r="H862" s="38"/>
      <c r="I862" s="57"/>
      <c r="J862" s="38"/>
      <c r="K862" s="38"/>
      <c r="L862" s="46"/>
      <c r="M862" s="56"/>
      <c r="N862" s="56"/>
      <c r="O862" s="56"/>
      <c r="P862" s="56"/>
      <c r="Q862" s="56"/>
      <c r="R862" s="62"/>
      <c r="S862" s="62"/>
      <c r="X862" s="56"/>
    </row>
    <row r="863" spans="1:24">
      <c r="A863" s="38"/>
      <c r="B863" s="38"/>
      <c r="D863" s="38"/>
      <c r="E863" s="38"/>
      <c r="F863" s="38"/>
      <c r="G863" s="46"/>
      <c r="H863" s="38"/>
      <c r="I863" s="57"/>
      <c r="J863" s="38"/>
      <c r="K863" s="38"/>
      <c r="L863" s="46"/>
      <c r="M863" s="56"/>
      <c r="N863" s="56"/>
      <c r="O863" s="56"/>
      <c r="P863" s="56"/>
      <c r="Q863" s="56"/>
      <c r="R863" s="62"/>
      <c r="S863" s="62"/>
      <c r="X863" s="56"/>
    </row>
    <row r="864" spans="1:24">
      <c r="A864" s="38"/>
      <c r="B864" s="38"/>
      <c r="D864" s="38"/>
      <c r="E864" s="38"/>
      <c r="F864" s="38"/>
      <c r="G864" s="46"/>
      <c r="H864" s="38"/>
      <c r="I864" s="57"/>
      <c r="J864" s="38"/>
      <c r="K864" s="38"/>
      <c r="L864" s="46"/>
      <c r="M864" s="56"/>
      <c r="N864" s="56"/>
      <c r="O864" s="56"/>
      <c r="P864" s="56"/>
      <c r="Q864" s="56"/>
      <c r="R864" s="62"/>
      <c r="S864" s="62"/>
      <c r="X864" s="56"/>
    </row>
    <row r="865" spans="1:24">
      <c r="A865" s="38"/>
      <c r="B865" s="38"/>
      <c r="D865" s="38"/>
      <c r="E865" s="38"/>
      <c r="F865" s="38"/>
      <c r="G865" s="46"/>
      <c r="H865" s="38"/>
      <c r="I865" s="57"/>
      <c r="J865" s="38"/>
      <c r="K865" s="38"/>
      <c r="L865" s="46"/>
      <c r="M865" s="56"/>
      <c r="N865" s="56"/>
      <c r="O865" s="56"/>
      <c r="P865" s="56"/>
      <c r="Q865" s="56"/>
      <c r="R865" s="62"/>
      <c r="S865" s="62"/>
      <c r="X865" s="56"/>
    </row>
    <row r="866" spans="1:24">
      <c r="A866" s="38"/>
      <c r="B866" s="38"/>
      <c r="D866" s="38"/>
      <c r="E866" s="38"/>
      <c r="F866" s="38"/>
      <c r="G866" s="46"/>
      <c r="H866" s="38"/>
      <c r="I866" s="57"/>
      <c r="J866" s="38"/>
      <c r="K866" s="38"/>
      <c r="L866" s="46"/>
      <c r="M866" s="56"/>
      <c r="N866" s="56"/>
      <c r="O866" s="56"/>
      <c r="P866" s="56"/>
      <c r="Q866" s="56"/>
      <c r="R866" s="62"/>
      <c r="S866" s="62"/>
      <c r="X866" s="56"/>
    </row>
    <row r="867" spans="1:24">
      <c r="A867" s="38"/>
      <c r="B867" s="38"/>
      <c r="D867" s="38"/>
      <c r="E867" s="38"/>
      <c r="F867" s="38"/>
      <c r="G867" s="46"/>
      <c r="H867" s="38"/>
      <c r="I867" s="57"/>
      <c r="J867" s="38"/>
      <c r="K867" s="38"/>
      <c r="L867" s="46"/>
      <c r="M867" s="56"/>
      <c r="N867" s="56"/>
      <c r="O867" s="56"/>
      <c r="P867" s="56"/>
      <c r="Q867" s="56"/>
      <c r="R867" s="62"/>
      <c r="S867" s="62"/>
      <c r="X867" s="56"/>
    </row>
    <row r="868" spans="1:24">
      <c r="A868" s="38"/>
      <c r="B868" s="38"/>
      <c r="D868" s="38"/>
      <c r="E868" s="38"/>
      <c r="F868" s="38"/>
      <c r="G868" s="46"/>
      <c r="H868" s="38"/>
      <c r="I868" s="57"/>
      <c r="J868" s="38"/>
      <c r="K868" s="38"/>
      <c r="L868" s="46"/>
      <c r="M868" s="56"/>
      <c r="N868" s="56"/>
      <c r="O868" s="56"/>
      <c r="P868" s="56"/>
      <c r="Q868" s="56"/>
      <c r="R868" s="62"/>
      <c r="S868" s="62"/>
      <c r="X868" s="56"/>
    </row>
    <row r="869" spans="1:24">
      <c r="A869" s="38"/>
      <c r="B869" s="38"/>
      <c r="D869" s="38"/>
      <c r="E869" s="38"/>
      <c r="F869" s="38"/>
      <c r="G869" s="46"/>
      <c r="H869" s="38"/>
      <c r="I869" s="57"/>
      <c r="J869" s="38"/>
      <c r="K869" s="38"/>
      <c r="L869" s="46"/>
      <c r="M869" s="56"/>
      <c r="N869" s="56"/>
      <c r="O869" s="56"/>
      <c r="P869" s="56"/>
      <c r="Q869" s="56"/>
      <c r="R869" s="62"/>
      <c r="S869" s="62"/>
      <c r="X869" s="56"/>
    </row>
    <row r="870" spans="1:24">
      <c r="A870" s="38"/>
      <c r="B870" s="38"/>
      <c r="D870" s="38"/>
      <c r="E870" s="38"/>
      <c r="F870" s="38"/>
      <c r="G870" s="46"/>
      <c r="H870" s="38"/>
      <c r="I870" s="57"/>
      <c r="J870" s="38"/>
      <c r="K870" s="38"/>
      <c r="L870" s="46"/>
      <c r="M870" s="56"/>
      <c r="N870" s="56"/>
      <c r="O870" s="56"/>
      <c r="P870" s="56"/>
      <c r="Q870" s="56"/>
      <c r="R870" s="62"/>
      <c r="S870" s="62"/>
      <c r="X870" s="56"/>
    </row>
    <row r="871" spans="1:24">
      <c r="A871" s="38"/>
      <c r="B871" s="38"/>
      <c r="D871" s="38"/>
      <c r="E871" s="38"/>
      <c r="F871" s="38"/>
      <c r="G871" s="46"/>
      <c r="H871" s="38"/>
      <c r="I871" s="57"/>
      <c r="J871" s="38"/>
      <c r="K871" s="38"/>
      <c r="L871" s="46"/>
      <c r="M871" s="56"/>
      <c r="N871" s="56"/>
      <c r="O871" s="56"/>
      <c r="P871" s="56"/>
      <c r="Q871" s="56"/>
      <c r="R871" s="62"/>
      <c r="S871" s="62"/>
      <c r="X871" s="56"/>
    </row>
    <row r="872" spans="1:24">
      <c r="A872" s="38"/>
      <c r="B872" s="38"/>
      <c r="D872" s="38"/>
      <c r="E872" s="38"/>
      <c r="F872" s="38"/>
      <c r="G872" s="46"/>
      <c r="H872" s="38"/>
      <c r="I872" s="57"/>
      <c r="J872" s="38"/>
      <c r="K872" s="38"/>
      <c r="L872" s="46"/>
      <c r="M872" s="56"/>
      <c r="N872" s="56"/>
      <c r="O872" s="56"/>
      <c r="P872" s="56"/>
      <c r="Q872" s="56"/>
      <c r="R872" s="62"/>
      <c r="S872" s="62"/>
      <c r="X872" s="56"/>
    </row>
    <row r="873" spans="1:24">
      <c r="A873" s="38"/>
      <c r="B873" s="38"/>
      <c r="D873" s="38"/>
      <c r="E873" s="38"/>
      <c r="F873" s="38"/>
      <c r="G873" s="46"/>
      <c r="H873" s="38"/>
      <c r="I873" s="57"/>
      <c r="J873" s="38"/>
      <c r="K873" s="38"/>
      <c r="L873" s="46"/>
      <c r="M873" s="56"/>
      <c r="N873" s="56"/>
      <c r="O873" s="56"/>
      <c r="P873" s="56"/>
      <c r="Q873" s="56"/>
      <c r="R873" s="62"/>
      <c r="S873" s="62"/>
      <c r="X873" s="56"/>
    </row>
    <row r="874" spans="1:24">
      <c r="A874" s="38"/>
      <c r="B874" s="38"/>
      <c r="D874" s="38"/>
      <c r="E874" s="38"/>
      <c r="F874" s="38"/>
      <c r="G874" s="46"/>
      <c r="H874" s="38"/>
      <c r="I874" s="57"/>
      <c r="J874" s="38"/>
      <c r="K874" s="38"/>
      <c r="L874" s="46"/>
      <c r="M874" s="56"/>
      <c r="N874" s="56"/>
      <c r="O874" s="56"/>
      <c r="P874" s="56"/>
      <c r="Q874" s="56"/>
      <c r="R874" s="62"/>
      <c r="S874" s="62"/>
      <c r="X874" s="56"/>
    </row>
    <row r="875" spans="1:24">
      <c r="A875" s="38"/>
      <c r="B875" s="38"/>
      <c r="D875" s="38"/>
      <c r="E875" s="38"/>
      <c r="F875" s="38"/>
      <c r="G875" s="46"/>
      <c r="H875" s="38"/>
      <c r="I875" s="57"/>
      <c r="J875" s="38"/>
      <c r="K875" s="38"/>
      <c r="L875" s="46"/>
      <c r="M875" s="56"/>
      <c r="N875" s="56"/>
      <c r="O875" s="56"/>
      <c r="P875" s="56"/>
      <c r="Q875" s="56"/>
      <c r="R875" s="62"/>
      <c r="S875" s="62"/>
      <c r="X875" s="56"/>
    </row>
    <row r="876" spans="1:24">
      <c r="A876" s="38"/>
      <c r="B876" s="38"/>
      <c r="D876" s="38"/>
      <c r="E876" s="38"/>
      <c r="F876" s="38"/>
      <c r="G876" s="46"/>
      <c r="H876" s="38"/>
      <c r="I876" s="57"/>
      <c r="J876" s="38"/>
      <c r="K876" s="38"/>
      <c r="L876" s="46"/>
      <c r="M876" s="56"/>
      <c r="N876" s="56"/>
      <c r="O876" s="56"/>
      <c r="P876" s="56"/>
      <c r="Q876" s="56"/>
      <c r="R876" s="62"/>
      <c r="S876" s="62"/>
      <c r="X876" s="56"/>
    </row>
    <row r="877" spans="1:24">
      <c r="A877" s="38"/>
      <c r="B877" s="38"/>
      <c r="D877" s="38"/>
      <c r="E877" s="38"/>
      <c r="F877" s="38"/>
      <c r="G877" s="46"/>
      <c r="H877" s="38"/>
      <c r="I877" s="57"/>
      <c r="J877" s="38"/>
      <c r="K877" s="38"/>
      <c r="L877" s="46"/>
      <c r="M877" s="56"/>
      <c r="N877" s="56"/>
      <c r="O877" s="56"/>
      <c r="P877" s="56"/>
      <c r="Q877" s="56"/>
      <c r="R877" s="62"/>
      <c r="S877" s="62"/>
      <c r="X877" s="56"/>
    </row>
    <row r="878" spans="1:24">
      <c r="A878" s="38"/>
      <c r="B878" s="38"/>
      <c r="D878" s="38"/>
      <c r="E878" s="38"/>
      <c r="F878" s="38"/>
      <c r="G878" s="46"/>
      <c r="H878" s="38"/>
      <c r="I878" s="57"/>
      <c r="J878" s="38"/>
      <c r="K878" s="38"/>
      <c r="L878" s="46"/>
      <c r="M878" s="56"/>
      <c r="N878" s="56"/>
      <c r="O878" s="56"/>
      <c r="P878" s="56"/>
      <c r="Q878" s="56"/>
      <c r="R878" s="62"/>
      <c r="S878" s="62"/>
      <c r="X878" s="56"/>
    </row>
    <row r="879" spans="1:24">
      <c r="A879" s="38"/>
      <c r="B879" s="38"/>
      <c r="D879" s="38"/>
      <c r="E879" s="38"/>
      <c r="F879" s="38"/>
      <c r="G879" s="46"/>
      <c r="H879" s="38"/>
      <c r="I879" s="57"/>
      <c r="J879" s="38"/>
      <c r="K879" s="38"/>
      <c r="L879" s="46"/>
      <c r="M879" s="56"/>
      <c r="N879" s="56"/>
      <c r="O879" s="56"/>
      <c r="P879" s="56"/>
      <c r="Q879" s="56"/>
      <c r="R879" s="62"/>
      <c r="S879" s="62"/>
      <c r="X879" s="56"/>
    </row>
    <row r="880" spans="1:24">
      <c r="A880" s="38"/>
      <c r="B880" s="38"/>
      <c r="D880" s="38"/>
      <c r="E880" s="38"/>
      <c r="F880" s="38"/>
      <c r="G880" s="46"/>
      <c r="H880" s="38"/>
      <c r="I880" s="57"/>
      <c r="J880" s="38"/>
      <c r="K880" s="38"/>
      <c r="L880" s="46"/>
      <c r="M880" s="56"/>
      <c r="N880" s="56"/>
      <c r="O880" s="56"/>
      <c r="P880" s="56"/>
      <c r="Q880" s="56"/>
      <c r="R880" s="62"/>
      <c r="S880" s="62"/>
      <c r="X880" s="56"/>
    </row>
    <row r="881" spans="1:24">
      <c r="A881" s="38"/>
      <c r="B881" s="38"/>
      <c r="D881" s="38"/>
      <c r="E881" s="38"/>
      <c r="F881" s="38"/>
      <c r="G881" s="46"/>
      <c r="H881" s="38"/>
      <c r="I881" s="57"/>
      <c r="J881" s="38"/>
      <c r="K881" s="38"/>
      <c r="L881" s="46"/>
      <c r="M881" s="56"/>
      <c r="N881" s="56"/>
      <c r="O881" s="56"/>
      <c r="P881" s="56"/>
      <c r="Q881" s="56"/>
      <c r="R881" s="62"/>
      <c r="S881" s="62"/>
      <c r="X881" s="56"/>
    </row>
    <row r="882" spans="1:24">
      <c r="A882" s="38"/>
      <c r="B882" s="38"/>
      <c r="D882" s="38"/>
      <c r="E882" s="38"/>
      <c r="F882" s="38"/>
      <c r="G882" s="46"/>
      <c r="H882" s="38"/>
      <c r="I882" s="57"/>
      <c r="J882" s="38"/>
      <c r="K882" s="38"/>
      <c r="L882" s="46"/>
      <c r="M882" s="56"/>
      <c r="N882" s="56"/>
      <c r="O882" s="56"/>
      <c r="P882" s="56"/>
      <c r="Q882" s="56"/>
      <c r="R882" s="62"/>
      <c r="S882" s="62"/>
      <c r="X882" s="56"/>
    </row>
    <row r="883" spans="1:24">
      <c r="A883" s="38"/>
      <c r="B883" s="38"/>
      <c r="D883" s="38"/>
      <c r="E883" s="38"/>
      <c r="F883" s="38"/>
      <c r="G883" s="46"/>
      <c r="H883" s="38"/>
      <c r="I883" s="57"/>
      <c r="J883" s="38"/>
      <c r="K883" s="38"/>
      <c r="L883" s="46"/>
      <c r="M883" s="56"/>
      <c r="N883" s="56"/>
      <c r="O883" s="56"/>
      <c r="P883" s="56"/>
      <c r="Q883" s="56"/>
      <c r="R883" s="62"/>
      <c r="S883" s="62"/>
      <c r="X883" s="56"/>
    </row>
    <row r="884" spans="1:24">
      <c r="A884" s="38"/>
      <c r="B884" s="38"/>
      <c r="D884" s="38"/>
      <c r="E884" s="38"/>
      <c r="F884" s="38"/>
      <c r="G884" s="46"/>
      <c r="H884" s="38"/>
      <c r="I884" s="57"/>
      <c r="J884" s="38"/>
      <c r="K884" s="38"/>
      <c r="L884" s="46"/>
      <c r="M884" s="56"/>
      <c r="N884" s="56"/>
      <c r="O884" s="56"/>
      <c r="P884" s="56"/>
      <c r="Q884" s="56"/>
      <c r="R884" s="62"/>
      <c r="S884" s="62"/>
      <c r="X884" s="56"/>
    </row>
    <row r="885" spans="1:24">
      <c r="A885" s="38"/>
      <c r="B885" s="38"/>
      <c r="D885" s="38"/>
      <c r="E885" s="38"/>
      <c r="F885" s="38"/>
      <c r="G885" s="46"/>
      <c r="H885" s="38"/>
      <c r="I885" s="57"/>
      <c r="J885" s="38"/>
      <c r="K885" s="38"/>
      <c r="L885" s="46"/>
      <c r="M885" s="56"/>
      <c r="N885" s="56"/>
      <c r="O885" s="56"/>
      <c r="P885" s="56"/>
      <c r="Q885" s="56"/>
      <c r="R885" s="62"/>
      <c r="S885" s="62"/>
      <c r="X885" s="56"/>
    </row>
    <row r="886" spans="1:24">
      <c r="A886" s="38"/>
      <c r="B886" s="38"/>
      <c r="D886" s="38"/>
      <c r="E886" s="38"/>
      <c r="F886" s="38"/>
      <c r="G886" s="46"/>
      <c r="H886" s="38"/>
      <c r="I886" s="57"/>
      <c r="J886" s="38"/>
      <c r="K886" s="38"/>
      <c r="L886" s="46"/>
      <c r="M886" s="56"/>
      <c r="N886" s="56"/>
      <c r="O886" s="56"/>
      <c r="P886" s="56"/>
      <c r="Q886" s="56"/>
      <c r="R886" s="62"/>
      <c r="S886" s="62"/>
      <c r="X886" s="56"/>
    </row>
    <row r="887" spans="1:24">
      <c r="A887" s="38"/>
      <c r="B887" s="38"/>
      <c r="D887" s="38"/>
      <c r="E887" s="38"/>
      <c r="F887" s="38"/>
      <c r="G887" s="46"/>
      <c r="H887" s="38"/>
      <c r="I887" s="57"/>
      <c r="J887" s="38"/>
      <c r="K887" s="38"/>
      <c r="L887" s="46"/>
      <c r="M887" s="56"/>
      <c r="N887" s="56"/>
      <c r="O887" s="56"/>
      <c r="P887" s="56"/>
      <c r="Q887" s="56"/>
      <c r="R887" s="62"/>
      <c r="S887" s="62"/>
      <c r="X887" s="56"/>
    </row>
    <row r="888" spans="1:24">
      <c r="A888" s="38"/>
      <c r="B888" s="38"/>
      <c r="D888" s="38"/>
      <c r="E888" s="38"/>
      <c r="F888" s="38"/>
      <c r="G888" s="46"/>
      <c r="H888" s="38"/>
      <c r="I888" s="57"/>
      <c r="J888" s="38"/>
      <c r="K888" s="38"/>
      <c r="L888" s="46"/>
      <c r="M888" s="56"/>
      <c r="N888" s="56"/>
      <c r="O888" s="56"/>
      <c r="P888" s="56"/>
      <c r="Q888" s="56"/>
      <c r="R888" s="62"/>
      <c r="S888" s="62"/>
      <c r="X888" s="56"/>
    </row>
    <row r="889" spans="1:24">
      <c r="A889" s="38"/>
      <c r="B889" s="38"/>
      <c r="D889" s="38"/>
      <c r="E889" s="38"/>
      <c r="F889" s="38"/>
      <c r="G889" s="46"/>
      <c r="H889" s="38"/>
      <c r="I889" s="57"/>
      <c r="J889" s="38"/>
      <c r="K889" s="38"/>
      <c r="L889" s="46"/>
      <c r="M889" s="56"/>
      <c r="N889" s="56"/>
      <c r="O889" s="56"/>
      <c r="P889" s="56"/>
      <c r="Q889" s="56"/>
      <c r="R889" s="62"/>
      <c r="S889" s="62"/>
      <c r="X889" s="56"/>
    </row>
    <row r="890" spans="1:24">
      <c r="A890" s="38"/>
      <c r="B890" s="38"/>
      <c r="D890" s="38"/>
      <c r="E890" s="38"/>
      <c r="F890" s="38"/>
      <c r="G890" s="46"/>
      <c r="H890" s="38"/>
      <c r="I890" s="57"/>
      <c r="J890" s="38"/>
      <c r="K890" s="38"/>
      <c r="L890" s="46"/>
      <c r="M890" s="56"/>
      <c r="N890" s="56"/>
      <c r="O890" s="56"/>
      <c r="P890" s="56"/>
      <c r="Q890" s="56"/>
      <c r="R890" s="62"/>
      <c r="S890" s="62"/>
      <c r="X890" s="56"/>
    </row>
    <row r="891" spans="1:24">
      <c r="A891" s="38"/>
      <c r="B891" s="38"/>
      <c r="D891" s="38"/>
      <c r="E891" s="38"/>
      <c r="F891" s="38"/>
      <c r="G891" s="46"/>
      <c r="H891" s="38"/>
      <c r="I891" s="57"/>
      <c r="J891" s="38"/>
      <c r="K891" s="38"/>
      <c r="L891" s="46"/>
      <c r="M891" s="56"/>
      <c r="N891" s="56"/>
      <c r="O891" s="56"/>
      <c r="P891" s="56"/>
      <c r="Q891" s="56"/>
      <c r="R891" s="62"/>
      <c r="S891" s="62"/>
      <c r="X891" s="56"/>
    </row>
    <row r="892" spans="1:24">
      <c r="A892" s="38"/>
      <c r="B892" s="38"/>
      <c r="D892" s="38"/>
      <c r="E892" s="38"/>
      <c r="F892" s="38"/>
      <c r="G892" s="46"/>
      <c r="H892" s="38"/>
      <c r="I892" s="57"/>
      <c r="J892" s="38"/>
      <c r="K892" s="38"/>
      <c r="L892" s="46"/>
      <c r="M892" s="56"/>
      <c r="N892" s="56"/>
      <c r="O892" s="56"/>
      <c r="P892" s="56"/>
      <c r="Q892" s="56"/>
      <c r="R892" s="62"/>
      <c r="S892" s="62"/>
      <c r="X892" s="56"/>
    </row>
    <row r="893" spans="1:24">
      <c r="A893" s="38"/>
      <c r="B893" s="38"/>
      <c r="D893" s="38"/>
      <c r="E893" s="38"/>
      <c r="F893" s="38"/>
      <c r="G893" s="46"/>
      <c r="H893" s="38"/>
      <c r="I893" s="57"/>
      <c r="J893" s="38"/>
      <c r="K893" s="38"/>
      <c r="L893" s="46"/>
      <c r="M893" s="56"/>
      <c r="N893" s="56"/>
      <c r="O893" s="56"/>
      <c r="P893" s="56"/>
      <c r="Q893" s="56"/>
      <c r="R893" s="62"/>
      <c r="S893" s="62"/>
      <c r="X893" s="56"/>
    </row>
    <row r="894" spans="1:24">
      <c r="A894" s="38"/>
      <c r="B894" s="38"/>
      <c r="D894" s="38"/>
      <c r="E894" s="38"/>
      <c r="F894" s="38"/>
      <c r="G894" s="46"/>
      <c r="H894" s="38"/>
      <c r="I894" s="57"/>
      <c r="J894" s="38"/>
      <c r="K894" s="38"/>
      <c r="L894" s="46"/>
      <c r="M894" s="56"/>
      <c r="N894" s="56"/>
      <c r="O894" s="56"/>
      <c r="P894" s="56"/>
      <c r="Q894" s="56"/>
      <c r="R894" s="62"/>
      <c r="S894" s="62"/>
      <c r="X894" s="56"/>
    </row>
    <row r="895" spans="1:24">
      <c r="A895" s="38"/>
      <c r="B895" s="38"/>
      <c r="D895" s="38"/>
      <c r="E895" s="38"/>
      <c r="F895" s="38"/>
      <c r="G895" s="46"/>
      <c r="H895" s="38"/>
      <c r="I895" s="57"/>
      <c r="J895" s="38"/>
      <c r="K895" s="38"/>
      <c r="L895" s="46"/>
      <c r="M895" s="56"/>
      <c r="N895" s="56"/>
      <c r="O895" s="56"/>
      <c r="P895" s="56"/>
      <c r="Q895" s="56"/>
      <c r="R895" s="62"/>
      <c r="S895" s="62"/>
      <c r="X895" s="56"/>
    </row>
    <row r="896" spans="1:24">
      <c r="A896" s="38"/>
      <c r="B896" s="38"/>
      <c r="D896" s="38"/>
      <c r="E896" s="38"/>
      <c r="F896" s="38"/>
      <c r="G896" s="46"/>
      <c r="H896" s="38"/>
      <c r="I896" s="57"/>
      <c r="J896" s="38"/>
      <c r="K896" s="38"/>
      <c r="L896" s="46"/>
      <c r="M896" s="56"/>
      <c r="N896" s="56"/>
      <c r="O896" s="56"/>
      <c r="P896" s="56"/>
      <c r="Q896" s="56"/>
      <c r="R896" s="62"/>
      <c r="S896" s="62"/>
      <c r="X896" s="56"/>
    </row>
    <row r="897" spans="1:24">
      <c r="A897" s="38"/>
      <c r="B897" s="38"/>
      <c r="D897" s="38"/>
      <c r="E897" s="38"/>
      <c r="F897" s="38"/>
      <c r="G897" s="46"/>
      <c r="H897" s="38"/>
      <c r="I897" s="57"/>
      <c r="J897" s="38"/>
      <c r="K897" s="38"/>
      <c r="L897" s="46"/>
      <c r="M897" s="56"/>
      <c r="N897" s="56"/>
      <c r="O897" s="56"/>
      <c r="P897" s="56"/>
      <c r="Q897" s="56"/>
      <c r="R897" s="62"/>
      <c r="S897" s="62"/>
      <c r="X897" s="56"/>
    </row>
    <row r="898" spans="1:24">
      <c r="A898" s="38"/>
      <c r="B898" s="38"/>
      <c r="D898" s="38"/>
      <c r="E898" s="38"/>
      <c r="F898" s="38"/>
      <c r="G898" s="46"/>
      <c r="H898" s="38"/>
      <c r="I898" s="57"/>
      <c r="J898" s="38"/>
      <c r="K898" s="38"/>
      <c r="L898" s="46"/>
      <c r="M898" s="56"/>
      <c r="N898" s="56"/>
      <c r="O898" s="56"/>
      <c r="P898" s="56"/>
      <c r="Q898" s="56"/>
      <c r="R898" s="62"/>
      <c r="S898" s="62"/>
      <c r="X898" s="56"/>
    </row>
    <row r="899" spans="1:24">
      <c r="A899" s="38"/>
      <c r="B899" s="38"/>
      <c r="D899" s="38"/>
      <c r="E899" s="38"/>
      <c r="F899" s="38"/>
      <c r="G899" s="46"/>
      <c r="H899" s="38"/>
      <c r="I899" s="57"/>
      <c r="J899" s="38"/>
      <c r="K899" s="38"/>
      <c r="L899" s="46"/>
      <c r="M899" s="56"/>
      <c r="N899" s="56"/>
      <c r="O899" s="56"/>
      <c r="P899" s="56"/>
      <c r="Q899" s="56"/>
      <c r="R899" s="62"/>
      <c r="S899" s="62"/>
      <c r="X899" s="56"/>
    </row>
    <row r="900" spans="1:24">
      <c r="A900" s="38"/>
      <c r="B900" s="38"/>
      <c r="D900" s="38"/>
      <c r="E900" s="38"/>
      <c r="F900" s="38"/>
      <c r="G900" s="46"/>
      <c r="H900" s="38"/>
      <c r="I900" s="57"/>
      <c r="J900" s="38"/>
      <c r="K900" s="38"/>
      <c r="L900" s="46"/>
      <c r="M900" s="56"/>
      <c r="N900" s="56"/>
      <c r="O900" s="56"/>
      <c r="P900" s="56"/>
      <c r="Q900" s="56"/>
      <c r="R900" s="62"/>
      <c r="S900" s="62"/>
      <c r="X900" s="56"/>
    </row>
    <row r="901" spans="1:24">
      <c r="A901" s="38"/>
      <c r="B901" s="38"/>
      <c r="D901" s="38"/>
      <c r="E901" s="38"/>
      <c r="F901" s="38"/>
      <c r="G901" s="46"/>
      <c r="H901" s="38"/>
      <c r="I901" s="57"/>
      <c r="J901" s="38"/>
      <c r="K901" s="38"/>
      <c r="L901" s="46"/>
      <c r="M901" s="56"/>
      <c r="N901" s="56"/>
      <c r="O901" s="56"/>
      <c r="P901" s="56"/>
      <c r="Q901" s="56"/>
      <c r="R901" s="62"/>
      <c r="S901" s="62"/>
      <c r="X901" s="56"/>
    </row>
    <row r="902" spans="1:24">
      <c r="A902" s="38"/>
      <c r="B902" s="38"/>
      <c r="D902" s="38"/>
      <c r="E902" s="38"/>
      <c r="F902" s="38"/>
      <c r="G902" s="46"/>
      <c r="H902" s="38"/>
      <c r="I902" s="57"/>
      <c r="J902" s="38"/>
      <c r="K902" s="38"/>
      <c r="L902" s="46"/>
      <c r="M902" s="56"/>
      <c r="N902" s="56"/>
      <c r="O902" s="56"/>
      <c r="P902" s="56"/>
      <c r="Q902" s="56"/>
      <c r="R902" s="62"/>
      <c r="S902" s="62"/>
      <c r="X902" s="56"/>
    </row>
    <row r="903" spans="1:24">
      <c r="A903" s="38"/>
      <c r="B903" s="38"/>
      <c r="D903" s="38"/>
      <c r="E903" s="38"/>
      <c r="F903" s="38"/>
      <c r="G903" s="46"/>
      <c r="H903" s="38"/>
      <c r="I903" s="57"/>
      <c r="J903" s="38"/>
      <c r="K903" s="38"/>
      <c r="L903" s="46"/>
      <c r="M903" s="56"/>
      <c r="N903" s="56"/>
      <c r="O903" s="56"/>
      <c r="P903" s="56"/>
      <c r="Q903" s="56"/>
      <c r="R903" s="62"/>
      <c r="S903" s="62"/>
      <c r="X903" s="56"/>
    </row>
    <row r="904" spans="1:24">
      <c r="A904" s="38"/>
      <c r="B904" s="38"/>
      <c r="D904" s="38"/>
      <c r="E904" s="38"/>
      <c r="F904" s="38"/>
      <c r="G904" s="46"/>
      <c r="H904" s="38"/>
      <c r="I904" s="57"/>
      <c r="J904" s="38"/>
      <c r="K904" s="38"/>
      <c r="L904" s="46"/>
      <c r="M904" s="56"/>
      <c r="N904" s="56"/>
      <c r="O904" s="56"/>
      <c r="P904" s="56"/>
      <c r="Q904" s="56"/>
      <c r="R904" s="62"/>
      <c r="S904" s="62"/>
      <c r="X904" s="56"/>
    </row>
    <row r="905" spans="1:24">
      <c r="A905" s="38"/>
      <c r="B905" s="38"/>
      <c r="D905" s="38"/>
      <c r="E905" s="38"/>
      <c r="F905" s="38"/>
      <c r="G905" s="46"/>
      <c r="H905" s="38"/>
      <c r="I905" s="57"/>
      <c r="J905" s="38"/>
      <c r="K905" s="38"/>
      <c r="L905" s="46"/>
      <c r="M905" s="56"/>
      <c r="N905" s="56"/>
      <c r="O905" s="56"/>
      <c r="P905" s="56"/>
      <c r="Q905" s="56"/>
      <c r="R905" s="62"/>
      <c r="S905" s="62"/>
      <c r="X905" s="56"/>
    </row>
    <row r="906" spans="1:24">
      <c r="A906" s="38"/>
      <c r="B906" s="38"/>
      <c r="D906" s="38"/>
      <c r="E906" s="38"/>
      <c r="F906" s="38"/>
      <c r="G906" s="46"/>
      <c r="H906" s="38"/>
      <c r="I906" s="57"/>
      <c r="J906" s="38"/>
      <c r="K906" s="38"/>
      <c r="L906" s="46"/>
      <c r="M906" s="56"/>
      <c r="N906" s="56"/>
      <c r="O906" s="56"/>
      <c r="P906" s="56"/>
      <c r="Q906" s="56"/>
      <c r="R906" s="62"/>
      <c r="S906" s="62"/>
      <c r="X906" s="56"/>
    </row>
    <row r="907" spans="1:24">
      <c r="A907" s="38"/>
      <c r="B907" s="38"/>
      <c r="D907" s="38"/>
      <c r="E907" s="38"/>
      <c r="F907" s="38"/>
      <c r="G907" s="46"/>
      <c r="H907" s="38"/>
      <c r="I907" s="57"/>
      <c r="J907" s="38"/>
      <c r="K907" s="38"/>
      <c r="L907" s="46"/>
      <c r="M907" s="56"/>
      <c r="N907" s="56"/>
      <c r="O907" s="56"/>
      <c r="P907" s="56"/>
      <c r="Q907" s="56"/>
      <c r="R907" s="62"/>
      <c r="S907" s="62"/>
      <c r="X907" s="56"/>
    </row>
    <row r="908" spans="1:24">
      <c r="A908" s="38"/>
      <c r="B908" s="38"/>
      <c r="D908" s="38"/>
      <c r="E908" s="38"/>
      <c r="F908" s="38"/>
      <c r="G908" s="46"/>
      <c r="H908" s="38"/>
      <c r="I908" s="57"/>
      <c r="J908" s="38"/>
      <c r="K908" s="38"/>
      <c r="L908" s="46"/>
      <c r="M908" s="56"/>
      <c r="N908" s="56"/>
      <c r="O908" s="56"/>
      <c r="P908" s="56"/>
      <c r="Q908" s="56"/>
      <c r="R908" s="62"/>
      <c r="S908" s="62"/>
      <c r="X908" s="56"/>
    </row>
    <row r="909" spans="1:24">
      <c r="A909" s="38"/>
      <c r="B909" s="38"/>
      <c r="D909" s="38"/>
      <c r="E909" s="38"/>
      <c r="F909" s="38"/>
      <c r="G909" s="46"/>
      <c r="H909" s="38"/>
      <c r="I909" s="57"/>
      <c r="J909" s="38"/>
      <c r="K909" s="38"/>
      <c r="L909" s="46"/>
      <c r="M909" s="56"/>
      <c r="N909" s="56"/>
      <c r="O909" s="56"/>
      <c r="P909" s="56"/>
      <c r="Q909" s="56"/>
      <c r="R909" s="62"/>
      <c r="S909" s="62"/>
      <c r="X909" s="56"/>
    </row>
    <row r="910" spans="1:24">
      <c r="A910" s="38"/>
      <c r="B910" s="38"/>
      <c r="D910" s="38"/>
      <c r="E910" s="38"/>
      <c r="F910" s="38"/>
      <c r="G910" s="46"/>
      <c r="H910" s="38"/>
      <c r="I910" s="57"/>
      <c r="J910" s="38"/>
      <c r="K910" s="38"/>
      <c r="L910" s="46"/>
      <c r="M910" s="56"/>
      <c r="N910" s="56"/>
      <c r="O910" s="56"/>
      <c r="P910" s="56"/>
      <c r="Q910" s="56"/>
      <c r="R910" s="62"/>
      <c r="S910" s="62"/>
      <c r="X910" s="56"/>
    </row>
    <row r="911" spans="1:24">
      <c r="A911" s="38"/>
      <c r="B911" s="38"/>
      <c r="D911" s="38"/>
      <c r="E911" s="38"/>
      <c r="F911" s="38"/>
      <c r="G911" s="46"/>
      <c r="H911" s="38"/>
      <c r="I911" s="57"/>
      <c r="J911" s="38"/>
      <c r="K911" s="38"/>
      <c r="L911" s="46"/>
      <c r="M911" s="56"/>
      <c r="N911" s="56"/>
      <c r="O911" s="56"/>
      <c r="P911" s="56"/>
      <c r="Q911" s="56"/>
      <c r="R911" s="62"/>
      <c r="S911" s="62"/>
      <c r="X911" s="56"/>
    </row>
    <row r="912" spans="1:24">
      <c r="A912" s="38"/>
      <c r="B912" s="38"/>
      <c r="D912" s="38"/>
      <c r="E912" s="38"/>
      <c r="F912" s="38"/>
      <c r="G912" s="46"/>
      <c r="H912" s="38"/>
      <c r="I912" s="57"/>
      <c r="J912" s="38"/>
      <c r="K912" s="38"/>
      <c r="L912" s="46"/>
      <c r="M912" s="56"/>
      <c r="N912" s="56"/>
      <c r="O912" s="56"/>
      <c r="P912" s="56"/>
      <c r="Q912" s="56"/>
      <c r="R912" s="62"/>
      <c r="S912" s="62"/>
      <c r="X912" s="56"/>
    </row>
    <row r="913" spans="1:24">
      <c r="A913" s="38"/>
      <c r="B913" s="38"/>
      <c r="D913" s="38"/>
      <c r="E913" s="38"/>
      <c r="F913" s="38"/>
      <c r="G913" s="46"/>
      <c r="H913" s="38"/>
      <c r="I913" s="57"/>
      <c r="J913" s="38"/>
      <c r="K913" s="38"/>
      <c r="L913" s="46"/>
      <c r="M913" s="56"/>
      <c r="N913" s="56"/>
      <c r="O913" s="56"/>
      <c r="P913" s="56"/>
      <c r="Q913" s="56"/>
      <c r="R913" s="62"/>
      <c r="S913" s="62"/>
      <c r="X913" s="56"/>
    </row>
    <row r="914" spans="1:24">
      <c r="A914" s="38"/>
      <c r="B914" s="38"/>
      <c r="D914" s="38"/>
      <c r="E914" s="38"/>
      <c r="F914" s="38"/>
      <c r="G914" s="46"/>
      <c r="H914" s="38"/>
      <c r="I914" s="57"/>
      <c r="J914" s="38"/>
      <c r="K914" s="38"/>
      <c r="L914" s="46"/>
      <c r="M914" s="56"/>
      <c r="N914" s="56"/>
      <c r="O914" s="56"/>
      <c r="P914" s="56"/>
      <c r="Q914" s="56"/>
      <c r="R914" s="62"/>
      <c r="S914" s="62"/>
      <c r="X914" s="56"/>
    </row>
    <row r="915" spans="1:24">
      <c r="A915" s="38"/>
      <c r="B915" s="38"/>
      <c r="D915" s="38"/>
      <c r="E915" s="38"/>
      <c r="F915" s="38"/>
      <c r="G915" s="46"/>
      <c r="H915" s="38"/>
      <c r="I915" s="57"/>
      <c r="J915" s="38"/>
      <c r="K915" s="38"/>
      <c r="L915" s="46"/>
      <c r="M915" s="56"/>
      <c r="N915" s="56"/>
      <c r="O915" s="56"/>
      <c r="P915" s="56"/>
      <c r="Q915" s="56"/>
      <c r="R915" s="62"/>
      <c r="S915" s="62"/>
      <c r="X915" s="56"/>
    </row>
    <row r="916" spans="1:24">
      <c r="A916" s="38"/>
      <c r="B916" s="38"/>
      <c r="D916" s="38"/>
      <c r="E916" s="38"/>
      <c r="F916" s="38"/>
      <c r="G916" s="46"/>
      <c r="H916" s="38"/>
      <c r="I916" s="57"/>
      <c r="J916" s="38"/>
      <c r="K916" s="38"/>
      <c r="L916" s="46"/>
      <c r="M916" s="56"/>
      <c r="N916" s="56"/>
      <c r="O916" s="56"/>
      <c r="P916" s="56"/>
      <c r="Q916" s="56"/>
      <c r="R916" s="62"/>
      <c r="S916" s="62"/>
      <c r="X916" s="56"/>
    </row>
    <row r="917" spans="1:24">
      <c r="A917" s="38"/>
      <c r="B917" s="38"/>
      <c r="D917" s="38"/>
      <c r="E917" s="38"/>
      <c r="F917" s="38"/>
      <c r="G917" s="46"/>
      <c r="H917" s="38"/>
      <c r="I917" s="57"/>
      <c r="J917" s="38"/>
      <c r="K917" s="38"/>
      <c r="L917" s="46"/>
      <c r="M917" s="56"/>
      <c r="N917" s="56"/>
      <c r="O917" s="56"/>
      <c r="P917" s="56"/>
      <c r="Q917" s="56"/>
      <c r="R917" s="62"/>
      <c r="S917" s="62"/>
      <c r="X917" s="56"/>
    </row>
    <row r="918" spans="1:24">
      <c r="A918" s="38"/>
      <c r="B918" s="38"/>
      <c r="D918" s="38"/>
      <c r="E918" s="38"/>
      <c r="F918" s="38"/>
      <c r="G918" s="46"/>
      <c r="H918" s="38"/>
      <c r="I918" s="57"/>
      <c r="J918" s="38"/>
      <c r="K918" s="38"/>
      <c r="L918" s="46"/>
      <c r="M918" s="56"/>
      <c r="N918" s="56"/>
      <c r="O918" s="56"/>
      <c r="P918" s="56"/>
      <c r="Q918" s="56"/>
      <c r="R918" s="62"/>
      <c r="S918" s="62"/>
      <c r="X918" s="56"/>
    </row>
    <row r="919" spans="1:24">
      <c r="A919" s="38"/>
      <c r="B919" s="38"/>
      <c r="D919" s="38"/>
      <c r="E919" s="38"/>
      <c r="F919" s="38"/>
      <c r="G919" s="46"/>
      <c r="H919" s="38"/>
      <c r="I919" s="57"/>
      <c r="J919" s="38"/>
      <c r="K919" s="38"/>
      <c r="L919" s="46"/>
      <c r="M919" s="56"/>
      <c r="N919" s="56"/>
      <c r="O919" s="56"/>
      <c r="P919" s="56"/>
      <c r="Q919" s="56"/>
      <c r="R919" s="62"/>
      <c r="S919" s="62"/>
      <c r="X919" s="56"/>
    </row>
    <row r="920" spans="1:24">
      <c r="A920" s="38"/>
      <c r="B920" s="38"/>
      <c r="D920" s="38"/>
      <c r="E920" s="38"/>
      <c r="F920" s="38"/>
      <c r="G920" s="46"/>
      <c r="H920" s="38"/>
      <c r="I920" s="57"/>
      <c r="J920" s="38"/>
      <c r="K920" s="38"/>
      <c r="L920" s="46"/>
      <c r="M920" s="56"/>
      <c r="N920" s="56"/>
      <c r="O920" s="56"/>
      <c r="P920" s="56"/>
      <c r="Q920" s="56"/>
      <c r="R920" s="62"/>
      <c r="S920" s="62"/>
      <c r="X920" s="56"/>
    </row>
    <row r="921" spans="1:24">
      <c r="A921" s="38"/>
      <c r="B921" s="38"/>
      <c r="D921" s="38"/>
      <c r="E921" s="38"/>
      <c r="F921" s="38"/>
      <c r="G921" s="46"/>
      <c r="H921" s="38"/>
      <c r="I921" s="57"/>
      <c r="J921" s="38"/>
      <c r="K921" s="38"/>
      <c r="L921" s="46"/>
      <c r="M921" s="56"/>
      <c r="N921" s="56"/>
      <c r="O921" s="56"/>
      <c r="P921" s="56"/>
      <c r="Q921" s="56"/>
      <c r="R921" s="62"/>
      <c r="S921" s="62"/>
      <c r="X921" s="56"/>
    </row>
    <row r="922" spans="1:24">
      <c r="A922" s="38"/>
      <c r="B922" s="38"/>
      <c r="D922" s="38"/>
      <c r="E922" s="38"/>
      <c r="F922" s="38"/>
      <c r="G922" s="46"/>
      <c r="H922" s="38"/>
      <c r="I922" s="57"/>
      <c r="J922" s="38"/>
      <c r="K922" s="38"/>
      <c r="L922" s="46"/>
      <c r="M922" s="56"/>
      <c r="N922" s="56"/>
      <c r="O922" s="56"/>
      <c r="P922" s="56"/>
      <c r="Q922" s="56"/>
      <c r="R922" s="62"/>
      <c r="S922" s="62"/>
      <c r="X922" s="56"/>
    </row>
    <row r="923" spans="1:24">
      <c r="A923" s="38"/>
      <c r="B923" s="38"/>
      <c r="D923" s="38"/>
      <c r="E923" s="38"/>
      <c r="F923" s="38"/>
      <c r="G923" s="46"/>
      <c r="H923" s="38"/>
      <c r="I923" s="57"/>
      <c r="J923" s="38"/>
      <c r="K923" s="38"/>
      <c r="L923" s="46"/>
      <c r="M923" s="56"/>
      <c r="N923" s="56"/>
      <c r="O923" s="56"/>
      <c r="P923" s="56"/>
      <c r="Q923" s="56"/>
      <c r="R923" s="62"/>
      <c r="S923" s="62"/>
      <c r="X923" s="56"/>
    </row>
    <row r="924" spans="1:24">
      <c r="A924" s="38"/>
      <c r="B924" s="38"/>
      <c r="D924" s="38"/>
      <c r="E924" s="38"/>
      <c r="F924" s="38"/>
      <c r="G924" s="46"/>
      <c r="H924" s="38"/>
      <c r="I924" s="57"/>
      <c r="J924" s="38"/>
      <c r="K924" s="38"/>
      <c r="L924" s="46"/>
      <c r="M924" s="56"/>
      <c r="N924" s="56"/>
      <c r="O924" s="56"/>
      <c r="P924" s="56"/>
      <c r="Q924" s="56"/>
      <c r="R924" s="62"/>
      <c r="S924" s="62"/>
      <c r="X924" s="56"/>
    </row>
    <row r="925" spans="1:24">
      <c r="A925" s="38"/>
      <c r="B925" s="38"/>
      <c r="D925" s="38"/>
      <c r="E925" s="38"/>
      <c r="F925" s="38"/>
      <c r="G925" s="46"/>
      <c r="H925" s="38"/>
      <c r="I925" s="57"/>
      <c r="J925" s="38"/>
      <c r="K925" s="38"/>
      <c r="L925" s="46"/>
      <c r="M925" s="56"/>
      <c r="N925" s="56"/>
      <c r="O925" s="56"/>
      <c r="P925" s="56"/>
      <c r="Q925" s="56"/>
      <c r="R925" s="62"/>
      <c r="S925" s="62"/>
      <c r="X925" s="56"/>
    </row>
    <row r="926" spans="1:24">
      <c r="A926" s="38"/>
      <c r="B926" s="38"/>
      <c r="D926" s="38"/>
      <c r="E926" s="38"/>
      <c r="F926" s="38"/>
      <c r="G926" s="46"/>
      <c r="H926" s="38"/>
      <c r="I926" s="57"/>
      <c r="J926" s="38"/>
      <c r="K926" s="38"/>
      <c r="L926" s="46"/>
      <c r="M926" s="56"/>
      <c r="N926" s="56"/>
      <c r="O926" s="56"/>
      <c r="P926" s="56"/>
      <c r="Q926" s="56"/>
      <c r="R926" s="62"/>
      <c r="S926" s="62"/>
      <c r="X926" s="56"/>
    </row>
    <row r="927" spans="1:24">
      <c r="A927" s="38"/>
      <c r="B927" s="38"/>
      <c r="D927" s="38"/>
      <c r="E927" s="38"/>
      <c r="F927" s="38"/>
      <c r="G927" s="46"/>
      <c r="H927" s="38"/>
      <c r="I927" s="57"/>
      <c r="J927" s="38"/>
      <c r="K927" s="38"/>
      <c r="L927" s="46"/>
      <c r="M927" s="56"/>
      <c r="N927" s="56"/>
      <c r="O927" s="56"/>
      <c r="P927" s="56"/>
      <c r="Q927" s="56"/>
      <c r="R927" s="62"/>
      <c r="S927" s="62"/>
      <c r="X927" s="56"/>
    </row>
    <row r="928" spans="1:24">
      <c r="A928" s="38"/>
      <c r="B928" s="38"/>
      <c r="D928" s="38"/>
      <c r="E928" s="38"/>
      <c r="F928" s="38"/>
      <c r="G928" s="46"/>
      <c r="H928" s="38"/>
      <c r="I928" s="57"/>
      <c r="J928" s="38"/>
      <c r="K928" s="38"/>
      <c r="L928" s="46"/>
      <c r="M928" s="56"/>
      <c r="N928" s="56"/>
      <c r="O928" s="56"/>
      <c r="P928" s="56"/>
      <c r="Q928" s="56"/>
      <c r="R928" s="62"/>
      <c r="S928" s="62"/>
      <c r="X928" s="56"/>
    </row>
    <row r="929" spans="1:24">
      <c r="A929" s="38"/>
      <c r="B929" s="38"/>
      <c r="D929" s="38"/>
      <c r="E929" s="38"/>
      <c r="F929" s="38"/>
      <c r="G929" s="46"/>
      <c r="H929" s="38"/>
      <c r="I929" s="57"/>
      <c r="J929" s="38"/>
      <c r="K929" s="38"/>
      <c r="L929" s="46"/>
      <c r="M929" s="56"/>
      <c r="N929" s="56"/>
      <c r="O929" s="56"/>
      <c r="P929" s="56"/>
      <c r="Q929" s="56"/>
      <c r="R929" s="62"/>
      <c r="S929" s="62"/>
      <c r="X929" s="56"/>
    </row>
    <row r="930" spans="1:24">
      <c r="A930" s="38"/>
      <c r="B930" s="38"/>
      <c r="D930" s="38"/>
      <c r="E930" s="38"/>
      <c r="F930" s="38"/>
      <c r="G930" s="46"/>
      <c r="H930" s="38"/>
      <c r="I930" s="57"/>
      <c r="J930" s="38"/>
      <c r="K930" s="38"/>
      <c r="L930" s="46"/>
      <c r="M930" s="56"/>
      <c r="N930" s="56"/>
      <c r="O930" s="56"/>
      <c r="P930" s="56"/>
      <c r="Q930" s="56"/>
      <c r="R930" s="62"/>
      <c r="S930" s="62"/>
      <c r="X930" s="56"/>
    </row>
    <row r="931" spans="1:24">
      <c r="A931" s="38"/>
      <c r="B931" s="38"/>
      <c r="D931" s="38"/>
      <c r="E931" s="38"/>
      <c r="F931" s="38"/>
      <c r="G931" s="46"/>
      <c r="H931" s="38"/>
      <c r="I931" s="57"/>
      <c r="J931" s="38"/>
      <c r="K931" s="38"/>
      <c r="L931" s="46"/>
      <c r="M931" s="56"/>
      <c r="N931" s="56"/>
      <c r="O931" s="56"/>
      <c r="P931" s="56"/>
      <c r="Q931" s="56"/>
      <c r="R931" s="62"/>
      <c r="S931" s="62"/>
      <c r="X931" s="56"/>
    </row>
    <row r="932" spans="1:24">
      <c r="A932" s="38"/>
      <c r="B932" s="38"/>
      <c r="D932" s="38"/>
      <c r="E932" s="38"/>
      <c r="F932" s="38"/>
      <c r="G932" s="46"/>
      <c r="H932" s="38"/>
      <c r="I932" s="57"/>
      <c r="J932" s="38"/>
      <c r="K932" s="38"/>
      <c r="L932" s="46"/>
      <c r="M932" s="56"/>
      <c r="N932" s="56"/>
      <c r="O932" s="56"/>
      <c r="P932" s="56"/>
      <c r="Q932" s="56"/>
      <c r="R932" s="62"/>
      <c r="S932" s="62"/>
      <c r="X932" s="56"/>
    </row>
    <row r="933" spans="1:24">
      <c r="A933" s="38"/>
      <c r="B933" s="38"/>
      <c r="D933" s="38"/>
      <c r="E933" s="38"/>
      <c r="F933" s="38"/>
      <c r="G933" s="46"/>
      <c r="H933" s="38"/>
      <c r="I933" s="57"/>
      <c r="J933" s="38"/>
      <c r="K933" s="38"/>
      <c r="L933" s="46"/>
      <c r="M933" s="56"/>
      <c r="N933" s="56"/>
      <c r="O933" s="56"/>
      <c r="P933" s="56"/>
      <c r="Q933" s="56"/>
      <c r="R933" s="62"/>
      <c r="S933" s="62"/>
      <c r="X933" s="56"/>
    </row>
    <row r="934" spans="1:24">
      <c r="A934" s="38"/>
      <c r="B934" s="38"/>
      <c r="D934" s="38"/>
      <c r="E934" s="38"/>
      <c r="F934" s="38"/>
      <c r="G934" s="46"/>
      <c r="H934" s="38"/>
      <c r="I934" s="57"/>
      <c r="J934" s="38"/>
      <c r="K934" s="38"/>
      <c r="L934" s="46"/>
      <c r="M934" s="56"/>
      <c r="N934" s="56"/>
      <c r="O934" s="56"/>
      <c r="P934" s="56"/>
      <c r="Q934" s="56"/>
      <c r="R934" s="62"/>
      <c r="S934" s="62"/>
      <c r="X934" s="56"/>
    </row>
    <row r="935" spans="1:24">
      <c r="A935" s="38"/>
      <c r="B935" s="38"/>
      <c r="D935" s="38"/>
      <c r="E935" s="38"/>
      <c r="F935" s="38"/>
      <c r="G935" s="46"/>
      <c r="H935" s="38"/>
      <c r="I935" s="57"/>
      <c r="J935" s="38"/>
      <c r="K935" s="38"/>
      <c r="L935" s="46"/>
      <c r="M935" s="56"/>
      <c r="N935" s="56"/>
      <c r="O935" s="56"/>
      <c r="P935" s="56"/>
      <c r="Q935" s="56"/>
      <c r="R935" s="62"/>
      <c r="S935" s="62"/>
      <c r="X935" s="56"/>
    </row>
    <row r="936" spans="1:24">
      <c r="A936" s="38"/>
      <c r="B936" s="38"/>
      <c r="D936" s="38"/>
      <c r="E936" s="38"/>
      <c r="F936" s="38"/>
      <c r="G936" s="46"/>
      <c r="H936" s="38"/>
      <c r="I936" s="57"/>
      <c r="J936" s="38"/>
      <c r="K936" s="38"/>
      <c r="L936" s="46"/>
      <c r="M936" s="56"/>
      <c r="N936" s="56"/>
      <c r="O936" s="56"/>
      <c r="P936" s="56"/>
      <c r="Q936" s="56"/>
      <c r="R936" s="62"/>
      <c r="S936" s="62"/>
      <c r="X936" s="56"/>
    </row>
    <row r="937" spans="1:24">
      <c r="A937" s="38"/>
      <c r="B937" s="38"/>
      <c r="D937" s="38"/>
      <c r="E937" s="38"/>
      <c r="F937" s="38"/>
      <c r="G937" s="46"/>
      <c r="H937" s="38"/>
      <c r="I937" s="57"/>
      <c r="J937" s="38"/>
      <c r="K937" s="38"/>
      <c r="L937" s="46"/>
      <c r="M937" s="56"/>
      <c r="N937" s="56"/>
      <c r="O937" s="56"/>
      <c r="P937" s="56"/>
      <c r="Q937" s="56"/>
      <c r="R937" s="62"/>
      <c r="S937" s="62"/>
      <c r="X937" s="56"/>
    </row>
    <row r="938" spans="1:24">
      <c r="A938" s="38"/>
      <c r="B938" s="38"/>
      <c r="D938" s="38"/>
      <c r="E938" s="38"/>
      <c r="F938" s="38"/>
      <c r="G938" s="46"/>
      <c r="H938" s="38"/>
      <c r="I938" s="57"/>
      <c r="J938" s="38"/>
      <c r="K938" s="38"/>
      <c r="L938" s="46"/>
      <c r="M938" s="56"/>
      <c r="N938" s="56"/>
      <c r="O938" s="56"/>
      <c r="P938" s="56"/>
      <c r="Q938" s="56"/>
      <c r="R938" s="62"/>
      <c r="S938" s="62"/>
      <c r="X938" s="56"/>
    </row>
    <row r="939" spans="1:24">
      <c r="A939" s="38"/>
      <c r="B939" s="38"/>
      <c r="D939" s="38"/>
      <c r="E939" s="38"/>
      <c r="F939" s="38"/>
      <c r="G939" s="46"/>
      <c r="H939" s="38"/>
      <c r="I939" s="57"/>
      <c r="J939" s="38"/>
      <c r="K939" s="38"/>
      <c r="L939" s="46"/>
      <c r="M939" s="56"/>
      <c r="N939" s="56"/>
      <c r="O939" s="56"/>
      <c r="P939" s="56"/>
      <c r="Q939" s="56"/>
      <c r="R939" s="62"/>
      <c r="S939" s="62"/>
      <c r="X939" s="56"/>
    </row>
    <row r="940" spans="1:24">
      <c r="A940" s="38"/>
      <c r="B940" s="38"/>
      <c r="D940" s="38"/>
      <c r="E940" s="38"/>
      <c r="F940" s="38"/>
      <c r="G940" s="46"/>
      <c r="H940" s="38"/>
      <c r="I940" s="57"/>
      <c r="J940" s="38"/>
      <c r="K940" s="38"/>
      <c r="L940" s="46"/>
      <c r="M940" s="56"/>
      <c r="N940" s="56"/>
      <c r="O940" s="56"/>
      <c r="P940" s="56"/>
      <c r="Q940" s="56"/>
      <c r="R940" s="62"/>
      <c r="S940" s="62"/>
      <c r="X940" s="56"/>
    </row>
    <row r="941" spans="1:24">
      <c r="A941" s="38"/>
      <c r="B941" s="38"/>
      <c r="D941" s="38"/>
      <c r="E941" s="38"/>
      <c r="F941" s="38"/>
      <c r="G941" s="46"/>
      <c r="H941" s="38"/>
      <c r="I941" s="57"/>
      <c r="J941" s="38"/>
      <c r="K941" s="38"/>
      <c r="L941" s="46"/>
      <c r="M941" s="56"/>
      <c r="N941" s="56"/>
      <c r="O941" s="56"/>
      <c r="P941" s="56"/>
      <c r="Q941" s="56"/>
      <c r="R941" s="62"/>
      <c r="S941" s="62"/>
      <c r="X941" s="56"/>
    </row>
    <row r="942" spans="1:24">
      <c r="A942" s="38"/>
      <c r="B942" s="38"/>
      <c r="D942" s="38"/>
      <c r="E942" s="38"/>
      <c r="F942" s="38"/>
      <c r="G942" s="46"/>
      <c r="H942" s="38"/>
      <c r="I942" s="57"/>
      <c r="J942" s="38"/>
      <c r="K942" s="38"/>
      <c r="L942" s="46"/>
      <c r="M942" s="56"/>
      <c r="N942" s="56"/>
      <c r="O942" s="56"/>
      <c r="P942" s="56"/>
      <c r="Q942" s="56"/>
      <c r="R942" s="62"/>
      <c r="S942" s="62"/>
      <c r="X942" s="56"/>
    </row>
    <row r="943" spans="1:24">
      <c r="A943" s="38"/>
      <c r="B943" s="38"/>
      <c r="D943" s="38"/>
      <c r="E943" s="38"/>
      <c r="F943" s="38"/>
      <c r="G943" s="46"/>
      <c r="H943" s="38"/>
      <c r="I943" s="57"/>
      <c r="J943" s="38"/>
      <c r="K943" s="38"/>
      <c r="L943" s="46"/>
      <c r="M943" s="56"/>
      <c r="N943" s="56"/>
      <c r="O943" s="56"/>
      <c r="P943" s="56"/>
      <c r="Q943" s="56"/>
      <c r="R943" s="62"/>
      <c r="S943" s="62"/>
      <c r="X943" s="56"/>
    </row>
    <row r="944" spans="1:24">
      <c r="A944" s="38"/>
      <c r="B944" s="38"/>
      <c r="D944" s="38"/>
      <c r="E944" s="38"/>
      <c r="F944" s="38"/>
      <c r="G944" s="46"/>
      <c r="H944" s="38"/>
      <c r="I944" s="57"/>
      <c r="J944" s="38"/>
      <c r="K944" s="38"/>
      <c r="L944" s="46"/>
      <c r="M944" s="56"/>
      <c r="N944" s="56"/>
      <c r="O944" s="56"/>
      <c r="P944" s="56"/>
      <c r="Q944" s="56"/>
      <c r="R944" s="62"/>
      <c r="S944" s="62"/>
      <c r="X944" s="56"/>
    </row>
    <row r="945" spans="1:24">
      <c r="A945" s="38"/>
      <c r="B945" s="38"/>
      <c r="D945" s="38"/>
      <c r="E945" s="38"/>
      <c r="F945" s="38"/>
      <c r="G945" s="46"/>
      <c r="H945" s="38"/>
      <c r="I945" s="57"/>
      <c r="J945" s="38"/>
      <c r="K945" s="38"/>
      <c r="L945" s="46"/>
      <c r="M945" s="56"/>
      <c r="N945" s="56"/>
      <c r="O945" s="56"/>
      <c r="P945" s="56"/>
      <c r="Q945" s="56"/>
      <c r="R945" s="62"/>
      <c r="S945" s="62"/>
      <c r="X945" s="56"/>
    </row>
    <row r="946" spans="1:24">
      <c r="A946" s="38"/>
      <c r="B946" s="38"/>
      <c r="D946" s="38"/>
      <c r="E946" s="38"/>
      <c r="F946" s="38"/>
      <c r="G946" s="46"/>
      <c r="H946" s="38"/>
      <c r="I946" s="57"/>
      <c r="J946" s="38"/>
      <c r="K946" s="38"/>
      <c r="L946" s="46"/>
      <c r="M946" s="56"/>
      <c r="N946" s="56"/>
      <c r="O946" s="56"/>
      <c r="P946" s="56"/>
      <c r="Q946" s="56"/>
      <c r="R946" s="62"/>
      <c r="S946" s="62"/>
      <c r="X946" s="56"/>
    </row>
    <row r="947" spans="1:24">
      <c r="A947" s="38"/>
      <c r="B947" s="38"/>
      <c r="D947" s="38"/>
      <c r="E947" s="38"/>
      <c r="F947" s="38"/>
      <c r="G947" s="46"/>
      <c r="H947" s="38"/>
      <c r="I947" s="57"/>
      <c r="J947" s="38"/>
      <c r="K947" s="38"/>
      <c r="L947" s="46"/>
      <c r="M947" s="56"/>
      <c r="N947" s="56"/>
      <c r="O947" s="56"/>
      <c r="P947" s="56"/>
      <c r="Q947" s="56"/>
      <c r="R947" s="62"/>
      <c r="S947" s="62"/>
      <c r="X947" s="56"/>
    </row>
    <row r="948" spans="1:24">
      <c r="A948" s="38"/>
      <c r="B948" s="38"/>
      <c r="D948" s="38"/>
      <c r="E948" s="38"/>
      <c r="F948" s="38"/>
      <c r="G948" s="46"/>
      <c r="H948" s="38"/>
      <c r="I948" s="57"/>
      <c r="J948" s="38"/>
      <c r="K948" s="38"/>
      <c r="L948" s="46"/>
      <c r="M948" s="56"/>
      <c r="N948" s="56"/>
      <c r="O948" s="56"/>
      <c r="P948" s="56"/>
      <c r="Q948" s="56"/>
      <c r="R948" s="62"/>
      <c r="S948" s="62"/>
      <c r="X948" s="56"/>
    </row>
    <row r="949" spans="1:24">
      <c r="A949" s="38"/>
      <c r="B949" s="38"/>
      <c r="D949" s="38"/>
      <c r="E949" s="38"/>
      <c r="F949" s="38"/>
      <c r="G949" s="46"/>
      <c r="H949" s="38"/>
      <c r="I949" s="57"/>
      <c r="J949" s="38"/>
      <c r="K949" s="38"/>
      <c r="L949" s="46"/>
      <c r="M949" s="56"/>
      <c r="N949" s="56"/>
      <c r="O949" s="56"/>
      <c r="P949" s="56"/>
      <c r="Q949" s="56"/>
      <c r="R949" s="62"/>
      <c r="S949" s="62"/>
      <c r="X949" s="56"/>
    </row>
    <row r="950" spans="1:24">
      <c r="A950" s="38"/>
      <c r="B950" s="38"/>
      <c r="D950" s="38"/>
      <c r="E950" s="38"/>
      <c r="F950" s="38"/>
      <c r="G950" s="46"/>
      <c r="H950" s="38"/>
      <c r="I950" s="57"/>
      <c r="J950" s="38"/>
      <c r="K950" s="38"/>
      <c r="L950" s="46"/>
      <c r="M950" s="56"/>
      <c r="N950" s="56"/>
      <c r="O950" s="56"/>
      <c r="P950" s="56"/>
      <c r="Q950" s="56"/>
      <c r="R950" s="62"/>
      <c r="S950" s="62"/>
      <c r="X950" s="56"/>
    </row>
    <row r="951" spans="1:24">
      <c r="A951" s="38"/>
      <c r="B951" s="38"/>
      <c r="D951" s="38"/>
      <c r="E951" s="38"/>
      <c r="F951" s="38"/>
      <c r="G951" s="46"/>
      <c r="H951" s="38"/>
      <c r="I951" s="57"/>
      <c r="J951" s="38"/>
      <c r="K951" s="38"/>
      <c r="L951" s="46"/>
      <c r="M951" s="56"/>
      <c r="N951" s="56"/>
      <c r="O951" s="56"/>
      <c r="P951" s="56"/>
      <c r="Q951" s="56"/>
      <c r="R951" s="62"/>
      <c r="S951" s="62"/>
      <c r="X951" s="56"/>
    </row>
    <row r="952" spans="1:24">
      <c r="A952" s="38"/>
      <c r="B952" s="38"/>
      <c r="D952" s="38"/>
      <c r="E952" s="38"/>
      <c r="F952" s="38"/>
      <c r="G952" s="46"/>
      <c r="H952" s="38"/>
      <c r="I952" s="57"/>
      <c r="J952" s="38"/>
      <c r="K952" s="38"/>
      <c r="L952" s="46"/>
      <c r="M952" s="56"/>
      <c r="N952" s="56"/>
      <c r="O952" s="56"/>
      <c r="P952" s="56"/>
      <c r="Q952" s="56"/>
      <c r="R952" s="62"/>
      <c r="S952" s="62"/>
      <c r="X952" s="56"/>
    </row>
    <row r="953" spans="1:24">
      <c r="A953" s="38"/>
      <c r="B953" s="38"/>
      <c r="D953" s="38"/>
      <c r="E953" s="38"/>
      <c r="F953" s="38"/>
      <c r="G953" s="46"/>
      <c r="H953" s="38"/>
      <c r="I953" s="57"/>
      <c r="J953" s="38"/>
      <c r="K953" s="38"/>
      <c r="L953" s="46"/>
      <c r="M953" s="56"/>
      <c r="N953" s="56"/>
      <c r="O953" s="56"/>
      <c r="P953" s="56"/>
      <c r="Q953" s="56"/>
      <c r="R953" s="62"/>
      <c r="S953" s="62"/>
      <c r="X953" s="56"/>
    </row>
    <row r="954" spans="1:24">
      <c r="A954" s="38"/>
      <c r="B954" s="38"/>
      <c r="D954" s="38"/>
      <c r="E954" s="38"/>
      <c r="F954" s="38"/>
      <c r="G954" s="46"/>
      <c r="H954" s="38"/>
      <c r="I954" s="57"/>
      <c r="J954" s="38"/>
      <c r="K954" s="38"/>
      <c r="L954" s="46"/>
      <c r="M954" s="56"/>
      <c r="N954" s="56"/>
      <c r="O954" s="56"/>
      <c r="P954" s="56"/>
      <c r="Q954" s="56"/>
      <c r="R954" s="62"/>
      <c r="S954" s="62"/>
      <c r="X954" s="56"/>
    </row>
    <row r="955" spans="1:24">
      <c r="A955" s="38"/>
      <c r="B955" s="38"/>
      <c r="D955" s="38"/>
      <c r="E955" s="38"/>
      <c r="F955" s="38"/>
      <c r="G955" s="46"/>
      <c r="H955" s="38"/>
      <c r="I955" s="57"/>
      <c r="J955" s="38"/>
      <c r="K955" s="38"/>
      <c r="L955" s="46"/>
      <c r="M955" s="56"/>
      <c r="N955" s="56"/>
      <c r="O955" s="56"/>
      <c r="P955" s="56"/>
      <c r="Q955" s="56"/>
      <c r="R955" s="62"/>
      <c r="S955" s="62"/>
      <c r="X955" s="56"/>
    </row>
    <row r="956" spans="1:24">
      <c r="A956" s="38"/>
      <c r="B956" s="38"/>
      <c r="D956" s="38"/>
      <c r="E956" s="38"/>
      <c r="F956" s="38"/>
      <c r="G956" s="46"/>
      <c r="H956" s="38"/>
      <c r="I956" s="57"/>
      <c r="J956" s="38"/>
      <c r="K956" s="38"/>
      <c r="L956" s="46"/>
      <c r="M956" s="56"/>
      <c r="N956" s="56"/>
      <c r="O956" s="56"/>
      <c r="P956" s="56"/>
      <c r="Q956" s="56"/>
      <c r="R956" s="62"/>
      <c r="S956" s="62"/>
      <c r="X956" s="56"/>
    </row>
    <row r="957" spans="1:24">
      <c r="A957" s="38"/>
      <c r="B957" s="38"/>
      <c r="D957" s="38"/>
      <c r="E957" s="38"/>
      <c r="F957" s="38"/>
      <c r="G957" s="46"/>
      <c r="H957" s="38"/>
      <c r="I957" s="57"/>
      <c r="J957" s="38"/>
      <c r="K957" s="38"/>
      <c r="L957" s="46"/>
      <c r="M957" s="56"/>
      <c r="N957" s="56"/>
      <c r="O957" s="56"/>
      <c r="P957" s="56"/>
      <c r="Q957" s="56"/>
      <c r="R957" s="62"/>
      <c r="S957" s="62"/>
      <c r="X957" s="56"/>
    </row>
    <row r="958" spans="1:24">
      <c r="A958" s="38"/>
      <c r="B958" s="38"/>
      <c r="D958" s="38"/>
      <c r="E958" s="38"/>
      <c r="F958" s="38"/>
      <c r="G958" s="46"/>
      <c r="H958" s="38"/>
      <c r="I958" s="57"/>
      <c r="J958" s="38"/>
      <c r="K958" s="38"/>
      <c r="L958" s="46"/>
      <c r="M958" s="56"/>
      <c r="N958" s="56"/>
      <c r="O958" s="56"/>
      <c r="P958" s="56"/>
      <c r="Q958" s="56"/>
      <c r="R958" s="62"/>
      <c r="S958" s="62"/>
      <c r="X958" s="56"/>
    </row>
    <row r="959" spans="1:24">
      <c r="A959" s="38"/>
      <c r="B959" s="38"/>
      <c r="D959" s="38"/>
      <c r="E959" s="38"/>
      <c r="F959" s="38"/>
      <c r="G959" s="46"/>
      <c r="H959" s="38"/>
      <c r="I959" s="57"/>
      <c r="J959" s="38"/>
      <c r="K959" s="38"/>
      <c r="L959" s="46"/>
      <c r="M959" s="56"/>
      <c r="N959" s="56"/>
      <c r="O959" s="56"/>
      <c r="P959" s="56"/>
      <c r="Q959" s="56"/>
      <c r="R959" s="62"/>
      <c r="S959" s="62"/>
      <c r="X959" s="56"/>
    </row>
    <row r="960" spans="1:24">
      <c r="A960" s="38"/>
      <c r="B960" s="38"/>
      <c r="D960" s="38"/>
      <c r="E960" s="38"/>
      <c r="F960" s="38"/>
      <c r="G960" s="46"/>
      <c r="H960" s="38"/>
      <c r="I960" s="57"/>
      <c r="J960" s="38"/>
      <c r="K960" s="38"/>
      <c r="L960" s="46"/>
      <c r="M960" s="56"/>
      <c r="N960" s="56"/>
      <c r="O960" s="56"/>
      <c r="P960" s="56"/>
      <c r="Q960" s="56"/>
      <c r="R960" s="62"/>
      <c r="S960" s="62"/>
      <c r="X960" s="56"/>
    </row>
    <row r="961" spans="1:24">
      <c r="A961" s="38"/>
      <c r="B961" s="38"/>
      <c r="D961" s="38"/>
      <c r="E961" s="38"/>
      <c r="F961" s="38"/>
      <c r="G961" s="46"/>
      <c r="H961" s="38"/>
      <c r="I961" s="57"/>
      <c r="J961" s="38"/>
      <c r="K961" s="38"/>
      <c r="L961" s="46"/>
      <c r="M961" s="56"/>
      <c r="N961" s="56"/>
      <c r="O961" s="56"/>
      <c r="P961" s="56"/>
      <c r="Q961" s="56"/>
      <c r="R961" s="62"/>
      <c r="S961" s="62"/>
      <c r="X961" s="56"/>
    </row>
    <row r="962" spans="1:24">
      <c r="A962" s="38"/>
      <c r="B962" s="38"/>
      <c r="D962" s="38"/>
      <c r="E962" s="38"/>
      <c r="F962" s="38"/>
      <c r="G962" s="46"/>
      <c r="H962" s="38"/>
      <c r="I962" s="57"/>
      <c r="J962" s="38"/>
      <c r="K962" s="38"/>
      <c r="L962" s="46"/>
      <c r="M962" s="56"/>
      <c r="N962" s="56"/>
      <c r="O962" s="56"/>
      <c r="P962" s="56"/>
      <c r="Q962" s="56"/>
      <c r="R962" s="62"/>
      <c r="S962" s="62"/>
      <c r="X962" s="56"/>
    </row>
    <row r="963" spans="1:24">
      <c r="A963" s="38"/>
      <c r="B963" s="38"/>
      <c r="D963" s="38"/>
      <c r="E963" s="38"/>
      <c r="F963" s="38"/>
      <c r="G963" s="46"/>
      <c r="H963" s="38"/>
      <c r="I963" s="57"/>
      <c r="J963" s="38"/>
      <c r="K963" s="38"/>
      <c r="L963" s="46"/>
      <c r="M963" s="56"/>
      <c r="N963" s="56"/>
      <c r="O963" s="56"/>
      <c r="P963" s="56"/>
      <c r="Q963" s="56"/>
      <c r="R963" s="62"/>
      <c r="S963" s="62"/>
      <c r="X963" s="56"/>
    </row>
    <row r="964" spans="1:24">
      <c r="A964" s="38"/>
      <c r="B964" s="38"/>
      <c r="D964" s="38"/>
      <c r="E964" s="38"/>
      <c r="F964" s="38"/>
      <c r="G964" s="46"/>
      <c r="H964" s="38"/>
      <c r="I964" s="57"/>
      <c r="J964" s="38"/>
      <c r="K964" s="38"/>
      <c r="L964" s="46"/>
      <c r="M964" s="56"/>
      <c r="N964" s="56"/>
      <c r="O964" s="56"/>
      <c r="P964" s="56"/>
      <c r="Q964" s="56"/>
      <c r="R964" s="62"/>
      <c r="S964" s="62"/>
      <c r="X964" s="56"/>
    </row>
    <row r="965" spans="1:24">
      <c r="A965" s="38"/>
      <c r="B965" s="38"/>
      <c r="D965" s="38"/>
      <c r="E965" s="38"/>
      <c r="F965" s="38"/>
      <c r="G965" s="46"/>
      <c r="H965" s="38"/>
      <c r="I965" s="57"/>
      <c r="J965" s="38"/>
      <c r="K965" s="38"/>
      <c r="L965" s="46"/>
      <c r="M965" s="56"/>
      <c r="N965" s="56"/>
      <c r="O965" s="56"/>
      <c r="P965" s="56"/>
      <c r="Q965" s="56"/>
      <c r="R965" s="62"/>
      <c r="S965" s="62"/>
      <c r="X965" s="56"/>
    </row>
    <row r="966" spans="1:24">
      <c r="A966" s="38"/>
      <c r="B966" s="38"/>
      <c r="D966" s="38"/>
      <c r="E966" s="38"/>
      <c r="F966" s="38"/>
      <c r="G966" s="46"/>
      <c r="H966" s="38"/>
      <c r="I966" s="57"/>
      <c r="J966" s="38"/>
      <c r="K966" s="38"/>
      <c r="L966" s="46"/>
      <c r="M966" s="56"/>
      <c r="N966" s="56"/>
      <c r="O966" s="56"/>
      <c r="P966" s="56"/>
      <c r="Q966" s="56"/>
      <c r="R966" s="62"/>
      <c r="S966" s="62"/>
      <c r="X966" s="56"/>
    </row>
    <row r="967" spans="1:24">
      <c r="A967" s="38"/>
      <c r="B967" s="38"/>
      <c r="D967" s="38"/>
      <c r="E967" s="38"/>
      <c r="F967" s="38"/>
      <c r="G967" s="46"/>
      <c r="H967" s="38"/>
      <c r="I967" s="57"/>
      <c r="J967" s="38"/>
      <c r="K967" s="38"/>
      <c r="L967" s="46"/>
      <c r="M967" s="56"/>
      <c r="N967" s="56"/>
      <c r="O967" s="56"/>
      <c r="P967" s="56"/>
      <c r="Q967" s="56"/>
      <c r="R967" s="62"/>
      <c r="S967" s="62"/>
      <c r="X967" s="56"/>
    </row>
    <row r="968" spans="1:24">
      <c r="A968" s="38"/>
      <c r="B968" s="38"/>
      <c r="D968" s="38"/>
      <c r="E968" s="38"/>
      <c r="F968" s="38"/>
      <c r="G968" s="46"/>
      <c r="H968" s="38"/>
      <c r="I968" s="57"/>
      <c r="J968" s="38"/>
      <c r="K968" s="38"/>
      <c r="L968" s="46"/>
      <c r="M968" s="56"/>
      <c r="N968" s="56"/>
      <c r="O968" s="56"/>
      <c r="P968" s="56"/>
      <c r="Q968" s="56"/>
      <c r="R968" s="62"/>
      <c r="S968" s="62"/>
      <c r="X968" s="56"/>
    </row>
    <row r="969" spans="1:24">
      <c r="A969" s="38"/>
      <c r="B969" s="38"/>
      <c r="D969" s="38"/>
      <c r="E969" s="38"/>
      <c r="F969" s="38"/>
      <c r="G969" s="46"/>
      <c r="H969" s="38"/>
      <c r="I969" s="57"/>
      <c r="J969" s="38"/>
      <c r="K969" s="38"/>
      <c r="L969" s="46"/>
      <c r="M969" s="56"/>
      <c r="N969" s="56"/>
      <c r="O969" s="56"/>
      <c r="P969" s="56"/>
      <c r="Q969" s="56"/>
      <c r="R969" s="62"/>
      <c r="S969" s="62"/>
      <c r="X969" s="56"/>
    </row>
    <row r="970" spans="1:24">
      <c r="A970" s="38"/>
      <c r="B970" s="38"/>
      <c r="D970" s="38"/>
      <c r="E970" s="38"/>
      <c r="F970" s="38"/>
      <c r="G970" s="46"/>
      <c r="H970" s="38"/>
      <c r="I970" s="57"/>
      <c r="J970" s="38"/>
      <c r="K970" s="38"/>
      <c r="L970" s="46"/>
      <c r="M970" s="56"/>
      <c r="N970" s="56"/>
      <c r="O970" s="56"/>
      <c r="P970" s="56"/>
      <c r="Q970" s="56"/>
      <c r="R970" s="62"/>
      <c r="S970" s="62"/>
      <c r="X970" s="56"/>
    </row>
    <row r="971" spans="1:24">
      <c r="A971" s="38"/>
      <c r="B971" s="38"/>
      <c r="D971" s="38"/>
      <c r="E971" s="38"/>
      <c r="F971" s="38"/>
      <c r="G971" s="46"/>
      <c r="H971" s="38"/>
      <c r="I971" s="57"/>
      <c r="J971" s="38"/>
      <c r="K971" s="38"/>
      <c r="L971" s="46"/>
      <c r="M971" s="56"/>
      <c r="N971" s="56"/>
      <c r="O971" s="56"/>
      <c r="P971" s="56"/>
      <c r="Q971" s="56"/>
      <c r="R971" s="62"/>
      <c r="S971" s="62"/>
      <c r="X971" s="56"/>
    </row>
    <row r="972" spans="1:24">
      <c r="A972" s="38"/>
      <c r="B972" s="38"/>
      <c r="D972" s="38"/>
      <c r="E972" s="38"/>
      <c r="F972" s="38"/>
      <c r="G972" s="46"/>
      <c r="H972" s="38"/>
      <c r="I972" s="57"/>
      <c r="J972" s="38"/>
      <c r="K972" s="38"/>
      <c r="L972" s="46"/>
      <c r="M972" s="56"/>
      <c r="N972" s="56"/>
      <c r="O972" s="56"/>
      <c r="P972" s="56"/>
      <c r="Q972" s="56"/>
      <c r="R972" s="62"/>
      <c r="S972" s="62"/>
      <c r="X972" s="56"/>
    </row>
    <row r="973" spans="1:24">
      <c r="A973" s="38"/>
      <c r="B973" s="38"/>
      <c r="D973" s="38"/>
      <c r="E973" s="38"/>
      <c r="F973" s="38"/>
      <c r="G973" s="46"/>
      <c r="H973" s="38"/>
      <c r="I973" s="57"/>
      <c r="J973" s="38"/>
      <c r="K973" s="38"/>
      <c r="L973" s="46"/>
      <c r="M973" s="56"/>
      <c r="N973" s="56"/>
      <c r="O973" s="56"/>
      <c r="P973" s="56"/>
      <c r="Q973" s="56"/>
      <c r="R973" s="62"/>
      <c r="S973" s="62"/>
      <c r="X973" s="56"/>
    </row>
    <row r="974" spans="1:24">
      <c r="A974" s="38"/>
      <c r="B974" s="38"/>
      <c r="D974" s="38"/>
      <c r="E974" s="38"/>
      <c r="F974" s="38"/>
      <c r="G974" s="46"/>
      <c r="H974" s="38"/>
      <c r="I974" s="57"/>
      <c r="J974" s="38"/>
      <c r="K974" s="38"/>
      <c r="L974" s="46"/>
      <c r="M974" s="56"/>
      <c r="N974" s="56"/>
      <c r="O974" s="56"/>
      <c r="P974" s="56"/>
      <c r="Q974" s="56"/>
      <c r="R974" s="62"/>
      <c r="S974" s="62"/>
      <c r="X974" s="56"/>
    </row>
    <row r="975" spans="1:24">
      <c r="A975" s="38"/>
      <c r="B975" s="38"/>
      <c r="D975" s="38"/>
      <c r="E975" s="38"/>
      <c r="F975" s="38"/>
      <c r="G975" s="46"/>
      <c r="H975" s="38"/>
      <c r="I975" s="57"/>
      <c r="J975" s="38"/>
      <c r="K975" s="38"/>
      <c r="L975" s="46"/>
      <c r="M975" s="56"/>
      <c r="N975" s="56"/>
      <c r="O975" s="56"/>
      <c r="P975" s="56"/>
      <c r="Q975" s="56"/>
      <c r="R975" s="62"/>
      <c r="S975" s="62"/>
      <c r="X975" s="56"/>
    </row>
    <row r="976" spans="1:24">
      <c r="A976" s="38"/>
      <c r="B976" s="38"/>
      <c r="D976" s="38"/>
      <c r="E976" s="38"/>
      <c r="F976" s="38"/>
      <c r="G976" s="46"/>
      <c r="H976" s="38"/>
      <c r="I976" s="57"/>
      <c r="J976" s="38"/>
      <c r="K976" s="38"/>
      <c r="L976" s="46"/>
      <c r="M976" s="56"/>
      <c r="N976" s="56"/>
      <c r="O976" s="56"/>
      <c r="P976" s="56"/>
      <c r="Q976" s="56"/>
      <c r="R976" s="62"/>
      <c r="S976" s="62"/>
      <c r="X976" s="56"/>
    </row>
    <row r="977" spans="1:24">
      <c r="A977" s="38"/>
      <c r="B977" s="38"/>
      <c r="D977" s="38"/>
      <c r="E977" s="38"/>
      <c r="F977" s="38"/>
      <c r="G977" s="46"/>
      <c r="H977" s="38"/>
      <c r="I977" s="57"/>
      <c r="J977" s="38"/>
      <c r="K977" s="38"/>
      <c r="L977" s="46"/>
      <c r="M977" s="56"/>
      <c r="N977" s="56"/>
      <c r="O977" s="56"/>
      <c r="P977" s="56"/>
      <c r="Q977" s="56"/>
      <c r="R977" s="62"/>
      <c r="S977" s="62"/>
      <c r="X977" s="56"/>
    </row>
    <row r="978" spans="1:24">
      <c r="A978" s="38"/>
      <c r="B978" s="38"/>
      <c r="D978" s="38"/>
      <c r="E978" s="38"/>
      <c r="F978" s="38"/>
      <c r="G978" s="46"/>
      <c r="H978" s="38"/>
      <c r="I978" s="57"/>
      <c r="J978" s="38"/>
      <c r="K978" s="38"/>
      <c r="L978" s="46"/>
      <c r="M978" s="56"/>
      <c r="N978" s="56"/>
      <c r="O978" s="56"/>
      <c r="P978" s="56"/>
      <c r="Q978" s="56"/>
      <c r="R978" s="62"/>
      <c r="S978" s="62"/>
      <c r="X978" s="56"/>
    </row>
    <row r="979" spans="1:24">
      <c r="A979" s="38"/>
      <c r="B979" s="38"/>
      <c r="D979" s="38"/>
      <c r="E979" s="38"/>
      <c r="F979" s="38"/>
      <c r="G979" s="46"/>
      <c r="H979" s="38"/>
      <c r="I979" s="57"/>
      <c r="J979" s="38"/>
      <c r="K979" s="38"/>
      <c r="L979" s="46"/>
      <c r="M979" s="56"/>
      <c r="N979" s="56"/>
      <c r="O979" s="56"/>
      <c r="P979" s="56"/>
      <c r="Q979" s="56"/>
      <c r="R979" s="62"/>
      <c r="S979" s="62"/>
      <c r="X979" s="56"/>
    </row>
    <row r="980" spans="1:24">
      <c r="A980" s="38"/>
      <c r="B980" s="38"/>
      <c r="D980" s="38"/>
      <c r="E980" s="38"/>
      <c r="F980" s="38"/>
      <c r="G980" s="46"/>
      <c r="H980" s="38"/>
      <c r="I980" s="57"/>
      <c r="J980" s="38"/>
      <c r="K980" s="38"/>
      <c r="L980" s="46"/>
      <c r="M980" s="56"/>
      <c r="N980" s="56"/>
      <c r="O980" s="56"/>
      <c r="P980" s="56"/>
      <c r="Q980" s="56"/>
      <c r="R980" s="62"/>
      <c r="S980" s="62"/>
      <c r="X980" s="56"/>
    </row>
    <row r="981" spans="1:24">
      <c r="A981" s="38"/>
      <c r="B981" s="38"/>
      <c r="D981" s="38"/>
      <c r="E981" s="38"/>
      <c r="F981" s="38"/>
      <c r="G981" s="46"/>
      <c r="H981" s="38"/>
      <c r="I981" s="57"/>
      <c r="J981" s="38"/>
      <c r="K981" s="38"/>
      <c r="L981" s="46"/>
      <c r="M981" s="56"/>
      <c r="N981" s="56"/>
      <c r="O981" s="56"/>
      <c r="P981" s="56"/>
      <c r="Q981" s="56"/>
      <c r="R981" s="62"/>
      <c r="S981" s="62"/>
      <c r="X981" s="56"/>
    </row>
    <row r="982" spans="1:24">
      <c r="A982" s="38"/>
      <c r="B982" s="38"/>
      <c r="D982" s="38"/>
      <c r="E982" s="38"/>
      <c r="F982" s="38"/>
      <c r="G982" s="46"/>
      <c r="H982" s="38"/>
      <c r="I982" s="57"/>
      <c r="J982" s="38"/>
      <c r="K982" s="38"/>
      <c r="L982" s="46"/>
      <c r="M982" s="56"/>
      <c r="N982" s="56"/>
      <c r="O982" s="56"/>
      <c r="P982" s="56"/>
      <c r="Q982" s="56"/>
      <c r="R982" s="62"/>
      <c r="S982" s="62"/>
      <c r="X982" s="56"/>
    </row>
    <row r="983" spans="1:24">
      <c r="A983" s="38"/>
      <c r="B983" s="38"/>
      <c r="D983" s="38"/>
      <c r="E983" s="38"/>
      <c r="F983" s="38"/>
      <c r="G983" s="46"/>
      <c r="H983" s="38"/>
      <c r="I983" s="57"/>
      <c r="J983" s="38"/>
      <c r="K983" s="38"/>
      <c r="L983" s="46"/>
      <c r="M983" s="56"/>
      <c r="N983" s="56"/>
      <c r="O983" s="56"/>
      <c r="P983" s="56"/>
      <c r="Q983" s="56"/>
      <c r="R983" s="62"/>
      <c r="S983" s="62"/>
      <c r="X983" s="56"/>
    </row>
    <row r="984" spans="1:24">
      <c r="A984" s="38"/>
      <c r="B984" s="38"/>
      <c r="D984" s="38"/>
      <c r="E984" s="38"/>
      <c r="F984" s="38"/>
      <c r="G984" s="46"/>
      <c r="H984" s="38"/>
      <c r="I984" s="57"/>
      <c r="J984" s="38"/>
      <c r="K984" s="38"/>
      <c r="L984" s="46"/>
      <c r="M984" s="56"/>
      <c r="N984" s="56"/>
      <c r="O984" s="56"/>
      <c r="P984" s="56"/>
      <c r="Q984" s="56"/>
      <c r="R984" s="62"/>
      <c r="S984" s="62"/>
      <c r="X984" s="56"/>
    </row>
    <row r="985" spans="1:24">
      <c r="A985" s="38"/>
      <c r="B985" s="38"/>
      <c r="D985" s="38"/>
      <c r="E985" s="38"/>
      <c r="F985" s="38"/>
      <c r="G985" s="46"/>
      <c r="H985" s="38"/>
      <c r="I985" s="57"/>
      <c r="J985" s="38"/>
      <c r="K985" s="38"/>
      <c r="L985" s="46"/>
      <c r="M985" s="56"/>
      <c r="N985" s="56"/>
      <c r="O985" s="56"/>
      <c r="P985" s="56"/>
      <c r="Q985" s="56"/>
      <c r="R985" s="62"/>
      <c r="S985" s="62"/>
      <c r="X985" s="56"/>
    </row>
    <row r="986" spans="1:24">
      <c r="A986" s="38"/>
      <c r="B986" s="38"/>
      <c r="D986" s="38"/>
      <c r="E986" s="38"/>
      <c r="F986" s="38"/>
      <c r="G986" s="46"/>
      <c r="H986" s="38"/>
      <c r="I986" s="57"/>
      <c r="J986" s="38"/>
      <c r="K986" s="38"/>
      <c r="L986" s="46"/>
      <c r="M986" s="56"/>
      <c r="N986" s="56"/>
      <c r="O986" s="56"/>
      <c r="P986" s="56"/>
      <c r="Q986" s="56"/>
      <c r="R986" s="62"/>
      <c r="S986" s="62"/>
      <c r="X986" s="56"/>
    </row>
    <row r="987" spans="1:24">
      <c r="A987" s="38"/>
      <c r="B987" s="38"/>
      <c r="D987" s="38"/>
      <c r="E987" s="38"/>
      <c r="F987" s="38"/>
      <c r="G987" s="46"/>
      <c r="H987" s="38"/>
      <c r="I987" s="57"/>
      <c r="J987" s="38"/>
      <c r="K987" s="38"/>
      <c r="L987" s="46"/>
      <c r="M987" s="56"/>
      <c r="N987" s="56"/>
      <c r="O987" s="56"/>
      <c r="P987" s="56"/>
      <c r="Q987" s="56"/>
      <c r="R987" s="62"/>
      <c r="S987" s="62"/>
      <c r="X987" s="56"/>
    </row>
    <row r="988" spans="1:24">
      <c r="A988" s="38"/>
      <c r="B988" s="38"/>
      <c r="D988" s="38"/>
      <c r="E988" s="38"/>
      <c r="F988" s="38"/>
      <c r="G988" s="46"/>
      <c r="H988" s="38"/>
      <c r="I988" s="57"/>
      <c r="J988" s="38"/>
      <c r="K988" s="38"/>
      <c r="L988" s="46"/>
      <c r="M988" s="56"/>
      <c r="N988" s="56"/>
      <c r="O988" s="56"/>
      <c r="P988" s="56"/>
      <c r="Q988" s="56"/>
      <c r="R988" s="62"/>
      <c r="S988" s="62"/>
      <c r="X988" s="56"/>
    </row>
    <row r="989" spans="1:24">
      <c r="A989" s="38"/>
      <c r="B989" s="38"/>
      <c r="D989" s="38"/>
      <c r="E989" s="38"/>
      <c r="F989" s="38"/>
      <c r="G989" s="46"/>
      <c r="H989" s="38"/>
      <c r="I989" s="57"/>
      <c r="J989" s="38"/>
      <c r="K989" s="38"/>
      <c r="L989" s="46"/>
      <c r="M989" s="56"/>
      <c r="N989" s="56"/>
      <c r="O989" s="56"/>
      <c r="P989" s="56"/>
      <c r="Q989" s="56"/>
      <c r="R989" s="62"/>
      <c r="S989" s="62"/>
      <c r="X989" s="56"/>
    </row>
    <row r="990" spans="1:24">
      <c r="A990" s="38"/>
      <c r="B990" s="38"/>
      <c r="D990" s="38"/>
      <c r="E990" s="38"/>
      <c r="F990" s="38"/>
      <c r="G990" s="46"/>
      <c r="H990" s="38"/>
      <c r="I990" s="57"/>
      <c r="J990" s="38"/>
      <c r="K990" s="38"/>
      <c r="L990" s="46"/>
      <c r="M990" s="56"/>
      <c r="N990" s="56"/>
      <c r="O990" s="56"/>
      <c r="P990" s="56"/>
      <c r="Q990" s="56"/>
      <c r="R990" s="62"/>
      <c r="S990" s="62"/>
      <c r="X990" s="56"/>
    </row>
    <row r="991" spans="1:24">
      <c r="A991" s="38"/>
      <c r="B991" s="38"/>
      <c r="D991" s="38"/>
      <c r="E991" s="38"/>
      <c r="F991" s="38"/>
      <c r="G991" s="46"/>
      <c r="H991" s="38"/>
      <c r="I991" s="57"/>
      <c r="J991" s="38"/>
      <c r="K991" s="38"/>
      <c r="L991" s="46"/>
      <c r="M991" s="56"/>
      <c r="N991" s="56"/>
      <c r="O991" s="56"/>
      <c r="P991" s="56"/>
      <c r="Q991" s="56"/>
      <c r="R991" s="62"/>
      <c r="S991" s="62"/>
      <c r="X991" s="56"/>
    </row>
    <row r="992" spans="1:24">
      <c r="A992" s="38"/>
      <c r="B992" s="38"/>
      <c r="D992" s="38"/>
      <c r="E992" s="38"/>
      <c r="F992" s="38"/>
      <c r="G992" s="46"/>
      <c r="H992" s="38"/>
      <c r="I992" s="57"/>
      <c r="J992" s="38"/>
      <c r="K992" s="38"/>
      <c r="L992" s="46"/>
      <c r="M992" s="56"/>
      <c r="N992" s="56"/>
      <c r="O992" s="56"/>
      <c r="P992" s="56"/>
      <c r="Q992" s="56"/>
      <c r="R992" s="62"/>
      <c r="S992" s="62"/>
      <c r="X992" s="56"/>
    </row>
    <row r="993" spans="1:24">
      <c r="A993" s="38"/>
      <c r="B993" s="38"/>
      <c r="D993" s="38"/>
      <c r="E993" s="38"/>
      <c r="F993" s="38"/>
      <c r="G993" s="46"/>
      <c r="H993" s="38"/>
      <c r="I993" s="57"/>
      <c r="J993" s="38"/>
      <c r="K993" s="38"/>
      <c r="L993" s="46"/>
      <c r="M993" s="56"/>
      <c r="N993" s="56"/>
      <c r="O993" s="56"/>
      <c r="P993" s="56"/>
      <c r="Q993" s="56"/>
      <c r="R993" s="62"/>
      <c r="S993" s="62"/>
      <c r="X993" s="56"/>
    </row>
    <row r="994" spans="1:24">
      <c r="A994" s="38"/>
      <c r="B994" s="38"/>
      <c r="D994" s="38"/>
      <c r="E994" s="38"/>
      <c r="F994" s="38"/>
      <c r="G994" s="46"/>
      <c r="H994" s="38"/>
      <c r="I994" s="57"/>
      <c r="J994" s="38"/>
      <c r="K994" s="38"/>
      <c r="L994" s="46"/>
      <c r="M994" s="56"/>
      <c r="N994" s="56"/>
      <c r="O994" s="56"/>
      <c r="P994" s="56"/>
      <c r="Q994" s="56"/>
      <c r="R994" s="62"/>
      <c r="S994" s="62"/>
      <c r="X994" s="56"/>
    </row>
    <row r="995" spans="1:24">
      <c r="A995" s="38"/>
      <c r="B995" s="38"/>
      <c r="D995" s="38"/>
      <c r="E995" s="38"/>
      <c r="F995" s="38"/>
      <c r="G995" s="46"/>
      <c r="H995" s="38"/>
      <c r="I995" s="57"/>
      <c r="J995" s="38"/>
      <c r="K995" s="38"/>
      <c r="L995" s="46"/>
      <c r="M995" s="56"/>
      <c r="N995" s="56"/>
      <c r="O995" s="56"/>
      <c r="P995" s="56"/>
      <c r="Q995" s="56"/>
      <c r="R995" s="62"/>
      <c r="S995" s="62"/>
      <c r="X995" s="56"/>
    </row>
    <row r="996" spans="1:24">
      <c r="A996" s="38"/>
      <c r="B996" s="38"/>
      <c r="D996" s="38"/>
      <c r="E996" s="38"/>
      <c r="F996" s="38"/>
      <c r="G996" s="46"/>
      <c r="H996" s="38"/>
      <c r="I996" s="57"/>
      <c r="J996" s="38"/>
      <c r="K996" s="38"/>
      <c r="L996" s="46"/>
      <c r="M996" s="56"/>
      <c r="N996" s="56"/>
      <c r="O996" s="56"/>
      <c r="P996" s="56"/>
      <c r="Q996" s="56"/>
      <c r="R996" s="62"/>
      <c r="S996" s="62"/>
      <c r="X996" s="56"/>
    </row>
    <row r="997" spans="1:24">
      <c r="A997" s="38"/>
      <c r="B997" s="38"/>
      <c r="D997" s="38"/>
      <c r="E997" s="38"/>
      <c r="F997" s="38"/>
      <c r="G997" s="46"/>
      <c r="H997" s="38"/>
      <c r="I997" s="57"/>
      <c r="J997" s="38"/>
      <c r="K997" s="38"/>
      <c r="L997" s="46"/>
      <c r="M997" s="56"/>
      <c r="N997" s="56"/>
      <c r="O997" s="56"/>
      <c r="P997" s="56"/>
      <c r="Q997" s="56"/>
      <c r="R997" s="62"/>
      <c r="S997" s="62"/>
      <c r="X997" s="56"/>
    </row>
    <row r="998" spans="1:24">
      <c r="A998" s="38"/>
      <c r="B998" s="38"/>
      <c r="D998" s="38"/>
      <c r="E998" s="38"/>
      <c r="F998" s="38"/>
      <c r="G998" s="46"/>
      <c r="H998" s="38"/>
      <c r="I998" s="57"/>
      <c r="J998" s="38"/>
      <c r="K998" s="38"/>
      <c r="L998" s="46"/>
      <c r="M998" s="56"/>
      <c r="N998" s="56"/>
      <c r="O998" s="56"/>
      <c r="P998" s="56"/>
      <c r="Q998" s="56"/>
      <c r="R998" s="62"/>
      <c r="S998" s="62"/>
      <c r="X998" s="56"/>
    </row>
    <row r="999" spans="1:24">
      <c r="A999" s="38"/>
      <c r="B999" s="38"/>
      <c r="D999" s="38"/>
      <c r="E999" s="38"/>
      <c r="F999" s="38"/>
      <c r="G999" s="46"/>
      <c r="H999" s="38"/>
      <c r="I999" s="57"/>
      <c r="J999" s="38"/>
      <c r="K999" s="38"/>
      <c r="L999" s="46"/>
      <c r="M999" s="56"/>
      <c r="N999" s="56"/>
      <c r="O999" s="56"/>
      <c r="P999" s="56"/>
      <c r="Q999" s="56"/>
      <c r="R999" s="62"/>
      <c r="S999" s="62"/>
      <c r="X999" s="56"/>
    </row>
    <row r="1000" spans="1:24">
      <c r="A1000" s="38"/>
      <c r="B1000" s="38"/>
      <c r="D1000" s="38"/>
      <c r="E1000" s="38"/>
      <c r="F1000" s="38"/>
      <c r="G1000" s="46"/>
      <c r="H1000" s="38"/>
      <c r="I1000" s="57"/>
      <c r="J1000" s="38"/>
      <c r="K1000" s="38"/>
      <c r="L1000" s="46"/>
      <c r="M1000" s="56"/>
      <c r="N1000" s="56"/>
      <c r="O1000" s="56"/>
      <c r="P1000" s="56"/>
      <c r="Q1000" s="56"/>
      <c r="R1000" s="62"/>
      <c r="S1000" s="62"/>
      <c r="X1000" s="56"/>
    </row>
  </sheetData>
  <dataValidations count="1">
    <dataValidation type="list" allowBlank="1" showInputMessage="1" showErrorMessage="1" sqref="U2:U817" xr:uid="{59529EED-CF9B-4B49-A6E9-AC7FB065A2A8}">
      <formula1>"Yes, No"</formula1>
    </dataValidation>
  </dataValidations>
  <hyperlinks>
    <hyperlink ref="B1" location="Fields!E1" display="Content Owner" xr:uid="{9F9A169F-3E58-47BC-8F65-1683B25DC37E}"/>
    <hyperlink ref="W1" location="Fields!A12" display="Re-Replay" xr:uid="{8C951D28-1BA2-493C-98D7-EECDFD6572A6}"/>
    <hyperlink ref="I1" location="Final!A13" display="Description" xr:uid="{FD626EE9-550E-4C73-ABC8-FA8394748D7B}"/>
  </hyperlink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89188619-BE23-4F76-925B-306280D08CC4}">
          <x14:formula1>
            <xm:f>Fields!$D$2:$D$5</xm:f>
          </x14:formula1>
          <xm:sqref>B2:B817</xm:sqref>
        </x14:dataValidation>
        <x14:dataValidation type="list" allowBlank="1" showInputMessage="1" showErrorMessage="1" xr:uid="{6CA8BB13-7080-4885-AAE5-91D3FA3E72A4}">
          <x14:formula1>
            <xm:f>Fields!$C$2:$C$4</xm:f>
          </x14:formula1>
          <xm:sqref>T2:T817</xm:sqref>
        </x14:dataValidation>
        <x14:dataValidation type="list" allowBlank="1" showInputMessage="1" showErrorMessage="1" xr:uid="{81730C54-3FEB-42D7-AEC8-68F76F078ABB}">
          <x14:formula1>
            <xm:f>Fields!$B$2:$B$4</xm:f>
          </x14:formula1>
          <xm:sqref>R2:S817</xm:sqref>
        </x14:dataValidation>
        <x14:dataValidation type="list" allowBlank="1" showInputMessage="1" showErrorMessage="1" xr:uid="{D9CA3798-B5B5-49A6-955C-D2E20EFADAB0}">
          <x14:formula1>
            <xm:f>Fields!$A$2:$A$8</xm:f>
          </x14:formula1>
          <xm:sqref>C2:C817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3"/>
  <sheetViews>
    <sheetView workbookViewId="0">
      <selection activeCell="A13" sqref="A13"/>
    </sheetView>
  </sheetViews>
  <sheetFormatPr defaultColWidth="12.5703125" defaultRowHeight="15" customHeight="1"/>
  <cols>
    <col min="1" max="1" width="13.7109375" bestFit="1" customWidth="1"/>
    <col min="4" max="4" width="4.7109375" customWidth="1"/>
    <col min="5" max="5" width="21.85546875" bestFit="1" customWidth="1"/>
  </cols>
  <sheetData>
    <row r="1" spans="1:5" ht="15" customHeight="1">
      <c r="A1" s="30" t="s">
        <v>115</v>
      </c>
      <c r="B1" s="30" t="s">
        <v>2502</v>
      </c>
      <c r="C1" s="30" t="s">
        <v>83</v>
      </c>
      <c r="D1" s="63" t="s">
        <v>2505</v>
      </c>
      <c r="E1" s="63"/>
    </row>
    <row r="2" spans="1:5">
      <c r="A2" s="31" t="s">
        <v>1694</v>
      </c>
      <c r="B2" s="32" t="s">
        <v>42</v>
      </c>
      <c r="C2" s="32" t="s">
        <v>42</v>
      </c>
      <c r="D2" t="s">
        <v>92</v>
      </c>
      <c r="E2" t="s">
        <v>15</v>
      </c>
    </row>
    <row r="3" spans="1:5">
      <c r="A3" s="31" t="s">
        <v>1696</v>
      </c>
      <c r="B3" s="32" t="s">
        <v>158</v>
      </c>
      <c r="C3" s="32" t="s">
        <v>43</v>
      </c>
      <c r="D3" t="s">
        <v>220</v>
      </c>
      <c r="E3" t="s">
        <v>20</v>
      </c>
    </row>
    <row r="4" spans="1:5">
      <c r="A4" s="31" t="s">
        <v>124</v>
      </c>
      <c r="B4" s="32" t="s">
        <v>43</v>
      </c>
      <c r="C4" s="32" t="s">
        <v>137</v>
      </c>
      <c r="D4" t="s">
        <v>2506</v>
      </c>
      <c r="E4" t="s">
        <v>28</v>
      </c>
    </row>
    <row r="5" spans="1:5">
      <c r="A5" s="31" t="s">
        <v>1697</v>
      </c>
      <c r="B5" s="32"/>
      <c r="C5" s="32"/>
    </row>
    <row r="6" spans="1:5">
      <c r="A6" s="31" t="s">
        <v>72</v>
      </c>
      <c r="B6" s="32"/>
      <c r="C6" s="32"/>
    </row>
    <row r="7" spans="1:5">
      <c r="A7" s="31" t="s">
        <v>73</v>
      </c>
      <c r="B7" s="32"/>
      <c r="C7" s="32"/>
    </row>
    <row r="8" spans="1:5">
      <c r="A8" s="31" t="s">
        <v>1698</v>
      </c>
      <c r="B8" s="32"/>
      <c r="C8" s="32"/>
    </row>
    <row r="9" spans="1:5">
      <c r="A9" s="32"/>
      <c r="B9" s="32"/>
      <c r="C9" s="32"/>
    </row>
    <row r="12" spans="1:5" ht="15" customHeight="1">
      <c r="A12" t="s">
        <v>2501</v>
      </c>
    </row>
    <row r="13" spans="1:5" ht="15" customHeight="1">
      <c r="A13" s="33" t="s">
        <v>2504</v>
      </c>
    </row>
  </sheetData>
  <mergeCells count="1">
    <mergeCell ref="D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Charter</vt:lpstr>
      <vt:lpstr>Video-List&amp;Template</vt:lpstr>
      <vt:lpstr>Instructions</vt:lpstr>
      <vt:lpstr>Final</vt:lpstr>
      <vt:lpstr>HT</vt:lpstr>
      <vt:lpstr>JB</vt:lpstr>
      <vt:lpstr>RS</vt:lpstr>
      <vt:lpstr>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 Thapliyal</cp:lastModifiedBy>
  <dcterms:modified xsi:type="dcterms:W3CDTF">2017-09-28T16:28:48Z</dcterms:modified>
</cp:coreProperties>
</file>